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Geoff\genshin_tracker\"/>
    </mc:Choice>
  </mc:AlternateContent>
  <xr:revisionPtr revIDLastSave="0" documentId="13_ncr:1_{2865488F-B55F-405A-B21A-5BCF416BA69B}" xr6:coauthVersionLast="47" xr6:coauthVersionMax="47" xr10:uidLastSave="{00000000-0000-0000-0000-000000000000}"/>
  <bookViews>
    <workbookView xWindow="-120" yWindow="-120" windowWidth="38640" windowHeight="21120" tabRatio="774" firstSheet="120" activeTab="345" xr2:uid="{56A555B9-740B-4EE1-BC13-EDACD4F53874}"/>
  </bookViews>
  <sheets>
    <sheet name="HoyoLab Chest Count" sheetId="389" state="hidden" r:id="rId1"/>
    <sheet name="Overview" sheetId="6" r:id="rId2"/>
    <sheet name="Traveller Lookups" sheetId="375" state="hidden" r:id="rId3"/>
    <sheet name="Calculator Lookups" sheetId="134" state="hidden" r:id="rId4"/>
    <sheet name="Talent Book Lookups" sheetId="144" state="hidden" r:id="rId5"/>
    <sheet name="Char Drop Materials Lookups" sheetId="145" state="hidden" r:id="rId6"/>
    <sheet name="Weapon Ascension Mat Lookup" sheetId="350" state="hidden" r:id="rId7"/>
    <sheet name="Wep Drop Materials Lookups" sheetId="146" state="hidden" r:id="rId8"/>
    <sheet name="Weekly Boss Talent Lookups" sheetId="355" state="hidden" r:id="rId9"/>
    <sheet name="Character Progress Tracker" sheetId="353" r:id="rId10"/>
    <sheet name="Weapon Progress Tracker" sheetId="351" r:id="rId11"/>
    <sheet name="Traveller Level" sheetId="370" r:id="rId12"/>
    <sheet name="Traveller Anemo" sheetId="371" r:id="rId13"/>
    <sheet name="Traveller Geo" sheetId="372" r:id="rId14"/>
    <sheet name="Traveller Electro" sheetId="373" state="hidden" r:id="rId15"/>
    <sheet name="Traveller Dendro" sheetId="374" state="hidden" r:id="rId16"/>
    <sheet name="Traveller Hydro" sheetId="409" state="hidden" r:id="rId17"/>
    <sheet name="Traveller Pyro" sheetId="470" r:id="rId18"/>
    <sheet name="Character Upgrade Template" sheetId="40" state="hidden" r:id="rId19"/>
    <sheet name="Amber" sheetId="66" state="hidden" r:id="rId20"/>
    <sheet name="Lisa" sheetId="62" state="hidden" r:id="rId21"/>
    <sheet name="Razor" sheetId="61" state="hidden" r:id="rId22"/>
    <sheet name="Xiangling" sheetId="67" state="hidden" r:id="rId23"/>
    <sheet name="Beidou" sheetId="60" state="hidden" r:id="rId24"/>
    <sheet name="Bennett" sheetId="74" state="hidden" r:id="rId25"/>
    <sheet name="Noelle" sheetId="70" state="hidden" r:id="rId26"/>
    <sheet name="Chongyun" sheetId="59" state="hidden" r:id="rId27"/>
    <sheet name="Jean" sheetId="48" state="hidden" r:id="rId28"/>
    <sheet name="Diluc" sheetId="71" state="hidden" r:id="rId29"/>
    <sheet name="Kaeya" sheetId="51" state="hidden" r:id="rId30"/>
    <sheet name="Barbara" sheetId="63" state="hidden" r:id="rId31"/>
    <sheet name="Xingqiu" sheetId="72" state="hidden" r:id="rId32"/>
    <sheet name="Ningguang" sheetId="65" state="hidden" r:id="rId33"/>
    <sheet name="Fischl" sheetId="49" state="hidden" r:id="rId34"/>
    <sheet name="Sucrose" sheetId="47" state="hidden" r:id="rId35"/>
    <sheet name="Qiqi" sheetId="53" state="hidden" r:id="rId36"/>
    <sheet name="Mona" sheetId="54" state="hidden" r:id="rId37"/>
    <sheet name="Keqing" sheetId="76" state="hidden" r:id="rId38"/>
    <sheet name="Venti" sheetId="68" state="hidden" r:id="rId39"/>
    <sheet name="Klee" sheetId="56" state="hidden" r:id="rId40"/>
    <sheet name="Diona" sheetId="58" state="hidden" r:id="rId41"/>
    <sheet name="Tartaglia" sheetId="55" state="hidden" r:id="rId42"/>
    <sheet name="Xinyan" sheetId="73" state="hidden" r:id="rId43"/>
    <sheet name="Zhongli" sheetId="69" state="hidden" r:id="rId44"/>
    <sheet name="Albedo" sheetId="52" state="hidden" r:id="rId45"/>
    <sheet name="Ganyu" sheetId="75" state="hidden" r:id="rId46"/>
    <sheet name="Xiao" sheetId="64" state="hidden" r:id="rId47"/>
    <sheet name="Hutao" sheetId="50" state="hidden" r:id="rId48"/>
    <sheet name="Rosaria" sheetId="57" state="hidden" r:id="rId49"/>
    <sheet name="Yanfei" sheetId="77" state="hidden" r:id="rId50"/>
    <sheet name="Eula" sheetId="78" state="hidden" r:id="rId51"/>
    <sheet name="Kaedehara Kazuha" sheetId="83" state="hidden" r:id="rId52"/>
    <sheet name="Kamisato Ayaka" sheetId="86" state="hidden" r:id="rId53"/>
    <sheet name="Yoimiya" sheetId="87" state="hidden" r:id="rId54"/>
    <sheet name="Sayu" sheetId="88" state="hidden" r:id="rId55"/>
    <sheet name="Raiden Shogun" sheetId="91" state="hidden" r:id="rId56"/>
    <sheet name="Kujou Sara" sheetId="92" state="hidden" r:id="rId57"/>
    <sheet name="Sangonomiya Kokomi" sheetId="90" state="hidden" r:id="rId58"/>
    <sheet name="Thoma" sheetId="98" state="hidden" r:id="rId59"/>
    <sheet name="Aloy" sheetId="93" state="hidden" r:id="rId60"/>
    <sheet name="Arataki Itto" sheetId="105" state="hidden" r:id="rId61"/>
    <sheet name="Gorou" sheetId="106" state="hidden" r:id="rId62"/>
    <sheet name="Shenhe" sheetId="112" state="hidden" r:id="rId63"/>
    <sheet name="Yunjin" sheetId="111" state="hidden" r:id="rId64"/>
    <sheet name="Yae Miko" sheetId="114" state="hidden" r:id="rId65"/>
    <sheet name="Kamisato Ayato" sheetId="119" state="hidden" r:id="rId66"/>
    <sheet name="Yelan" sheetId="125" state="hidden" r:id="rId67"/>
    <sheet name="Kuki Shinobu" sheetId="126" state="hidden" r:id="rId68"/>
    <sheet name="Shikanoin Heizou" sheetId="131" state="hidden" r:id="rId69"/>
    <sheet name="Tighnari" sheetId="360" state="hidden" r:id="rId70"/>
    <sheet name="Collei" sheetId="361" state="hidden" r:id="rId71"/>
    <sheet name="Dori" sheetId="362" state="hidden" r:id="rId72"/>
    <sheet name="Cyno" sheetId="378" state="hidden" r:id="rId73"/>
    <sheet name="Candace" sheetId="379" state="hidden" r:id="rId74"/>
    <sheet name="Nilou" sheetId="377" state="hidden" r:id="rId75"/>
    <sheet name="Nahida" sheetId="386" state="hidden" r:id="rId76"/>
    <sheet name="Layla" sheetId="387" state="hidden" r:id="rId77"/>
    <sheet name="Wanderer" sheetId="390" state="hidden" r:id="rId78"/>
    <sheet name="Faruzan" sheetId="391" state="hidden" r:id="rId79"/>
    <sheet name="Alhaitham" sheetId="394" state="hidden" r:id="rId80"/>
    <sheet name="Yaoyao" sheetId="395" state="hidden" r:id="rId81"/>
    <sheet name="Dehya" sheetId="397" state="hidden" r:id="rId82"/>
    <sheet name="Mika" sheetId="398" state="hidden" r:id="rId83"/>
    <sheet name="Baizhu" sheetId="401" state="hidden" r:id="rId84"/>
    <sheet name="Kaveh" sheetId="402" state="hidden" r:id="rId85"/>
    <sheet name="Kirara" sheetId="404" state="hidden" r:id="rId86"/>
    <sheet name="Lyney" sheetId="406" state="hidden" r:id="rId87"/>
    <sheet name="Lynette" sheetId="407" state="hidden" r:id="rId88"/>
    <sheet name="Freminet" sheetId="408" state="hidden" r:id="rId89"/>
    <sheet name="Neuvillette" sheetId="423" state="hidden" r:id="rId90"/>
    <sheet name="Wriothesley" sheetId="422" state="hidden" r:id="rId91"/>
    <sheet name="Furina" sheetId="432" state="hidden" r:id="rId92"/>
    <sheet name="Charlotte" sheetId="431" state="hidden" r:id="rId93"/>
    <sheet name="Navia" sheetId="436" state="hidden" r:id="rId94"/>
    <sheet name="Chevreuse" sheetId="437" state="hidden" r:id="rId95"/>
    <sheet name="Xianyun" sheetId="443" state="hidden" r:id="rId96"/>
    <sheet name="Gaming" sheetId="444" state="hidden" r:id="rId97"/>
    <sheet name="Chiori" sheetId="446" state="hidden" r:id="rId98"/>
    <sheet name="Arlecchino" sheetId="449" state="hidden" r:id="rId99"/>
    <sheet name="Clorinde" sheetId="453" state="hidden" r:id="rId100"/>
    <sheet name="Sethos" sheetId="452" state="hidden" r:id="rId101"/>
    <sheet name="Sigewinne" sheetId="451" state="hidden" r:id="rId102"/>
    <sheet name="Emilie" sheetId="457" state="hidden" r:id="rId103"/>
    <sheet name="Mualani" sheetId="459" state="hidden" r:id="rId104"/>
    <sheet name="Kachina" sheetId="461" state="hidden" r:id="rId105"/>
    <sheet name="Kinich" sheetId="460" state="hidden" r:id="rId106"/>
    <sheet name="Xilonen" sheetId="471" state="hidden" r:id="rId107"/>
    <sheet name="Chasca" sheetId="476" state="hidden" r:id="rId108"/>
    <sheet name="Ororon" sheetId="477" state="hidden" r:id="rId109"/>
    <sheet name="Mavuika" sheetId="484" state="hidden" r:id="rId110"/>
    <sheet name="Citlali" sheetId="485" state="hidden" r:id="rId111"/>
    <sheet name="Lan Yan" sheetId="486" state="hidden" r:id="rId112"/>
    <sheet name="Yumemizuki Mizuki" sheetId="489" state="hidden" r:id="rId113"/>
    <sheet name="Varesa" sheetId="492" state="hidden" r:id="rId114"/>
    <sheet name="Iansan" sheetId="493" state="hidden" r:id="rId115"/>
    <sheet name="Escoffier" sheetId="495" state="hidden" r:id="rId116"/>
    <sheet name="Ifa" sheetId="496" state="hidden" r:id="rId117"/>
    <sheet name="Skirk" sheetId="499" state="hidden" r:id="rId118"/>
    <sheet name="Dahlia" sheetId="500" r:id="rId119"/>
    <sheet name="Ineffa" sheetId="502" r:id="rId120"/>
    <sheet name="Lauma" sheetId="505" r:id="rId121"/>
    <sheet name="Flins" sheetId="506" r:id="rId122"/>
    <sheet name="Aino" sheetId="507" r:id="rId123"/>
    <sheet name="Weapon Upgrade Template" sheetId="14" state="hidden" r:id="rId124"/>
    <sheet name="Dull Blade" sheetId="121" state="hidden" r:id="rId125"/>
    <sheet name="Waster Greatsword" sheetId="342" state="hidden" r:id="rId126"/>
    <sheet name="Beginner's Protector" sheetId="122" state="hidden" r:id="rId127"/>
    <sheet name="Apprentice's Notes" sheetId="123" state="hidden" r:id="rId128"/>
    <sheet name="Hunter's Bow" sheetId="282" state="hidden" r:id="rId129"/>
    <sheet name="Silver Sword" sheetId="319" state="hidden" r:id="rId130"/>
    <sheet name="Old Merc's Pal" sheetId="297" state="hidden" r:id="rId131"/>
    <sheet name="Iron Point" sheetId="283" state="hidden" r:id="rId132"/>
    <sheet name="Pocket Grimoire" sheetId="299" state="hidden" r:id="rId133"/>
    <sheet name="Seasoned Hunter's Bow" sheetId="317" state="hidden" r:id="rId134"/>
    <sheet name="Cool Steel" sheetId="259" state="hidden" r:id="rId135"/>
    <sheet name="Dark Iron Sword" sheetId="261" state="hidden" r:id="rId136"/>
    <sheet name="Fillet Blade" sheetId="275" state="hidden" r:id="rId137"/>
    <sheet name="Harbinger of Dawn" sheetId="281" state="hidden" r:id="rId138"/>
    <sheet name="Skyrider Sword" sheetId="321" state="hidden" r:id="rId139"/>
    <sheet name="Traveler's Handy Sword" sheetId="340" state="hidden" r:id="rId140"/>
    <sheet name="Bloodtainted Greatsword" sheetId="257" state="hidden" r:id="rId141"/>
    <sheet name="Debate Club" sheetId="262" state="hidden" r:id="rId142"/>
    <sheet name="Ferrous Shadow" sheetId="273" state="hidden" r:id="rId143"/>
    <sheet name="Skyrider Greatsword" sheetId="320" state="hidden" r:id="rId144"/>
    <sheet name="White Iron Greatsword" sheetId="344" state="hidden" r:id="rId145"/>
    <sheet name="Black Tassel" sheetId="251" state="hidden" r:id="rId146"/>
    <sheet name="Halberd" sheetId="279" state="hidden" r:id="rId147"/>
    <sheet name="White Tassel" sheetId="345" state="hidden" r:id="rId148"/>
    <sheet name="Emerald Orb" sheetId="266" state="hidden" r:id="rId149"/>
    <sheet name="Magic Guide" sheetId="291" state="hidden" r:id="rId150"/>
    <sheet name="Otherworldly Story" sheetId="298" state="hidden" r:id="rId151"/>
    <sheet name="TTDS" sheetId="339" state="hidden" r:id="rId152"/>
    <sheet name="Twin Nephrite" sheetId="341" state="hidden" r:id="rId153"/>
    <sheet name="Messenger" sheetId="293" state="hidden" r:id="rId154"/>
    <sheet name="Raven Bow" sheetId="308" state="hidden" r:id="rId155"/>
    <sheet name="Recurve Bow" sheetId="309" state="hidden" r:id="rId156"/>
    <sheet name="Sharpshooter's Oath" sheetId="128" state="hidden" r:id="rId157"/>
    <sheet name="Slingshot" sheetId="327" state="hidden" r:id="rId158"/>
    <sheet name="Royal Longsword" sheetId="313" state="hidden" r:id="rId159"/>
    <sheet name="Royal Greatsword" sheetId="311" state="hidden" r:id="rId160"/>
    <sheet name="Royal Spear" sheetId="314" state="hidden" r:id="rId161"/>
    <sheet name="Royal Grimoire" sheetId="312" state="hidden" r:id="rId162"/>
    <sheet name="Royal Bow" sheetId="310" state="hidden" r:id="rId163"/>
    <sheet name="Blackcliff Longsword" sheetId="253" state="hidden" r:id="rId164"/>
    <sheet name="Blackcliff Slasher" sheetId="255" state="hidden" r:id="rId165"/>
    <sheet name="Blackcliff Pole" sheetId="254" state="hidden" r:id="rId166"/>
    <sheet name="Blackcliff Agate" sheetId="252" state="hidden" r:id="rId167"/>
    <sheet name="Blackcliff Warbow" sheetId="256" state="hidden" r:id="rId168"/>
    <sheet name="The Black Sword" sheetId="335" state="hidden" r:id="rId169"/>
    <sheet name="Serpent Spine" sheetId="318" state="hidden" r:id="rId170"/>
    <sheet name="Deathmatch" sheetId="117" state="hidden" r:id="rId171"/>
    <sheet name="Solar Pearl" sheetId="329" state="hidden" r:id="rId172"/>
    <sheet name="The Veridescent Hunt" sheetId="337" state="hidden" r:id="rId173"/>
    <sheet name="Prototype Rancour" sheetId="305" state="hidden" r:id="rId174"/>
    <sheet name="Prototype Archaic" sheetId="303" state="hidden" r:id="rId175"/>
    <sheet name="Prototype Starglitter" sheetId="306" state="hidden" r:id="rId176"/>
    <sheet name="Prototype Amber" sheetId="302" state="hidden" r:id="rId177"/>
    <sheet name="Iron Sting" sheetId="284" state="hidden" r:id="rId178"/>
    <sheet name="Whiteblind" sheetId="346" state="hidden" r:id="rId179"/>
    <sheet name="Prototype Crescent" sheetId="304" state="hidden" r:id="rId180"/>
    <sheet name="Crescent Pike" sheetId="260" state="hidden" r:id="rId181"/>
    <sheet name="Mappa Mare" sheetId="292" state="hidden" r:id="rId182"/>
    <sheet name="Compound Bow" sheetId="258" state="hidden" r:id="rId183"/>
    <sheet name="Favonius Sword" sheetId="271" state="hidden" r:id="rId184"/>
    <sheet name="The Flute" sheetId="129" state="hidden" r:id="rId185"/>
    <sheet name="Sacrificial Sword" sheetId="109" state="hidden" r:id="rId186"/>
    <sheet name="Lion's Roar" sheetId="287" state="hidden" r:id="rId187"/>
    <sheet name="Favonius Greatsword" sheetId="269" state="hidden" r:id="rId188"/>
    <sheet name="The Bell" sheetId="334" state="hidden" r:id="rId189"/>
    <sheet name="Sacrificial Greatsword" sheetId="316" state="hidden" r:id="rId190"/>
    <sheet name="Rainslasher" sheetId="307" state="hidden" r:id="rId191"/>
    <sheet name="Dragon's Bane" sheetId="264" state="hidden" r:id="rId192"/>
    <sheet name="Favonius Lance" sheetId="270" state="hidden" r:id="rId193"/>
    <sheet name="Favonius Codex" sheetId="268" state="hidden" r:id="rId194"/>
    <sheet name="The Widsith" sheetId="338" state="hidden" r:id="rId195"/>
    <sheet name="Sacrificial Fragments" sheetId="101" state="hidden" r:id="rId196"/>
    <sheet name="Eye of Perception" sheetId="267" state="hidden" r:id="rId197"/>
    <sheet name="Favonius Warbow" sheetId="272" state="hidden" r:id="rId198"/>
    <sheet name="The Stringless" sheetId="336" state="hidden" r:id="rId199"/>
    <sheet name="Sacrificial Bow" sheetId="110" state="hidden" r:id="rId200"/>
    <sheet name="Rust" sheetId="315" state="hidden" r:id="rId201"/>
    <sheet name="Sword of Descension" sheetId="332" state="hidden" r:id="rId202"/>
    <sheet name="Aquila Favonia" sheetId="250" state="hidden" r:id="rId203"/>
    <sheet name="Skyward Blade" sheetId="323" state="hidden" r:id="rId204"/>
    <sheet name="Skyward Pride" sheetId="325" state="hidden" r:id="rId205"/>
    <sheet name="Wolf's Gravestone" sheetId="349" state="hidden" r:id="rId206"/>
    <sheet name="Primordial Jade Winged-Spear" sheetId="301" state="hidden" r:id="rId207"/>
    <sheet name="Skyward Spine" sheetId="326" state="hidden" r:id="rId208"/>
    <sheet name="Skyward Atlas" sheetId="322" state="hidden" r:id="rId209"/>
    <sheet name="Lost Prayer to the Sacred Winds" sheetId="290" state="hidden" r:id="rId210"/>
    <sheet name="Skyward Harp" sheetId="324" state="hidden" r:id="rId211"/>
    <sheet name="Amos' Bow" sheetId="249" state="hidden" r:id="rId212"/>
    <sheet name="Festering Desire" sheetId="274" state="hidden" r:id="rId213"/>
    <sheet name="Memory of Dust" sheetId="103" state="hidden" r:id="rId214"/>
    <sheet name="The Unforged" sheetId="97" state="hidden" r:id="rId215"/>
    <sheet name="Vortex Vanquisher" sheetId="116" state="hidden" r:id="rId216"/>
    <sheet name="Snow-Tombed Starsilver" sheetId="328" state="hidden" r:id="rId217"/>
    <sheet name="Dragonspine Spear" sheetId="100" state="hidden" r:id="rId218"/>
    <sheet name="Frostbearer" sheetId="277" state="hidden" r:id="rId219"/>
    <sheet name="Summit Shaper" sheetId="331" state="hidden" r:id="rId220"/>
    <sheet name="Windblume Ode" sheetId="347" state="hidden" r:id="rId221"/>
    <sheet name="Primordial Jade Cutter" sheetId="300" state="hidden" r:id="rId222"/>
    <sheet name="Lithic Blade" sheetId="288" state="hidden" r:id="rId223"/>
    <sheet name="Lithic Spear" sheetId="289" state="hidden" r:id="rId224"/>
    <sheet name="Staff of Homa" sheetId="104" state="hidden" r:id="rId225"/>
    <sheet name="The Alley Flash" sheetId="333" state="hidden" r:id="rId226"/>
    <sheet name="Wine and Song" sheetId="348" state="hidden" r:id="rId227"/>
    <sheet name="Elegy for the End" sheetId="265" state="hidden" r:id="rId228"/>
    <sheet name="Alley Hunter" sheetId="245" state="hidden" r:id="rId229"/>
    <sheet name="Song of Broken Pines" sheetId="330" state="hidden" r:id="rId230"/>
    <sheet name="Dodoco Tales" sheetId="263" state="hidden" r:id="rId231"/>
    <sheet name="Mitternachts Waltz" sheetId="295" state="hidden" r:id="rId232"/>
    <sheet name="Freedom-Sworn" sheetId="276" state="hidden" r:id="rId233"/>
    <sheet name="Amenoma Kageuchi" sheetId="248" state="hidden" r:id="rId234"/>
    <sheet name="Katsuragikiri Nagamasa" sheetId="285" state="hidden" r:id="rId235"/>
    <sheet name="Kitain Cross Spear" sheetId="286" state="hidden" r:id="rId236"/>
    <sheet name="Hakushin Ring" sheetId="278" state="hidden" r:id="rId237"/>
    <sheet name="Hamayumi" sheetId="280" state="hidden" r:id="rId238"/>
    <sheet name="Mistsplitter Reforged" sheetId="294" state="hidden" r:id="rId239"/>
    <sheet name="Thundering Pulse" sheetId="89" state="hidden" r:id="rId240"/>
    <sheet name="&quot;The Catch&quot;" sheetId="246" state="hidden" r:id="rId241"/>
    <sheet name="Luxurious Sea-Lord" sheetId="95" state="hidden" r:id="rId242"/>
    <sheet name="Engulfing Lightning" sheetId="94" state="hidden" r:id="rId243"/>
    <sheet name="Everlasting Moonglow" sheetId="96" state="hidden" r:id="rId244"/>
    <sheet name="Akuoumaru" sheetId="247" state="hidden" r:id="rId245"/>
    <sheet name="Polar Star" sheetId="99" state="hidden" r:id="rId246"/>
    <sheet name="Wavebreaker's Fin" sheetId="343" state="hidden" r:id="rId247"/>
    <sheet name="Mouun's Moon" sheetId="296" state="hidden" r:id="rId248"/>
    <sheet name="Cinnabar Spindle" sheetId="107" state="hidden" r:id="rId249"/>
    <sheet name="Redhorn Stonethresher" sheetId="108" state="hidden" r:id="rId250"/>
    <sheet name="Calamity Queller" sheetId="113" state="hidden" r:id="rId251"/>
    <sheet name="Oathsworn Eye" sheetId="118" state="hidden" r:id="rId252"/>
    <sheet name="Kagura's Verity" sheetId="115" state="hidden" r:id="rId253"/>
    <sheet name="Haran Geppaku Futsu" sheetId="120" state="hidden" r:id="rId254"/>
    <sheet name="Fading Twilight" sheetId="130" state="hidden" r:id="rId255"/>
    <sheet name="Aqua Simulacra" sheetId="127" state="hidden" r:id="rId256"/>
    <sheet name="Kagotsurube Isshin" sheetId="359" state="hidden" r:id="rId257"/>
    <sheet name="Sapwood Blade" sheetId="363" state="hidden" r:id="rId258"/>
    <sheet name="Forest Regalia" sheetId="364" state="hidden" r:id="rId259"/>
    <sheet name="Moonpiercer" sheetId="365" state="hidden" r:id="rId260"/>
    <sheet name="Fruit of Fulfillment" sheetId="367" state="hidden" r:id="rId261"/>
    <sheet name="King's Squire" sheetId="366" state="hidden" r:id="rId262"/>
    <sheet name="End of the Line" sheetId="376" state="hidden" r:id="rId263"/>
    <sheet name="Hunter's Path" sheetId="368" state="hidden" r:id="rId264"/>
    <sheet name="Missive Windspear" sheetId="381" state="hidden" r:id="rId265"/>
    <sheet name="Staff of the Scarlet Sands" sheetId="382" state="hidden" r:id="rId266"/>
    <sheet name="Key of Khaj-Nisat" sheetId="380" state="hidden" r:id="rId267"/>
    <sheet name="Xiphos’ Moonlight" sheetId="383" state="hidden" r:id="rId268"/>
    <sheet name="Makhaira Aquamarine" sheetId="384" state="hidden" r:id="rId269"/>
    <sheet name="Wandering Evenstar" sheetId="385" state="hidden" r:id="rId270"/>
    <sheet name="A Thousand Floating Dreams" sheetId="388" state="hidden" r:id="rId271"/>
    <sheet name="Tullaytullah's Remembrance" sheetId="392" state="hidden" r:id="rId272"/>
    <sheet name="Toukabou Shigure" sheetId="393" state="hidden" r:id="rId273"/>
    <sheet name="Light of Foliar Incision" sheetId="396" state="hidden" r:id="rId274"/>
    <sheet name="Beacon of the Reed Sea" sheetId="399" state="hidden" r:id="rId275"/>
    <sheet name="Mailed Flower" sheetId="400" state="hidden" r:id="rId276"/>
    <sheet name="Jadefall's Splendor" sheetId="403" state="hidden" r:id="rId277"/>
    <sheet name="Ibis Piercer" sheetId="405" state="hidden" r:id="rId278"/>
    <sheet name="Wolf-Fang" sheetId="415" state="hidden" r:id="rId279"/>
    <sheet name="Talking Stick" sheetId="411" state="hidden" r:id="rId280"/>
    <sheet name="Ballad of the Fjords" sheetId="412" state="hidden" r:id="rId281"/>
    <sheet name="Sacrificial Jade" sheetId="413" state="hidden" r:id="rId282"/>
    <sheet name="Scion of the Blazing Sun" sheetId="414" state="hidden" r:id="rId283"/>
    <sheet name="Finale of the Deep" sheetId="416" state="hidden" r:id="rId284"/>
    <sheet name="Tidal Shadow" sheetId="417" state="hidden" r:id="rId285"/>
    <sheet name="Rightful Reward" sheetId="418" state="hidden" r:id="rId286"/>
    <sheet name="Flowing Purity" sheetId="419" state="hidden" r:id="rId287"/>
    <sheet name="Song of Stillness" sheetId="420" state="hidden" r:id="rId288"/>
    <sheet name="The First Great Magic" sheetId="421" state="hidden" r:id="rId289"/>
    <sheet name="Crossing of Fleuve Cendre" sheetId="410" state="hidden" r:id="rId290"/>
    <sheet name="Tome of the Eternal Flow" sheetId="429" state="hidden" r:id="rId291"/>
    <sheet name="The Dockhand's Assistant" sheetId="426" state="hidden" r:id="rId292"/>
    <sheet name="Portable Power Saw" sheetId="427" state="hidden" r:id="rId293"/>
    <sheet name="Cashflow Supervision" sheetId="424" state="hidden" r:id="rId294"/>
    <sheet name="Ballad of the Boundless Blue" sheetId="425" state="hidden" r:id="rId295"/>
    <sheet name="Prospector’s Drill" sheetId="428" state="hidden" r:id="rId296"/>
    <sheet name="Range Gauge" sheetId="430" state="hidden" r:id="rId297"/>
    <sheet name="Splendor of Tranquil Waters" sheetId="434" state="hidden" r:id="rId298"/>
    <sheet name="Sword of Narzissenkreuz" sheetId="433" state="hidden" r:id="rId299"/>
    <sheet name="Verdict" sheetId="440" state="hidden" r:id="rId300"/>
    <sheet name="Ultimate Overlord’s Mega Magic" sheetId="442" state="hidden" r:id="rId301"/>
    <sheet name="Crane’s Echoing Call" sheetId="445" state="hidden" r:id="rId302"/>
    <sheet name="Uraku Misugiri" sheetId="447" state="hidden" r:id="rId303"/>
    <sheet name="Dialogues of the Desert Sages" sheetId="448" state="hidden" r:id="rId304"/>
    <sheet name="Crimson Moon’s Semblance" sheetId="450" state="hidden" r:id="rId305"/>
    <sheet name="Absolution" sheetId="456" state="hidden" r:id="rId306"/>
    <sheet name="Cloudweaver" sheetId="455" state="hidden" r:id="rId307"/>
    <sheet name="Pouring Heartstrings" sheetId="454" state="hidden" r:id="rId308"/>
    <sheet name="Lumidouce Elegy" sheetId="458" state="hidden" r:id="rId309"/>
    <sheet name="Flute of Ezpitzal" sheetId="462" state="hidden" r:id="rId310"/>
    <sheet name="Earth Shaker" sheetId="463" state="hidden" r:id="rId311"/>
    <sheet name="Footprint of the Rainbow" sheetId="464" state="hidden" r:id="rId312"/>
    <sheet name="Ring of Yaxche" sheetId="465" state="hidden" r:id="rId313"/>
    <sheet name="Chain Breaker" sheetId="466" state="hidden" r:id="rId314"/>
    <sheet name="Surf's Up" sheetId="467" state="hidden" r:id="rId315"/>
    <sheet name="Fang of the Mountain King" sheetId="468" state="hidden" r:id="rId316"/>
    <sheet name="Ash-Graven Drinking Horn" sheetId="469" state="hidden" r:id="rId317"/>
    <sheet name="Sturdy Bone" sheetId="472" state="hidden" r:id="rId318"/>
    <sheet name="Peak Patrol Song" sheetId="473" state="hidden" r:id="rId319"/>
    <sheet name="Mountain-Bracing Bolt" sheetId="475" state="hidden" r:id="rId320"/>
    <sheet name="Fruitful Hook" sheetId="474" state="hidden" r:id="rId321"/>
    <sheet name="Astral Vulture’s Crimson" sheetId="479" state="hidden" r:id="rId322"/>
    <sheet name="The Calamity of Eshu" sheetId="481" state="hidden" r:id="rId323"/>
    <sheet name="Waveriding Whirl" sheetId="482" state="hidden" r:id="rId324"/>
    <sheet name="Flower-Wreathed Feathers" sheetId="483" state="hidden" r:id="rId325"/>
    <sheet name="A Thousand Blazing Suns" sheetId="487" state="hidden" r:id="rId326"/>
    <sheet name="Starcaller’s Watch" sheetId="488" state="hidden" r:id="rId327"/>
    <sheet name="Sunny Morning Sleep-In" sheetId="490" state="hidden" r:id="rId328"/>
    <sheet name="Tamayuratei no Ohanashi" sheetId="491" state="hidden" r:id="rId329"/>
    <sheet name="Vivid Notions" sheetId="494" state="hidden" r:id="rId330"/>
    <sheet name="Symphonist of Scents" sheetId="497" state="hidden" r:id="rId331"/>
    <sheet name="Sequence of Solitude" sheetId="498" state="hidden" r:id="rId332"/>
    <sheet name="Azurelight" sheetId="501" state="hidden" r:id="rId333"/>
    <sheet name="Fractured Halo" sheetId="503" state="hidden" r:id="rId334"/>
    <sheet name="Flame-Forged Insight" sheetId="504" r:id="rId335"/>
    <sheet name="6.0 Forge Sword" sheetId="508" r:id="rId336"/>
    <sheet name="6.0 Forge Clayymore" sheetId="509" r:id="rId337"/>
    <sheet name="6.0 Forge Polearm" sheetId="510" r:id="rId338"/>
    <sheet name="6.0 Forge Catalyst" sheetId="511" r:id="rId339"/>
    <sheet name="6.0 Forge Bow" sheetId="512" r:id="rId340"/>
    <sheet name="City Sword" sheetId="513" r:id="rId341"/>
    <sheet name="6.0 Polearm" sheetId="514" r:id="rId342"/>
    <sheet name="6.0 Catalyst" sheetId="515" r:id="rId343"/>
    <sheet name="6.0 Event Catalyst" sheetId="516" r:id="rId344"/>
    <sheet name="Character Data Table" sheetId="8" r:id="rId345"/>
    <sheet name="Weapon Data Table" sheetId="10" r:id="rId346"/>
    <sheet name="Traveller Data Table" sheetId="369" state="hidden" r:id="rId347"/>
    <sheet name="Character Misc Tables" sheetId="3" state="hidden" r:id="rId348"/>
    <sheet name="Weapon Ascension Tables" sheetId="13" r:id="rId349"/>
    <sheet name="Weapon Ascension Mats" sheetId="12" r:id="rId350"/>
    <sheet name="Character Talent Mats" sheetId="354" r:id="rId351"/>
    <sheet name="Enemy Drops Table" sheetId="11" r:id="rId352"/>
  </sheets>
  <definedNames>
    <definedName name="_xlnm._FilterDatabase" localSheetId="44" hidden="1">Albedo!$A$1:$B$1</definedName>
    <definedName name="_xlnm._FilterDatabase" localSheetId="79" hidden="1">Alhaitham!$A$1:$B$1</definedName>
    <definedName name="_xlnm._FilterDatabase" localSheetId="59" hidden="1">Aloy!$A$1:$B$1</definedName>
    <definedName name="_xlnm._FilterDatabase" localSheetId="19" hidden="1">Amber!$A$1:$B$1</definedName>
    <definedName name="_xlnm._FilterDatabase" localSheetId="60" hidden="1">'Arataki Itto'!$A$1:$B$1</definedName>
    <definedName name="_xlnm._FilterDatabase" localSheetId="83" hidden="1">Baizhu!$A$1:$B$1</definedName>
    <definedName name="_xlnm._FilterDatabase" localSheetId="30" hidden="1">Barbara!$A$1:$B$1</definedName>
    <definedName name="_xlnm._FilterDatabase" localSheetId="23" hidden="1">Beidou!$A$1:$B$1</definedName>
    <definedName name="_xlnm._FilterDatabase" localSheetId="24" hidden="1">Bennett!$A$1:$B$1</definedName>
    <definedName name="_xlnm._FilterDatabase" localSheetId="344" hidden="1">'Character Data Table'!$B$2:$I$119</definedName>
    <definedName name="_xlnm._FilterDatabase" localSheetId="347" hidden="1">'Character Data Table'!$B$2:$I$135</definedName>
    <definedName name="_xlnm._FilterDatabase" localSheetId="9" hidden="1">'Character Progress Tracker'!$A$2:$AV$114</definedName>
    <definedName name="_xlnm._FilterDatabase" localSheetId="18" hidden="1">'Character Upgrade Template'!$A$1:$B$1</definedName>
    <definedName name="_xlnm._FilterDatabase" localSheetId="26" hidden="1">Chongyun!$A$1:$B$1</definedName>
    <definedName name="_xlnm._FilterDatabase" localSheetId="70" hidden="1">Collei!$A$1:$B$1</definedName>
    <definedName name="_xlnm._FilterDatabase" localSheetId="81" hidden="1">Dehya!$A$1:$B$1</definedName>
    <definedName name="_xlnm._FilterDatabase" localSheetId="28" hidden="1">Diluc!$A$1:$B$1</definedName>
    <definedName name="_xlnm._FilterDatabase" localSheetId="40" hidden="1">Diona!$A$1:$B$1</definedName>
    <definedName name="_xlnm._FilterDatabase" localSheetId="71" hidden="1">Dori!$A$1:$B$1</definedName>
    <definedName name="_xlnm._FilterDatabase" localSheetId="50" hidden="1">Eula!$A$1:$B$1</definedName>
    <definedName name="_xlnm._FilterDatabase" localSheetId="78" hidden="1">Faruzan!$A$1:$B$1</definedName>
    <definedName name="_xlnm._FilterDatabase" localSheetId="33" hidden="1">Fischl!$A$1:$B$1</definedName>
    <definedName name="_xlnm._FilterDatabase" localSheetId="45" hidden="1">Ganyu!$A$1:$B$1</definedName>
    <definedName name="_xlnm._FilterDatabase" localSheetId="61" hidden="1">Gorou!$A$1:$B$1</definedName>
    <definedName name="_xlnm._FilterDatabase" localSheetId="47" hidden="1">Hutao!$A$1:$B$1</definedName>
    <definedName name="_xlnm._FilterDatabase" localSheetId="27" hidden="1">Jean!$A$1:$B$1</definedName>
    <definedName name="_xlnm._FilterDatabase" localSheetId="51" hidden="1">'Kaedehara Kazuha'!$A$1:$B$1</definedName>
    <definedName name="_xlnm._FilterDatabase" localSheetId="29" hidden="1">Kaeya!$A$1:$B$1</definedName>
    <definedName name="_xlnm._FilterDatabase" localSheetId="52" hidden="1">'Kamisato Ayaka'!$A$1:$B$1</definedName>
    <definedName name="_xlnm._FilterDatabase" localSheetId="65" hidden="1">'Kamisato Ayato'!$A$1:$B$1</definedName>
    <definedName name="_xlnm._FilterDatabase" localSheetId="84" hidden="1">Kaveh!$A$1:$B$1</definedName>
    <definedName name="_xlnm._FilterDatabase" localSheetId="37" hidden="1">Keqing!$A$1:$B$1</definedName>
    <definedName name="_xlnm._FilterDatabase" localSheetId="85" hidden="1">Kirara!$A$1:$B$1</definedName>
    <definedName name="_xlnm._FilterDatabase" localSheetId="39" hidden="1">Klee!$A$1:$B$1</definedName>
    <definedName name="_xlnm._FilterDatabase" localSheetId="56" hidden="1">'Kujou Sara'!$A$1:$B$1</definedName>
    <definedName name="_xlnm._FilterDatabase" localSheetId="67" hidden="1">'Kuki Shinobu'!$A$1:$B$1</definedName>
    <definedName name="_xlnm._FilterDatabase" localSheetId="76" hidden="1">Layla!$A$1:$B$1</definedName>
    <definedName name="_xlnm._FilterDatabase" localSheetId="20" hidden="1">Lisa!$A$1:$B$1</definedName>
    <definedName name="_xlnm._FilterDatabase" localSheetId="82" hidden="1">Mika!$A$1:$B$1</definedName>
    <definedName name="_xlnm._FilterDatabase" localSheetId="36" hidden="1">Mona!$A$1:$B$1</definedName>
    <definedName name="_xlnm._FilterDatabase" localSheetId="75" hidden="1">Nahida!$A$1:$B$1</definedName>
    <definedName name="_xlnm._FilterDatabase" localSheetId="32" hidden="1">Ningguang!$A$1:$B$1</definedName>
    <definedName name="_xlnm._FilterDatabase" localSheetId="25" hidden="1">Noelle!$A$1:$B$1</definedName>
    <definedName name="_xlnm._FilterDatabase" localSheetId="1" hidden="1">Overview!$L$2:$P$38</definedName>
    <definedName name="_xlnm._FilterDatabase" localSheetId="35" hidden="1">Qiqi!$A$1:$B$1</definedName>
    <definedName name="_xlnm._FilterDatabase" localSheetId="55" hidden="1">'Raiden Shogun'!$A$1:$B$1</definedName>
    <definedName name="_xlnm._FilterDatabase" localSheetId="21" hidden="1">Razor!$A$1:$B$1</definedName>
    <definedName name="_xlnm._FilterDatabase" localSheetId="48" hidden="1">Rosaria!$A$1:$B$1</definedName>
    <definedName name="_xlnm._FilterDatabase" localSheetId="57" hidden="1">'Sangonomiya Kokomi'!$A$1:$B$1</definedName>
    <definedName name="_xlnm._FilterDatabase" localSheetId="54" hidden="1">Sayu!$A$1:$B$1</definedName>
    <definedName name="_xlnm._FilterDatabase" localSheetId="62" hidden="1">Shenhe!$A$1:$B$1</definedName>
    <definedName name="_xlnm._FilterDatabase" localSheetId="68" hidden="1">'Shikanoin Heizou'!$A$1:$B$1</definedName>
    <definedName name="_xlnm._FilterDatabase" localSheetId="34" hidden="1">Sucrose!$A$1:$B$1</definedName>
    <definedName name="_xlnm._FilterDatabase" localSheetId="41" hidden="1">Tartaglia!$A$1:$B$1</definedName>
    <definedName name="_xlnm._FilterDatabase" localSheetId="58" hidden="1">Thoma!$A$1:$B$1</definedName>
    <definedName name="_xlnm._FilterDatabase" localSheetId="69" hidden="1">Tighnari!$A$1:$B$1</definedName>
    <definedName name="_xlnm._FilterDatabase" localSheetId="12" hidden="1">'Traveller Anemo'!$A$1:$B$1</definedName>
    <definedName name="_xlnm._FilterDatabase" localSheetId="15" hidden="1">'Traveller Dendro'!$A$1:$B$1</definedName>
    <definedName name="_xlnm._FilterDatabase" localSheetId="14" hidden="1">'Traveller Electro'!$A$1:$B$1</definedName>
    <definedName name="_xlnm._FilterDatabase" localSheetId="13" hidden="1">'Traveller Geo'!$A$1:$B$1</definedName>
    <definedName name="_xlnm._FilterDatabase" localSheetId="16" hidden="1">'Traveller Hydro'!$A$1:$B$1</definedName>
    <definedName name="_xlnm._FilterDatabase" localSheetId="11" hidden="1">'Traveller Level'!$A$1:$B$1</definedName>
    <definedName name="_xlnm._FilterDatabase" localSheetId="17" hidden="1">'Traveller Pyro'!$A$1:$B$1</definedName>
    <definedName name="_xlnm._FilterDatabase" localSheetId="38" hidden="1">Venti!$A$1:$B$1</definedName>
    <definedName name="_xlnm._FilterDatabase" localSheetId="77" hidden="1">Wanderer!$A$1:$B$1</definedName>
    <definedName name="_xlnm._FilterDatabase" localSheetId="345" hidden="1">'Weapon Data Table'!$A$2:$G$234</definedName>
    <definedName name="_xlnm._FilterDatabase" localSheetId="10" hidden="1">'Weapon Progress Tracker'!$A$2:$T$213</definedName>
    <definedName name="_xlnm._FilterDatabase" localSheetId="22" hidden="1">Xiangling!$A$1:$B$1</definedName>
    <definedName name="_xlnm._FilterDatabase" localSheetId="46" hidden="1">Xiao!$A$1:$B$1</definedName>
    <definedName name="_xlnm._FilterDatabase" localSheetId="31" hidden="1">Xingqiu!$A$1:$B$1</definedName>
    <definedName name="_xlnm._FilterDatabase" localSheetId="42" hidden="1">Xinyan!$A$1:$B$1</definedName>
    <definedName name="_xlnm._FilterDatabase" localSheetId="64" hidden="1">'Yae Miko'!$A$1:$B$1</definedName>
    <definedName name="_xlnm._FilterDatabase" localSheetId="49" hidden="1">Yanfei!$A$1:$B$1</definedName>
    <definedName name="_xlnm._FilterDatabase" localSheetId="80" hidden="1">Yaoyao!$A$1:$B$1</definedName>
    <definedName name="_xlnm._FilterDatabase" localSheetId="66" hidden="1">Yelan!$A$1:$B$1</definedName>
    <definedName name="_xlnm._FilterDatabase" localSheetId="53" hidden="1">Yoimiya!$A$1:$B$1</definedName>
    <definedName name="_xlnm._FilterDatabase" localSheetId="63" hidden="1">Yunjin!$A$1:$B$1</definedName>
    <definedName name="_xlnm._FilterDatabase" localSheetId="43" hidden="1">Zhongli!$A$1:$B$1</definedName>
    <definedName name="_xleta.MAX" hidden="1" xlm="1">#NAME?</definedName>
    <definedName name="_xleta.VLOOKUP" hidden="1" xlm="1">#NAME?</definedName>
    <definedName name="Boss_Mob_Drops">'Enemy Drops Table'!$F$3:$G$9</definedName>
    <definedName name="Character_List">'Character Data Table'!$B$3:$I$107</definedName>
    <definedName name="Character_Materials_Totals">'Char Drop Materials Lookups'!$A$1:$C$54</definedName>
    <definedName name="Character_Name_List">'Character Data Table'!$B$3:$B$107</definedName>
    <definedName name="Character_Talent_Materials">'Character Talent Mats'!$A$3:$B$24</definedName>
    <definedName name="Common_Mob_Drops">'Enemy Drops Table'!$A$3:$D$18</definedName>
    <definedName name="_xlnm.Criteria" localSheetId="9">'Character Progress Tracker'!$AX$1</definedName>
    <definedName name="_xlnm.Criteria" localSheetId="10">'Weapon Progress Tracker'!$A$2:$T$2</definedName>
    <definedName name="Elite_Mob_Drops">'Enemy Drops Table'!$A$22:$D$47</definedName>
    <definedName name="Levelling_Materials">'Character Misc Tables'!$A$3:$E$10</definedName>
    <definedName name="Required_Ascension_Materials">'Character Misc Tables'!$G$15:$Q$21</definedName>
    <definedName name="Required_Talent_Materials">'Character Misc Tables'!$S$18:$AB$27</definedName>
    <definedName name="Traveller_List">'Traveller Data Table'!$A$2:$E$20</definedName>
    <definedName name="Traveller_Talent_Mob_Drops">'Traveller Lookups'!$H$2:$L$56</definedName>
    <definedName name="Weapon_1_star_expmora">'Weapon Ascension Tables'!$N$4:$R$9</definedName>
    <definedName name="Weapon_1_star_requirements">'Weapon Ascension Tables'!$A$13:$L$17</definedName>
    <definedName name="Weapon_2_star_expmora">'Weapon Ascension Tables'!$N$21:$R$26</definedName>
    <definedName name="Weapon_2_star_requirements">'Weapon Ascension Tables'!$A$31:$L$35</definedName>
    <definedName name="Weapon_3_star_expmora">'Weapon Ascension Tables'!$N$39:$R$46</definedName>
    <definedName name="Weapon_3_star_requirements">'Weapon Ascension Tables'!$A$51:$L$57</definedName>
    <definedName name="Weapon_4_star_expmora">'Weapon Ascension Tables'!$N$61:$R$68</definedName>
    <definedName name="Weapon_4_star_requirements">'Weapon Ascension Tables'!$A$73:$L$79</definedName>
    <definedName name="Weapon_5_star_expmora">'Weapon Ascension Tables'!$N$83:$R$90</definedName>
    <definedName name="Weapon_5_star_requirements">'Weapon Ascension Tables'!$A$95:$L$101</definedName>
    <definedName name="Weapon_Ascension_High_Rarity">'Weapon Ascension Tables'!$A$40:$A$46</definedName>
    <definedName name="Weapon_Ascension_Low_Rarity">'Weapon Ascension Tables'!$A$4:$A$8</definedName>
    <definedName name="Weapon_Ascension_Materials">'Weapon Ascension Mats'!$A$3:$E$24</definedName>
    <definedName name="Weapon_Common_Materials_Totals">'Wep Drop Materials Lookups'!$B$1:$D$54</definedName>
    <definedName name="Weapon_Elite_Materials_Totals">'Wep Drop Materials Lookups'!$B$56:$D$130</definedName>
    <definedName name="Weapon_Levels_High_Rarity">'Weapon Ascension Tables'!$N$39:$N$46</definedName>
    <definedName name="Weapon_Levels_Low_Rarity">'Weapon Ascension Tables'!$N$4:$N$9</definedName>
    <definedName name="Weapon_List">'Weapon Data Table'!$B$3:$G$222</definedName>
    <definedName name="Weapon_Name_List">'Weapon Data Table'!$B$3:$B$222</definedName>
    <definedName name="Weekly_Boss_Mats">'Character Talent Mats'!$D$3:$E$39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6" i="6" l="1"/>
  <c r="N85" i="6"/>
  <c r="Q85" i="6" s="1"/>
  <c r="N84" i="6"/>
  <c r="Q84" i="6" s="1"/>
  <c r="N83" i="6"/>
  <c r="Q83" i="6" s="1"/>
  <c r="N82" i="6"/>
  <c r="Q81" i="6"/>
  <c r="N81" i="6"/>
  <c r="N80" i="6"/>
  <c r="Q80" i="6" s="1"/>
  <c r="Q79" i="6"/>
  <c r="P79" i="6"/>
  <c r="N79" i="6"/>
  <c r="N78" i="6"/>
  <c r="N77" i="6"/>
  <c r="Q77" i="6" s="1"/>
  <c r="N76" i="6"/>
  <c r="N75" i="6"/>
  <c r="Q75" i="6" s="1"/>
  <c r="D11" i="375"/>
  <c r="D10" i="375"/>
  <c r="D8" i="375"/>
  <c r="D7" i="375"/>
  <c r="D5" i="375"/>
  <c r="D4" i="375"/>
  <c r="D3" i="375"/>
  <c r="G20" i="6" a="1"/>
  <c r="G61" i="6" a="1"/>
  <c r="G58" i="6" a="1"/>
  <c r="G43" i="6" a="1"/>
  <c r="G44" i="6" a="1"/>
  <c r="G55" i="6" a="1"/>
  <c r="G40" i="6" a="1"/>
  <c r="G51" i="6" a="1"/>
  <c r="G23" i="6" a="1"/>
  <c r="G65" i="6" a="1"/>
  <c r="G59" i="6" a="1"/>
  <c r="G53" i="6" a="1"/>
  <c r="G27" i="6" a="1"/>
  <c r="G5" i="6" a="1"/>
  <c r="G29" i="6" a="1"/>
  <c r="G31" i="6" a="1"/>
  <c r="G48" i="6" a="1"/>
  <c r="G21" i="6" a="1"/>
  <c r="G22" i="6" a="1"/>
  <c r="G15" i="6" a="1"/>
  <c r="G26" i="6" a="1"/>
  <c r="G6" i="6" a="1"/>
  <c r="G46" i="6" a="1"/>
  <c r="G34" i="6" a="1"/>
  <c r="G13" i="6" a="1"/>
  <c r="G7" i="6" a="1"/>
  <c r="G56" i="6" a="1"/>
  <c r="G39" i="6" a="1"/>
  <c r="G17" i="6" a="1"/>
  <c r="G64" i="6" a="1"/>
  <c r="G63" i="6" a="1"/>
  <c r="G33" i="6" a="1"/>
  <c r="G62" i="6" a="1"/>
  <c r="G50" i="6" a="1"/>
  <c r="G4" i="6" a="1"/>
  <c r="G9" i="6" a="1"/>
  <c r="G8" i="6" a="1"/>
  <c r="G19" i="6" a="1"/>
  <c r="G12" i="6" a="1"/>
  <c r="G38" i="6" a="1"/>
  <c r="G45" i="6" a="1"/>
  <c r="G52" i="6" a="1"/>
  <c r="G14" i="6" a="1"/>
  <c r="G35" i="6" a="1"/>
  <c r="G57" i="6" a="1"/>
  <c r="G16" i="6" a="1"/>
  <c r="G30" i="6" a="1"/>
  <c r="G36" i="6" a="1"/>
  <c r="G42" i="6" a="1"/>
  <c r="G41" i="6" a="1"/>
  <c r="G11" i="6" a="1"/>
  <c r="G32" i="6" a="1"/>
  <c r="G54" i="6" a="1"/>
  <c r="G47" i="6" a="1"/>
  <c r="G28" i="6" a="1"/>
  <c r="G60" i="6" a="1"/>
  <c r="G18" i="6" a="1"/>
  <c r="G3" i="6" a="1"/>
  <c r="G10" i="6" a="1"/>
  <c r="G24" i="6" a="1"/>
  <c r="G37" i="6" a="1"/>
  <c r="G49" i="6" a="1"/>
  <c r="G25" i="6" a="1"/>
  <c r="P80" i="6" l="1"/>
  <c r="P81" i="6" s="1"/>
  <c r="P82" i="6" s="1"/>
  <c r="P75" i="6"/>
  <c r="P76" i="6" s="1"/>
  <c r="P77" i="6" s="1"/>
  <c r="P78" i="6" s="1"/>
  <c r="Q76" i="6"/>
  <c r="P83" i="6"/>
  <c r="P84" i="6" s="1"/>
  <c r="P85" i="6" s="1"/>
  <c r="P86" i="6" s="1"/>
  <c r="G63" i="6"/>
  <c r="G62" i="6"/>
  <c r="G58" i="6"/>
  <c r="G64" i="6"/>
  <c r="G61" i="6"/>
  <c r="G57" i="6"/>
  <c r="G65" i="6"/>
  <c r="G60" i="6"/>
  <c r="G59" i="6"/>
  <c r="G35" i="6"/>
  <c r="G17" i="6"/>
  <c r="G27" i="6"/>
  <c r="G51" i="6"/>
  <c r="G15" i="6"/>
  <c r="G38" i="6"/>
  <c r="G29" i="6"/>
  <c r="G30" i="6"/>
  <c r="G52" i="6"/>
  <c r="G14" i="6"/>
  <c r="G16" i="6"/>
  <c r="G50" i="6"/>
  <c r="G41" i="6"/>
  <c r="G24" i="6"/>
  <c r="G49" i="6"/>
  <c r="G7" i="6"/>
  <c r="G9" i="6"/>
  <c r="G42" i="6"/>
  <c r="G46" i="6"/>
  <c r="G48" i="6"/>
  <c r="G28" i="6"/>
  <c r="G40" i="6"/>
  <c r="G19" i="6"/>
  <c r="G20" i="6"/>
  <c r="G31" i="6"/>
  <c r="G53" i="6"/>
  <c r="G26" i="6"/>
  <c r="G6" i="6"/>
  <c r="G18" i="6"/>
  <c r="G8" i="6"/>
  <c r="G21" i="6"/>
  <c r="G43" i="6"/>
  <c r="G37" i="6"/>
  <c r="G39" i="6"/>
  <c r="G10" i="6"/>
  <c r="G32" i="6"/>
  <c r="G54" i="6"/>
  <c r="G25" i="6"/>
  <c r="G36" i="6"/>
  <c r="G47" i="6"/>
  <c r="G22" i="6"/>
  <c r="G44" i="6"/>
  <c r="G23" i="6"/>
  <c r="G45" i="6"/>
  <c r="G13" i="6"/>
  <c r="G11" i="6"/>
  <c r="G33" i="6"/>
  <c r="G55" i="6"/>
  <c r="G12" i="6"/>
  <c r="G34" i="6"/>
  <c r="G56" i="6"/>
  <c r="G5" i="6"/>
  <c r="G4" i="6"/>
  <c r="G3" i="6"/>
  <c r="B111" i="353"/>
  <c r="C111" i="353"/>
  <c r="D111" i="353"/>
  <c r="B112" i="353"/>
  <c r="C112" i="353"/>
  <c r="D112" i="353"/>
  <c r="B113" i="353"/>
  <c r="C113" i="353"/>
  <c r="D113" i="353"/>
  <c r="L18" i="470"/>
  <c r="L17" i="470"/>
  <c r="K17" i="470"/>
  <c r="L16" i="470"/>
  <c r="K16" i="470"/>
  <c r="L15" i="470"/>
  <c r="K15" i="470"/>
  <c r="L14" i="470"/>
  <c r="K14" i="470"/>
  <c r="L13" i="470"/>
  <c r="K13" i="470"/>
  <c r="L12" i="470"/>
  <c r="K12" i="470"/>
  <c r="L11" i="470"/>
  <c r="K11" i="470"/>
  <c r="L10" i="470"/>
  <c r="K10" i="470"/>
  <c r="L9" i="470"/>
  <c r="K9" i="470"/>
  <c r="L8" i="470"/>
  <c r="K8" i="470"/>
  <c r="L7" i="470"/>
  <c r="L6" i="470"/>
  <c r="L5" i="470"/>
  <c r="L4" i="470"/>
  <c r="L18" i="409"/>
  <c r="L17" i="409"/>
  <c r="K17" i="409"/>
  <c r="L16" i="409"/>
  <c r="K16" i="409"/>
  <c r="L15" i="409"/>
  <c r="K15" i="409"/>
  <c r="L14" i="409"/>
  <c r="K14" i="409"/>
  <c r="L13" i="409"/>
  <c r="K13" i="409"/>
  <c r="L12" i="409"/>
  <c r="K12" i="409"/>
  <c r="L11" i="409"/>
  <c r="K11" i="409"/>
  <c r="L10" i="409"/>
  <c r="K10" i="409"/>
  <c r="L9" i="409"/>
  <c r="K9" i="409"/>
  <c r="L8" i="409"/>
  <c r="K8" i="409"/>
  <c r="L7" i="409"/>
  <c r="L6" i="409"/>
  <c r="L5" i="409"/>
  <c r="L4" i="409"/>
  <c r="L18" i="374"/>
  <c r="L17" i="374"/>
  <c r="K17" i="374"/>
  <c r="L16" i="374"/>
  <c r="K16" i="374"/>
  <c r="L15" i="374"/>
  <c r="K15" i="374"/>
  <c r="L14" i="374"/>
  <c r="K14" i="374"/>
  <c r="L13" i="374"/>
  <c r="K13" i="374"/>
  <c r="L12" i="374"/>
  <c r="K12" i="374"/>
  <c r="L11" i="374"/>
  <c r="K11" i="374"/>
  <c r="L10" i="374"/>
  <c r="K10" i="374"/>
  <c r="L9" i="374"/>
  <c r="K9" i="374"/>
  <c r="L8" i="374"/>
  <c r="K8" i="374"/>
  <c r="L7" i="374"/>
  <c r="L6" i="374"/>
  <c r="L5" i="374"/>
  <c r="L4" i="374"/>
  <c r="L18" i="373"/>
  <c r="L17" i="373"/>
  <c r="K17" i="373"/>
  <c r="L16" i="373"/>
  <c r="K16" i="373"/>
  <c r="L15" i="373"/>
  <c r="K15" i="373"/>
  <c r="L14" i="373"/>
  <c r="K14" i="373"/>
  <c r="L13" i="373"/>
  <c r="K13" i="373"/>
  <c r="L12" i="373"/>
  <c r="K12" i="373"/>
  <c r="L11" i="373"/>
  <c r="K11" i="373"/>
  <c r="L10" i="373"/>
  <c r="K10" i="373"/>
  <c r="L9" i="373"/>
  <c r="K9" i="373"/>
  <c r="L8" i="373"/>
  <c r="K8" i="373"/>
  <c r="L7" i="373"/>
  <c r="L6" i="373"/>
  <c r="L5" i="373"/>
  <c r="L4" i="373"/>
  <c r="L18" i="372"/>
  <c r="L17" i="372"/>
  <c r="K17" i="372"/>
  <c r="L16" i="372"/>
  <c r="K16" i="372"/>
  <c r="L15" i="372"/>
  <c r="K15" i="372"/>
  <c r="L14" i="372"/>
  <c r="K14" i="372"/>
  <c r="L13" i="372"/>
  <c r="K13" i="372"/>
  <c r="L12" i="372"/>
  <c r="K12" i="372"/>
  <c r="L11" i="372"/>
  <c r="K11" i="372"/>
  <c r="L10" i="372"/>
  <c r="K10" i="372"/>
  <c r="L9" i="372"/>
  <c r="K9" i="372"/>
  <c r="L8" i="372"/>
  <c r="K8" i="372"/>
  <c r="L7" i="372"/>
  <c r="L6" i="372"/>
  <c r="L5" i="372"/>
  <c r="L4" i="372"/>
  <c r="AE111" i="353" a="1"/>
  <c r="AA112" i="353" a="1"/>
  <c r="I113" i="353" a="1"/>
  <c r="M111" i="353" a="1"/>
  <c r="T113" i="353" a="1"/>
  <c r="W111" i="353" a="1"/>
  <c r="AT113" i="353" a="1"/>
  <c r="V113" i="353" a="1"/>
  <c r="E111" i="353" a="1"/>
  <c r="O111" i="353" a="1"/>
  <c r="AQ111" i="353" a="1"/>
  <c r="AG111" i="353" a="1"/>
  <c r="N112" i="353" a="1"/>
  <c r="AH111" i="353" a="1"/>
  <c r="G113" i="353" a="1"/>
  <c r="AA111" i="353" a="1"/>
  <c r="Q112" i="353" a="1"/>
  <c r="Y113" i="353" a="1"/>
  <c r="W112" i="353" a="1"/>
  <c r="AN112" i="353" a="1"/>
  <c r="AL113" i="353" a="1"/>
  <c r="X111" i="353" a="1"/>
  <c r="AV113" i="353" a="1"/>
  <c r="AJ111" i="353" a="1"/>
  <c r="AO111" i="353" a="1"/>
  <c r="AF112" i="353" a="1"/>
  <c r="K112" i="353" a="1"/>
  <c r="AB111" i="353" a="1"/>
  <c r="T112" i="353" a="1"/>
  <c r="AK113" i="353" a="1"/>
  <c r="AK111" i="353" a="1"/>
  <c r="AP111" i="353" a="1"/>
  <c r="R113" i="353" a="1"/>
  <c r="AL111" i="353" a="1"/>
  <c r="AT111" i="353" a="1"/>
  <c r="M113" i="353" a="1"/>
  <c r="AL112" i="353" a="1"/>
  <c r="H113" i="353" a="1"/>
  <c r="AR111" i="353" a="1"/>
  <c r="Q111" i="353" a="1"/>
  <c r="AA113" i="353" a="1"/>
  <c r="N111" i="353" a="1"/>
  <c r="N113" i="353" a="1"/>
  <c r="Z111" i="353" a="1"/>
  <c r="AF111" i="353" a="1"/>
  <c r="O112" i="353" a="1"/>
  <c r="R111" i="353" a="1"/>
  <c r="AD111" i="353" a="1"/>
  <c r="Q113" i="353" a="1"/>
  <c r="W113" i="353" a="1"/>
  <c r="E113" i="353" a="1"/>
  <c r="AI111" i="353" a="1"/>
  <c r="AG112" i="353" a="1"/>
  <c r="X113" i="353" a="1"/>
  <c r="AO113" i="353" a="1"/>
  <c r="U113" i="353" a="1"/>
  <c r="AD112" i="353" a="1"/>
  <c r="K111" i="353" a="1"/>
  <c r="AS113" i="353" a="1"/>
  <c r="AP112" i="353" a="1"/>
  <c r="I111" i="353" a="1"/>
  <c r="AU112" i="353" a="1"/>
  <c r="AJ112" i="353" a="1"/>
  <c r="AN111" i="353" a="1"/>
  <c r="AE113" i="353" a="1"/>
  <c r="AF113" i="353" a="1"/>
  <c r="H112" i="353" a="1"/>
  <c r="AU113" i="353" a="1"/>
  <c r="I112" i="353" a="1"/>
  <c r="C7" i="6" a="1"/>
  <c r="J111" i="353" a="1"/>
  <c r="X112" i="353" a="1"/>
  <c r="J112" i="353" a="1"/>
  <c r="AV111" i="353" a="1"/>
  <c r="AI113" i="353" a="1"/>
  <c r="G111" i="353" a="1"/>
  <c r="Y111" i="353" a="1"/>
  <c r="AS111" i="353" a="1"/>
  <c r="F113" i="353" a="1"/>
  <c r="AQ113" i="353" a="1"/>
  <c r="U112" i="353" a="1"/>
  <c r="U111" i="353" a="1"/>
  <c r="O113" i="353" a="1"/>
  <c r="AK112" i="353" a="1"/>
  <c r="Z112" i="353" a="1"/>
  <c r="V112" i="353" a="1"/>
  <c r="K113" i="353" a="1"/>
  <c r="AO112" i="353" a="1"/>
  <c r="AT112" i="353" a="1"/>
  <c r="P112" i="353" a="1"/>
  <c r="G112" i="353" a="1"/>
  <c r="Z113" i="353" a="1"/>
  <c r="AR113" i="353" a="1"/>
  <c r="AP113" i="353" a="1"/>
  <c r="F111" i="353" a="1"/>
  <c r="F112" i="353" a="1"/>
  <c r="E112" i="353" a="1"/>
  <c r="AN113" i="353" a="1"/>
  <c r="AV112" i="353" a="1"/>
  <c r="Y112" i="353" a="1"/>
  <c r="P111" i="353" a="1"/>
  <c r="AE112" i="353" a="1"/>
  <c r="R112" i="353" a="1"/>
  <c r="AU111" i="353" a="1"/>
  <c r="AI112" i="353" a="1"/>
  <c r="AS112" i="353" a="1"/>
  <c r="AR112" i="353" a="1"/>
  <c r="AB113" i="353" a="1"/>
  <c r="M112" i="353" a="1"/>
  <c r="AG113" i="353" a="1"/>
  <c r="AQ112" i="353" a="1"/>
  <c r="AH112" i="353" a="1"/>
  <c r="H111" i="353" a="1"/>
  <c r="AD113" i="353" a="1"/>
  <c r="T111" i="353" a="1"/>
  <c r="J113" i="353" a="1"/>
  <c r="P113" i="353" a="1"/>
  <c r="AB112" i="353" a="1"/>
  <c r="AJ113" i="353" a="1"/>
  <c r="V111" i="353" a="1"/>
  <c r="AH113" i="353" a="1"/>
  <c r="J60" i="6" l="1"/>
  <c r="I60" i="6"/>
  <c r="I61" i="6" s="1"/>
  <c r="I62" i="6" s="1"/>
  <c r="J57" i="6"/>
  <c r="I57" i="6"/>
  <c r="I58" i="6" s="1"/>
  <c r="I59" i="6" s="1"/>
  <c r="J61" i="6"/>
  <c r="J64" i="6"/>
  <c r="J58" i="6"/>
  <c r="J63" i="6"/>
  <c r="I63" i="6"/>
  <c r="I64" i="6" s="1"/>
  <c r="I65" i="6" s="1"/>
  <c r="AG113" i="353"/>
  <c r="AE113" i="353"/>
  <c r="H113" i="353"/>
  <c r="AK111" i="353"/>
  <c r="Y111" i="353"/>
  <c r="M111" i="353"/>
  <c r="AN112" i="353"/>
  <c r="AA112" i="353"/>
  <c r="O112" i="353"/>
  <c r="AP113" i="353"/>
  <c r="AD113" i="353"/>
  <c r="Q113" i="353"/>
  <c r="E113" i="353"/>
  <c r="AV111" i="353"/>
  <c r="AJ111" i="353"/>
  <c r="X111" i="353"/>
  <c r="K111" i="353"/>
  <c r="Q112" i="353"/>
  <c r="AU111" i="353"/>
  <c r="AI111" i="353"/>
  <c r="W111" i="353"/>
  <c r="J111" i="353"/>
  <c r="AK112" i="353"/>
  <c r="Y112" i="353"/>
  <c r="M112" i="353"/>
  <c r="AN113" i="353"/>
  <c r="AA113" i="353"/>
  <c r="O113" i="353"/>
  <c r="AT111" i="353"/>
  <c r="AH111" i="353"/>
  <c r="V111" i="353"/>
  <c r="I111" i="353"/>
  <c r="U113" i="353"/>
  <c r="T113" i="353"/>
  <c r="AO112" i="353"/>
  <c r="F113" i="353"/>
  <c r="AU112" i="353"/>
  <c r="AS113" i="353"/>
  <c r="AP112" i="353"/>
  <c r="AL111" i="353"/>
  <c r="AB112" i="353"/>
  <c r="AQ113" i="353"/>
  <c r="AL112" i="353"/>
  <c r="AB113" i="353"/>
  <c r="X112" i="353"/>
  <c r="N113" i="353"/>
  <c r="AS111" i="353"/>
  <c r="H111" i="353"/>
  <c r="W112" i="353"/>
  <c r="AK113" i="353"/>
  <c r="Y113" i="353"/>
  <c r="M113" i="353"/>
  <c r="AR111" i="353"/>
  <c r="AF111" i="353"/>
  <c r="T111" i="353"/>
  <c r="G111" i="353"/>
  <c r="AD112" i="353"/>
  <c r="G113" i="353"/>
  <c r="K112" i="353"/>
  <c r="AL113" i="353"/>
  <c r="AG111" i="353"/>
  <c r="AI112" i="353"/>
  <c r="AT112" i="353"/>
  <c r="AH112" i="353"/>
  <c r="V112" i="353"/>
  <c r="I112" i="353"/>
  <c r="Z112" i="353"/>
  <c r="Z113" i="353"/>
  <c r="U111" i="353"/>
  <c r="J112" i="353"/>
  <c r="AV113" i="353"/>
  <c r="AJ113" i="353"/>
  <c r="X113" i="353"/>
  <c r="K113" i="353"/>
  <c r="AQ111" i="353"/>
  <c r="AE111" i="353"/>
  <c r="R111" i="353"/>
  <c r="F111" i="353"/>
  <c r="O111" i="353"/>
  <c r="AF113" i="353"/>
  <c r="AV112" i="353"/>
  <c r="U112" i="353"/>
  <c r="H112" i="353"/>
  <c r="AR113" i="353"/>
  <c r="AP111" i="353"/>
  <c r="E111" i="353"/>
  <c r="Z111" i="353"/>
  <c r="AA111" i="353"/>
  <c r="E112" i="353"/>
  <c r="P112" i="353"/>
  <c r="R113" i="353"/>
  <c r="N112" i="353"/>
  <c r="AO113" i="353"/>
  <c r="AS112" i="353"/>
  <c r="AI113" i="353"/>
  <c r="J113" i="353"/>
  <c r="Q111" i="353"/>
  <c r="AR112" i="353"/>
  <c r="AF112" i="353"/>
  <c r="G112" i="353"/>
  <c r="AT113" i="353"/>
  <c r="AH113" i="353"/>
  <c r="V113" i="353"/>
  <c r="I113" i="353"/>
  <c r="AO111" i="353"/>
  <c r="AB111" i="353"/>
  <c r="P111" i="353"/>
  <c r="AN111" i="353"/>
  <c r="N111" i="353"/>
  <c r="P113" i="353"/>
  <c r="AJ112" i="353"/>
  <c r="AG112" i="353"/>
  <c r="AU113" i="353"/>
  <c r="W113" i="353"/>
  <c r="AD111" i="353"/>
  <c r="T112" i="353"/>
  <c r="AQ112" i="353"/>
  <c r="AE112" i="353"/>
  <c r="R112" i="353"/>
  <c r="F112" i="353"/>
  <c r="C7" i="6"/>
  <c r="B21" i="516" l="1"/>
  <c r="B20" i="516"/>
  <c r="F14" i="516" s="1"/>
  <c r="B19" i="516"/>
  <c r="F13" i="516" s="1"/>
  <c r="B18" i="516"/>
  <c r="F12" i="516" s="1"/>
  <c r="B17" i="516"/>
  <c r="F11" i="516" s="1"/>
  <c r="B16" i="516"/>
  <c r="F10" i="516" s="1"/>
  <c r="B15" i="516"/>
  <c r="B14" i="516"/>
  <c r="B13" i="516"/>
  <c r="B12" i="516"/>
  <c r="B21" i="515"/>
  <c r="F15" i="515" s="1"/>
  <c r="B20" i="515"/>
  <c r="F14" i="515" s="1"/>
  <c r="B19" i="515"/>
  <c r="F13" i="515" s="1"/>
  <c r="B18" i="515"/>
  <c r="F12" i="515" s="1"/>
  <c r="B17" i="515"/>
  <c r="F11" i="515" s="1"/>
  <c r="B16" i="515"/>
  <c r="F10" i="515" s="1"/>
  <c r="B15" i="515"/>
  <c r="F9" i="515" s="1"/>
  <c r="B14" i="515"/>
  <c r="F8" i="515" s="1"/>
  <c r="B13" i="515"/>
  <c r="F7" i="515" s="1"/>
  <c r="B12" i="515"/>
  <c r="F6" i="515" s="1"/>
  <c r="B21" i="514"/>
  <c r="F15" i="514" s="1"/>
  <c r="B20" i="514"/>
  <c r="F14" i="514" s="1"/>
  <c r="B19" i="514"/>
  <c r="F13" i="514" s="1"/>
  <c r="B18" i="514"/>
  <c r="F12" i="514" s="1"/>
  <c r="B17" i="514"/>
  <c r="F11" i="514" s="1"/>
  <c r="B16" i="514"/>
  <c r="F10" i="514" s="1"/>
  <c r="B15" i="514"/>
  <c r="F9" i="514" s="1"/>
  <c r="B14" i="514"/>
  <c r="F8" i="514" s="1"/>
  <c r="B13" i="514"/>
  <c r="F7" i="514" s="1"/>
  <c r="B12" i="514"/>
  <c r="F6" i="514" s="1"/>
  <c r="B21" i="513"/>
  <c r="F15" i="513" s="1"/>
  <c r="B20" i="513"/>
  <c r="B19" i="513"/>
  <c r="F13" i="513" s="1"/>
  <c r="B18" i="513"/>
  <c r="F12" i="513" s="1"/>
  <c r="B17" i="513"/>
  <c r="F11" i="513" s="1"/>
  <c r="B16" i="513"/>
  <c r="F10" i="513" s="1"/>
  <c r="B15" i="513"/>
  <c r="F9" i="513" s="1"/>
  <c r="B14" i="513"/>
  <c r="F8" i="513" s="1"/>
  <c r="B13" i="513"/>
  <c r="F7" i="513" s="1"/>
  <c r="B12" i="513"/>
  <c r="F6" i="513" s="1"/>
  <c r="B21" i="512"/>
  <c r="F15" i="512" s="1"/>
  <c r="B20" i="512"/>
  <c r="F14" i="512" s="1"/>
  <c r="B19" i="512"/>
  <c r="F13" i="512" s="1"/>
  <c r="B18" i="512"/>
  <c r="F12" i="512" s="1"/>
  <c r="B17" i="512"/>
  <c r="F11" i="512" s="1"/>
  <c r="B16" i="512"/>
  <c r="F10" i="512" s="1"/>
  <c r="B15" i="512"/>
  <c r="F9" i="512" s="1"/>
  <c r="B14" i="512"/>
  <c r="F8" i="512" s="1"/>
  <c r="B13" i="512"/>
  <c r="F7" i="512" s="1"/>
  <c r="B12" i="512"/>
  <c r="F6" i="512" s="1"/>
  <c r="B21" i="511"/>
  <c r="F15" i="511" s="1"/>
  <c r="B20" i="511"/>
  <c r="F14" i="511" s="1"/>
  <c r="B19" i="511"/>
  <c r="F13" i="511" s="1"/>
  <c r="B18" i="511"/>
  <c r="F12" i="511" s="1"/>
  <c r="B17" i="511"/>
  <c r="F11" i="511" s="1"/>
  <c r="B16" i="511"/>
  <c r="F10" i="511" s="1"/>
  <c r="B15" i="511"/>
  <c r="F9" i="511" s="1"/>
  <c r="B14" i="511"/>
  <c r="F8" i="511" s="1"/>
  <c r="B13" i="511"/>
  <c r="F7" i="511" s="1"/>
  <c r="B12" i="511"/>
  <c r="F6" i="511" s="1"/>
  <c r="B21" i="510"/>
  <c r="F15" i="510" s="1"/>
  <c r="B20" i="510"/>
  <c r="F14" i="510" s="1"/>
  <c r="B19" i="510"/>
  <c r="F13" i="510" s="1"/>
  <c r="B18" i="510"/>
  <c r="F12" i="510" s="1"/>
  <c r="B17" i="510"/>
  <c r="F11" i="510" s="1"/>
  <c r="B16" i="510"/>
  <c r="F10" i="510" s="1"/>
  <c r="B15" i="510"/>
  <c r="F9" i="510" s="1"/>
  <c r="B14" i="510"/>
  <c r="F8" i="510" s="1"/>
  <c r="B13" i="510"/>
  <c r="F7" i="510" s="1"/>
  <c r="B12" i="510"/>
  <c r="F6" i="510" s="1"/>
  <c r="B21" i="509"/>
  <c r="F15" i="509" s="1"/>
  <c r="B20" i="509"/>
  <c r="F14" i="509" s="1"/>
  <c r="B19" i="509"/>
  <c r="F13" i="509" s="1"/>
  <c r="B18" i="509"/>
  <c r="F12" i="509" s="1"/>
  <c r="B17" i="509"/>
  <c r="F11" i="509" s="1"/>
  <c r="B16" i="509"/>
  <c r="F10" i="509" s="1"/>
  <c r="B15" i="509"/>
  <c r="F9" i="509" s="1"/>
  <c r="B14" i="509"/>
  <c r="F8" i="509" s="1"/>
  <c r="B13" i="509"/>
  <c r="F7" i="509" s="1"/>
  <c r="B12" i="509"/>
  <c r="F6" i="509" s="1"/>
  <c r="B21" i="508"/>
  <c r="F15" i="508" s="1"/>
  <c r="B20" i="508"/>
  <c r="F14" i="508" s="1"/>
  <c r="B19" i="508"/>
  <c r="F13" i="508" s="1"/>
  <c r="B18" i="508"/>
  <c r="F12" i="508" s="1"/>
  <c r="B17" i="508"/>
  <c r="F11" i="508" s="1"/>
  <c r="B16" i="508"/>
  <c r="F10" i="508" s="1"/>
  <c r="B15" i="508"/>
  <c r="F9" i="508" s="1"/>
  <c r="B14" i="508"/>
  <c r="F8" i="508" s="1"/>
  <c r="B13" i="508"/>
  <c r="F7" i="508" s="1"/>
  <c r="B12" i="508"/>
  <c r="F6" i="508" s="1"/>
  <c r="B21" i="504"/>
  <c r="F15" i="504" s="1"/>
  <c r="B20" i="504"/>
  <c r="F14" i="504" s="1"/>
  <c r="B19" i="504"/>
  <c r="F13" i="504" s="1"/>
  <c r="B18" i="504"/>
  <c r="F12" i="504" s="1"/>
  <c r="B17" i="504"/>
  <c r="F11" i="504" s="1"/>
  <c r="B16" i="504"/>
  <c r="F10" i="504" s="1"/>
  <c r="B15" i="504"/>
  <c r="B14" i="504"/>
  <c r="B13" i="504"/>
  <c r="F7" i="504" s="1"/>
  <c r="B12" i="504"/>
  <c r="F6" i="504" s="1"/>
  <c r="F15" i="516"/>
  <c r="F9" i="516"/>
  <c r="F8" i="516"/>
  <c r="F6" i="516"/>
  <c r="F7" i="516"/>
  <c r="F14" i="513"/>
  <c r="E39" i="507"/>
  <c r="E38" i="507"/>
  <c r="E37" i="507"/>
  <c r="E35" i="507"/>
  <c r="E34" i="507"/>
  <c r="E33" i="507"/>
  <c r="E32" i="507"/>
  <c r="E26" i="507"/>
  <c r="E25" i="507"/>
  <c r="E24" i="507"/>
  <c r="E22" i="507"/>
  <c r="E21" i="507"/>
  <c r="E20" i="507"/>
  <c r="B20" i="507"/>
  <c r="I14" i="507" s="1"/>
  <c r="E19" i="507"/>
  <c r="B19" i="507"/>
  <c r="I13" i="507" s="1"/>
  <c r="B18" i="507"/>
  <c r="I12" i="507" s="1"/>
  <c r="B17" i="507"/>
  <c r="I11" i="507" s="1"/>
  <c r="B16" i="507"/>
  <c r="I10" i="507" s="1"/>
  <c r="B15" i="507"/>
  <c r="I9" i="507" s="1"/>
  <c r="B14" i="507"/>
  <c r="I8" i="507" s="1"/>
  <c r="E13" i="507"/>
  <c r="B13" i="507"/>
  <c r="I7" i="507" s="1"/>
  <c r="E12" i="507"/>
  <c r="B12" i="507"/>
  <c r="I6" i="507" s="1"/>
  <c r="E11" i="507"/>
  <c r="E9" i="507"/>
  <c r="I18" i="507" s="1"/>
  <c r="E8" i="507"/>
  <c r="I17" i="507" s="1"/>
  <c r="E7" i="507"/>
  <c r="I16" i="507" s="1"/>
  <c r="E6" i="507"/>
  <c r="I15" i="507" s="1"/>
  <c r="E39" i="506"/>
  <c r="E38" i="506"/>
  <c r="E37" i="506"/>
  <c r="E35" i="506"/>
  <c r="E34" i="506"/>
  <c r="E33" i="506"/>
  <c r="E32" i="506"/>
  <c r="E26" i="506"/>
  <c r="E25" i="506"/>
  <c r="E24" i="506"/>
  <c r="E22" i="506"/>
  <c r="E21" i="506"/>
  <c r="E20" i="506"/>
  <c r="B20" i="506"/>
  <c r="I14" i="506" s="1"/>
  <c r="E19" i="506"/>
  <c r="B19" i="506"/>
  <c r="I13" i="506" s="1"/>
  <c r="B18" i="506"/>
  <c r="I12" i="506" s="1"/>
  <c r="B17" i="506"/>
  <c r="I11" i="506" s="1"/>
  <c r="B16" i="506"/>
  <c r="I10" i="506" s="1"/>
  <c r="B15" i="506"/>
  <c r="I9" i="506" s="1"/>
  <c r="B14" i="506"/>
  <c r="I8" i="506" s="1"/>
  <c r="E13" i="506"/>
  <c r="B13" i="506"/>
  <c r="I7" i="506" s="1"/>
  <c r="E12" i="506"/>
  <c r="B12" i="506"/>
  <c r="I6" i="506" s="1"/>
  <c r="E11" i="506"/>
  <c r="E9" i="506"/>
  <c r="I18" i="506" s="1"/>
  <c r="E8" i="506"/>
  <c r="I17" i="506" s="1"/>
  <c r="E7" i="506"/>
  <c r="I16" i="506" s="1"/>
  <c r="E6" i="506"/>
  <c r="I15" i="506" s="1"/>
  <c r="E39" i="505"/>
  <c r="E38" i="505"/>
  <c r="E37" i="505"/>
  <c r="E35" i="505"/>
  <c r="E34" i="505"/>
  <c r="E33" i="505"/>
  <c r="E32" i="505"/>
  <c r="E26" i="505"/>
  <c r="E25" i="505"/>
  <c r="E24" i="505"/>
  <c r="E22" i="505"/>
  <c r="E21" i="505"/>
  <c r="E20" i="505"/>
  <c r="B20" i="505"/>
  <c r="I14" i="505" s="1"/>
  <c r="E19" i="505"/>
  <c r="B19" i="505"/>
  <c r="I13" i="505" s="1"/>
  <c r="B18" i="505"/>
  <c r="I12" i="505" s="1"/>
  <c r="B17" i="505"/>
  <c r="I11" i="505" s="1"/>
  <c r="B16" i="505"/>
  <c r="I10" i="505" s="1"/>
  <c r="B15" i="505"/>
  <c r="I9" i="505" s="1"/>
  <c r="B14" i="505"/>
  <c r="I8" i="505" s="1"/>
  <c r="E13" i="505"/>
  <c r="B13" i="505"/>
  <c r="I7" i="505" s="1"/>
  <c r="E12" i="505"/>
  <c r="B12" i="505"/>
  <c r="I6" i="505" s="1"/>
  <c r="E11" i="505"/>
  <c r="E9" i="505"/>
  <c r="I18" i="505" s="1"/>
  <c r="E8" i="505"/>
  <c r="I17" i="505" s="1"/>
  <c r="E7" i="505"/>
  <c r="I16" i="505" s="1"/>
  <c r="E6" i="505"/>
  <c r="I15" i="505" s="1"/>
  <c r="D3" i="8" a="1"/>
  <c r="D3" i="8" s="1"/>
  <c r="F9" i="504"/>
  <c r="F8" i="504"/>
  <c r="B21" i="503"/>
  <c r="F15" i="503" s="1"/>
  <c r="B20" i="503"/>
  <c r="F14" i="503" s="1"/>
  <c r="B19" i="503"/>
  <c r="F13" i="503" s="1"/>
  <c r="B18" i="503"/>
  <c r="F12" i="503" s="1"/>
  <c r="B17" i="503"/>
  <c r="F11" i="503" s="1"/>
  <c r="B16" i="503"/>
  <c r="F10" i="503" s="1"/>
  <c r="B15" i="503"/>
  <c r="F9" i="503" s="1"/>
  <c r="B14" i="503"/>
  <c r="F8" i="503" s="1"/>
  <c r="B13" i="503"/>
  <c r="F7" i="503" s="1"/>
  <c r="B12" i="503"/>
  <c r="F6" i="503" s="1"/>
  <c r="E39" i="502"/>
  <c r="E38" i="502"/>
  <c r="E37" i="502"/>
  <c r="E35" i="502"/>
  <c r="E34" i="502"/>
  <c r="E33" i="502"/>
  <c r="E32" i="502"/>
  <c r="E26" i="502"/>
  <c r="E25" i="502"/>
  <c r="E24" i="502"/>
  <c r="E22" i="502"/>
  <c r="E21" i="502"/>
  <c r="E20" i="502"/>
  <c r="B20" i="502"/>
  <c r="I14" i="502" s="1"/>
  <c r="E19" i="502"/>
  <c r="B19" i="502"/>
  <c r="I13" i="502" s="1"/>
  <c r="B18" i="502"/>
  <c r="I12" i="502" s="1"/>
  <c r="B17" i="502"/>
  <c r="I11" i="502" s="1"/>
  <c r="B16" i="502"/>
  <c r="I10" i="502" s="1"/>
  <c r="B15" i="502"/>
  <c r="I9" i="502" s="1"/>
  <c r="B14" i="502"/>
  <c r="I8" i="502" s="1"/>
  <c r="E13" i="502"/>
  <c r="B13" i="502"/>
  <c r="I7" i="502" s="1"/>
  <c r="E12" i="502"/>
  <c r="B12" i="502"/>
  <c r="I6" i="502" s="1"/>
  <c r="E11" i="502"/>
  <c r="E9" i="502"/>
  <c r="I18" i="502" s="1"/>
  <c r="E8" i="502"/>
  <c r="I17" i="502" s="1"/>
  <c r="E7" i="502"/>
  <c r="I16" i="502" s="1"/>
  <c r="E6" i="502"/>
  <c r="I15" i="502" s="1"/>
  <c r="B21" i="501" l="1"/>
  <c r="F15" i="501" s="1"/>
  <c r="B20" i="501"/>
  <c r="F14" i="501" s="1"/>
  <c r="B19" i="501"/>
  <c r="F13" i="501" s="1"/>
  <c r="B18" i="501"/>
  <c r="F12" i="501" s="1"/>
  <c r="B17" i="501"/>
  <c r="F11" i="501" s="1"/>
  <c r="B16" i="501"/>
  <c r="F10" i="501" s="1"/>
  <c r="B15" i="501"/>
  <c r="F9" i="501" s="1"/>
  <c r="B14" i="501"/>
  <c r="F8" i="501" s="1"/>
  <c r="B13" i="501"/>
  <c r="F7" i="501" s="1"/>
  <c r="B12" i="501"/>
  <c r="F6" i="501" s="1"/>
  <c r="E39" i="500"/>
  <c r="E38" i="500"/>
  <c r="E37" i="500"/>
  <c r="E35" i="500"/>
  <c r="E34" i="500"/>
  <c r="E33" i="500"/>
  <c r="E32" i="500"/>
  <c r="E26" i="500"/>
  <c r="E25" i="500"/>
  <c r="E24" i="500"/>
  <c r="E22" i="500"/>
  <c r="E21" i="500"/>
  <c r="E20" i="500"/>
  <c r="B20" i="500"/>
  <c r="I14" i="500" s="1"/>
  <c r="E19" i="500"/>
  <c r="B19" i="500"/>
  <c r="I13" i="500" s="1"/>
  <c r="B18" i="500"/>
  <c r="I12" i="500" s="1"/>
  <c r="B17" i="500"/>
  <c r="I11" i="500" s="1"/>
  <c r="B16" i="500"/>
  <c r="I10" i="500" s="1"/>
  <c r="B15" i="500"/>
  <c r="I9" i="500" s="1"/>
  <c r="B14" i="500"/>
  <c r="I8" i="500" s="1"/>
  <c r="E13" i="500"/>
  <c r="B13" i="500"/>
  <c r="I7" i="500" s="1"/>
  <c r="E12" i="500"/>
  <c r="B12" i="500"/>
  <c r="I6" i="500" s="1"/>
  <c r="E11" i="500"/>
  <c r="E9" i="500"/>
  <c r="I18" i="500" s="1"/>
  <c r="E8" i="500"/>
  <c r="I17" i="500" s="1"/>
  <c r="E7" i="500"/>
  <c r="I16" i="500" s="1"/>
  <c r="E6" i="500"/>
  <c r="I15" i="500" s="1"/>
  <c r="E39" i="499"/>
  <c r="E38" i="499"/>
  <c r="E37" i="499"/>
  <c r="E35" i="499"/>
  <c r="E34" i="499"/>
  <c r="E33" i="499"/>
  <c r="E32" i="499"/>
  <c r="E26" i="499"/>
  <c r="E25" i="499"/>
  <c r="E24" i="499"/>
  <c r="E22" i="499"/>
  <c r="E21" i="499"/>
  <c r="E20" i="499"/>
  <c r="B20" i="499"/>
  <c r="I14" i="499" s="1"/>
  <c r="E19" i="499"/>
  <c r="B19" i="499"/>
  <c r="I13" i="499" s="1"/>
  <c r="B18" i="499"/>
  <c r="I12" i="499" s="1"/>
  <c r="B17" i="499"/>
  <c r="I11" i="499" s="1"/>
  <c r="B16" i="499"/>
  <c r="I10" i="499" s="1"/>
  <c r="B15" i="499"/>
  <c r="I9" i="499" s="1"/>
  <c r="B14" i="499"/>
  <c r="I8" i="499" s="1"/>
  <c r="E13" i="499"/>
  <c r="B13" i="499"/>
  <c r="I7" i="499" s="1"/>
  <c r="E12" i="499"/>
  <c r="B12" i="499"/>
  <c r="I6" i="499" s="1"/>
  <c r="E11" i="499"/>
  <c r="E9" i="499"/>
  <c r="I18" i="499" s="1"/>
  <c r="E8" i="499"/>
  <c r="I17" i="499" s="1"/>
  <c r="E7" i="499"/>
  <c r="I16" i="499" s="1"/>
  <c r="E6" i="499"/>
  <c r="I15" i="499" s="1"/>
  <c r="BB15" i="6"/>
  <c r="B21" i="498"/>
  <c r="F15" i="498" s="1"/>
  <c r="B20" i="498"/>
  <c r="F14" i="498" s="1"/>
  <c r="B19" i="498"/>
  <c r="F13" i="498" s="1"/>
  <c r="B18" i="498"/>
  <c r="F12" i="498" s="1"/>
  <c r="B17" i="498"/>
  <c r="F11" i="498" s="1"/>
  <c r="B16" i="498"/>
  <c r="F10" i="498" s="1"/>
  <c r="B15" i="498"/>
  <c r="F9" i="498" s="1"/>
  <c r="B14" i="498"/>
  <c r="F8" i="498" s="1"/>
  <c r="B13" i="498"/>
  <c r="F7" i="498" s="1"/>
  <c r="B12" i="498"/>
  <c r="F6" i="498" s="1"/>
  <c r="B21" i="497"/>
  <c r="F15" i="497" s="1"/>
  <c r="B20" i="497"/>
  <c r="F14" i="497" s="1"/>
  <c r="B19" i="497"/>
  <c r="F13" i="497" s="1"/>
  <c r="B18" i="497"/>
  <c r="F12" i="497" s="1"/>
  <c r="B17" i="497"/>
  <c r="F11" i="497" s="1"/>
  <c r="B16" i="497"/>
  <c r="F10" i="497" s="1"/>
  <c r="B15" i="497"/>
  <c r="F9" i="497" s="1"/>
  <c r="B14" i="497"/>
  <c r="F8" i="497" s="1"/>
  <c r="B13" i="497"/>
  <c r="F7" i="497" s="1"/>
  <c r="B12" i="497"/>
  <c r="F6" i="497" s="1"/>
  <c r="E39" i="496"/>
  <c r="E38" i="496"/>
  <c r="E37" i="496"/>
  <c r="E35" i="496"/>
  <c r="E34" i="496"/>
  <c r="E33" i="496"/>
  <c r="E32" i="496"/>
  <c r="E26" i="496"/>
  <c r="E25" i="496"/>
  <c r="E24" i="496"/>
  <c r="E22" i="496"/>
  <c r="E21" i="496"/>
  <c r="E20" i="496"/>
  <c r="B20" i="496"/>
  <c r="I14" i="496" s="1"/>
  <c r="E19" i="496"/>
  <c r="B19" i="496"/>
  <c r="I13" i="496" s="1"/>
  <c r="B18" i="496"/>
  <c r="I12" i="496" s="1"/>
  <c r="B17" i="496"/>
  <c r="I11" i="496" s="1"/>
  <c r="B16" i="496"/>
  <c r="I10" i="496" s="1"/>
  <c r="B15" i="496"/>
  <c r="I9" i="496" s="1"/>
  <c r="B14" i="496"/>
  <c r="I8" i="496" s="1"/>
  <c r="E13" i="496"/>
  <c r="B13" i="496"/>
  <c r="I7" i="496" s="1"/>
  <c r="E12" i="496"/>
  <c r="B12" i="496"/>
  <c r="I6" i="496" s="1"/>
  <c r="E11" i="496"/>
  <c r="E9" i="496"/>
  <c r="I18" i="496" s="1"/>
  <c r="E8" i="496"/>
  <c r="I17" i="496" s="1"/>
  <c r="E7" i="496"/>
  <c r="I16" i="496" s="1"/>
  <c r="E6" i="496"/>
  <c r="I15" i="496" s="1"/>
  <c r="E39" i="495"/>
  <c r="E38" i="495"/>
  <c r="E37" i="495"/>
  <c r="E35" i="495"/>
  <c r="E34" i="495"/>
  <c r="E33" i="495"/>
  <c r="E32" i="495"/>
  <c r="E26" i="495"/>
  <c r="E25" i="495"/>
  <c r="E24" i="495"/>
  <c r="E22" i="495"/>
  <c r="E21" i="495"/>
  <c r="E20" i="495"/>
  <c r="B20" i="495"/>
  <c r="I14" i="495" s="1"/>
  <c r="E19" i="495"/>
  <c r="B19" i="495"/>
  <c r="I13" i="495" s="1"/>
  <c r="B18" i="495"/>
  <c r="I12" i="495" s="1"/>
  <c r="B17" i="495"/>
  <c r="I11" i="495" s="1"/>
  <c r="B16" i="495"/>
  <c r="I10" i="495" s="1"/>
  <c r="B15" i="495"/>
  <c r="I9" i="495" s="1"/>
  <c r="B14" i="495"/>
  <c r="I8" i="495" s="1"/>
  <c r="E13" i="495"/>
  <c r="B13" i="495"/>
  <c r="I7" i="495" s="1"/>
  <c r="E12" i="495"/>
  <c r="B12" i="495"/>
  <c r="I6" i="495" s="1"/>
  <c r="E11" i="495"/>
  <c r="E9" i="495"/>
  <c r="I18" i="495" s="1"/>
  <c r="E8" i="495"/>
  <c r="I17" i="495" s="1"/>
  <c r="E7" i="495"/>
  <c r="I16" i="495" s="1"/>
  <c r="E6" i="495"/>
  <c r="I15" i="495" s="1"/>
  <c r="B21" i="494" l="1"/>
  <c r="F15" i="494" s="1"/>
  <c r="B20" i="494"/>
  <c r="F14" i="494" s="1"/>
  <c r="B19" i="494"/>
  <c r="F13" i="494" s="1"/>
  <c r="B18" i="494"/>
  <c r="F12" i="494" s="1"/>
  <c r="B17" i="494"/>
  <c r="F11" i="494" s="1"/>
  <c r="B16" i="494"/>
  <c r="F10" i="494" s="1"/>
  <c r="B15" i="494"/>
  <c r="F9" i="494" s="1"/>
  <c r="B14" i="494"/>
  <c r="F8" i="494" s="1"/>
  <c r="B13" i="494"/>
  <c r="F7" i="494" s="1"/>
  <c r="B12" i="494"/>
  <c r="F6" i="494" s="1"/>
  <c r="E39" i="493"/>
  <c r="E38" i="493"/>
  <c r="E37" i="493"/>
  <c r="E35" i="493"/>
  <c r="E34" i="493"/>
  <c r="E33" i="493"/>
  <c r="E32" i="493"/>
  <c r="E26" i="493"/>
  <c r="E25" i="493"/>
  <c r="E24" i="493"/>
  <c r="E22" i="493"/>
  <c r="E21" i="493"/>
  <c r="E20" i="493"/>
  <c r="B20" i="493"/>
  <c r="I14" i="493" s="1"/>
  <c r="E19" i="493"/>
  <c r="B19" i="493"/>
  <c r="I13" i="493" s="1"/>
  <c r="B18" i="493"/>
  <c r="I12" i="493" s="1"/>
  <c r="B17" i="493"/>
  <c r="I11" i="493" s="1"/>
  <c r="B16" i="493"/>
  <c r="I10" i="493" s="1"/>
  <c r="B15" i="493"/>
  <c r="I9" i="493" s="1"/>
  <c r="B14" i="493"/>
  <c r="I8" i="493" s="1"/>
  <c r="E13" i="493"/>
  <c r="B13" i="493"/>
  <c r="I7" i="493" s="1"/>
  <c r="E12" i="493"/>
  <c r="B12" i="493"/>
  <c r="I6" i="493" s="1"/>
  <c r="E11" i="493"/>
  <c r="E9" i="493"/>
  <c r="I18" i="493" s="1"/>
  <c r="E8" i="493"/>
  <c r="I17" i="493" s="1"/>
  <c r="E7" i="493"/>
  <c r="I16" i="493" s="1"/>
  <c r="E6" i="493"/>
  <c r="I15" i="493" s="1"/>
  <c r="E39" i="492"/>
  <c r="E38" i="492"/>
  <c r="E37" i="492"/>
  <c r="E35" i="492"/>
  <c r="E34" i="492"/>
  <c r="E33" i="492"/>
  <c r="E32" i="492"/>
  <c r="E26" i="492"/>
  <c r="E25" i="492"/>
  <c r="E24" i="492"/>
  <c r="E22" i="492"/>
  <c r="E21" i="492"/>
  <c r="E20" i="492"/>
  <c r="B20" i="492"/>
  <c r="I14" i="492" s="1"/>
  <c r="E19" i="492"/>
  <c r="B19" i="492"/>
  <c r="I13" i="492" s="1"/>
  <c r="B18" i="492"/>
  <c r="I12" i="492" s="1"/>
  <c r="B17" i="492"/>
  <c r="I11" i="492" s="1"/>
  <c r="B16" i="492"/>
  <c r="I10" i="492" s="1"/>
  <c r="B15" i="492"/>
  <c r="I9" i="492" s="1"/>
  <c r="B14" i="492"/>
  <c r="I8" i="492" s="1"/>
  <c r="E13" i="492"/>
  <c r="B13" i="492"/>
  <c r="I7" i="492" s="1"/>
  <c r="E12" i="492"/>
  <c r="B12" i="492"/>
  <c r="I6" i="492" s="1"/>
  <c r="E11" i="492"/>
  <c r="E9" i="492"/>
  <c r="I18" i="492" s="1"/>
  <c r="E8" i="492"/>
  <c r="I17" i="492" s="1"/>
  <c r="E7" i="492"/>
  <c r="I16" i="492" s="1"/>
  <c r="E6" i="492"/>
  <c r="I15" i="492" s="1"/>
  <c r="B21" i="491"/>
  <c r="F15" i="491" s="1"/>
  <c r="B20" i="491"/>
  <c r="F14" i="491" s="1"/>
  <c r="B19" i="491"/>
  <c r="F13" i="491" s="1"/>
  <c r="B18" i="491"/>
  <c r="F12" i="491" s="1"/>
  <c r="B17" i="491"/>
  <c r="F11" i="491" s="1"/>
  <c r="B16" i="491"/>
  <c r="F10" i="491" s="1"/>
  <c r="B15" i="491"/>
  <c r="F9" i="491" s="1"/>
  <c r="B14" i="491"/>
  <c r="F8" i="491" s="1"/>
  <c r="B13" i="491"/>
  <c r="F7" i="491" s="1"/>
  <c r="B12" i="491"/>
  <c r="F6" i="491" s="1"/>
  <c r="B21" i="490"/>
  <c r="F15" i="490" s="1"/>
  <c r="B20" i="490"/>
  <c r="F14" i="490" s="1"/>
  <c r="B19" i="490"/>
  <c r="F13" i="490" s="1"/>
  <c r="B18" i="490"/>
  <c r="F12" i="490" s="1"/>
  <c r="B17" i="490"/>
  <c r="F11" i="490" s="1"/>
  <c r="B16" i="490"/>
  <c r="F10" i="490" s="1"/>
  <c r="B15" i="490"/>
  <c r="F9" i="490" s="1"/>
  <c r="B14" i="490"/>
  <c r="F8" i="490" s="1"/>
  <c r="B13" i="490"/>
  <c r="F7" i="490" s="1"/>
  <c r="B12" i="490"/>
  <c r="F6" i="490" s="1"/>
  <c r="E39" i="489"/>
  <c r="E38" i="489"/>
  <c r="E37" i="489"/>
  <c r="E35" i="489"/>
  <c r="E34" i="489"/>
  <c r="E33" i="489"/>
  <c r="E32" i="489"/>
  <c r="E26" i="489"/>
  <c r="E25" i="489"/>
  <c r="E24" i="489"/>
  <c r="E22" i="489"/>
  <c r="E21" i="489"/>
  <c r="E20" i="489"/>
  <c r="B20" i="489"/>
  <c r="I14" i="489" s="1"/>
  <c r="E19" i="489"/>
  <c r="B19" i="489"/>
  <c r="I13" i="489" s="1"/>
  <c r="B18" i="489"/>
  <c r="I12" i="489" s="1"/>
  <c r="B17" i="489"/>
  <c r="I11" i="489" s="1"/>
  <c r="B16" i="489"/>
  <c r="I10" i="489" s="1"/>
  <c r="B15" i="489"/>
  <c r="I9" i="489" s="1"/>
  <c r="B14" i="489"/>
  <c r="I8" i="489" s="1"/>
  <c r="E13" i="489"/>
  <c r="B13" i="489"/>
  <c r="I7" i="489" s="1"/>
  <c r="E12" i="489"/>
  <c r="B12" i="489"/>
  <c r="I6" i="489" s="1"/>
  <c r="E11" i="489"/>
  <c r="E9" i="489"/>
  <c r="I18" i="489" s="1"/>
  <c r="E8" i="489"/>
  <c r="I17" i="489" s="1"/>
  <c r="E7" i="489"/>
  <c r="I16" i="489" s="1"/>
  <c r="E6" i="489"/>
  <c r="I15" i="489" s="1"/>
  <c r="E8" i="353"/>
  <c r="F8" i="353"/>
  <c r="G8" i="353"/>
  <c r="H8" i="353"/>
  <c r="I8" i="353"/>
  <c r="J8" i="353"/>
  <c r="K8" i="353"/>
  <c r="M8" i="353"/>
  <c r="N8" i="353"/>
  <c r="O8" i="353"/>
  <c r="P8" i="353"/>
  <c r="Q8" i="353"/>
  <c r="R8" i="353"/>
  <c r="S30" i="375"/>
  <c r="R30" i="375"/>
  <c r="Q30" i="375"/>
  <c r="S24" i="375"/>
  <c r="R24" i="375"/>
  <c r="Q24" i="375"/>
  <c r="S18" i="375"/>
  <c r="R18" i="375"/>
  <c r="Q18" i="375"/>
  <c r="S12" i="375"/>
  <c r="R12" i="375"/>
  <c r="Q12" i="375"/>
  <c r="BB14" i="6"/>
  <c r="B21" i="488"/>
  <c r="F15" i="488" s="1"/>
  <c r="B20" i="488"/>
  <c r="F14" i="488" s="1"/>
  <c r="B19" i="488"/>
  <c r="F13" i="488" s="1"/>
  <c r="B18" i="488"/>
  <c r="F12" i="488" s="1"/>
  <c r="B17" i="488"/>
  <c r="F11" i="488" s="1"/>
  <c r="B16" i="488"/>
  <c r="F10" i="488" s="1"/>
  <c r="B15" i="488"/>
  <c r="F9" i="488" s="1"/>
  <c r="B14" i="488"/>
  <c r="F8" i="488" s="1"/>
  <c r="B13" i="488"/>
  <c r="F7" i="488" s="1"/>
  <c r="B12" i="488"/>
  <c r="F6" i="488" s="1"/>
  <c r="B21" i="487"/>
  <c r="F15" i="487" s="1"/>
  <c r="B20" i="487"/>
  <c r="F14" i="487" s="1"/>
  <c r="B19" i="487"/>
  <c r="F13" i="487" s="1"/>
  <c r="B18" i="487"/>
  <c r="F12" i="487" s="1"/>
  <c r="B17" i="487"/>
  <c r="F11" i="487" s="1"/>
  <c r="B16" i="487"/>
  <c r="F10" i="487" s="1"/>
  <c r="B15" i="487"/>
  <c r="F9" i="487" s="1"/>
  <c r="B14" i="487"/>
  <c r="F8" i="487" s="1"/>
  <c r="B13" i="487"/>
  <c r="F7" i="487" s="1"/>
  <c r="B12" i="487"/>
  <c r="F6" i="487" s="1"/>
  <c r="E39" i="486"/>
  <c r="E38" i="486"/>
  <c r="E37" i="486"/>
  <c r="E35" i="486"/>
  <c r="E34" i="486"/>
  <c r="E33" i="486"/>
  <c r="E32" i="486"/>
  <c r="E26" i="486"/>
  <c r="E25" i="486"/>
  <c r="E24" i="486"/>
  <c r="E22" i="486"/>
  <c r="E21" i="486"/>
  <c r="E20" i="486"/>
  <c r="B20" i="486"/>
  <c r="I14" i="486" s="1"/>
  <c r="E19" i="486"/>
  <c r="B19" i="486"/>
  <c r="I13" i="486" s="1"/>
  <c r="B18" i="486"/>
  <c r="I12" i="486" s="1"/>
  <c r="B17" i="486"/>
  <c r="I11" i="486" s="1"/>
  <c r="B16" i="486"/>
  <c r="I10" i="486" s="1"/>
  <c r="B15" i="486"/>
  <c r="I9" i="486" s="1"/>
  <c r="B14" i="486"/>
  <c r="I8" i="486" s="1"/>
  <c r="E13" i="486"/>
  <c r="B13" i="486"/>
  <c r="I7" i="486" s="1"/>
  <c r="E12" i="486"/>
  <c r="B12" i="486"/>
  <c r="I6" i="486" s="1"/>
  <c r="E11" i="486"/>
  <c r="E9" i="486"/>
  <c r="I18" i="486" s="1"/>
  <c r="E8" i="486"/>
  <c r="I17" i="486" s="1"/>
  <c r="E7" i="486"/>
  <c r="I16" i="486" s="1"/>
  <c r="E6" i="486"/>
  <c r="I15" i="486" s="1"/>
  <c r="E39" i="485"/>
  <c r="E38" i="485"/>
  <c r="E37" i="485"/>
  <c r="E35" i="485"/>
  <c r="E34" i="485"/>
  <c r="E33" i="485"/>
  <c r="E32" i="485"/>
  <c r="E26" i="485"/>
  <c r="E25" i="485"/>
  <c r="E24" i="485"/>
  <c r="E22" i="485"/>
  <c r="E21" i="485"/>
  <c r="E20" i="485"/>
  <c r="B20" i="485"/>
  <c r="I14" i="485" s="1"/>
  <c r="E19" i="485"/>
  <c r="B19" i="485"/>
  <c r="I13" i="485" s="1"/>
  <c r="B18" i="485"/>
  <c r="I12" i="485" s="1"/>
  <c r="B17" i="485"/>
  <c r="I11" i="485" s="1"/>
  <c r="B16" i="485"/>
  <c r="I10" i="485" s="1"/>
  <c r="B15" i="485"/>
  <c r="I9" i="485" s="1"/>
  <c r="B14" i="485"/>
  <c r="I8" i="485" s="1"/>
  <c r="E13" i="485"/>
  <c r="B13" i="485"/>
  <c r="I7" i="485" s="1"/>
  <c r="E12" i="485"/>
  <c r="B12" i="485"/>
  <c r="I6" i="485" s="1"/>
  <c r="E11" i="485"/>
  <c r="E9" i="485"/>
  <c r="I18" i="485" s="1"/>
  <c r="E8" i="485"/>
  <c r="I17" i="485" s="1"/>
  <c r="E7" i="485"/>
  <c r="I16" i="485" s="1"/>
  <c r="E6" i="485"/>
  <c r="I15" i="485" s="1"/>
  <c r="E39" i="484"/>
  <c r="E38" i="484"/>
  <c r="E37" i="484"/>
  <c r="E35" i="484"/>
  <c r="E34" i="484"/>
  <c r="E33" i="484"/>
  <c r="E32" i="484"/>
  <c r="E26" i="484"/>
  <c r="E25" i="484"/>
  <c r="E24" i="484"/>
  <c r="E22" i="484"/>
  <c r="E21" i="484"/>
  <c r="E20" i="484"/>
  <c r="B20" i="484"/>
  <c r="I14" i="484" s="1"/>
  <c r="E19" i="484"/>
  <c r="B19" i="484"/>
  <c r="I13" i="484" s="1"/>
  <c r="B18" i="484"/>
  <c r="I12" i="484" s="1"/>
  <c r="B17" i="484"/>
  <c r="I11" i="484" s="1"/>
  <c r="B16" i="484"/>
  <c r="I10" i="484" s="1"/>
  <c r="B15" i="484"/>
  <c r="I9" i="484" s="1"/>
  <c r="B14" i="484"/>
  <c r="I8" i="484" s="1"/>
  <c r="E13" i="484"/>
  <c r="B13" i="484"/>
  <c r="I7" i="484" s="1"/>
  <c r="E12" i="484"/>
  <c r="B12" i="484"/>
  <c r="I6" i="484" s="1"/>
  <c r="E11" i="484"/>
  <c r="E9" i="484"/>
  <c r="I18" i="484" s="1"/>
  <c r="E8" i="484"/>
  <c r="I17" i="484" s="1"/>
  <c r="E7" i="484"/>
  <c r="I16" i="484" s="1"/>
  <c r="E6" i="484"/>
  <c r="I15" i="484" s="1"/>
  <c r="B21" i="483"/>
  <c r="F15" i="483" s="1"/>
  <c r="B20" i="483"/>
  <c r="F14" i="483" s="1"/>
  <c r="B19" i="483"/>
  <c r="F13" i="483" s="1"/>
  <c r="B18" i="483"/>
  <c r="F12" i="483" s="1"/>
  <c r="B17" i="483"/>
  <c r="F11" i="483" s="1"/>
  <c r="B16" i="483"/>
  <c r="F10" i="483" s="1"/>
  <c r="B15" i="483"/>
  <c r="F9" i="483" s="1"/>
  <c r="B14" i="483"/>
  <c r="F8" i="483" s="1"/>
  <c r="B13" i="483"/>
  <c r="F7" i="483" s="1"/>
  <c r="B12" i="483"/>
  <c r="F6" i="483" s="1"/>
  <c r="B21" i="482"/>
  <c r="F15" i="482" s="1"/>
  <c r="B20" i="482"/>
  <c r="F14" i="482" s="1"/>
  <c r="B19" i="482"/>
  <c r="F13" i="482" s="1"/>
  <c r="B18" i="482"/>
  <c r="F12" i="482" s="1"/>
  <c r="B17" i="482"/>
  <c r="F11" i="482" s="1"/>
  <c r="B16" i="482"/>
  <c r="F10" i="482" s="1"/>
  <c r="B15" i="482"/>
  <c r="F9" i="482" s="1"/>
  <c r="B14" i="482"/>
  <c r="F8" i="482" s="1"/>
  <c r="B13" i="482"/>
  <c r="F7" i="482" s="1"/>
  <c r="B12" i="482"/>
  <c r="F6" i="482" s="1"/>
  <c r="B21" i="481"/>
  <c r="F15" i="481" s="1"/>
  <c r="B20" i="481"/>
  <c r="F14" i="481" s="1"/>
  <c r="B19" i="481"/>
  <c r="F13" i="481" s="1"/>
  <c r="B18" i="481"/>
  <c r="F12" i="481" s="1"/>
  <c r="B17" i="481"/>
  <c r="F11" i="481" s="1"/>
  <c r="B16" i="481"/>
  <c r="F10" i="481" s="1"/>
  <c r="B15" i="481"/>
  <c r="F9" i="481" s="1"/>
  <c r="B14" i="481"/>
  <c r="F8" i="481" s="1"/>
  <c r="B13" i="481"/>
  <c r="F7" i="481" s="1"/>
  <c r="B12" i="481"/>
  <c r="F6" i="481" s="1"/>
  <c r="B21" i="479"/>
  <c r="F15" i="479" s="1"/>
  <c r="B20" i="479"/>
  <c r="F14" i="479" s="1"/>
  <c r="B19" i="479"/>
  <c r="F13" i="479" s="1"/>
  <c r="B18" i="479"/>
  <c r="F12" i="479" s="1"/>
  <c r="B17" i="479"/>
  <c r="F11" i="479" s="1"/>
  <c r="B16" i="479"/>
  <c r="F10" i="479" s="1"/>
  <c r="B15" i="479"/>
  <c r="F9" i="479" s="1"/>
  <c r="B14" i="479"/>
  <c r="F8" i="479" s="1"/>
  <c r="B13" i="479"/>
  <c r="F7" i="479" s="1"/>
  <c r="B12" i="479"/>
  <c r="F6" i="479" s="1"/>
  <c r="E39" i="477"/>
  <c r="E38" i="477"/>
  <c r="E37" i="477"/>
  <c r="E35" i="477"/>
  <c r="E34" i="477"/>
  <c r="E33" i="477"/>
  <c r="E32" i="477"/>
  <c r="E26" i="477"/>
  <c r="E25" i="477"/>
  <c r="E24" i="477"/>
  <c r="E22" i="477"/>
  <c r="E21" i="477"/>
  <c r="E20" i="477"/>
  <c r="B20" i="477"/>
  <c r="I14" i="477" s="1"/>
  <c r="E19" i="477"/>
  <c r="B19" i="477"/>
  <c r="I13" i="477" s="1"/>
  <c r="B18" i="477"/>
  <c r="I12" i="477" s="1"/>
  <c r="B17" i="477"/>
  <c r="I11" i="477" s="1"/>
  <c r="B16" i="477"/>
  <c r="I10" i="477" s="1"/>
  <c r="B15" i="477"/>
  <c r="I9" i="477" s="1"/>
  <c r="B14" i="477"/>
  <c r="I8" i="477" s="1"/>
  <c r="E13" i="477"/>
  <c r="B13" i="477"/>
  <c r="I7" i="477" s="1"/>
  <c r="E12" i="477"/>
  <c r="B12" i="477"/>
  <c r="I6" i="477" s="1"/>
  <c r="E11" i="477"/>
  <c r="E9" i="477"/>
  <c r="I18" i="477" s="1"/>
  <c r="E8" i="477"/>
  <c r="I17" i="477" s="1"/>
  <c r="E7" i="477"/>
  <c r="I16" i="477" s="1"/>
  <c r="E6" i="477"/>
  <c r="I15" i="477" s="1"/>
  <c r="E39" i="476"/>
  <c r="E38" i="476"/>
  <c r="E37" i="476"/>
  <c r="E35" i="476"/>
  <c r="E34" i="476"/>
  <c r="E33" i="476"/>
  <c r="E32" i="476"/>
  <c r="E26" i="476"/>
  <c r="E25" i="476"/>
  <c r="E24" i="476"/>
  <c r="E22" i="476"/>
  <c r="E21" i="476"/>
  <c r="E20" i="476"/>
  <c r="B20" i="476"/>
  <c r="I14" i="476" s="1"/>
  <c r="E19" i="476"/>
  <c r="B19" i="476"/>
  <c r="I13" i="476" s="1"/>
  <c r="B18" i="476"/>
  <c r="I12" i="476" s="1"/>
  <c r="B17" i="476"/>
  <c r="I11" i="476" s="1"/>
  <c r="B16" i="476"/>
  <c r="I10" i="476" s="1"/>
  <c r="B15" i="476"/>
  <c r="I9" i="476" s="1"/>
  <c r="B14" i="476"/>
  <c r="I8" i="476" s="1"/>
  <c r="E13" i="476"/>
  <c r="B13" i="476"/>
  <c r="I7" i="476" s="1"/>
  <c r="E12" i="476"/>
  <c r="B12" i="476"/>
  <c r="I6" i="476" s="1"/>
  <c r="E11" i="476"/>
  <c r="E9" i="476"/>
  <c r="I18" i="476" s="1"/>
  <c r="E8" i="476"/>
  <c r="I17" i="476" s="1"/>
  <c r="E7" i="476"/>
  <c r="I16" i="476" s="1"/>
  <c r="E6" i="476"/>
  <c r="I15" i="476" s="1"/>
  <c r="B21" i="475"/>
  <c r="F15" i="475" s="1"/>
  <c r="B20" i="475"/>
  <c r="F14" i="475" s="1"/>
  <c r="B19" i="475"/>
  <c r="F13" i="475" s="1"/>
  <c r="B18" i="475"/>
  <c r="F12" i="475" s="1"/>
  <c r="B17" i="475"/>
  <c r="F11" i="475" s="1"/>
  <c r="B16" i="475"/>
  <c r="F10" i="475" s="1"/>
  <c r="B15" i="475"/>
  <c r="F9" i="475" s="1"/>
  <c r="B14" i="475"/>
  <c r="F8" i="475" s="1"/>
  <c r="B13" i="475"/>
  <c r="F7" i="475" s="1"/>
  <c r="B12" i="475"/>
  <c r="F6" i="475" s="1"/>
  <c r="B21" i="474"/>
  <c r="F15" i="474" s="1"/>
  <c r="B20" i="474"/>
  <c r="F14" i="474" s="1"/>
  <c r="B19" i="474"/>
  <c r="F13" i="474" s="1"/>
  <c r="B18" i="474"/>
  <c r="F12" i="474" s="1"/>
  <c r="B17" i="474"/>
  <c r="F11" i="474" s="1"/>
  <c r="B16" i="474"/>
  <c r="F10" i="474" s="1"/>
  <c r="B15" i="474"/>
  <c r="F9" i="474" s="1"/>
  <c r="B14" i="474"/>
  <c r="F8" i="474" s="1"/>
  <c r="B13" i="474"/>
  <c r="F7" i="474" s="1"/>
  <c r="B12" i="474"/>
  <c r="F6" i="474" s="1"/>
  <c r="B21" i="473"/>
  <c r="F15" i="473" s="1"/>
  <c r="B20" i="473"/>
  <c r="F14" i="473" s="1"/>
  <c r="B19" i="473"/>
  <c r="F13" i="473" s="1"/>
  <c r="B18" i="473"/>
  <c r="F12" i="473" s="1"/>
  <c r="B17" i="473"/>
  <c r="F11" i="473" s="1"/>
  <c r="B16" i="473"/>
  <c r="F10" i="473" s="1"/>
  <c r="B15" i="473"/>
  <c r="F9" i="473" s="1"/>
  <c r="B14" i="473"/>
  <c r="F8" i="473" s="1"/>
  <c r="B13" i="473"/>
  <c r="F7" i="473" s="1"/>
  <c r="B12" i="473"/>
  <c r="F6" i="473" s="1"/>
  <c r="B21" i="472"/>
  <c r="F15" i="472" s="1"/>
  <c r="B20" i="472"/>
  <c r="F14" i="472" s="1"/>
  <c r="B19" i="472"/>
  <c r="F13" i="472" s="1"/>
  <c r="B18" i="472"/>
  <c r="F12" i="472" s="1"/>
  <c r="B17" i="472"/>
  <c r="F11" i="472" s="1"/>
  <c r="B16" i="472"/>
  <c r="F10" i="472" s="1"/>
  <c r="B15" i="472"/>
  <c r="F9" i="472" s="1"/>
  <c r="B14" i="472"/>
  <c r="F8" i="472" s="1"/>
  <c r="B13" i="472"/>
  <c r="F7" i="472" s="1"/>
  <c r="B12" i="472"/>
  <c r="F6" i="472" s="1"/>
  <c r="E39" i="471"/>
  <c r="E38" i="471"/>
  <c r="E37" i="471"/>
  <c r="E35" i="471"/>
  <c r="E34" i="471"/>
  <c r="E33" i="471"/>
  <c r="E32" i="471"/>
  <c r="E26" i="471"/>
  <c r="E25" i="471"/>
  <c r="E24" i="471"/>
  <c r="E22" i="471"/>
  <c r="E21" i="471"/>
  <c r="E20" i="471"/>
  <c r="B20" i="471"/>
  <c r="I14" i="471" s="1"/>
  <c r="E19" i="471"/>
  <c r="B19" i="471"/>
  <c r="I13" i="471" s="1"/>
  <c r="B18" i="471"/>
  <c r="I12" i="471" s="1"/>
  <c r="B17" i="471"/>
  <c r="I11" i="471" s="1"/>
  <c r="B16" i="471"/>
  <c r="I10" i="471" s="1"/>
  <c r="B15" i="471"/>
  <c r="I9" i="471" s="1"/>
  <c r="B14" i="471"/>
  <c r="I8" i="471" s="1"/>
  <c r="E13" i="471"/>
  <c r="B13" i="471"/>
  <c r="I7" i="471" s="1"/>
  <c r="E12" i="471"/>
  <c r="B12" i="471"/>
  <c r="I6" i="471" s="1"/>
  <c r="E11" i="471"/>
  <c r="E9" i="471"/>
  <c r="I18" i="471" s="1"/>
  <c r="E8" i="471"/>
  <c r="I17" i="471" s="1"/>
  <c r="E7" i="471"/>
  <c r="I16" i="471" s="1"/>
  <c r="E6" i="471"/>
  <c r="I15" i="471" s="1"/>
  <c r="C73" i="350" a="1"/>
  <c r="C73" i="350" s="1"/>
  <c r="C72" i="350" a="1"/>
  <c r="C72" i="350" s="1"/>
  <c r="C71" i="350" a="1"/>
  <c r="C71" i="350" s="1"/>
  <c r="C70" i="350" a="1"/>
  <c r="C70" i="350" s="1"/>
  <c r="C69" i="350" a="1"/>
  <c r="C69" i="350" s="1"/>
  <c r="C68" i="350" a="1"/>
  <c r="C68" i="350" s="1"/>
  <c r="C67" i="350" a="1"/>
  <c r="C67" i="350" s="1"/>
  <c r="C66" i="350" a="1"/>
  <c r="C66" i="350" s="1"/>
  <c r="C65" i="350" a="1"/>
  <c r="C65" i="350" s="1"/>
  <c r="C64" i="350" a="1"/>
  <c r="C64" i="350" s="1"/>
  <c r="C63" i="350" a="1"/>
  <c r="C63" i="350" s="1"/>
  <c r="C62" i="350" a="1"/>
  <c r="C62" i="350" s="1"/>
  <c r="C55" i="144" a="1"/>
  <c r="C55" i="144" s="1"/>
  <c r="C54" i="144" a="1"/>
  <c r="C54" i="144" s="1"/>
  <c r="C53" i="144" a="1"/>
  <c r="C53" i="144" s="1"/>
  <c r="C52" i="144" a="1"/>
  <c r="C52" i="144" s="1"/>
  <c r="C51" i="144" a="1"/>
  <c r="C51" i="144" s="1"/>
  <c r="C50" i="144" a="1"/>
  <c r="C50" i="144" s="1"/>
  <c r="C49" i="144" a="1"/>
  <c r="C49" i="144" s="1"/>
  <c r="C48" i="144" a="1"/>
  <c r="C48" i="144" s="1"/>
  <c r="C47" i="144" a="1"/>
  <c r="C47" i="144" s="1"/>
  <c r="G19" i="470" a="1"/>
  <c r="G19" i="470" s="1"/>
  <c r="D19" i="470" a="1"/>
  <c r="D19" i="470" s="1"/>
  <c r="K7" i="470" s="1"/>
  <c r="A19" i="470" a="1"/>
  <c r="A19" i="470" s="1"/>
  <c r="G18" i="470" a="1"/>
  <c r="G18" i="470" s="1"/>
  <c r="D18" i="470" a="1"/>
  <c r="D18" i="470" s="1"/>
  <c r="K6" i="470" s="1"/>
  <c r="A18" i="470" a="1"/>
  <c r="A18" i="470" s="1"/>
  <c r="G17" i="470" a="1"/>
  <c r="G17" i="470" s="1"/>
  <c r="D17" i="470" a="1"/>
  <c r="D17" i="470" s="1"/>
  <c r="K5" i="470" s="1"/>
  <c r="A17" i="470" a="1"/>
  <c r="A17" i="470" s="1"/>
  <c r="H14" i="470"/>
  <c r="F56" i="375" s="1"/>
  <c r="G14" i="470" a="1"/>
  <c r="G14" i="470" s="1"/>
  <c r="E14" i="470"/>
  <c r="E56" i="375" s="1"/>
  <c r="D14" i="470" a="1"/>
  <c r="D14" i="470" s="1"/>
  <c r="B14" i="470"/>
  <c r="D56" i="375" s="1"/>
  <c r="A14" i="470" a="1"/>
  <c r="A14" i="470" s="1"/>
  <c r="H13" i="470"/>
  <c r="F55" i="375" s="1"/>
  <c r="G13" i="470" a="1"/>
  <c r="G13" i="470" s="1"/>
  <c r="E13" i="470"/>
  <c r="E55" i="375" s="1"/>
  <c r="D13" i="470" a="1"/>
  <c r="D13" i="470" s="1"/>
  <c r="B13" i="470"/>
  <c r="D55" i="375" s="1"/>
  <c r="A13" i="470" a="1"/>
  <c r="A13" i="470" s="1"/>
  <c r="H12" i="470"/>
  <c r="F54" i="375" s="1"/>
  <c r="G12" i="470" a="1"/>
  <c r="G12" i="470" s="1"/>
  <c r="E12" i="470"/>
  <c r="E54" i="375" s="1"/>
  <c r="D12" i="470" a="1"/>
  <c r="D12" i="470" s="1"/>
  <c r="B12" i="470"/>
  <c r="D54" i="375" s="1"/>
  <c r="A12" i="470" a="1"/>
  <c r="A12" i="470" s="1"/>
  <c r="H11" i="470"/>
  <c r="F53" i="375" s="1"/>
  <c r="G11" i="470" a="1"/>
  <c r="G11" i="470" s="1"/>
  <c r="E11" i="470"/>
  <c r="E53" i="375" s="1"/>
  <c r="D11" i="470" a="1"/>
  <c r="D11" i="470" s="1"/>
  <c r="B11" i="470"/>
  <c r="D53" i="375" s="1"/>
  <c r="A11" i="470" a="1"/>
  <c r="A11" i="470" s="1"/>
  <c r="H10" i="470"/>
  <c r="F52" i="375" s="1"/>
  <c r="G10" i="470" a="1"/>
  <c r="G10" i="470" s="1"/>
  <c r="E10" i="470"/>
  <c r="E52" i="375" s="1"/>
  <c r="D10" i="470" a="1"/>
  <c r="D10" i="470" s="1"/>
  <c r="B10" i="470"/>
  <c r="D52" i="375" s="1"/>
  <c r="A10" i="470" a="1"/>
  <c r="A10" i="470" s="1"/>
  <c r="H9" i="470"/>
  <c r="F51" i="375" s="1"/>
  <c r="G9" i="470" a="1"/>
  <c r="G9" i="470" s="1"/>
  <c r="E9" i="470"/>
  <c r="E51" i="375" s="1"/>
  <c r="D9" i="470" a="1"/>
  <c r="D9" i="470" s="1"/>
  <c r="B9" i="470"/>
  <c r="D51" i="375" s="1"/>
  <c r="A9" i="470" a="1"/>
  <c r="A9" i="470" s="1"/>
  <c r="H8" i="470"/>
  <c r="F50" i="375" s="1"/>
  <c r="G8" i="470" a="1"/>
  <c r="G8" i="470" s="1"/>
  <c r="E8" i="470"/>
  <c r="E50" i="375" s="1"/>
  <c r="D8" i="470" a="1"/>
  <c r="D8" i="470" s="1"/>
  <c r="B8" i="470"/>
  <c r="D50" i="375" s="1"/>
  <c r="A8" i="470" a="1"/>
  <c r="A8" i="470" s="1"/>
  <c r="H7" i="470"/>
  <c r="F49" i="375" s="1"/>
  <c r="G7" i="470" a="1"/>
  <c r="G7" i="470" s="1"/>
  <c r="E7" i="470"/>
  <c r="E49" i="375" s="1"/>
  <c r="D7" i="470" a="1"/>
  <c r="D7" i="470" s="1"/>
  <c r="B7" i="470"/>
  <c r="D49" i="375" s="1"/>
  <c r="A7" i="470" a="1"/>
  <c r="A7" i="470" s="1"/>
  <c r="H6" i="470"/>
  <c r="F48" i="375" s="1"/>
  <c r="G6" i="470" a="1"/>
  <c r="G6" i="470" s="1"/>
  <c r="E6" i="470"/>
  <c r="E48" i="375" s="1"/>
  <c r="D6" i="470" a="1"/>
  <c r="D6" i="470" s="1"/>
  <c r="B6" i="470"/>
  <c r="D48" i="375" s="1"/>
  <c r="A6" i="470" a="1"/>
  <c r="A6" i="470" s="1"/>
  <c r="B21" i="469"/>
  <c r="F15" i="469" s="1"/>
  <c r="B20" i="469"/>
  <c r="F14" i="469" s="1"/>
  <c r="B19" i="469"/>
  <c r="F13" i="469" s="1"/>
  <c r="B18" i="469"/>
  <c r="F12" i="469" s="1"/>
  <c r="B17" i="469"/>
  <c r="F11" i="469" s="1"/>
  <c r="B16" i="469"/>
  <c r="F10" i="469" s="1"/>
  <c r="B15" i="469"/>
  <c r="F9" i="469" s="1"/>
  <c r="B14" i="469"/>
  <c r="F8" i="469" s="1"/>
  <c r="B13" i="469"/>
  <c r="F7" i="469" s="1"/>
  <c r="B12" i="469"/>
  <c r="F6" i="469" s="1"/>
  <c r="B21" i="468"/>
  <c r="F15" i="468" s="1"/>
  <c r="B20" i="468"/>
  <c r="F14" i="468" s="1"/>
  <c r="B19" i="468"/>
  <c r="F13" i="468" s="1"/>
  <c r="B18" i="468"/>
  <c r="F12" i="468" s="1"/>
  <c r="B17" i="468"/>
  <c r="F11" i="468" s="1"/>
  <c r="B16" i="468"/>
  <c r="F10" i="468" s="1"/>
  <c r="B15" i="468"/>
  <c r="F9" i="468" s="1"/>
  <c r="B14" i="468"/>
  <c r="F8" i="468" s="1"/>
  <c r="B13" i="468"/>
  <c r="F7" i="468" s="1"/>
  <c r="B12" i="468"/>
  <c r="F6" i="468" s="1"/>
  <c r="B21" i="467"/>
  <c r="F15" i="467" s="1"/>
  <c r="B20" i="467"/>
  <c r="F14" i="467" s="1"/>
  <c r="B19" i="467"/>
  <c r="F13" i="467" s="1"/>
  <c r="B18" i="467"/>
  <c r="F12" i="467" s="1"/>
  <c r="B17" i="467"/>
  <c r="F11" i="467" s="1"/>
  <c r="B16" i="467"/>
  <c r="F10" i="467" s="1"/>
  <c r="B15" i="467"/>
  <c r="F9" i="467" s="1"/>
  <c r="B14" i="467"/>
  <c r="F8" i="467" s="1"/>
  <c r="B13" i="467"/>
  <c r="F7" i="467" s="1"/>
  <c r="B12" i="467"/>
  <c r="F6" i="467" s="1"/>
  <c r="B21" i="466"/>
  <c r="F15" i="466" s="1"/>
  <c r="B20" i="466"/>
  <c r="F14" i="466" s="1"/>
  <c r="B19" i="466"/>
  <c r="F13" i="466" s="1"/>
  <c r="B18" i="466"/>
  <c r="F12" i="466" s="1"/>
  <c r="B17" i="466"/>
  <c r="F11" i="466" s="1"/>
  <c r="B16" i="466"/>
  <c r="F10" i="466" s="1"/>
  <c r="B15" i="466"/>
  <c r="F9" i="466" s="1"/>
  <c r="B14" i="466"/>
  <c r="F8" i="466" s="1"/>
  <c r="B13" i="466"/>
  <c r="F7" i="466" s="1"/>
  <c r="B12" i="466"/>
  <c r="F6" i="466" s="1"/>
  <c r="B21" i="465"/>
  <c r="F15" i="465" s="1"/>
  <c r="B20" i="465"/>
  <c r="F14" i="465" s="1"/>
  <c r="B19" i="465"/>
  <c r="F13" i="465" s="1"/>
  <c r="B18" i="465"/>
  <c r="F12" i="465" s="1"/>
  <c r="B17" i="465"/>
  <c r="F11" i="465" s="1"/>
  <c r="B16" i="465"/>
  <c r="F10" i="465" s="1"/>
  <c r="B15" i="465"/>
  <c r="F9" i="465" s="1"/>
  <c r="B14" i="465"/>
  <c r="F8" i="465" s="1"/>
  <c r="B13" i="465"/>
  <c r="F7" i="465" s="1"/>
  <c r="B12" i="465"/>
  <c r="F6" i="465" s="1"/>
  <c r="B21" i="464"/>
  <c r="F15" i="464" s="1"/>
  <c r="B20" i="464"/>
  <c r="F14" i="464" s="1"/>
  <c r="B19" i="464"/>
  <c r="F13" i="464" s="1"/>
  <c r="B18" i="464"/>
  <c r="F12" i="464" s="1"/>
  <c r="B17" i="464"/>
  <c r="F11" i="464" s="1"/>
  <c r="B16" i="464"/>
  <c r="F10" i="464" s="1"/>
  <c r="B15" i="464"/>
  <c r="F9" i="464" s="1"/>
  <c r="B14" i="464"/>
  <c r="F8" i="464" s="1"/>
  <c r="B13" i="464"/>
  <c r="F7" i="464" s="1"/>
  <c r="B12" i="464"/>
  <c r="F6" i="464" s="1"/>
  <c r="B21" i="463"/>
  <c r="F15" i="463" s="1"/>
  <c r="B20" i="463"/>
  <c r="F14" i="463" s="1"/>
  <c r="B19" i="463"/>
  <c r="F13" i="463" s="1"/>
  <c r="B18" i="463"/>
  <c r="F12" i="463" s="1"/>
  <c r="B17" i="463"/>
  <c r="F11" i="463" s="1"/>
  <c r="B16" i="463"/>
  <c r="F10" i="463" s="1"/>
  <c r="B15" i="463"/>
  <c r="F9" i="463" s="1"/>
  <c r="B14" i="463"/>
  <c r="F8" i="463" s="1"/>
  <c r="B13" i="463"/>
  <c r="F7" i="463" s="1"/>
  <c r="B12" i="463"/>
  <c r="F6" i="463" s="1"/>
  <c r="B21" i="462"/>
  <c r="F15" i="462" s="1"/>
  <c r="B20" i="462"/>
  <c r="F14" i="462" s="1"/>
  <c r="B19" i="462"/>
  <c r="F13" i="462" s="1"/>
  <c r="B18" i="462"/>
  <c r="F12" i="462" s="1"/>
  <c r="B17" i="462"/>
  <c r="F11" i="462" s="1"/>
  <c r="B16" i="462"/>
  <c r="F10" i="462" s="1"/>
  <c r="B15" i="462"/>
  <c r="F9" i="462" s="1"/>
  <c r="B14" i="462"/>
  <c r="F8" i="462" s="1"/>
  <c r="B13" i="462"/>
  <c r="F7" i="462" s="1"/>
  <c r="B12" i="462"/>
  <c r="F6" i="462" s="1"/>
  <c r="E39" i="461"/>
  <c r="E38" i="461"/>
  <c r="E37" i="461"/>
  <c r="E35" i="461"/>
  <c r="E34" i="461"/>
  <c r="E33" i="461"/>
  <c r="E32" i="461"/>
  <c r="E26" i="461"/>
  <c r="E25" i="461"/>
  <c r="E24" i="461"/>
  <c r="E22" i="461"/>
  <c r="E21" i="461"/>
  <c r="E20" i="461"/>
  <c r="B20" i="461"/>
  <c r="I14" i="461" s="1"/>
  <c r="E19" i="461"/>
  <c r="B19" i="461"/>
  <c r="I13" i="461" s="1"/>
  <c r="B18" i="461"/>
  <c r="I12" i="461" s="1"/>
  <c r="B17" i="461"/>
  <c r="I11" i="461" s="1"/>
  <c r="B16" i="461"/>
  <c r="I10" i="461" s="1"/>
  <c r="B15" i="461"/>
  <c r="I9" i="461" s="1"/>
  <c r="B14" i="461"/>
  <c r="I8" i="461" s="1"/>
  <c r="E13" i="461"/>
  <c r="B13" i="461"/>
  <c r="I7" i="461" s="1"/>
  <c r="E12" i="461"/>
  <c r="B12" i="461"/>
  <c r="I6" i="461" s="1"/>
  <c r="E11" i="461"/>
  <c r="E9" i="461"/>
  <c r="I18" i="461" s="1"/>
  <c r="E8" i="461"/>
  <c r="I17" i="461" s="1"/>
  <c r="E7" i="461"/>
  <c r="I16" i="461" s="1"/>
  <c r="E6" i="461"/>
  <c r="I15" i="461" s="1"/>
  <c r="E39" i="460"/>
  <c r="E38" i="460"/>
  <c r="E37" i="460"/>
  <c r="E35" i="460"/>
  <c r="E34" i="460"/>
  <c r="E33" i="460"/>
  <c r="E32" i="460"/>
  <c r="E26" i="460"/>
  <c r="E25" i="460"/>
  <c r="E24" i="460"/>
  <c r="E22" i="460"/>
  <c r="E21" i="460"/>
  <c r="E20" i="460"/>
  <c r="B20" i="460"/>
  <c r="I14" i="460" s="1"/>
  <c r="E19" i="460"/>
  <c r="B19" i="460"/>
  <c r="I13" i="460" s="1"/>
  <c r="B18" i="460"/>
  <c r="I12" i="460" s="1"/>
  <c r="B17" i="460"/>
  <c r="I11" i="460" s="1"/>
  <c r="B16" i="460"/>
  <c r="I10" i="460" s="1"/>
  <c r="B15" i="460"/>
  <c r="I9" i="460" s="1"/>
  <c r="B14" i="460"/>
  <c r="I8" i="460" s="1"/>
  <c r="E13" i="460"/>
  <c r="B13" i="460"/>
  <c r="I7" i="460" s="1"/>
  <c r="E12" i="460"/>
  <c r="B12" i="460"/>
  <c r="I6" i="460" s="1"/>
  <c r="E11" i="460"/>
  <c r="E9" i="460"/>
  <c r="I18" i="460" s="1"/>
  <c r="E8" i="460"/>
  <c r="I17" i="460" s="1"/>
  <c r="E7" i="460"/>
  <c r="I16" i="460" s="1"/>
  <c r="E6" i="460"/>
  <c r="I15" i="460" s="1"/>
  <c r="E39" i="459"/>
  <c r="E38" i="459"/>
  <c r="E37" i="459"/>
  <c r="E35" i="459"/>
  <c r="E34" i="459"/>
  <c r="E33" i="459"/>
  <c r="E32" i="459"/>
  <c r="E26" i="459"/>
  <c r="E25" i="459"/>
  <c r="E24" i="459"/>
  <c r="E22" i="459"/>
  <c r="E21" i="459"/>
  <c r="E20" i="459"/>
  <c r="B20" i="459"/>
  <c r="I14" i="459" s="1"/>
  <c r="E19" i="459"/>
  <c r="B19" i="459"/>
  <c r="I13" i="459" s="1"/>
  <c r="B18" i="459"/>
  <c r="I12" i="459" s="1"/>
  <c r="B17" i="459"/>
  <c r="I11" i="459" s="1"/>
  <c r="B16" i="459"/>
  <c r="I10" i="459" s="1"/>
  <c r="B15" i="459"/>
  <c r="I9" i="459" s="1"/>
  <c r="B14" i="459"/>
  <c r="I8" i="459" s="1"/>
  <c r="E13" i="459"/>
  <c r="B13" i="459"/>
  <c r="I7" i="459" s="1"/>
  <c r="E12" i="459"/>
  <c r="B12" i="459"/>
  <c r="I6" i="459" s="1"/>
  <c r="E11" i="459"/>
  <c r="E9" i="459"/>
  <c r="I18" i="459" s="1"/>
  <c r="E8" i="459"/>
  <c r="I17" i="459" s="1"/>
  <c r="E7" i="459"/>
  <c r="I16" i="459" s="1"/>
  <c r="E6" i="459"/>
  <c r="I15" i="459" s="1"/>
  <c r="A3" i="10" a="1"/>
  <c r="A3" i="10" s="1"/>
  <c r="A3" i="8" a="1"/>
  <c r="A3" i="8" s="1"/>
  <c r="E6" i="389"/>
  <c r="H6" i="389" s="1"/>
  <c r="E5" i="389"/>
  <c r="H5" i="389" s="1"/>
  <c r="E4" i="389"/>
  <c r="H4" i="389" s="1"/>
  <c r="B21" i="458"/>
  <c r="F15" i="458" s="1"/>
  <c r="B20" i="458"/>
  <c r="F14" i="458" s="1"/>
  <c r="B19" i="458"/>
  <c r="F13" i="458" s="1"/>
  <c r="B18" i="458"/>
  <c r="F12" i="458" s="1"/>
  <c r="B17" i="458"/>
  <c r="F11" i="458" s="1"/>
  <c r="B16" i="458"/>
  <c r="F10" i="458" s="1"/>
  <c r="B15" i="458"/>
  <c r="F9" i="458" s="1"/>
  <c r="B14" i="458"/>
  <c r="F8" i="458" s="1"/>
  <c r="B13" i="458"/>
  <c r="F7" i="458" s="1"/>
  <c r="B12" i="458"/>
  <c r="F6" i="458" s="1"/>
  <c r="E39" i="457"/>
  <c r="E38" i="457"/>
  <c r="E37" i="457"/>
  <c r="E35" i="457"/>
  <c r="E34" i="457"/>
  <c r="E33" i="457"/>
  <c r="E32" i="457"/>
  <c r="E26" i="457"/>
  <c r="E25" i="457"/>
  <c r="E24" i="457"/>
  <c r="E22" i="457"/>
  <c r="E21" i="457"/>
  <c r="E20" i="457"/>
  <c r="B20" i="457"/>
  <c r="I14" i="457" s="1"/>
  <c r="E19" i="457"/>
  <c r="B19" i="457"/>
  <c r="I13" i="457" s="1"/>
  <c r="B18" i="457"/>
  <c r="I12" i="457" s="1"/>
  <c r="B17" i="457"/>
  <c r="I11" i="457" s="1"/>
  <c r="B16" i="457"/>
  <c r="I10" i="457" s="1"/>
  <c r="B15" i="457"/>
  <c r="I9" i="457" s="1"/>
  <c r="B14" i="457"/>
  <c r="I8" i="457" s="1"/>
  <c r="E13" i="457"/>
  <c r="B13" i="457"/>
  <c r="I7" i="457" s="1"/>
  <c r="E12" i="457"/>
  <c r="B12" i="457"/>
  <c r="I6" i="457" s="1"/>
  <c r="E11" i="457"/>
  <c r="E9" i="457"/>
  <c r="I18" i="457" s="1"/>
  <c r="E8" i="457"/>
  <c r="I17" i="457" s="1"/>
  <c r="E7" i="457"/>
  <c r="I16" i="457" s="1"/>
  <c r="E6" i="457"/>
  <c r="I15" i="457" s="1"/>
  <c r="B21" i="456"/>
  <c r="F15" i="456" s="1"/>
  <c r="B20" i="456"/>
  <c r="F14" i="456" s="1"/>
  <c r="B19" i="456"/>
  <c r="F13" i="456" s="1"/>
  <c r="B18" i="456"/>
  <c r="F12" i="456" s="1"/>
  <c r="B17" i="456"/>
  <c r="F11" i="456" s="1"/>
  <c r="B16" i="456"/>
  <c r="F10" i="456" s="1"/>
  <c r="B15" i="456"/>
  <c r="F9" i="456" s="1"/>
  <c r="B14" i="456"/>
  <c r="F8" i="456" s="1"/>
  <c r="B13" i="456"/>
  <c r="F7" i="456" s="1"/>
  <c r="B12" i="456"/>
  <c r="F6" i="456" s="1"/>
  <c r="B21" i="455"/>
  <c r="F15" i="455" s="1"/>
  <c r="B20" i="455"/>
  <c r="F14" i="455" s="1"/>
  <c r="B19" i="455"/>
  <c r="F13" i="455" s="1"/>
  <c r="B18" i="455"/>
  <c r="F12" i="455" s="1"/>
  <c r="B17" i="455"/>
  <c r="F11" i="455" s="1"/>
  <c r="B16" i="455"/>
  <c r="F10" i="455" s="1"/>
  <c r="B15" i="455"/>
  <c r="F9" i="455" s="1"/>
  <c r="B14" i="455"/>
  <c r="F8" i="455" s="1"/>
  <c r="B13" i="455"/>
  <c r="F7" i="455" s="1"/>
  <c r="B12" i="455"/>
  <c r="F6" i="455" s="1"/>
  <c r="B21" i="454"/>
  <c r="F15" i="454" s="1"/>
  <c r="B20" i="454"/>
  <c r="F14" i="454" s="1"/>
  <c r="B19" i="454"/>
  <c r="F13" i="454" s="1"/>
  <c r="B18" i="454"/>
  <c r="F12" i="454" s="1"/>
  <c r="B17" i="454"/>
  <c r="F11" i="454" s="1"/>
  <c r="B16" i="454"/>
  <c r="F10" i="454" s="1"/>
  <c r="B15" i="454"/>
  <c r="F9" i="454" s="1"/>
  <c r="B14" i="454"/>
  <c r="F8" i="454" s="1"/>
  <c r="B13" i="454"/>
  <c r="F7" i="454" s="1"/>
  <c r="B12" i="454"/>
  <c r="F6" i="454" s="1"/>
  <c r="E39" i="453"/>
  <c r="E38" i="453"/>
  <c r="E37" i="453"/>
  <c r="E35" i="453"/>
  <c r="E34" i="453"/>
  <c r="E33" i="453"/>
  <c r="E32" i="453"/>
  <c r="E26" i="453"/>
  <c r="E25" i="453"/>
  <c r="E24" i="453"/>
  <c r="E22" i="453"/>
  <c r="E21" i="453"/>
  <c r="E20" i="453"/>
  <c r="B20" i="453"/>
  <c r="I14" i="453" s="1"/>
  <c r="E19" i="453"/>
  <c r="B19" i="453"/>
  <c r="I13" i="453" s="1"/>
  <c r="B18" i="453"/>
  <c r="I12" i="453" s="1"/>
  <c r="B17" i="453"/>
  <c r="I11" i="453" s="1"/>
  <c r="B16" i="453"/>
  <c r="I10" i="453" s="1"/>
  <c r="B15" i="453"/>
  <c r="I9" i="453" s="1"/>
  <c r="B14" i="453"/>
  <c r="I8" i="453" s="1"/>
  <c r="E13" i="453"/>
  <c r="B13" i="453"/>
  <c r="I7" i="453" s="1"/>
  <c r="E12" i="453"/>
  <c r="B12" i="453"/>
  <c r="I6" i="453" s="1"/>
  <c r="E11" i="453"/>
  <c r="E9" i="453"/>
  <c r="I18" i="453" s="1"/>
  <c r="E8" i="453"/>
  <c r="I17" i="453" s="1"/>
  <c r="E7" i="453"/>
  <c r="I16" i="453" s="1"/>
  <c r="E6" i="453"/>
  <c r="I15" i="453" s="1"/>
  <c r="E39" i="452"/>
  <c r="E38" i="452"/>
  <c r="E37" i="452"/>
  <c r="E35" i="452"/>
  <c r="E34" i="452"/>
  <c r="E33" i="452"/>
  <c r="E32" i="452"/>
  <c r="E26" i="452"/>
  <c r="E25" i="452"/>
  <c r="E24" i="452"/>
  <c r="E22" i="452"/>
  <c r="E21" i="452"/>
  <c r="E20" i="452"/>
  <c r="B20" i="452"/>
  <c r="I14" i="452" s="1"/>
  <c r="E19" i="452"/>
  <c r="B19" i="452"/>
  <c r="I13" i="452" s="1"/>
  <c r="B18" i="452"/>
  <c r="I12" i="452" s="1"/>
  <c r="B17" i="452"/>
  <c r="I11" i="452" s="1"/>
  <c r="B16" i="452"/>
  <c r="I10" i="452" s="1"/>
  <c r="B15" i="452"/>
  <c r="I9" i="452" s="1"/>
  <c r="B14" i="452"/>
  <c r="I8" i="452" s="1"/>
  <c r="E13" i="452"/>
  <c r="B13" i="452"/>
  <c r="I7" i="452" s="1"/>
  <c r="E12" i="452"/>
  <c r="B12" i="452"/>
  <c r="I6" i="452" s="1"/>
  <c r="E11" i="452"/>
  <c r="E9" i="452"/>
  <c r="I18" i="452" s="1"/>
  <c r="E8" i="452"/>
  <c r="I17" i="452" s="1"/>
  <c r="E7" i="452"/>
  <c r="I16" i="452" s="1"/>
  <c r="E6" i="452"/>
  <c r="I15" i="452" s="1"/>
  <c r="E39" i="451"/>
  <c r="E38" i="451"/>
  <c r="E37" i="451"/>
  <c r="E35" i="451"/>
  <c r="E34" i="451"/>
  <c r="E33" i="451"/>
  <c r="E32" i="451"/>
  <c r="E26" i="451"/>
  <c r="E25" i="451"/>
  <c r="E24" i="451"/>
  <c r="E22" i="451"/>
  <c r="E21" i="451"/>
  <c r="E20" i="451"/>
  <c r="B20" i="451"/>
  <c r="I14" i="451" s="1"/>
  <c r="E19" i="451"/>
  <c r="B19" i="451"/>
  <c r="I13" i="451" s="1"/>
  <c r="B18" i="451"/>
  <c r="I12" i="451" s="1"/>
  <c r="B17" i="451"/>
  <c r="I11" i="451" s="1"/>
  <c r="B16" i="451"/>
  <c r="I10" i="451" s="1"/>
  <c r="B15" i="451"/>
  <c r="I9" i="451" s="1"/>
  <c r="B14" i="451"/>
  <c r="I8" i="451" s="1"/>
  <c r="E13" i="451"/>
  <c r="B13" i="451"/>
  <c r="I7" i="451" s="1"/>
  <c r="E12" i="451"/>
  <c r="B12" i="451"/>
  <c r="I6" i="451" s="1"/>
  <c r="E11" i="451"/>
  <c r="E9" i="451"/>
  <c r="I18" i="451" s="1"/>
  <c r="E8" i="451"/>
  <c r="I17" i="451" s="1"/>
  <c r="E7" i="451"/>
  <c r="I16" i="451" s="1"/>
  <c r="E6" i="451"/>
  <c r="I15" i="451" s="1"/>
  <c r="BB13" i="6"/>
  <c r="B21" i="450"/>
  <c r="F15" i="450" s="1"/>
  <c r="B20" i="450"/>
  <c r="F14" i="450" s="1"/>
  <c r="B19" i="450"/>
  <c r="F13" i="450" s="1"/>
  <c r="B18" i="450"/>
  <c r="F12" i="450" s="1"/>
  <c r="B17" i="450"/>
  <c r="F11" i="450" s="1"/>
  <c r="B16" i="450"/>
  <c r="F10" i="450" s="1"/>
  <c r="B15" i="450"/>
  <c r="F9" i="450" s="1"/>
  <c r="B14" i="450"/>
  <c r="F8" i="450" s="1"/>
  <c r="B13" i="450"/>
  <c r="F7" i="450" s="1"/>
  <c r="B12" i="450"/>
  <c r="F6" i="450" s="1"/>
  <c r="E39" i="449"/>
  <c r="E38" i="449"/>
  <c r="E37" i="449"/>
  <c r="E35" i="449"/>
  <c r="E34" i="449"/>
  <c r="E33" i="449"/>
  <c r="E32" i="449"/>
  <c r="E26" i="449"/>
  <c r="E25" i="449"/>
  <c r="E24" i="449"/>
  <c r="E22" i="449"/>
  <c r="E21" i="449"/>
  <c r="E20" i="449"/>
  <c r="B20" i="449"/>
  <c r="I14" i="449" s="1"/>
  <c r="E19" i="449"/>
  <c r="B19" i="449"/>
  <c r="I13" i="449" s="1"/>
  <c r="B18" i="449"/>
  <c r="I12" i="449" s="1"/>
  <c r="B17" i="449"/>
  <c r="I11" i="449" s="1"/>
  <c r="B16" i="449"/>
  <c r="I10" i="449" s="1"/>
  <c r="B15" i="449"/>
  <c r="I9" i="449" s="1"/>
  <c r="B14" i="449"/>
  <c r="I8" i="449" s="1"/>
  <c r="E13" i="449"/>
  <c r="B13" i="449"/>
  <c r="I7" i="449" s="1"/>
  <c r="E12" i="449"/>
  <c r="B12" i="449"/>
  <c r="I6" i="449" s="1"/>
  <c r="E11" i="449"/>
  <c r="E9" i="449"/>
  <c r="I18" i="449" s="1"/>
  <c r="E8" i="449"/>
  <c r="I17" i="449" s="1"/>
  <c r="E7" i="449"/>
  <c r="I16" i="449" s="1"/>
  <c r="E6" i="449"/>
  <c r="I15" i="449" s="1"/>
  <c r="B21" i="448"/>
  <c r="F15" i="448" s="1"/>
  <c r="B20" i="448"/>
  <c r="F14" i="448" s="1"/>
  <c r="B19" i="448"/>
  <c r="F13" i="448" s="1"/>
  <c r="B18" i="448"/>
  <c r="F12" i="448" s="1"/>
  <c r="B17" i="448"/>
  <c r="F11" i="448" s="1"/>
  <c r="B16" i="448"/>
  <c r="F10" i="448" s="1"/>
  <c r="B15" i="448"/>
  <c r="F9" i="448" s="1"/>
  <c r="B14" i="448"/>
  <c r="F8" i="448" s="1"/>
  <c r="B13" i="448"/>
  <c r="F7" i="448" s="1"/>
  <c r="B12" i="448"/>
  <c r="F6" i="448" s="1"/>
  <c r="B21" i="447"/>
  <c r="F15" i="447" s="1"/>
  <c r="B20" i="447"/>
  <c r="F14" i="447" s="1"/>
  <c r="B19" i="447"/>
  <c r="F13" i="447" s="1"/>
  <c r="B18" i="447"/>
  <c r="F12" i="447" s="1"/>
  <c r="B17" i="447"/>
  <c r="F11" i="447" s="1"/>
  <c r="B16" i="447"/>
  <c r="F10" i="447" s="1"/>
  <c r="B15" i="447"/>
  <c r="F9" i="447" s="1"/>
  <c r="B14" i="447"/>
  <c r="F8" i="447" s="1"/>
  <c r="B13" i="447"/>
  <c r="F7" i="447" s="1"/>
  <c r="B12" i="447"/>
  <c r="F6" i="447" s="1"/>
  <c r="E39" i="446"/>
  <c r="E38" i="446"/>
  <c r="E37" i="446"/>
  <c r="E35" i="446"/>
  <c r="E34" i="446"/>
  <c r="E33" i="446"/>
  <c r="E32" i="446"/>
  <c r="E26" i="446"/>
  <c r="E25" i="446"/>
  <c r="E24" i="446"/>
  <c r="E22" i="446"/>
  <c r="E21" i="446"/>
  <c r="E20" i="446"/>
  <c r="B20" i="446"/>
  <c r="I14" i="446" s="1"/>
  <c r="E19" i="446"/>
  <c r="B19" i="446"/>
  <c r="I13" i="446" s="1"/>
  <c r="B18" i="446"/>
  <c r="I12" i="446" s="1"/>
  <c r="B17" i="446"/>
  <c r="I11" i="446" s="1"/>
  <c r="B16" i="446"/>
  <c r="I10" i="446" s="1"/>
  <c r="B15" i="446"/>
  <c r="I9" i="446" s="1"/>
  <c r="B14" i="446"/>
  <c r="I8" i="446" s="1"/>
  <c r="E13" i="446"/>
  <c r="B13" i="446"/>
  <c r="I7" i="446" s="1"/>
  <c r="E12" i="446"/>
  <c r="B12" i="446"/>
  <c r="I6" i="446" s="1"/>
  <c r="E11" i="446"/>
  <c r="E9" i="446"/>
  <c r="I18" i="446" s="1"/>
  <c r="E8" i="446"/>
  <c r="I17" i="446" s="1"/>
  <c r="E7" i="446"/>
  <c r="I16" i="446" s="1"/>
  <c r="E6" i="446"/>
  <c r="I15" i="446" s="1"/>
  <c r="C19" i="6"/>
  <c r="A10" i="353" a="1"/>
  <c r="B21" i="445"/>
  <c r="F15" i="445" s="1"/>
  <c r="B20" i="445"/>
  <c r="F14" i="445" s="1"/>
  <c r="B19" i="445"/>
  <c r="F13" i="445" s="1"/>
  <c r="B18" i="445"/>
  <c r="F12" i="445" s="1"/>
  <c r="B17" i="445"/>
  <c r="F11" i="445" s="1"/>
  <c r="B16" i="445"/>
  <c r="F10" i="445" s="1"/>
  <c r="B15" i="445"/>
  <c r="F9" i="445" s="1"/>
  <c r="B14" i="445"/>
  <c r="F8" i="445" s="1"/>
  <c r="B13" i="445"/>
  <c r="F7" i="445" s="1"/>
  <c r="B12" i="445"/>
  <c r="F6" i="445" s="1"/>
  <c r="E39" i="444"/>
  <c r="E38" i="444"/>
  <c r="E37" i="444"/>
  <c r="E35" i="444"/>
  <c r="E34" i="444"/>
  <c r="E33" i="444"/>
  <c r="E32" i="444"/>
  <c r="E26" i="444"/>
  <c r="E25" i="444"/>
  <c r="E24" i="444"/>
  <c r="E22" i="444"/>
  <c r="E21" i="444"/>
  <c r="E20" i="444"/>
  <c r="B20" i="444"/>
  <c r="I14" i="444" s="1"/>
  <c r="E19" i="444"/>
  <c r="B19" i="444"/>
  <c r="I13" i="444" s="1"/>
  <c r="B18" i="444"/>
  <c r="I12" i="444" s="1"/>
  <c r="B17" i="444"/>
  <c r="I11" i="444" s="1"/>
  <c r="E7" i="444"/>
  <c r="I16" i="444" s="1"/>
  <c r="B16" i="444"/>
  <c r="I10" i="444" s="1"/>
  <c r="B15" i="444"/>
  <c r="I9" i="444" s="1"/>
  <c r="B14" i="444"/>
  <c r="I8" i="444" s="1"/>
  <c r="E13" i="444"/>
  <c r="B13" i="444"/>
  <c r="I7" i="444" s="1"/>
  <c r="E12" i="444"/>
  <c r="B12" i="444"/>
  <c r="I6" i="444" s="1"/>
  <c r="E11" i="444"/>
  <c r="E9" i="444"/>
  <c r="I18" i="444" s="1"/>
  <c r="E8" i="444"/>
  <c r="I17" i="444" s="1"/>
  <c r="E6" i="444"/>
  <c r="I15" i="444" s="1"/>
  <c r="E39" i="443"/>
  <c r="E38" i="443"/>
  <c r="E37" i="443"/>
  <c r="E35" i="443"/>
  <c r="E34" i="443"/>
  <c r="E33" i="443"/>
  <c r="E32" i="443"/>
  <c r="E26" i="443"/>
  <c r="E25" i="443"/>
  <c r="E24" i="443"/>
  <c r="E22" i="443"/>
  <c r="E21" i="443"/>
  <c r="E20" i="443"/>
  <c r="B20" i="443"/>
  <c r="I14" i="443" s="1"/>
  <c r="E19" i="443"/>
  <c r="B19" i="443"/>
  <c r="I13" i="443" s="1"/>
  <c r="B18" i="443"/>
  <c r="I12" i="443" s="1"/>
  <c r="B17" i="443"/>
  <c r="I11" i="443" s="1"/>
  <c r="B16" i="443"/>
  <c r="I10" i="443" s="1"/>
  <c r="B15" i="443"/>
  <c r="I9" i="443" s="1"/>
  <c r="B14" i="443"/>
  <c r="I8" i="443" s="1"/>
  <c r="E13" i="443"/>
  <c r="B13" i="443"/>
  <c r="I7" i="443" s="1"/>
  <c r="E12" i="443"/>
  <c r="B12" i="443"/>
  <c r="I6" i="443" s="1"/>
  <c r="E11" i="443"/>
  <c r="E9" i="443"/>
  <c r="I18" i="443" s="1"/>
  <c r="E8" i="443"/>
  <c r="I17" i="443" s="1"/>
  <c r="E7" i="443"/>
  <c r="I16" i="443" s="1"/>
  <c r="E6" i="443"/>
  <c r="I15" i="443" s="1"/>
  <c r="B21" i="442"/>
  <c r="F15" i="442" s="1"/>
  <c r="B20" i="442"/>
  <c r="F14" i="442" s="1"/>
  <c r="B19" i="442"/>
  <c r="F13" i="442" s="1"/>
  <c r="B18" i="442"/>
  <c r="F12" i="442" s="1"/>
  <c r="B17" i="442"/>
  <c r="F11" i="442" s="1"/>
  <c r="B16" i="442"/>
  <c r="F10" i="442" s="1"/>
  <c r="B15" i="442"/>
  <c r="F9" i="442" s="1"/>
  <c r="B14" i="442"/>
  <c r="F8" i="442" s="1"/>
  <c r="B13" i="442"/>
  <c r="F7" i="442" s="1"/>
  <c r="B12" i="442"/>
  <c r="F6" i="442" s="1"/>
  <c r="B21" i="440"/>
  <c r="F15" i="440" s="1"/>
  <c r="B20" i="440"/>
  <c r="F14" i="440" s="1"/>
  <c r="B19" i="440"/>
  <c r="F13" i="440" s="1"/>
  <c r="B18" i="440"/>
  <c r="F12" i="440" s="1"/>
  <c r="B17" i="440"/>
  <c r="F11" i="440" s="1"/>
  <c r="B16" i="440"/>
  <c r="F10" i="440" s="1"/>
  <c r="B15" i="440"/>
  <c r="F9" i="440" s="1"/>
  <c r="B14" i="440"/>
  <c r="F8" i="440" s="1"/>
  <c r="B13" i="440"/>
  <c r="F7" i="440" s="1"/>
  <c r="B12" i="440"/>
  <c r="F6" i="440" s="1"/>
  <c r="E39" i="437"/>
  <c r="E38" i="437"/>
  <c r="E37" i="437"/>
  <c r="E35" i="437"/>
  <c r="E34" i="437"/>
  <c r="E33" i="437"/>
  <c r="E32" i="437"/>
  <c r="E26" i="437"/>
  <c r="E25" i="437"/>
  <c r="E24" i="437"/>
  <c r="E22" i="437"/>
  <c r="E21" i="437"/>
  <c r="E20" i="437"/>
  <c r="B20" i="437"/>
  <c r="I14" i="437" s="1"/>
  <c r="E19" i="437"/>
  <c r="B19" i="437"/>
  <c r="I13" i="437" s="1"/>
  <c r="B18" i="437"/>
  <c r="I12" i="437" s="1"/>
  <c r="B17" i="437"/>
  <c r="I11" i="437" s="1"/>
  <c r="B16" i="437"/>
  <c r="I10" i="437" s="1"/>
  <c r="B15" i="437"/>
  <c r="I9" i="437" s="1"/>
  <c r="B14" i="437"/>
  <c r="I8" i="437" s="1"/>
  <c r="E13" i="437"/>
  <c r="B13" i="437"/>
  <c r="I7" i="437" s="1"/>
  <c r="E12" i="437"/>
  <c r="B12" i="437"/>
  <c r="I6" i="437" s="1"/>
  <c r="E11" i="437"/>
  <c r="E9" i="437"/>
  <c r="I18" i="437" s="1"/>
  <c r="E8" i="437"/>
  <c r="I17" i="437" s="1"/>
  <c r="E7" i="437"/>
  <c r="I16" i="437" s="1"/>
  <c r="E6" i="437"/>
  <c r="I15" i="437" s="1"/>
  <c r="E39" i="436"/>
  <c r="E38" i="436"/>
  <c r="E37" i="436"/>
  <c r="E35" i="436"/>
  <c r="E34" i="436"/>
  <c r="E33" i="436"/>
  <c r="E32" i="436"/>
  <c r="E26" i="436"/>
  <c r="E25" i="436"/>
  <c r="E24" i="436"/>
  <c r="E22" i="436"/>
  <c r="E21" i="436"/>
  <c r="E20" i="436"/>
  <c r="B20" i="436"/>
  <c r="I14" i="436" s="1"/>
  <c r="E19" i="436"/>
  <c r="B19" i="436"/>
  <c r="I13" i="436" s="1"/>
  <c r="B18" i="436"/>
  <c r="I12" i="436" s="1"/>
  <c r="B17" i="436"/>
  <c r="I11" i="436" s="1"/>
  <c r="B16" i="436"/>
  <c r="I10" i="436" s="1"/>
  <c r="B15" i="436"/>
  <c r="I9" i="436" s="1"/>
  <c r="B14" i="436"/>
  <c r="I8" i="436" s="1"/>
  <c r="E13" i="436"/>
  <c r="B13" i="436"/>
  <c r="I7" i="436" s="1"/>
  <c r="E12" i="436"/>
  <c r="B12" i="436"/>
  <c r="I6" i="436" s="1"/>
  <c r="E11" i="436"/>
  <c r="E9" i="436"/>
  <c r="I18" i="436" s="1"/>
  <c r="E8" i="436"/>
  <c r="I17" i="436" s="1"/>
  <c r="E7" i="436"/>
  <c r="I16" i="436" s="1"/>
  <c r="E6" i="436"/>
  <c r="I15" i="436" s="1"/>
  <c r="E35" i="432"/>
  <c r="E22" i="432"/>
  <c r="E9" i="432"/>
  <c r="I18" i="432" s="1"/>
  <c r="BB12" i="6"/>
  <c r="B21" i="434"/>
  <c r="F15" i="434" s="1"/>
  <c r="B20" i="434"/>
  <c r="F14" i="434" s="1"/>
  <c r="B19" i="434"/>
  <c r="F13" i="434" s="1"/>
  <c r="B18" i="434"/>
  <c r="F12" i="434" s="1"/>
  <c r="B17" i="434"/>
  <c r="F11" i="434" s="1"/>
  <c r="B16" i="434"/>
  <c r="F10" i="434" s="1"/>
  <c r="B15" i="434"/>
  <c r="F9" i="434" s="1"/>
  <c r="B14" i="434"/>
  <c r="F8" i="434" s="1"/>
  <c r="B13" i="434"/>
  <c r="F7" i="434" s="1"/>
  <c r="B12" i="434"/>
  <c r="F6" i="434" s="1"/>
  <c r="B21" i="433"/>
  <c r="F15" i="433" s="1"/>
  <c r="B20" i="433"/>
  <c r="F14" i="433" s="1"/>
  <c r="B19" i="433"/>
  <c r="F13" i="433" s="1"/>
  <c r="B18" i="433"/>
  <c r="F12" i="433" s="1"/>
  <c r="B17" i="433"/>
  <c r="F11" i="433" s="1"/>
  <c r="B16" i="433"/>
  <c r="F10" i="433" s="1"/>
  <c r="B15" i="433"/>
  <c r="F9" i="433" s="1"/>
  <c r="B14" i="433"/>
  <c r="F8" i="433" s="1"/>
  <c r="B13" i="433"/>
  <c r="F7" i="433" s="1"/>
  <c r="B12" i="433"/>
  <c r="F6" i="433" s="1"/>
  <c r="E39" i="432"/>
  <c r="E38" i="432"/>
  <c r="E37" i="432"/>
  <c r="E34" i="432"/>
  <c r="E33" i="432"/>
  <c r="E32" i="432"/>
  <c r="E26" i="432"/>
  <c r="E25" i="432"/>
  <c r="E24" i="432"/>
  <c r="E21" i="432"/>
  <c r="E20" i="432"/>
  <c r="B20" i="432"/>
  <c r="I14" i="432" s="1"/>
  <c r="E19" i="432"/>
  <c r="B19" i="432"/>
  <c r="I13" i="432" s="1"/>
  <c r="B18" i="432"/>
  <c r="I12" i="432" s="1"/>
  <c r="B17" i="432"/>
  <c r="I11" i="432" s="1"/>
  <c r="B16" i="432"/>
  <c r="I10" i="432" s="1"/>
  <c r="B15" i="432"/>
  <c r="I9" i="432" s="1"/>
  <c r="B14" i="432"/>
  <c r="I8" i="432" s="1"/>
  <c r="E13" i="432"/>
  <c r="B13" i="432"/>
  <c r="I7" i="432" s="1"/>
  <c r="E12" i="432"/>
  <c r="B12" i="432"/>
  <c r="I6" i="432" s="1"/>
  <c r="E11" i="432"/>
  <c r="E8" i="432"/>
  <c r="I17" i="432" s="1"/>
  <c r="E7" i="432"/>
  <c r="I16" i="432" s="1"/>
  <c r="E6" i="432"/>
  <c r="I15" i="432" s="1"/>
  <c r="E39" i="431"/>
  <c r="E38" i="431"/>
  <c r="E37" i="431"/>
  <c r="E35" i="431"/>
  <c r="E34" i="431"/>
  <c r="E33" i="431"/>
  <c r="E32" i="431"/>
  <c r="E26" i="431"/>
  <c r="E25" i="431"/>
  <c r="E24" i="431"/>
  <c r="E22" i="431"/>
  <c r="E21" i="431"/>
  <c r="E20" i="431"/>
  <c r="B20" i="431"/>
  <c r="I14" i="431" s="1"/>
  <c r="E19" i="431"/>
  <c r="B19" i="431"/>
  <c r="I13" i="431" s="1"/>
  <c r="B18" i="431"/>
  <c r="I12" i="431" s="1"/>
  <c r="B17" i="431"/>
  <c r="I11" i="431" s="1"/>
  <c r="B16" i="431"/>
  <c r="I10" i="431" s="1"/>
  <c r="B15" i="431"/>
  <c r="I9" i="431" s="1"/>
  <c r="B14" i="431"/>
  <c r="I8" i="431" s="1"/>
  <c r="E13" i="431"/>
  <c r="B13" i="431"/>
  <c r="I7" i="431" s="1"/>
  <c r="E12" i="431"/>
  <c r="B12" i="431"/>
  <c r="I6" i="431" s="1"/>
  <c r="E11" i="431"/>
  <c r="E9" i="431"/>
  <c r="I18" i="431" s="1"/>
  <c r="E8" i="431"/>
  <c r="I17" i="431" s="1"/>
  <c r="E7" i="431"/>
  <c r="I16" i="431" s="1"/>
  <c r="E6" i="431"/>
  <c r="I15" i="431" s="1"/>
  <c r="G5" i="389"/>
  <c r="G4" i="389"/>
  <c r="S23" i="375"/>
  <c r="S17" i="375"/>
  <c r="R17" i="375"/>
  <c r="Q17" i="375"/>
  <c r="R23" i="375"/>
  <c r="Q23" i="375"/>
  <c r="E21" i="423"/>
  <c r="E20" i="423"/>
  <c r="E19" i="423"/>
  <c r="E8" i="423"/>
  <c r="I17" i="423" s="1"/>
  <c r="E7" i="423"/>
  <c r="I16" i="423" s="1"/>
  <c r="E6" i="423"/>
  <c r="I15" i="423" s="1"/>
  <c r="E21" i="422"/>
  <c r="E20" i="422"/>
  <c r="E19" i="422"/>
  <c r="E8" i="422"/>
  <c r="I17" i="422" s="1"/>
  <c r="E7" i="422"/>
  <c r="I16" i="422" s="1"/>
  <c r="E6" i="422"/>
  <c r="I15" i="422" s="1"/>
  <c r="E21" i="408"/>
  <c r="E20" i="408"/>
  <c r="E19" i="408"/>
  <c r="E8" i="408"/>
  <c r="I17" i="408" s="1"/>
  <c r="E7" i="408"/>
  <c r="I16" i="408" s="1"/>
  <c r="E6" i="408"/>
  <c r="I15" i="408" s="1"/>
  <c r="E21" i="407"/>
  <c r="E20" i="407"/>
  <c r="E19" i="407"/>
  <c r="E8" i="407"/>
  <c r="I17" i="407" s="1"/>
  <c r="E7" i="407"/>
  <c r="I16" i="407" s="1"/>
  <c r="E6" i="407"/>
  <c r="I15" i="407" s="1"/>
  <c r="E21" i="406"/>
  <c r="E20" i="406"/>
  <c r="E19" i="406"/>
  <c r="E8" i="406"/>
  <c r="I17" i="406" s="1"/>
  <c r="E7" i="406"/>
  <c r="I16" i="406" s="1"/>
  <c r="E6" i="406"/>
  <c r="I15" i="406" s="1"/>
  <c r="E21" i="398"/>
  <c r="E20" i="398"/>
  <c r="E19" i="398"/>
  <c r="E8" i="398"/>
  <c r="I17" i="398" s="1"/>
  <c r="E7" i="398"/>
  <c r="I16" i="398" s="1"/>
  <c r="E6" i="398"/>
  <c r="I15" i="398" s="1"/>
  <c r="E21" i="394"/>
  <c r="E20" i="394"/>
  <c r="E19" i="394"/>
  <c r="E8" i="394"/>
  <c r="I17" i="394" s="1"/>
  <c r="E7" i="394"/>
  <c r="I16" i="394" s="1"/>
  <c r="E6" i="394"/>
  <c r="I15" i="394" s="1"/>
  <c r="F25" i="40"/>
  <c r="F24" i="40"/>
  <c r="F23" i="40"/>
  <c r="F22" i="40"/>
  <c r="F21" i="40"/>
  <c r="E21" i="40"/>
  <c r="F20" i="40"/>
  <c r="E20" i="40"/>
  <c r="F19" i="40"/>
  <c r="E19" i="40"/>
  <c r="C17" i="40"/>
  <c r="F11" i="40"/>
  <c r="E8" i="40"/>
  <c r="I17" i="40" s="1"/>
  <c r="E7" i="40"/>
  <c r="I16" i="40" s="1"/>
  <c r="E6" i="40"/>
  <c r="I15" i="40" s="1"/>
  <c r="S11" i="375"/>
  <c r="R11" i="375"/>
  <c r="Q11" i="375"/>
  <c r="S10" i="375"/>
  <c r="R10" i="375"/>
  <c r="Q10" i="375"/>
  <c r="S9" i="375"/>
  <c r="R9" i="375"/>
  <c r="Q9" i="375"/>
  <c r="S8" i="375"/>
  <c r="P8" i="375" s="1"/>
  <c r="R8" i="375"/>
  <c r="T7" i="375"/>
  <c r="S7" i="375"/>
  <c r="R7" i="375"/>
  <c r="Q7" i="375"/>
  <c r="BB7" i="6"/>
  <c r="AS4" i="6" a="1"/>
  <c r="H14" i="409"/>
  <c r="F47" i="375" s="1"/>
  <c r="E14" i="409"/>
  <c r="E47" i="375" s="1"/>
  <c r="B14" i="409"/>
  <c r="D47" i="375" s="1"/>
  <c r="F37" i="40"/>
  <c r="E34" i="40"/>
  <c r="E33" i="40"/>
  <c r="E32" i="40"/>
  <c r="F27" i="40"/>
  <c r="F26" i="40"/>
  <c r="E34" i="394"/>
  <c r="E33" i="394"/>
  <c r="E32" i="394"/>
  <c r="E34" i="398"/>
  <c r="E33" i="398"/>
  <c r="E32" i="398"/>
  <c r="E34" i="406"/>
  <c r="E33" i="406"/>
  <c r="E32" i="406"/>
  <c r="E34" i="407"/>
  <c r="E33" i="407"/>
  <c r="E32" i="407"/>
  <c r="E34" i="408"/>
  <c r="E33" i="408"/>
  <c r="E32" i="408"/>
  <c r="E34" i="422"/>
  <c r="E33" i="422"/>
  <c r="E32" i="422"/>
  <c r="E34" i="423"/>
  <c r="E33" i="423"/>
  <c r="E32" i="423"/>
  <c r="S29" i="375"/>
  <c r="R29" i="375"/>
  <c r="Q29" i="375"/>
  <c r="S28" i="375"/>
  <c r="R28" i="375"/>
  <c r="Q28" i="375"/>
  <c r="S22" i="375"/>
  <c r="R22" i="375"/>
  <c r="Q22" i="375"/>
  <c r="S16" i="375"/>
  <c r="R16" i="375"/>
  <c r="Q16" i="375"/>
  <c r="A17" i="409" a="1"/>
  <c r="A17" i="409" s="1"/>
  <c r="B21" i="430"/>
  <c r="F15" i="430" s="1"/>
  <c r="B20" i="430"/>
  <c r="F14" i="430" s="1"/>
  <c r="B19" i="430"/>
  <c r="F13" i="430" s="1"/>
  <c r="B18" i="430"/>
  <c r="F12" i="430" s="1"/>
  <c r="B17" i="430"/>
  <c r="F11" i="430" s="1"/>
  <c r="B16" i="430"/>
  <c r="F10" i="430" s="1"/>
  <c r="B15" i="430"/>
  <c r="F9" i="430" s="1"/>
  <c r="B14" i="430"/>
  <c r="F8" i="430" s="1"/>
  <c r="B13" i="430"/>
  <c r="F7" i="430" s="1"/>
  <c r="B12" i="430"/>
  <c r="F6" i="430" s="1"/>
  <c r="B21" i="429"/>
  <c r="F15" i="429" s="1"/>
  <c r="B20" i="429"/>
  <c r="F14" i="429" s="1"/>
  <c r="B19" i="429"/>
  <c r="F13" i="429" s="1"/>
  <c r="B18" i="429"/>
  <c r="F12" i="429" s="1"/>
  <c r="B17" i="429"/>
  <c r="F11" i="429" s="1"/>
  <c r="B16" i="429"/>
  <c r="F10" i="429" s="1"/>
  <c r="B15" i="429"/>
  <c r="F9" i="429" s="1"/>
  <c r="B14" i="429"/>
  <c r="F8" i="429" s="1"/>
  <c r="B13" i="429"/>
  <c r="F7" i="429" s="1"/>
  <c r="B12" i="429"/>
  <c r="F6" i="429" s="1"/>
  <c r="B21" i="428"/>
  <c r="F15" i="428" s="1"/>
  <c r="B20" i="428"/>
  <c r="F14" i="428" s="1"/>
  <c r="B19" i="428"/>
  <c r="F13" i="428" s="1"/>
  <c r="B18" i="428"/>
  <c r="F12" i="428" s="1"/>
  <c r="B17" i="428"/>
  <c r="F11" i="428" s="1"/>
  <c r="B16" i="428"/>
  <c r="F10" i="428" s="1"/>
  <c r="B15" i="428"/>
  <c r="F9" i="428" s="1"/>
  <c r="B14" i="428"/>
  <c r="F8" i="428" s="1"/>
  <c r="B13" i="428"/>
  <c r="F7" i="428" s="1"/>
  <c r="B12" i="428"/>
  <c r="F6" i="428" s="1"/>
  <c r="B21" i="427"/>
  <c r="F15" i="427" s="1"/>
  <c r="B20" i="427"/>
  <c r="F14" i="427" s="1"/>
  <c r="B19" i="427"/>
  <c r="F13" i="427" s="1"/>
  <c r="B18" i="427"/>
  <c r="F12" i="427" s="1"/>
  <c r="B17" i="427"/>
  <c r="F11" i="427" s="1"/>
  <c r="B16" i="427"/>
  <c r="F10" i="427" s="1"/>
  <c r="B15" i="427"/>
  <c r="F9" i="427" s="1"/>
  <c r="B14" i="427"/>
  <c r="F8" i="427" s="1"/>
  <c r="B13" i="427"/>
  <c r="F7" i="427" s="1"/>
  <c r="B12" i="427"/>
  <c r="F6" i="427" s="1"/>
  <c r="B21" i="426"/>
  <c r="F15" i="426" s="1"/>
  <c r="B20" i="426"/>
  <c r="F14" i="426" s="1"/>
  <c r="B19" i="426"/>
  <c r="F13" i="426" s="1"/>
  <c r="B18" i="426"/>
  <c r="F12" i="426" s="1"/>
  <c r="B17" i="426"/>
  <c r="F11" i="426" s="1"/>
  <c r="B16" i="426"/>
  <c r="F10" i="426" s="1"/>
  <c r="B15" i="426"/>
  <c r="F9" i="426" s="1"/>
  <c r="B14" i="426"/>
  <c r="F8" i="426" s="1"/>
  <c r="B13" i="426"/>
  <c r="F7" i="426" s="1"/>
  <c r="B12" i="426"/>
  <c r="F6" i="426" s="1"/>
  <c r="B21" i="425"/>
  <c r="F15" i="425" s="1"/>
  <c r="B20" i="425"/>
  <c r="F14" i="425" s="1"/>
  <c r="B19" i="425"/>
  <c r="F13" i="425" s="1"/>
  <c r="B18" i="425"/>
  <c r="F12" i="425" s="1"/>
  <c r="B17" i="425"/>
  <c r="F11" i="425" s="1"/>
  <c r="B16" i="425"/>
  <c r="F10" i="425" s="1"/>
  <c r="B15" i="425"/>
  <c r="F9" i="425" s="1"/>
  <c r="B14" i="425"/>
  <c r="F8" i="425" s="1"/>
  <c r="B13" i="425"/>
  <c r="F7" i="425" s="1"/>
  <c r="B12" i="425"/>
  <c r="F6" i="425" s="1"/>
  <c r="B21" i="424"/>
  <c r="F15" i="424" s="1"/>
  <c r="B20" i="424"/>
  <c r="F14" i="424" s="1"/>
  <c r="B19" i="424"/>
  <c r="F13" i="424" s="1"/>
  <c r="B18" i="424"/>
  <c r="F12" i="424" s="1"/>
  <c r="B17" i="424"/>
  <c r="F11" i="424" s="1"/>
  <c r="B16" i="424"/>
  <c r="F10" i="424" s="1"/>
  <c r="B15" i="424"/>
  <c r="F9" i="424" s="1"/>
  <c r="B14" i="424"/>
  <c r="F8" i="424" s="1"/>
  <c r="B13" i="424"/>
  <c r="F7" i="424" s="1"/>
  <c r="B12" i="424"/>
  <c r="F6" i="424" s="1"/>
  <c r="E39" i="423"/>
  <c r="E38" i="423"/>
  <c r="E37" i="423"/>
  <c r="E35" i="423"/>
  <c r="E26" i="423"/>
  <c r="E25" i="423"/>
  <c r="E24" i="423"/>
  <c r="E22" i="423"/>
  <c r="B20" i="423"/>
  <c r="I14" i="423" s="1"/>
  <c r="B19" i="423"/>
  <c r="I13" i="423" s="1"/>
  <c r="B18" i="423"/>
  <c r="I12" i="423" s="1"/>
  <c r="B17" i="423"/>
  <c r="I11" i="423" s="1"/>
  <c r="B16" i="423"/>
  <c r="I10" i="423" s="1"/>
  <c r="B15" i="423"/>
  <c r="I9" i="423" s="1"/>
  <c r="B14" i="423"/>
  <c r="I8" i="423" s="1"/>
  <c r="E13" i="423"/>
  <c r="B13" i="423"/>
  <c r="I7" i="423" s="1"/>
  <c r="E12" i="423"/>
  <c r="B12" i="423"/>
  <c r="I6" i="423" s="1"/>
  <c r="E11" i="423"/>
  <c r="E9" i="423"/>
  <c r="I18" i="423" s="1"/>
  <c r="E39" i="422"/>
  <c r="E38" i="422"/>
  <c r="E37" i="422"/>
  <c r="E35" i="422"/>
  <c r="E26" i="422"/>
  <c r="E25" i="422"/>
  <c r="E24" i="422"/>
  <c r="E22" i="422"/>
  <c r="B20" i="422"/>
  <c r="I14" i="422" s="1"/>
  <c r="B19" i="422"/>
  <c r="I13" i="422" s="1"/>
  <c r="B18" i="422"/>
  <c r="I12" i="422" s="1"/>
  <c r="B17" i="422"/>
  <c r="I11" i="422" s="1"/>
  <c r="B16" i="422"/>
  <c r="I10" i="422" s="1"/>
  <c r="B15" i="422"/>
  <c r="I9" i="422" s="1"/>
  <c r="B14" i="422"/>
  <c r="I8" i="422" s="1"/>
  <c r="E13" i="422"/>
  <c r="B13" i="422"/>
  <c r="I7" i="422" s="1"/>
  <c r="E12" i="422"/>
  <c r="B12" i="422"/>
  <c r="I6" i="422" s="1"/>
  <c r="E11" i="422"/>
  <c r="E9" i="422"/>
  <c r="I18" i="422" s="1"/>
  <c r="E7" i="353"/>
  <c r="F7" i="353"/>
  <c r="G7" i="353"/>
  <c r="H7" i="353"/>
  <c r="I7" i="353"/>
  <c r="J7" i="353"/>
  <c r="K7" i="353"/>
  <c r="M7" i="353"/>
  <c r="N7" i="353"/>
  <c r="O7" i="353"/>
  <c r="P7" i="353"/>
  <c r="Q7" i="353"/>
  <c r="R7" i="353"/>
  <c r="G3" i="389"/>
  <c r="E7" i="389"/>
  <c r="H7" i="389" s="1"/>
  <c r="E3" i="389"/>
  <c r="H3" i="389" s="1"/>
  <c r="E55" i="146" a="1"/>
  <c r="E55" i="146" s="1"/>
  <c r="E54" i="146" a="1"/>
  <c r="E54" i="146" s="1"/>
  <c r="E53" i="146" a="1"/>
  <c r="E53" i="146" s="1"/>
  <c r="E52" i="146" a="1"/>
  <c r="E52" i="146" s="1"/>
  <c r="E36" i="146" a="1"/>
  <c r="E36" i="146" s="1"/>
  <c r="E35" i="146" a="1"/>
  <c r="E35" i="146" s="1"/>
  <c r="E34" i="146" a="1"/>
  <c r="E34" i="146" s="1"/>
  <c r="E18" i="146" a="1"/>
  <c r="E18" i="146" s="1"/>
  <c r="E17" i="146" a="1"/>
  <c r="E17" i="146" s="1"/>
  <c r="E16" i="146" a="1"/>
  <c r="E16" i="146" s="1"/>
  <c r="A19" i="374" a="1"/>
  <c r="A19" i="374" s="1"/>
  <c r="A18" i="374" a="1"/>
  <c r="A18" i="374" s="1"/>
  <c r="A17" i="374" a="1"/>
  <c r="A17" i="374" s="1"/>
  <c r="D19" i="374" a="1"/>
  <c r="D19" i="374" s="1"/>
  <c r="K7" i="374" s="1"/>
  <c r="D18" i="374" a="1"/>
  <c r="D18" i="374" s="1"/>
  <c r="K6" i="374" s="1"/>
  <c r="D17" i="374" a="1"/>
  <c r="D17" i="374" s="1"/>
  <c r="K5" i="374" s="1"/>
  <c r="G19" i="374" a="1"/>
  <c r="G19" i="374" s="1"/>
  <c r="G18" i="374" a="1"/>
  <c r="G18" i="374" s="1"/>
  <c r="G17" i="374" a="1"/>
  <c r="G17" i="374" s="1"/>
  <c r="G19" i="409" a="1"/>
  <c r="G19" i="409" s="1"/>
  <c r="G18" i="409" a="1"/>
  <c r="G18" i="409" s="1"/>
  <c r="G17" i="409" a="1"/>
  <c r="G17" i="409" s="1"/>
  <c r="D19" i="409" a="1"/>
  <c r="D19" i="409" s="1"/>
  <c r="K7" i="409" s="1"/>
  <c r="D18" i="409" a="1"/>
  <c r="D18" i="409" s="1"/>
  <c r="K6" i="409" s="1"/>
  <c r="D17" i="409" a="1"/>
  <c r="D17" i="409" s="1"/>
  <c r="K5" i="409" s="1"/>
  <c r="A19" i="409" a="1"/>
  <c r="A19" i="409" s="1"/>
  <c r="A18" i="409" a="1"/>
  <c r="A18" i="409" s="1"/>
  <c r="G19" i="373" a="1"/>
  <c r="G19" i="373" s="1"/>
  <c r="G18" i="373" a="1"/>
  <c r="G18" i="373" s="1"/>
  <c r="G17" i="373" a="1"/>
  <c r="G17" i="373" s="1"/>
  <c r="D19" i="373" a="1"/>
  <c r="D19" i="373" s="1"/>
  <c r="K7" i="373" s="1"/>
  <c r="D18" i="373" a="1"/>
  <c r="D18" i="373" s="1"/>
  <c r="K6" i="373" s="1"/>
  <c r="D17" i="373" a="1"/>
  <c r="D17" i="373" s="1"/>
  <c r="K5" i="373" s="1"/>
  <c r="A19" i="373" a="1"/>
  <c r="A19" i="373" s="1"/>
  <c r="A18" i="373" a="1"/>
  <c r="A18" i="373" s="1"/>
  <c r="A17" i="373" a="1"/>
  <c r="A17" i="373" s="1"/>
  <c r="G19" i="371" a="1"/>
  <c r="G19" i="371" s="1"/>
  <c r="G18" i="371" a="1"/>
  <c r="G18" i="371" s="1"/>
  <c r="G17" i="371" a="1"/>
  <c r="G17" i="371" s="1"/>
  <c r="D19" i="371" a="1"/>
  <c r="D19" i="371" s="1"/>
  <c r="K7" i="371" s="1"/>
  <c r="D18" i="371" a="1"/>
  <c r="D18" i="371" s="1"/>
  <c r="K6" i="371" s="1"/>
  <c r="D17" i="371" a="1"/>
  <c r="D17" i="371" s="1"/>
  <c r="K5" i="371" s="1"/>
  <c r="A19" i="371" a="1"/>
  <c r="A19" i="371" s="1"/>
  <c r="A18" i="371" a="1"/>
  <c r="A18" i="371" s="1"/>
  <c r="A17" i="371" a="1"/>
  <c r="A17" i="371" s="1"/>
  <c r="G19" i="372" a="1"/>
  <c r="G19" i="372" s="1"/>
  <c r="G18" i="372" a="1"/>
  <c r="G18" i="372" s="1"/>
  <c r="G17" i="372" a="1"/>
  <c r="G17" i="372" s="1"/>
  <c r="D19" i="372" a="1"/>
  <c r="D19" i="372" s="1"/>
  <c r="K7" i="372" s="1"/>
  <c r="D18" i="372" a="1"/>
  <c r="D18" i="372" s="1"/>
  <c r="K6" i="372" s="1"/>
  <c r="D17" i="372" a="1"/>
  <c r="D17" i="372" s="1"/>
  <c r="K5" i="372" s="1"/>
  <c r="A19" i="372" a="1"/>
  <c r="A19" i="372" s="1"/>
  <c r="A18" i="372" a="1"/>
  <c r="A18" i="372" s="1"/>
  <c r="A17" i="372" a="1"/>
  <c r="A17" i="372" s="1"/>
  <c r="B18" i="370"/>
  <c r="F12" i="370" s="1"/>
  <c r="B17" i="370"/>
  <c r="F11" i="370" s="1"/>
  <c r="B16" i="370"/>
  <c r="F10" i="370" s="1"/>
  <c r="C46" i="144" a="1"/>
  <c r="C46" i="144" s="1"/>
  <c r="C45" i="144" a="1"/>
  <c r="C45" i="144" s="1"/>
  <c r="C44" i="144" a="1"/>
  <c r="C44" i="144" s="1"/>
  <c r="C43" i="144" a="1"/>
  <c r="C43" i="144" s="1"/>
  <c r="C42" i="144" a="1"/>
  <c r="C42" i="144" s="1"/>
  <c r="C41" i="144" a="1"/>
  <c r="C41" i="144" s="1"/>
  <c r="C40" i="144" a="1"/>
  <c r="C40" i="144" s="1"/>
  <c r="C39" i="144" a="1"/>
  <c r="C39" i="144" s="1"/>
  <c r="C38" i="144" a="1"/>
  <c r="C38" i="144" s="1"/>
  <c r="C61" i="350" a="1"/>
  <c r="C61" i="350" s="1"/>
  <c r="C60" i="350" a="1"/>
  <c r="C60" i="350" s="1"/>
  <c r="C59" i="350" a="1"/>
  <c r="C59" i="350" s="1"/>
  <c r="C58" i="350" a="1"/>
  <c r="C58" i="350" s="1"/>
  <c r="C57" i="350" a="1"/>
  <c r="C57" i="350" s="1"/>
  <c r="C56" i="350" a="1"/>
  <c r="C56" i="350" s="1"/>
  <c r="C55" i="350" a="1"/>
  <c r="C55" i="350" s="1"/>
  <c r="C54" i="350" a="1"/>
  <c r="C54" i="350" s="1"/>
  <c r="C53" i="350" a="1"/>
  <c r="C53" i="350" s="1"/>
  <c r="C52" i="350" a="1"/>
  <c r="C52" i="350" s="1"/>
  <c r="C51" i="350" a="1"/>
  <c r="C51" i="350" s="1"/>
  <c r="C50" i="350" a="1"/>
  <c r="C50" i="350" s="1"/>
  <c r="A2" i="355" a="1"/>
  <c r="B13" i="410"/>
  <c r="F7" i="410" s="1"/>
  <c r="B21" i="410"/>
  <c r="F15" i="410" s="1"/>
  <c r="B12" i="410"/>
  <c r="F6" i="410" s="1"/>
  <c r="B17" i="410"/>
  <c r="F11" i="410" s="1"/>
  <c r="B20" i="410"/>
  <c r="F14" i="410" s="1"/>
  <c r="B19" i="410"/>
  <c r="F13" i="410" s="1"/>
  <c r="B18" i="410"/>
  <c r="F12" i="410" s="1"/>
  <c r="B16" i="410"/>
  <c r="F10" i="410" s="1"/>
  <c r="B15" i="410"/>
  <c r="F9" i="410" s="1"/>
  <c r="B14" i="410"/>
  <c r="F8" i="410" s="1"/>
  <c r="B13" i="411"/>
  <c r="F7" i="411" s="1"/>
  <c r="B19" i="411"/>
  <c r="F13" i="411" s="1"/>
  <c r="B21" i="411"/>
  <c r="F15" i="411" s="1"/>
  <c r="B18" i="411"/>
  <c r="F12" i="411" s="1"/>
  <c r="B20" i="411"/>
  <c r="F14" i="411" s="1"/>
  <c r="B12" i="411"/>
  <c r="F6" i="411" s="1"/>
  <c r="B17" i="411"/>
  <c r="F11" i="411" s="1"/>
  <c r="B14" i="411"/>
  <c r="F8" i="411" s="1"/>
  <c r="B16" i="411"/>
  <c r="F10" i="411" s="1"/>
  <c r="B15" i="411"/>
  <c r="F9" i="411" s="1"/>
  <c r="B13" i="412"/>
  <c r="F7" i="412" s="1"/>
  <c r="B17" i="412"/>
  <c r="F11" i="412" s="1"/>
  <c r="B21" i="412"/>
  <c r="F15" i="412" s="1"/>
  <c r="B19" i="412"/>
  <c r="F13" i="412" s="1"/>
  <c r="B20" i="412"/>
  <c r="F14" i="412" s="1"/>
  <c r="B12" i="412"/>
  <c r="F6" i="412" s="1"/>
  <c r="B18" i="412"/>
  <c r="F12" i="412" s="1"/>
  <c r="B16" i="412"/>
  <c r="F10" i="412" s="1"/>
  <c r="B15" i="412"/>
  <c r="F9" i="412" s="1"/>
  <c r="B14" i="412"/>
  <c r="F8" i="412" s="1"/>
  <c r="B13" i="413"/>
  <c r="F7" i="413" s="1"/>
  <c r="B21" i="413"/>
  <c r="F15" i="413" s="1"/>
  <c r="B20" i="413"/>
  <c r="F14" i="413" s="1"/>
  <c r="B12" i="413"/>
  <c r="F6" i="413" s="1"/>
  <c r="B19" i="413"/>
  <c r="F13" i="413" s="1"/>
  <c r="B17" i="413"/>
  <c r="F11" i="413" s="1"/>
  <c r="B18" i="413"/>
  <c r="F12" i="413" s="1"/>
  <c r="B16" i="413"/>
  <c r="F10" i="413" s="1"/>
  <c r="B15" i="413"/>
  <c r="F9" i="413" s="1"/>
  <c r="B14" i="413"/>
  <c r="F8" i="413" s="1"/>
  <c r="B13" i="414"/>
  <c r="F7" i="414" s="1"/>
  <c r="B21" i="414"/>
  <c r="F15" i="414" s="1"/>
  <c r="B16" i="414"/>
  <c r="F10" i="414" s="1"/>
  <c r="B14" i="414"/>
  <c r="F8" i="414" s="1"/>
  <c r="B20" i="414"/>
  <c r="F14" i="414" s="1"/>
  <c r="B12" i="414"/>
  <c r="F6" i="414" s="1"/>
  <c r="B17" i="414"/>
  <c r="F11" i="414" s="1"/>
  <c r="B18" i="414"/>
  <c r="F12" i="414" s="1"/>
  <c r="B19" i="414"/>
  <c r="F13" i="414" s="1"/>
  <c r="B15" i="414"/>
  <c r="F9" i="414" s="1"/>
  <c r="B13" i="415"/>
  <c r="F7" i="415" s="1"/>
  <c r="B21" i="415"/>
  <c r="F15" i="415" s="1"/>
  <c r="B18" i="415"/>
  <c r="F12" i="415" s="1"/>
  <c r="B17" i="415"/>
  <c r="F11" i="415" s="1"/>
  <c r="B16" i="415"/>
  <c r="F10" i="415" s="1"/>
  <c r="B20" i="415"/>
  <c r="F14" i="415" s="1"/>
  <c r="B12" i="415"/>
  <c r="F6" i="415" s="1"/>
  <c r="B14" i="415"/>
  <c r="F8" i="415" s="1"/>
  <c r="B19" i="415"/>
  <c r="F13" i="415" s="1"/>
  <c r="B15" i="415"/>
  <c r="F9" i="415" s="1"/>
  <c r="B13" i="416"/>
  <c r="F7" i="416" s="1"/>
  <c r="B20" i="416"/>
  <c r="F14" i="416" s="1"/>
  <c r="B12" i="416"/>
  <c r="F6" i="416" s="1"/>
  <c r="B18" i="416"/>
  <c r="F12" i="416" s="1"/>
  <c r="B15" i="416"/>
  <c r="F9" i="416" s="1"/>
  <c r="B21" i="416"/>
  <c r="F15" i="416" s="1"/>
  <c r="B19" i="416"/>
  <c r="F13" i="416" s="1"/>
  <c r="B17" i="416"/>
  <c r="F11" i="416" s="1"/>
  <c r="B16" i="416"/>
  <c r="F10" i="416" s="1"/>
  <c r="B14" i="416"/>
  <c r="F8" i="416" s="1"/>
  <c r="B13" i="417"/>
  <c r="F7" i="417" s="1"/>
  <c r="B18" i="417"/>
  <c r="F12" i="417" s="1"/>
  <c r="B21" i="417"/>
  <c r="F15" i="417" s="1"/>
  <c r="B20" i="417"/>
  <c r="F14" i="417" s="1"/>
  <c r="B17" i="417"/>
  <c r="F11" i="417" s="1"/>
  <c r="B12" i="417"/>
  <c r="F6" i="417" s="1"/>
  <c r="B19" i="417"/>
  <c r="F13" i="417" s="1"/>
  <c r="B16" i="417"/>
  <c r="F10" i="417" s="1"/>
  <c r="B15" i="417"/>
  <c r="F9" i="417" s="1"/>
  <c r="B14" i="417"/>
  <c r="F8" i="417" s="1"/>
  <c r="B13" i="418"/>
  <c r="F7" i="418" s="1"/>
  <c r="B21" i="418"/>
  <c r="F15" i="418" s="1"/>
  <c r="B17" i="418"/>
  <c r="F11" i="418" s="1"/>
  <c r="B20" i="418"/>
  <c r="F14" i="418" s="1"/>
  <c r="B12" i="418"/>
  <c r="F6" i="418" s="1"/>
  <c r="B19" i="418"/>
  <c r="F13" i="418" s="1"/>
  <c r="B18" i="418"/>
  <c r="F12" i="418" s="1"/>
  <c r="B16" i="418"/>
  <c r="F10" i="418" s="1"/>
  <c r="B15" i="418"/>
  <c r="F9" i="418" s="1"/>
  <c r="B14" i="418"/>
  <c r="F8" i="418" s="1"/>
  <c r="B13" i="420"/>
  <c r="F7" i="420" s="1"/>
  <c r="B19" i="420"/>
  <c r="F13" i="420" s="1"/>
  <c r="B21" i="420"/>
  <c r="F15" i="420" s="1"/>
  <c r="B20" i="420"/>
  <c r="F14" i="420" s="1"/>
  <c r="B12" i="420"/>
  <c r="F6" i="420" s="1"/>
  <c r="B17" i="420"/>
  <c r="F11" i="420" s="1"/>
  <c r="B14" i="420"/>
  <c r="F8" i="420" s="1"/>
  <c r="B18" i="420"/>
  <c r="F12" i="420" s="1"/>
  <c r="B16" i="420"/>
  <c r="F10" i="420" s="1"/>
  <c r="B15" i="420"/>
  <c r="F9" i="420" s="1"/>
  <c r="B13" i="421"/>
  <c r="F7" i="421" s="1"/>
  <c r="B18" i="421"/>
  <c r="F12" i="421" s="1"/>
  <c r="B17" i="421"/>
  <c r="F11" i="421" s="1"/>
  <c r="B21" i="421"/>
  <c r="F15" i="421" s="1"/>
  <c r="B20" i="421"/>
  <c r="F14" i="421" s="1"/>
  <c r="B16" i="421"/>
  <c r="F10" i="421" s="1"/>
  <c r="B12" i="421"/>
  <c r="F6" i="421" s="1"/>
  <c r="B19" i="421"/>
  <c r="F13" i="421" s="1"/>
  <c r="B15" i="421"/>
  <c r="F9" i="421" s="1"/>
  <c r="B14" i="421"/>
  <c r="F8" i="421" s="1"/>
  <c r="B13" i="419"/>
  <c r="F7" i="419" s="1"/>
  <c r="B18" i="419"/>
  <c r="F12" i="419" s="1"/>
  <c r="B21" i="419"/>
  <c r="F15" i="419" s="1"/>
  <c r="B17" i="419"/>
  <c r="F11" i="419" s="1"/>
  <c r="B20" i="419"/>
  <c r="F14" i="419" s="1"/>
  <c r="B12" i="419"/>
  <c r="F6" i="419" s="1"/>
  <c r="B19" i="419"/>
  <c r="F13" i="419" s="1"/>
  <c r="B15" i="419"/>
  <c r="F9" i="419" s="1"/>
  <c r="B14" i="419"/>
  <c r="F8" i="419" s="1"/>
  <c r="B16" i="419"/>
  <c r="F10" i="419" s="1"/>
  <c r="G15" i="409" a="1"/>
  <c r="G15" i="409" s="1"/>
  <c r="D15" i="409" a="1"/>
  <c r="D15" i="409" s="1"/>
  <c r="A15" i="409" a="1"/>
  <c r="A15" i="409" s="1"/>
  <c r="G14" i="409" a="1"/>
  <c r="G14" i="409" s="1"/>
  <c r="D14" i="409" a="1"/>
  <c r="D14" i="409" s="1"/>
  <c r="A14" i="409" a="1"/>
  <c r="A14" i="409" s="1"/>
  <c r="H13" i="409"/>
  <c r="F46" i="375" s="1"/>
  <c r="G13" i="409" a="1"/>
  <c r="G13" i="409" s="1"/>
  <c r="E13" i="409"/>
  <c r="E46" i="375" s="1"/>
  <c r="D13" i="409" a="1"/>
  <c r="D13" i="409" s="1"/>
  <c r="B13" i="409"/>
  <c r="D46" i="375" s="1"/>
  <c r="A13" i="409" a="1"/>
  <c r="A13" i="409" s="1"/>
  <c r="H12" i="409"/>
  <c r="F45" i="375" s="1"/>
  <c r="G12" i="409" a="1"/>
  <c r="G12" i="409" s="1"/>
  <c r="E12" i="409"/>
  <c r="E45" i="375" s="1"/>
  <c r="D12" i="409" a="1"/>
  <c r="D12" i="409" s="1"/>
  <c r="B12" i="409"/>
  <c r="D45" i="375" s="1"/>
  <c r="A12" i="409" a="1"/>
  <c r="A12" i="409" s="1"/>
  <c r="H11" i="409"/>
  <c r="F44" i="375" s="1"/>
  <c r="G11" i="409" a="1"/>
  <c r="G11" i="409" s="1"/>
  <c r="E11" i="409"/>
  <c r="E44" i="375" s="1"/>
  <c r="D11" i="409" a="1"/>
  <c r="D11" i="409" s="1"/>
  <c r="B11" i="409"/>
  <c r="D44" i="375" s="1"/>
  <c r="A11" i="409" a="1"/>
  <c r="A11" i="409" s="1"/>
  <c r="H10" i="409"/>
  <c r="F43" i="375" s="1"/>
  <c r="G10" i="409" a="1"/>
  <c r="G10" i="409" s="1"/>
  <c r="E10" i="409"/>
  <c r="E43" i="375" s="1"/>
  <c r="D10" i="409" a="1"/>
  <c r="D10" i="409" s="1"/>
  <c r="B10" i="409"/>
  <c r="D43" i="375" s="1"/>
  <c r="A10" i="409" a="1"/>
  <c r="A10" i="409" s="1"/>
  <c r="H9" i="409"/>
  <c r="F42" i="375" s="1"/>
  <c r="G9" i="409" a="1"/>
  <c r="G9" i="409" s="1"/>
  <c r="E9" i="409"/>
  <c r="E42" i="375" s="1"/>
  <c r="D9" i="409" a="1"/>
  <c r="D9" i="409" s="1"/>
  <c r="B9" i="409"/>
  <c r="D42" i="375" s="1"/>
  <c r="A9" i="409" a="1"/>
  <c r="A9" i="409" s="1"/>
  <c r="H8" i="409"/>
  <c r="F41" i="375" s="1"/>
  <c r="G8" i="409" a="1"/>
  <c r="G8" i="409" s="1"/>
  <c r="E8" i="409"/>
  <c r="E41" i="375" s="1"/>
  <c r="D8" i="409" a="1"/>
  <c r="D8" i="409" s="1"/>
  <c r="B8" i="409"/>
  <c r="D41" i="375" s="1"/>
  <c r="A8" i="409" a="1"/>
  <c r="A8" i="409" s="1"/>
  <c r="H7" i="409"/>
  <c r="F40" i="375" s="1"/>
  <c r="G7" i="409" a="1"/>
  <c r="G7" i="409" s="1"/>
  <c r="E7" i="409"/>
  <c r="E40" i="375" s="1"/>
  <c r="D7" i="409" a="1"/>
  <c r="D7" i="409" s="1"/>
  <c r="B7" i="409"/>
  <c r="D40" i="375" s="1"/>
  <c r="A7" i="409" a="1"/>
  <c r="A7" i="409" s="1"/>
  <c r="H6" i="409"/>
  <c r="F39" i="375" s="1"/>
  <c r="G6" i="409" a="1"/>
  <c r="G6" i="409" s="1"/>
  <c r="E6" i="409"/>
  <c r="E39" i="375" s="1"/>
  <c r="D6" i="409" a="1"/>
  <c r="D6" i="409" s="1"/>
  <c r="B6" i="409"/>
  <c r="D39" i="375" s="1"/>
  <c r="A6" i="409" a="1"/>
  <c r="A6" i="409" s="1"/>
  <c r="E39" i="408"/>
  <c r="E38" i="408"/>
  <c r="E37" i="408"/>
  <c r="E35" i="408"/>
  <c r="E26" i="408"/>
  <c r="E25" i="408"/>
  <c r="E24" i="408"/>
  <c r="E22" i="408"/>
  <c r="B20" i="408"/>
  <c r="I14" i="408" s="1"/>
  <c r="B19" i="408"/>
  <c r="I13" i="408" s="1"/>
  <c r="B18" i="408"/>
  <c r="I12" i="408" s="1"/>
  <c r="B17" i="408"/>
  <c r="I11" i="408" s="1"/>
  <c r="B16" i="408"/>
  <c r="I10" i="408" s="1"/>
  <c r="B15" i="408"/>
  <c r="I9" i="408" s="1"/>
  <c r="B14" i="408"/>
  <c r="I8" i="408" s="1"/>
  <c r="E13" i="408"/>
  <c r="B13" i="408"/>
  <c r="I7" i="408" s="1"/>
  <c r="E12" i="408"/>
  <c r="B12" i="408"/>
  <c r="I6" i="408" s="1"/>
  <c r="E11" i="408"/>
  <c r="E9" i="408"/>
  <c r="I18" i="408" s="1"/>
  <c r="E39" i="407"/>
  <c r="E38" i="407"/>
  <c r="E37" i="407"/>
  <c r="E35" i="407"/>
  <c r="E26" i="407"/>
  <c r="E25" i="407"/>
  <c r="E24" i="407"/>
  <c r="E22" i="407"/>
  <c r="B20" i="407"/>
  <c r="I14" i="407" s="1"/>
  <c r="B19" i="407"/>
  <c r="I13" i="407" s="1"/>
  <c r="B18" i="407"/>
  <c r="I12" i="407" s="1"/>
  <c r="B17" i="407"/>
  <c r="I11" i="407" s="1"/>
  <c r="B16" i="407"/>
  <c r="I10" i="407" s="1"/>
  <c r="B15" i="407"/>
  <c r="I9" i="407" s="1"/>
  <c r="B14" i="407"/>
  <c r="I8" i="407" s="1"/>
  <c r="E13" i="407"/>
  <c r="B13" i="407"/>
  <c r="I7" i="407" s="1"/>
  <c r="E12" i="407"/>
  <c r="B12" i="407"/>
  <c r="I6" i="407" s="1"/>
  <c r="E11" i="407"/>
  <c r="E9" i="407"/>
  <c r="I18" i="407" s="1"/>
  <c r="E39" i="406"/>
  <c r="E38" i="406"/>
  <c r="E37" i="406"/>
  <c r="E35" i="406"/>
  <c r="E26" i="406"/>
  <c r="E25" i="406"/>
  <c r="E24" i="406"/>
  <c r="E22" i="406"/>
  <c r="B20" i="406"/>
  <c r="I14" i="406" s="1"/>
  <c r="B19" i="406"/>
  <c r="I13" i="406" s="1"/>
  <c r="B18" i="406"/>
  <c r="I12" i="406" s="1"/>
  <c r="B17" i="406"/>
  <c r="I11" i="406" s="1"/>
  <c r="B16" i="406"/>
  <c r="I10" i="406" s="1"/>
  <c r="B15" i="406"/>
  <c r="I9" i="406" s="1"/>
  <c r="B14" i="406"/>
  <c r="I8" i="406" s="1"/>
  <c r="E13" i="406"/>
  <c r="B13" i="406"/>
  <c r="I7" i="406" s="1"/>
  <c r="E12" i="406"/>
  <c r="B12" i="406"/>
  <c r="I6" i="406" s="1"/>
  <c r="E11" i="406"/>
  <c r="E9" i="406"/>
  <c r="I18" i="406" s="1"/>
  <c r="G7" i="389"/>
  <c r="G6" i="389"/>
  <c r="D8" i="389"/>
  <c r="C8" i="389"/>
  <c r="F8" i="389"/>
  <c r="B8" i="389"/>
  <c r="B21" i="405"/>
  <c r="F15" i="405" s="1"/>
  <c r="B20" i="405"/>
  <c r="F14" i="405" s="1"/>
  <c r="B19" i="405"/>
  <c r="F13" i="405" s="1"/>
  <c r="B18" i="405"/>
  <c r="F12" i="405" s="1"/>
  <c r="B17" i="405"/>
  <c r="F11" i="405" s="1"/>
  <c r="B16" i="405"/>
  <c r="F10" i="405" s="1"/>
  <c r="B15" i="405"/>
  <c r="F9" i="405" s="1"/>
  <c r="B14" i="405"/>
  <c r="F8" i="405" s="1"/>
  <c r="B13" i="405"/>
  <c r="F7" i="405" s="1"/>
  <c r="B12" i="405"/>
  <c r="F6" i="405" s="1"/>
  <c r="E39" i="404"/>
  <c r="E38" i="404"/>
  <c r="E37" i="404"/>
  <c r="E35" i="404"/>
  <c r="E34" i="404"/>
  <c r="E33" i="404"/>
  <c r="E32" i="404"/>
  <c r="E26" i="404"/>
  <c r="E25" i="404"/>
  <c r="E24" i="404"/>
  <c r="E22" i="404"/>
  <c r="E21" i="404"/>
  <c r="E20" i="404"/>
  <c r="B20" i="404"/>
  <c r="I14" i="404" s="1"/>
  <c r="E19" i="404"/>
  <c r="B19" i="404"/>
  <c r="I13" i="404" s="1"/>
  <c r="B18" i="404"/>
  <c r="I12" i="404" s="1"/>
  <c r="B17" i="404"/>
  <c r="I11" i="404" s="1"/>
  <c r="B16" i="404"/>
  <c r="I10" i="404" s="1"/>
  <c r="B15" i="404"/>
  <c r="I9" i="404" s="1"/>
  <c r="B14" i="404"/>
  <c r="I8" i="404" s="1"/>
  <c r="E13" i="404"/>
  <c r="B13" i="404"/>
  <c r="I7" i="404" s="1"/>
  <c r="E12" i="404"/>
  <c r="B12" i="404"/>
  <c r="I6" i="404" s="1"/>
  <c r="E11" i="404"/>
  <c r="E9" i="404"/>
  <c r="I18" i="404" s="1"/>
  <c r="E8" i="404"/>
  <c r="I17" i="404" s="1"/>
  <c r="E7" i="404"/>
  <c r="I16" i="404" s="1"/>
  <c r="E6" i="404"/>
  <c r="I15" i="404" s="1"/>
  <c r="BB11" i="6"/>
  <c r="D52" i="145" a="1"/>
  <c r="D52" i="145" s="1"/>
  <c r="D53" i="145" a="1"/>
  <c r="D53" i="145" s="1"/>
  <c r="D54" i="145" a="1"/>
  <c r="D54" i="145" s="1"/>
  <c r="D55" i="145" a="1"/>
  <c r="D55" i="145" s="1"/>
  <c r="D34" i="145" a="1"/>
  <c r="D34" i="145" s="1"/>
  <c r="D35" i="145" a="1"/>
  <c r="D35" i="145" s="1"/>
  <c r="D36" i="145" a="1"/>
  <c r="D36" i="145" s="1"/>
  <c r="D16" i="145" a="1"/>
  <c r="D16" i="145" s="1"/>
  <c r="D17" i="145" a="1"/>
  <c r="D17" i="145" s="1"/>
  <c r="D18" i="145" a="1"/>
  <c r="D18" i="145" s="1"/>
  <c r="B21" i="403"/>
  <c r="F15" i="403" s="1"/>
  <c r="B20" i="403"/>
  <c r="F14" i="403" s="1"/>
  <c r="B19" i="403"/>
  <c r="F13" i="403" s="1"/>
  <c r="B18" i="403"/>
  <c r="F12" i="403" s="1"/>
  <c r="B17" i="403"/>
  <c r="F11" i="403" s="1"/>
  <c r="B16" i="403"/>
  <c r="F10" i="403" s="1"/>
  <c r="B15" i="403"/>
  <c r="F9" i="403" s="1"/>
  <c r="B14" i="403"/>
  <c r="F8" i="403" s="1"/>
  <c r="B13" i="403"/>
  <c r="F7" i="403" s="1"/>
  <c r="B12" i="403"/>
  <c r="F6" i="403" s="1"/>
  <c r="E39" i="402"/>
  <c r="E38" i="402"/>
  <c r="E37" i="402"/>
  <c r="E35" i="402"/>
  <c r="E34" i="402"/>
  <c r="E33" i="402"/>
  <c r="E32" i="402"/>
  <c r="E26" i="402"/>
  <c r="E25" i="402"/>
  <c r="E24" i="402"/>
  <c r="E22" i="402"/>
  <c r="E21" i="402"/>
  <c r="E20" i="402"/>
  <c r="B20" i="402"/>
  <c r="I14" i="402" s="1"/>
  <c r="E19" i="402"/>
  <c r="B19" i="402"/>
  <c r="I13" i="402" s="1"/>
  <c r="B18" i="402"/>
  <c r="I12" i="402" s="1"/>
  <c r="B17" i="402"/>
  <c r="I11" i="402" s="1"/>
  <c r="B16" i="402"/>
  <c r="I10" i="402" s="1"/>
  <c r="B15" i="402"/>
  <c r="I9" i="402" s="1"/>
  <c r="B14" i="402"/>
  <c r="I8" i="402" s="1"/>
  <c r="E13" i="402"/>
  <c r="B13" i="402"/>
  <c r="I7" i="402" s="1"/>
  <c r="E12" i="402"/>
  <c r="B12" i="402"/>
  <c r="I6" i="402" s="1"/>
  <c r="E11" i="402"/>
  <c r="E9" i="402"/>
  <c r="I18" i="402" s="1"/>
  <c r="E8" i="402"/>
  <c r="I17" i="402" s="1"/>
  <c r="E7" i="402"/>
  <c r="I16" i="402" s="1"/>
  <c r="E6" i="402"/>
  <c r="I15" i="402" s="1"/>
  <c r="E39" i="401"/>
  <c r="E38" i="401"/>
  <c r="E37" i="401"/>
  <c r="E35" i="401"/>
  <c r="E34" i="401"/>
  <c r="E33" i="401"/>
  <c r="E32" i="401"/>
  <c r="E26" i="401"/>
  <c r="E25" i="401"/>
  <c r="E24" i="401"/>
  <c r="E22" i="401"/>
  <c r="E21" i="401"/>
  <c r="E20" i="401"/>
  <c r="B20" i="401"/>
  <c r="I14" i="401" s="1"/>
  <c r="E19" i="401"/>
  <c r="B19" i="401"/>
  <c r="I13" i="401" s="1"/>
  <c r="B18" i="401"/>
  <c r="I12" i="401" s="1"/>
  <c r="B17" i="401"/>
  <c r="I11" i="401" s="1"/>
  <c r="B16" i="401"/>
  <c r="I10" i="401" s="1"/>
  <c r="B15" i="401"/>
  <c r="I9" i="401" s="1"/>
  <c r="B14" i="401"/>
  <c r="I8" i="401" s="1"/>
  <c r="E13" i="401"/>
  <c r="B13" i="401"/>
  <c r="I7" i="401" s="1"/>
  <c r="E12" i="401"/>
  <c r="B12" i="401"/>
  <c r="I6" i="401" s="1"/>
  <c r="E11" i="401"/>
  <c r="E9" i="401"/>
  <c r="I18" i="401" s="1"/>
  <c r="E8" i="401"/>
  <c r="I17" i="401" s="1"/>
  <c r="E7" i="401"/>
  <c r="I16" i="401" s="1"/>
  <c r="E6" i="401"/>
  <c r="I15" i="401" s="1"/>
  <c r="B21" i="400"/>
  <c r="F15" i="400" s="1"/>
  <c r="B20" i="400"/>
  <c r="F14" i="400" s="1"/>
  <c r="B19" i="400"/>
  <c r="F13" i="400" s="1"/>
  <c r="B18" i="400"/>
  <c r="F12" i="400" s="1"/>
  <c r="B17" i="400"/>
  <c r="F11" i="400" s="1"/>
  <c r="B16" i="400"/>
  <c r="F10" i="400" s="1"/>
  <c r="B15" i="400"/>
  <c r="F9" i="400" s="1"/>
  <c r="B14" i="400"/>
  <c r="F8" i="400" s="1"/>
  <c r="B13" i="400"/>
  <c r="F7" i="400" s="1"/>
  <c r="B12" i="400"/>
  <c r="F6" i="400" s="1"/>
  <c r="B21" i="399"/>
  <c r="F15" i="399" s="1"/>
  <c r="B20" i="399"/>
  <c r="F14" i="399" s="1"/>
  <c r="B19" i="399"/>
  <c r="F13" i="399" s="1"/>
  <c r="B18" i="399"/>
  <c r="F12" i="399" s="1"/>
  <c r="B17" i="399"/>
  <c r="F11" i="399" s="1"/>
  <c r="B16" i="399"/>
  <c r="F10" i="399" s="1"/>
  <c r="B15" i="399"/>
  <c r="F9" i="399" s="1"/>
  <c r="B14" i="399"/>
  <c r="F8" i="399" s="1"/>
  <c r="B13" i="399"/>
  <c r="F7" i="399" s="1"/>
  <c r="B12" i="399"/>
  <c r="F6" i="399" s="1"/>
  <c r="E39" i="398"/>
  <c r="E38" i="398"/>
  <c r="E37" i="398"/>
  <c r="E35" i="398"/>
  <c r="E26" i="398"/>
  <c r="E25" i="398"/>
  <c r="E24" i="398"/>
  <c r="E22" i="398"/>
  <c r="B20" i="398"/>
  <c r="I14" i="398" s="1"/>
  <c r="B19" i="398"/>
  <c r="I13" i="398" s="1"/>
  <c r="B18" i="398"/>
  <c r="I12" i="398" s="1"/>
  <c r="B17" i="398"/>
  <c r="I11" i="398" s="1"/>
  <c r="B16" i="398"/>
  <c r="I10" i="398" s="1"/>
  <c r="B15" i="398"/>
  <c r="I9" i="398" s="1"/>
  <c r="B14" i="398"/>
  <c r="I8" i="398" s="1"/>
  <c r="E13" i="398"/>
  <c r="B13" i="398"/>
  <c r="I7" i="398" s="1"/>
  <c r="E12" i="398"/>
  <c r="B12" i="398"/>
  <c r="I6" i="398" s="1"/>
  <c r="E11" i="398"/>
  <c r="E9" i="398"/>
  <c r="I18" i="398" s="1"/>
  <c r="E39" i="397"/>
  <c r="E38" i="397"/>
  <c r="E37" i="397"/>
  <c r="E35" i="397"/>
  <c r="E34" i="397"/>
  <c r="E33" i="397"/>
  <c r="E32" i="397"/>
  <c r="E26" i="397"/>
  <c r="E25" i="397"/>
  <c r="E24" i="397"/>
  <c r="E22" i="397"/>
  <c r="E21" i="397"/>
  <c r="E20" i="397"/>
  <c r="B20" i="397"/>
  <c r="I14" i="397" s="1"/>
  <c r="E19" i="397"/>
  <c r="B19" i="397"/>
  <c r="I13" i="397" s="1"/>
  <c r="B18" i="397"/>
  <c r="I12" i="397" s="1"/>
  <c r="B17" i="397"/>
  <c r="I11" i="397" s="1"/>
  <c r="B16" i="397"/>
  <c r="I10" i="397" s="1"/>
  <c r="B15" i="397"/>
  <c r="I9" i="397" s="1"/>
  <c r="B14" i="397"/>
  <c r="I8" i="397" s="1"/>
  <c r="E13" i="397"/>
  <c r="B13" i="397"/>
  <c r="I7" i="397" s="1"/>
  <c r="E12" i="397"/>
  <c r="B12" i="397"/>
  <c r="I6" i="397" s="1"/>
  <c r="E11" i="397"/>
  <c r="E9" i="397"/>
  <c r="I18" i="397" s="1"/>
  <c r="E8" i="397"/>
  <c r="I17" i="397" s="1"/>
  <c r="E7" i="397"/>
  <c r="I16" i="397" s="1"/>
  <c r="E6" i="397"/>
  <c r="I15" i="397" s="1"/>
  <c r="B21" i="396"/>
  <c r="F15" i="396" s="1"/>
  <c r="B20" i="396"/>
  <c r="F14" i="396" s="1"/>
  <c r="B19" i="396"/>
  <c r="F13" i="396" s="1"/>
  <c r="B18" i="396"/>
  <c r="F12" i="396" s="1"/>
  <c r="B17" i="396"/>
  <c r="F11" i="396" s="1"/>
  <c r="B16" i="396"/>
  <c r="F10" i="396" s="1"/>
  <c r="B15" i="396"/>
  <c r="F9" i="396" s="1"/>
  <c r="B14" i="396"/>
  <c r="F8" i="396" s="1"/>
  <c r="B13" i="396"/>
  <c r="F7" i="396" s="1"/>
  <c r="B12" i="396"/>
  <c r="F6" i="396" s="1"/>
  <c r="E39" i="395"/>
  <c r="E38" i="395"/>
  <c r="E37" i="395"/>
  <c r="E35" i="395"/>
  <c r="E34" i="395"/>
  <c r="E33" i="395"/>
  <c r="E32" i="395"/>
  <c r="E26" i="395"/>
  <c r="E25" i="395"/>
  <c r="E24" i="395"/>
  <c r="E22" i="395"/>
  <c r="E21" i="395"/>
  <c r="E20" i="395"/>
  <c r="B20" i="395"/>
  <c r="I14" i="395" s="1"/>
  <c r="E19" i="395"/>
  <c r="B19" i="395"/>
  <c r="I13" i="395" s="1"/>
  <c r="B18" i="395"/>
  <c r="I12" i="395" s="1"/>
  <c r="B17" i="395"/>
  <c r="I11" i="395" s="1"/>
  <c r="B16" i="395"/>
  <c r="I10" i="395" s="1"/>
  <c r="B15" i="395"/>
  <c r="I9" i="395" s="1"/>
  <c r="B14" i="395"/>
  <c r="I8" i="395" s="1"/>
  <c r="E13" i="395"/>
  <c r="B13" i="395"/>
  <c r="I7" i="395" s="1"/>
  <c r="E12" i="395"/>
  <c r="B12" i="395"/>
  <c r="I6" i="395" s="1"/>
  <c r="E11" i="395"/>
  <c r="E9" i="395"/>
  <c r="I18" i="395" s="1"/>
  <c r="E8" i="395"/>
  <c r="I17" i="395" s="1"/>
  <c r="E7" i="395"/>
  <c r="I16" i="395" s="1"/>
  <c r="E6" i="395"/>
  <c r="I15" i="395" s="1"/>
  <c r="E39" i="394"/>
  <c r="E38" i="394"/>
  <c r="E37" i="394"/>
  <c r="E35" i="394"/>
  <c r="E26" i="394"/>
  <c r="E25" i="394"/>
  <c r="E24" i="394"/>
  <c r="E22" i="394"/>
  <c r="B20" i="394"/>
  <c r="I14" i="394" s="1"/>
  <c r="B19" i="394"/>
  <c r="I13" i="394" s="1"/>
  <c r="B18" i="394"/>
  <c r="I12" i="394" s="1"/>
  <c r="B17" i="394"/>
  <c r="I11" i="394" s="1"/>
  <c r="B16" i="394"/>
  <c r="I10" i="394" s="1"/>
  <c r="B15" i="394"/>
  <c r="I9" i="394" s="1"/>
  <c r="B14" i="394"/>
  <c r="I8" i="394" s="1"/>
  <c r="E13" i="394"/>
  <c r="B13" i="394"/>
  <c r="I7" i="394" s="1"/>
  <c r="E12" i="394"/>
  <c r="B12" i="394"/>
  <c r="I6" i="394" s="1"/>
  <c r="E11" i="394"/>
  <c r="E9" i="394"/>
  <c r="I18" i="394" s="1"/>
  <c r="B21" i="393"/>
  <c r="F15" i="393" s="1"/>
  <c r="B20" i="393"/>
  <c r="F14" i="393" s="1"/>
  <c r="B19" i="393"/>
  <c r="F13" i="393" s="1"/>
  <c r="B18" i="393"/>
  <c r="F12" i="393" s="1"/>
  <c r="B17" i="393"/>
  <c r="F11" i="393" s="1"/>
  <c r="B16" i="393"/>
  <c r="F10" i="393" s="1"/>
  <c r="B15" i="393"/>
  <c r="F9" i="393" s="1"/>
  <c r="B14" i="393"/>
  <c r="F8" i="393" s="1"/>
  <c r="B13" i="393"/>
  <c r="F7" i="393" s="1"/>
  <c r="B12" i="393"/>
  <c r="F6" i="393" s="1"/>
  <c r="B21" i="392"/>
  <c r="F15" i="392" s="1"/>
  <c r="B20" i="392"/>
  <c r="F14" i="392" s="1"/>
  <c r="B19" i="392"/>
  <c r="F13" i="392" s="1"/>
  <c r="B18" i="392"/>
  <c r="F12" i="392" s="1"/>
  <c r="B17" i="392"/>
  <c r="F11" i="392" s="1"/>
  <c r="B16" i="392"/>
  <c r="F10" i="392" s="1"/>
  <c r="B15" i="392"/>
  <c r="F9" i="392" s="1"/>
  <c r="B14" i="392"/>
  <c r="F8" i="392" s="1"/>
  <c r="B13" i="392"/>
  <c r="F7" i="392" s="1"/>
  <c r="B12" i="392"/>
  <c r="F6" i="392" s="1"/>
  <c r="E39" i="391"/>
  <c r="E38" i="391"/>
  <c r="E37" i="391"/>
  <c r="E35" i="391"/>
  <c r="E34" i="391"/>
  <c r="E33" i="391"/>
  <c r="E32" i="391"/>
  <c r="E26" i="391"/>
  <c r="E25" i="391"/>
  <c r="E24" i="391"/>
  <c r="E22" i="391"/>
  <c r="E21" i="391"/>
  <c r="E20" i="391"/>
  <c r="B20" i="391"/>
  <c r="I14" i="391" s="1"/>
  <c r="E19" i="391"/>
  <c r="B19" i="391"/>
  <c r="I13" i="391" s="1"/>
  <c r="B18" i="391"/>
  <c r="I12" i="391" s="1"/>
  <c r="B17" i="391"/>
  <c r="I11" i="391" s="1"/>
  <c r="B16" i="391"/>
  <c r="I10" i="391" s="1"/>
  <c r="B15" i="391"/>
  <c r="I9" i="391" s="1"/>
  <c r="B14" i="391"/>
  <c r="I8" i="391" s="1"/>
  <c r="E13" i="391"/>
  <c r="B13" i="391"/>
  <c r="I7" i="391" s="1"/>
  <c r="E12" i="391"/>
  <c r="B12" i="391"/>
  <c r="I6" i="391" s="1"/>
  <c r="E11" i="391"/>
  <c r="E9" i="391"/>
  <c r="I18" i="391" s="1"/>
  <c r="E8" i="391"/>
  <c r="I17" i="391" s="1"/>
  <c r="E7" i="391"/>
  <c r="I16" i="391" s="1"/>
  <c r="E6" i="391"/>
  <c r="I15" i="391" s="1"/>
  <c r="E39" i="390"/>
  <c r="E38" i="390"/>
  <c r="E37" i="390"/>
  <c r="E35" i="390"/>
  <c r="E34" i="390"/>
  <c r="E33" i="390"/>
  <c r="E32" i="390"/>
  <c r="E26" i="390"/>
  <c r="E25" i="390"/>
  <c r="E24" i="390"/>
  <c r="E22" i="390"/>
  <c r="E21" i="390"/>
  <c r="E20" i="390"/>
  <c r="B20" i="390"/>
  <c r="I14" i="390" s="1"/>
  <c r="E19" i="390"/>
  <c r="B19" i="390"/>
  <c r="I13" i="390" s="1"/>
  <c r="B18" i="390"/>
  <c r="I12" i="390" s="1"/>
  <c r="B17" i="390"/>
  <c r="I11" i="390" s="1"/>
  <c r="B16" i="390"/>
  <c r="I10" i="390" s="1"/>
  <c r="B15" i="390"/>
  <c r="I9" i="390" s="1"/>
  <c r="B14" i="390"/>
  <c r="I8" i="390" s="1"/>
  <c r="E13" i="390"/>
  <c r="B13" i="390"/>
  <c r="I7" i="390" s="1"/>
  <c r="E12" i="390"/>
  <c r="B12" i="390"/>
  <c r="I6" i="390" s="1"/>
  <c r="E11" i="390"/>
  <c r="E9" i="390"/>
  <c r="I18" i="390" s="1"/>
  <c r="E8" i="390"/>
  <c r="I17" i="390" s="1"/>
  <c r="E7" i="390"/>
  <c r="I16" i="390" s="1"/>
  <c r="E6" i="390"/>
  <c r="I15" i="390" s="1"/>
  <c r="BB10" i="6"/>
  <c r="B21" i="388"/>
  <c r="F15" i="388" s="1"/>
  <c r="B20" i="388"/>
  <c r="F14" i="388" s="1"/>
  <c r="B19" i="388"/>
  <c r="F13" i="388" s="1"/>
  <c r="B18" i="388"/>
  <c r="F12" i="388" s="1"/>
  <c r="B17" i="388"/>
  <c r="F11" i="388" s="1"/>
  <c r="B16" i="388"/>
  <c r="F10" i="388" s="1"/>
  <c r="B15" i="388"/>
  <c r="F9" i="388" s="1"/>
  <c r="B14" i="388"/>
  <c r="F8" i="388" s="1"/>
  <c r="B13" i="388"/>
  <c r="F7" i="388" s="1"/>
  <c r="B12" i="388"/>
  <c r="F6" i="388" s="1"/>
  <c r="E39" i="387"/>
  <c r="E38" i="387"/>
  <c r="E37" i="387"/>
  <c r="E35" i="387"/>
  <c r="E34" i="387"/>
  <c r="E33" i="387"/>
  <c r="E32" i="387"/>
  <c r="E26" i="387"/>
  <c r="E25" i="387"/>
  <c r="E24" i="387"/>
  <c r="E22" i="387"/>
  <c r="E21" i="387"/>
  <c r="E20" i="387"/>
  <c r="B20" i="387"/>
  <c r="I14" i="387" s="1"/>
  <c r="E19" i="387"/>
  <c r="B19" i="387"/>
  <c r="I13" i="387" s="1"/>
  <c r="B18" i="387"/>
  <c r="I12" i="387" s="1"/>
  <c r="B17" i="387"/>
  <c r="I11" i="387" s="1"/>
  <c r="B16" i="387"/>
  <c r="I10" i="387" s="1"/>
  <c r="B15" i="387"/>
  <c r="I9" i="387" s="1"/>
  <c r="B14" i="387"/>
  <c r="I8" i="387" s="1"/>
  <c r="E13" i="387"/>
  <c r="B13" i="387"/>
  <c r="I7" i="387" s="1"/>
  <c r="E12" i="387"/>
  <c r="B12" i="387"/>
  <c r="I6" i="387" s="1"/>
  <c r="E11" i="387"/>
  <c r="E9" i="387"/>
  <c r="I18" i="387" s="1"/>
  <c r="E8" i="387"/>
  <c r="I17" i="387" s="1"/>
  <c r="E7" i="387"/>
  <c r="I16" i="387" s="1"/>
  <c r="E6" i="387"/>
  <c r="I15" i="387" s="1"/>
  <c r="E39" i="386"/>
  <c r="E38" i="386"/>
  <c r="E37" i="386"/>
  <c r="E35" i="386"/>
  <c r="E34" i="386"/>
  <c r="E33" i="386"/>
  <c r="E32" i="386"/>
  <c r="E26" i="386"/>
  <c r="E25" i="386"/>
  <c r="E24" i="386"/>
  <c r="E22" i="386"/>
  <c r="E21" i="386"/>
  <c r="E20" i="386"/>
  <c r="B20" i="386"/>
  <c r="I14" i="386" s="1"/>
  <c r="E19" i="386"/>
  <c r="B19" i="386"/>
  <c r="I13" i="386" s="1"/>
  <c r="B18" i="386"/>
  <c r="I12" i="386" s="1"/>
  <c r="B17" i="386"/>
  <c r="I11" i="386" s="1"/>
  <c r="B16" i="386"/>
  <c r="I10" i="386" s="1"/>
  <c r="B15" i="386"/>
  <c r="I9" i="386" s="1"/>
  <c r="B14" i="386"/>
  <c r="I8" i="386" s="1"/>
  <c r="E13" i="386"/>
  <c r="B13" i="386"/>
  <c r="I7" i="386" s="1"/>
  <c r="E12" i="386"/>
  <c r="B12" i="386"/>
  <c r="I6" i="386" s="1"/>
  <c r="E11" i="386"/>
  <c r="E9" i="386"/>
  <c r="I18" i="386" s="1"/>
  <c r="E8" i="386"/>
  <c r="I17" i="386" s="1"/>
  <c r="E7" i="386"/>
  <c r="I16" i="386" s="1"/>
  <c r="E6" i="386"/>
  <c r="I15" i="386" s="1"/>
  <c r="B21" i="385"/>
  <c r="F15" i="385" s="1"/>
  <c r="B20" i="385"/>
  <c r="F14" i="385" s="1"/>
  <c r="B19" i="385"/>
  <c r="F13" i="385" s="1"/>
  <c r="B18" i="385"/>
  <c r="F12" i="385" s="1"/>
  <c r="B17" i="385"/>
  <c r="F11" i="385" s="1"/>
  <c r="B16" i="385"/>
  <c r="F10" i="385" s="1"/>
  <c r="B15" i="385"/>
  <c r="F9" i="385" s="1"/>
  <c r="B14" i="385"/>
  <c r="F8" i="385" s="1"/>
  <c r="B13" i="385"/>
  <c r="F7" i="385" s="1"/>
  <c r="B12" i="385"/>
  <c r="F6" i="385" s="1"/>
  <c r="B21" i="384"/>
  <c r="F15" i="384" s="1"/>
  <c r="B20" i="384"/>
  <c r="F14" i="384" s="1"/>
  <c r="B19" i="384"/>
  <c r="F13" i="384" s="1"/>
  <c r="B18" i="384"/>
  <c r="F12" i="384" s="1"/>
  <c r="B17" i="384"/>
  <c r="F11" i="384" s="1"/>
  <c r="B16" i="384"/>
  <c r="F10" i="384" s="1"/>
  <c r="B15" i="384"/>
  <c r="F9" i="384" s="1"/>
  <c r="B14" i="384"/>
  <c r="F8" i="384" s="1"/>
  <c r="B13" i="384"/>
  <c r="F7" i="384" s="1"/>
  <c r="B12" i="384"/>
  <c r="F6" i="384" s="1"/>
  <c r="B21" i="383"/>
  <c r="F15" i="383" s="1"/>
  <c r="B20" i="383"/>
  <c r="F14" i="383" s="1"/>
  <c r="B19" i="383"/>
  <c r="F13" i="383" s="1"/>
  <c r="B18" i="383"/>
  <c r="F12" i="383" s="1"/>
  <c r="B17" i="383"/>
  <c r="F11" i="383" s="1"/>
  <c r="B16" i="383"/>
  <c r="F10" i="383" s="1"/>
  <c r="B15" i="383"/>
  <c r="F9" i="383" s="1"/>
  <c r="B14" i="383"/>
  <c r="F8" i="383" s="1"/>
  <c r="B13" i="383"/>
  <c r="F7" i="383" s="1"/>
  <c r="B12" i="383"/>
  <c r="F6" i="383" s="1"/>
  <c r="B21" i="382"/>
  <c r="F15" i="382" s="1"/>
  <c r="B20" i="382"/>
  <c r="F14" i="382" s="1"/>
  <c r="B19" i="382"/>
  <c r="F13" i="382" s="1"/>
  <c r="B18" i="382"/>
  <c r="F12" i="382" s="1"/>
  <c r="B17" i="382"/>
  <c r="F11" i="382" s="1"/>
  <c r="B16" i="382"/>
  <c r="F10" i="382" s="1"/>
  <c r="B15" i="382"/>
  <c r="F9" i="382" s="1"/>
  <c r="B14" i="382"/>
  <c r="F8" i="382" s="1"/>
  <c r="B13" i="382"/>
  <c r="F7" i="382" s="1"/>
  <c r="B12" i="382"/>
  <c r="F6" i="382" s="1"/>
  <c r="B21" i="381"/>
  <c r="F15" i="381" s="1"/>
  <c r="B20" i="381"/>
  <c r="F14" i="381" s="1"/>
  <c r="B19" i="381"/>
  <c r="F13" i="381" s="1"/>
  <c r="B18" i="381"/>
  <c r="F12" i="381" s="1"/>
  <c r="B17" i="381"/>
  <c r="F11" i="381" s="1"/>
  <c r="B16" i="381"/>
  <c r="F10" i="381" s="1"/>
  <c r="B15" i="381"/>
  <c r="F9" i="381" s="1"/>
  <c r="B14" i="381"/>
  <c r="F8" i="381" s="1"/>
  <c r="B13" i="381"/>
  <c r="F7" i="381" s="1"/>
  <c r="B12" i="381"/>
  <c r="F6" i="381" s="1"/>
  <c r="B21" i="380"/>
  <c r="F15" i="380" s="1"/>
  <c r="B20" i="380"/>
  <c r="F14" i="380" s="1"/>
  <c r="B19" i="380"/>
  <c r="F13" i="380" s="1"/>
  <c r="B18" i="380"/>
  <c r="F12" i="380" s="1"/>
  <c r="B17" i="380"/>
  <c r="F11" i="380" s="1"/>
  <c r="B16" i="380"/>
  <c r="F10" i="380" s="1"/>
  <c r="B15" i="380"/>
  <c r="F9" i="380" s="1"/>
  <c r="B14" i="380"/>
  <c r="F8" i="380" s="1"/>
  <c r="B13" i="380"/>
  <c r="F7" i="380" s="1"/>
  <c r="B12" i="380"/>
  <c r="F6" i="380" s="1"/>
  <c r="E39" i="379"/>
  <c r="E38" i="379"/>
  <c r="E37" i="379"/>
  <c r="E35" i="379"/>
  <c r="E34" i="379"/>
  <c r="E33" i="379"/>
  <c r="E32" i="379"/>
  <c r="E26" i="379"/>
  <c r="E25" i="379"/>
  <c r="E24" i="379"/>
  <c r="E22" i="379"/>
  <c r="E21" i="379"/>
  <c r="E20" i="379"/>
  <c r="B20" i="379"/>
  <c r="I14" i="379" s="1"/>
  <c r="E19" i="379"/>
  <c r="B19" i="379"/>
  <c r="I13" i="379" s="1"/>
  <c r="B18" i="379"/>
  <c r="I12" i="379" s="1"/>
  <c r="B17" i="379"/>
  <c r="I11" i="379" s="1"/>
  <c r="B16" i="379"/>
  <c r="I10" i="379" s="1"/>
  <c r="B15" i="379"/>
  <c r="I9" i="379" s="1"/>
  <c r="B14" i="379"/>
  <c r="I8" i="379" s="1"/>
  <c r="E13" i="379"/>
  <c r="B13" i="379"/>
  <c r="I7" i="379" s="1"/>
  <c r="E12" i="379"/>
  <c r="B12" i="379"/>
  <c r="I6" i="379" s="1"/>
  <c r="E11" i="379"/>
  <c r="E9" i="379"/>
  <c r="I18" i="379" s="1"/>
  <c r="E8" i="379"/>
  <c r="I17" i="379" s="1"/>
  <c r="E7" i="379"/>
  <c r="I16" i="379" s="1"/>
  <c r="E6" i="379"/>
  <c r="I15" i="379" s="1"/>
  <c r="E39" i="378"/>
  <c r="E38" i="378"/>
  <c r="E37" i="378"/>
  <c r="E35" i="378"/>
  <c r="E34" i="378"/>
  <c r="E33" i="378"/>
  <c r="E32" i="378"/>
  <c r="E26" i="378"/>
  <c r="E25" i="378"/>
  <c r="E24" i="378"/>
  <c r="E22" i="378"/>
  <c r="E21" i="378"/>
  <c r="E20" i="378"/>
  <c r="B20" i="378"/>
  <c r="I14" i="378" s="1"/>
  <c r="E19" i="378"/>
  <c r="B19" i="378"/>
  <c r="I13" i="378" s="1"/>
  <c r="B18" i="378"/>
  <c r="I12" i="378" s="1"/>
  <c r="B17" i="378"/>
  <c r="I11" i="378" s="1"/>
  <c r="B16" i="378"/>
  <c r="I10" i="378" s="1"/>
  <c r="B15" i="378"/>
  <c r="I9" i="378" s="1"/>
  <c r="B14" i="378"/>
  <c r="I8" i="378" s="1"/>
  <c r="E13" i="378"/>
  <c r="B13" i="378"/>
  <c r="I7" i="378" s="1"/>
  <c r="E12" i="378"/>
  <c r="B12" i="378"/>
  <c r="I6" i="378" s="1"/>
  <c r="E11" i="378"/>
  <c r="E9" i="378"/>
  <c r="I18" i="378" s="1"/>
  <c r="E8" i="378"/>
  <c r="I17" i="378" s="1"/>
  <c r="E7" i="378"/>
  <c r="I16" i="378" s="1"/>
  <c r="E6" i="378"/>
  <c r="I15" i="378" s="1"/>
  <c r="E39" i="377"/>
  <c r="E38" i="377"/>
  <c r="E37" i="377"/>
  <c r="E35" i="377"/>
  <c r="E34" i="377"/>
  <c r="E33" i="377"/>
  <c r="E32" i="377"/>
  <c r="E26" i="377"/>
  <c r="E25" i="377"/>
  <c r="E24" i="377"/>
  <c r="E22" i="377"/>
  <c r="E21" i="377"/>
  <c r="E20" i="377"/>
  <c r="B20" i="377"/>
  <c r="I14" i="377" s="1"/>
  <c r="E19" i="377"/>
  <c r="B19" i="377"/>
  <c r="I13" i="377" s="1"/>
  <c r="B18" i="377"/>
  <c r="I12" i="377" s="1"/>
  <c r="B17" i="377"/>
  <c r="I11" i="377" s="1"/>
  <c r="B16" i="377"/>
  <c r="I10" i="377" s="1"/>
  <c r="B15" i="377"/>
  <c r="I9" i="377" s="1"/>
  <c r="B14" i="377"/>
  <c r="I8" i="377" s="1"/>
  <c r="E13" i="377"/>
  <c r="B13" i="377"/>
  <c r="I7" i="377" s="1"/>
  <c r="E12" i="377"/>
  <c r="B12" i="377"/>
  <c r="I6" i="377" s="1"/>
  <c r="E11" i="377"/>
  <c r="E9" i="377"/>
  <c r="I18" i="377" s="1"/>
  <c r="E8" i="377"/>
  <c r="I17" i="377" s="1"/>
  <c r="E7" i="377"/>
  <c r="I16" i="377" s="1"/>
  <c r="E6" i="377"/>
  <c r="I15" i="377" s="1"/>
  <c r="B14" i="371"/>
  <c r="B13" i="371"/>
  <c r="B12" i="371"/>
  <c r="B11" i="371"/>
  <c r="B10" i="371"/>
  <c r="B9" i="371"/>
  <c r="B8" i="371"/>
  <c r="B7" i="371"/>
  <c r="B6" i="371"/>
  <c r="D6" i="371" a="1"/>
  <c r="D6" i="371" s="1"/>
  <c r="E6" i="371"/>
  <c r="E3" i="375" s="1"/>
  <c r="G6" i="371" a="1"/>
  <c r="G6" i="371" s="1"/>
  <c r="H6" i="371"/>
  <c r="E14" i="371"/>
  <c r="E13" i="371"/>
  <c r="E12" i="371"/>
  <c r="E11" i="371"/>
  <c r="E8" i="375" s="1"/>
  <c r="E10" i="371"/>
  <c r="E7" i="375" s="1"/>
  <c r="E9" i="371"/>
  <c r="E6" i="375" s="1"/>
  <c r="E8" i="371"/>
  <c r="E5" i="375" s="1"/>
  <c r="E7" i="371"/>
  <c r="E4" i="375" s="1"/>
  <c r="H14" i="371"/>
  <c r="F11" i="375" s="1"/>
  <c r="H13" i="371"/>
  <c r="F10" i="375" s="1"/>
  <c r="H12" i="371"/>
  <c r="F9" i="375" s="1"/>
  <c r="H11" i="371"/>
  <c r="F8" i="375" s="1"/>
  <c r="H10" i="371"/>
  <c r="H9" i="371"/>
  <c r="H8" i="371"/>
  <c r="H7" i="371"/>
  <c r="B14" i="372"/>
  <c r="D20" i="375" s="1"/>
  <c r="B13" i="372"/>
  <c r="D19" i="375" s="1"/>
  <c r="B12" i="372"/>
  <c r="D18" i="375" s="1"/>
  <c r="B11" i="372"/>
  <c r="D17" i="375" s="1"/>
  <c r="B10" i="372"/>
  <c r="D16" i="375" s="1"/>
  <c r="B9" i="372"/>
  <c r="D15" i="375" s="1"/>
  <c r="B8" i="372"/>
  <c r="D14" i="375" s="1"/>
  <c r="B7" i="372"/>
  <c r="D13" i="375" s="1"/>
  <c r="B6" i="372"/>
  <c r="D12" i="375" s="1"/>
  <c r="E14" i="372"/>
  <c r="E20" i="375" s="1"/>
  <c r="E13" i="372"/>
  <c r="E19" i="375" s="1"/>
  <c r="E12" i="372"/>
  <c r="E18" i="375" s="1"/>
  <c r="E11" i="372"/>
  <c r="E17" i="375" s="1"/>
  <c r="E10" i="372"/>
  <c r="E16" i="375" s="1"/>
  <c r="E9" i="372"/>
  <c r="E15" i="375" s="1"/>
  <c r="E8" i="372"/>
  <c r="E14" i="375" s="1"/>
  <c r="E7" i="372"/>
  <c r="E13" i="375" s="1"/>
  <c r="E6" i="372"/>
  <c r="E12" i="375" s="1"/>
  <c r="H14" i="372"/>
  <c r="F20" i="375" s="1"/>
  <c r="H13" i="372"/>
  <c r="S20" i="375" s="1"/>
  <c r="H12" i="372"/>
  <c r="F18" i="375" s="1"/>
  <c r="H11" i="372"/>
  <c r="F17" i="375" s="1"/>
  <c r="H10" i="372"/>
  <c r="F16" i="375" s="1"/>
  <c r="H9" i="372"/>
  <c r="S14" i="375" s="1"/>
  <c r="H8" i="372"/>
  <c r="F14" i="375" s="1"/>
  <c r="H7" i="372"/>
  <c r="F13" i="375" s="1"/>
  <c r="H6" i="372"/>
  <c r="F12" i="375" s="1"/>
  <c r="B14" i="373"/>
  <c r="D29" i="375" s="1"/>
  <c r="B13" i="373"/>
  <c r="D28" i="375" s="1"/>
  <c r="B12" i="373"/>
  <c r="D27" i="375" s="1"/>
  <c r="B11" i="373"/>
  <c r="D26" i="375" s="1"/>
  <c r="B10" i="373"/>
  <c r="D25" i="375" s="1"/>
  <c r="B9" i="373"/>
  <c r="D24" i="375" s="1"/>
  <c r="B8" i="373"/>
  <c r="D23" i="375" s="1"/>
  <c r="B7" i="373"/>
  <c r="D22" i="375" s="1"/>
  <c r="B6" i="373"/>
  <c r="D21" i="375" s="1"/>
  <c r="E14" i="373"/>
  <c r="E29" i="375" s="1"/>
  <c r="E13" i="373"/>
  <c r="E28" i="375" s="1"/>
  <c r="E12" i="373"/>
  <c r="E27" i="375" s="1"/>
  <c r="E11" i="373"/>
  <c r="E26" i="375" s="1"/>
  <c r="E10" i="373"/>
  <c r="E25" i="375" s="1"/>
  <c r="E9" i="373"/>
  <c r="E24" i="375" s="1"/>
  <c r="E8" i="373"/>
  <c r="E23" i="375" s="1"/>
  <c r="E7" i="373"/>
  <c r="E22" i="375" s="1"/>
  <c r="E6" i="373"/>
  <c r="E21" i="375" s="1"/>
  <c r="H14" i="373"/>
  <c r="F29" i="375" s="1"/>
  <c r="H13" i="373"/>
  <c r="F28" i="375" s="1"/>
  <c r="H12" i="373"/>
  <c r="F27" i="375" s="1"/>
  <c r="H11" i="373"/>
  <c r="F26" i="375" s="1"/>
  <c r="H10" i="373"/>
  <c r="F25" i="375" s="1"/>
  <c r="H9" i="373"/>
  <c r="F24" i="375" s="1"/>
  <c r="H8" i="373"/>
  <c r="F23" i="375" s="1"/>
  <c r="H7" i="373"/>
  <c r="F22" i="375" s="1"/>
  <c r="H6" i="373"/>
  <c r="F21" i="375" s="1"/>
  <c r="B14" i="374"/>
  <c r="D38" i="375" s="1"/>
  <c r="B13" i="374"/>
  <c r="D37" i="375" s="1"/>
  <c r="B12" i="374"/>
  <c r="D36" i="375" s="1"/>
  <c r="B11" i="374"/>
  <c r="D35" i="375" s="1"/>
  <c r="B10" i="374"/>
  <c r="D34" i="375" s="1"/>
  <c r="B9" i="374"/>
  <c r="D33" i="375" s="1"/>
  <c r="B8" i="374"/>
  <c r="D32" i="375" s="1"/>
  <c r="B7" i="374"/>
  <c r="D31" i="375" s="1"/>
  <c r="B6" i="374"/>
  <c r="D30" i="375" s="1"/>
  <c r="E14" i="374"/>
  <c r="E38" i="375" s="1"/>
  <c r="E13" i="374"/>
  <c r="E37" i="375" s="1"/>
  <c r="E12" i="374"/>
  <c r="E36" i="375" s="1"/>
  <c r="E11" i="374"/>
  <c r="E35" i="375" s="1"/>
  <c r="E10" i="374"/>
  <c r="E34" i="375" s="1"/>
  <c r="E9" i="374"/>
  <c r="E33" i="375" s="1"/>
  <c r="E8" i="374"/>
  <c r="E32" i="375" s="1"/>
  <c r="E7" i="374"/>
  <c r="E31" i="375" s="1"/>
  <c r="E6" i="374"/>
  <c r="E30" i="375" s="1"/>
  <c r="H13" i="374"/>
  <c r="F37" i="375" s="1"/>
  <c r="H10" i="374"/>
  <c r="F34" i="375" s="1"/>
  <c r="H6" i="374"/>
  <c r="F30" i="375" s="1"/>
  <c r="H7" i="374"/>
  <c r="F31" i="375" s="1"/>
  <c r="H8" i="374"/>
  <c r="F32" i="375" s="1"/>
  <c r="H11" i="374"/>
  <c r="F35" i="375" s="1"/>
  <c r="H14" i="374"/>
  <c r="F38" i="375" s="1"/>
  <c r="H12" i="374"/>
  <c r="F36" i="375" s="1"/>
  <c r="H9" i="374"/>
  <c r="F33" i="375" s="1"/>
  <c r="C73" i="13"/>
  <c r="C101" i="13"/>
  <c r="C31" i="350" a="1"/>
  <c r="C31" i="350" s="1"/>
  <c r="B73" i="13"/>
  <c r="B101" i="13"/>
  <c r="C30" i="350" a="1"/>
  <c r="C30" i="350" s="1"/>
  <c r="A3" i="351" a="1"/>
  <c r="Q13" i="375"/>
  <c r="R13" i="375"/>
  <c r="S13" i="375"/>
  <c r="T13" i="375"/>
  <c r="Q15" i="375"/>
  <c r="R15" i="375"/>
  <c r="S15" i="375"/>
  <c r="Q19" i="375"/>
  <c r="R19" i="375"/>
  <c r="S19" i="375"/>
  <c r="T19" i="375"/>
  <c r="Q21" i="375"/>
  <c r="R21" i="375"/>
  <c r="S21" i="375"/>
  <c r="Q25" i="375"/>
  <c r="R25" i="375"/>
  <c r="S25" i="375"/>
  <c r="T25" i="375"/>
  <c r="R26" i="375"/>
  <c r="S26" i="375"/>
  <c r="Q27" i="375"/>
  <c r="R27" i="375"/>
  <c r="S27" i="375"/>
  <c r="L79" i="13"/>
  <c r="L73" i="13"/>
  <c r="K79" i="13"/>
  <c r="K73" i="13"/>
  <c r="B21" i="376"/>
  <c r="F15" i="376" s="1"/>
  <c r="J79" i="13"/>
  <c r="J73" i="13"/>
  <c r="B20" i="376"/>
  <c r="F14" i="376" s="1"/>
  <c r="I79" i="13"/>
  <c r="I73" i="13"/>
  <c r="B19" i="376"/>
  <c r="F13" i="376" s="1"/>
  <c r="H79" i="13"/>
  <c r="H73" i="13"/>
  <c r="B18" i="376"/>
  <c r="F12" i="376" s="1"/>
  <c r="G79" i="13"/>
  <c r="G73" i="13"/>
  <c r="B17" i="376"/>
  <c r="F11" i="376" s="1"/>
  <c r="F79" i="13"/>
  <c r="F73" i="13"/>
  <c r="B16" i="376"/>
  <c r="F10" i="376" s="1"/>
  <c r="E79" i="13"/>
  <c r="E73" i="13"/>
  <c r="B15" i="376"/>
  <c r="F9" i="376" s="1"/>
  <c r="D79" i="13"/>
  <c r="D73" i="13"/>
  <c r="B14" i="376"/>
  <c r="F8" i="376" s="1"/>
  <c r="C79" i="13"/>
  <c r="B13" i="376"/>
  <c r="F7" i="376" s="1"/>
  <c r="B79" i="13"/>
  <c r="B12" i="376"/>
  <c r="F6" i="376" s="1"/>
  <c r="R62" i="13"/>
  <c r="R63" i="13" s="1"/>
  <c r="R64" i="13" s="1"/>
  <c r="R65" i="13" s="1"/>
  <c r="R66" i="13" s="1"/>
  <c r="R67" i="13" s="1"/>
  <c r="R68" i="13" s="1"/>
  <c r="P62" i="13"/>
  <c r="P63" i="13" s="1"/>
  <c r="P64" i="13" s="1"/>
  <c r="P65" i="13" s="1"/>
  <c r="P66" i="13" s="1"/>
  <c r="P67" i="13" s="1"/>
  <c r="P68" i="13" s="1"/>
  <c r="R6" i="353"/>
  <c r="Q6" i="353"/>
  <c r="P6" i="353"/>
  <c r="O6" i="353"/>
  <c r="N6" i="353"/>
  <c r="M6" i="353"/>
  <c r="R5" i="353"/>
  <c r="Q5" i="353"/>
  <c r="P5" i="353"/>
  <c r="O5" i="353"/>
  <c r="N5" i="353"/>
  <c r="M5" i="353"/>
  <c r="R4" i="353"/>
  <c r="Q4" i="353"/>
  <c r="P4" i="353"/>
  <c r="O4" i="353"/>
  <c r="N4" i="353"/>
  <c r="M4" i="353"/>
  <c r="R3" i="353"/>
  <c r="Q3" i="353"/>
  <c r="P3" i="353"/>
  <c r="O3" i="353"/>
  <c r="N3" i="353"/>
  <c r="M3" i="353"/>
  <c r="K6" i="353"/>
  <c r="J6" i="353"/>
  <c r="I6" i="353"/>
  <c r="H6" i="353"/>
  <c r="G6" i="353"/>
  <c r="F6" i="353"/>
  <c r="E6" i="353"/>
  <c r="K5" i="353"/>
  <c r="J5" i="353"/>
  <c r="I5" i="353"/>
  <c r="H5" i="353"/>
  <c r="G5" i="353"/>
  <c r="F5" i="353"/>
  <c r="E5" i="353"/>
  <c r="K4" i="353"/>
  <c r="J4" i="353"/>
  <c r="I4" i="353"/>
  <c r="H4" i="353"/>
  <c r="G4" i="353"/>
  <c r="F4" i="353"/>
  <c r="E4" i="353"/>
  <c r="K3" i="353"/>
  <c r="J3" i="353"/>
  <c r="I3" i="353"/>
  <c r="H3" i="353"/>
  <c r="G3" i="353"/>
  <c r="F3" i="353"/>
  <c r="E3" i="353"/>
  <c r="AA27" i="3"/>
  <c r="B19" i="372" s="1"/>
  <c r="L17" i="375" s="1"/>
  <c r="Z27" i="3"/>
  <c r="B18" i="372" s="1"/>
  <c r="L14" i="375" s="1"/>
  <c r="Y27" i="3"/>
  <c r="B15" i="370"/>
  <c r="F9" i="370" s="1"/>
  <c r="B14" i="370"/>
  <c r="F8" i="370" s="1"/>
  <c r="B13" i="370"/>
  <c r="F7" i="370" s="1"/>
  <c r="B12" i="370"/>
  <c r="F6" i="370" s="1"/>
  <c r="Q2" i="375" a="1"/>
  <c r="Q2" i="375" s="1"/>
  <c r="AB27" i="3"/>
  <c r="B20" i="371" s="1"/>
  <c r="Q3" i="375" a="1"/>
  <c r="Q3" i="375" s="1"/>
  <c r="Q4" i="375" a="1"/>
  <c r="Q4" i="375" s="1"/>
  <c r="E4" i="3"/>
  <c r="E5" i="3" s="1"/>
  <c r="E6" i="3" s="1"/>
  <c r="E7" i="3" s="1"/>
  <c r="E8" i="3" s="1"/>
  <c r="E9" i="3" s="1"/>
  <c r="E10" i="3" s="1"/>
  <c r="Q21" i="3"/>
  <c r="B37" i="145" a="1"/>
  <c r="D39" i="145" s="1" a="1"/>
  <c r="D39" i="145" s="1"/>
  <c r="O21" i="3"/>
  <c r="AA26" i="3"/>
  <c r="AA25" i="3"/>
  <c r="H17" i="13"/>
  <c r="H35" i="13"/>
  <c r="H57" i="13"/>
  <c r="H51" i="13"/>
  <c r="H101" i="13"/>
  <c r="C37" i="146" a="1"/>
  <c r="E44" i="146" s="1" a="1"/>
  <c r="E44" i="146" s="1"/>
  <c r="B1" i="145" a="1"/>
  <c r="B1" i="145" s="1"/>
  <c r="D1" i="145" s="1" a="1"/>
  <c r="D1" i="145" s="1"/>
  <c r="B19" i="145" a="1"/>
  <c r="D29" i="145" s="1" a="1"/>
  <c r="D29" i="145" s="1"/>
  <c r="M21" i="3"/>
  <c r="Y26" i="3"/>
  <c r="Y25" i="3"/>
  <c r="N21" i="3"/>
  <c r="Z26" i="3"/>
  <c r="F25" i="422" s="1"/>
  <c r="Z25" i="3"/>
  <c r="C1" i="146" a="1"/>
  <c r="C1" i="146" s="1"/>
  <c r="E1" i="146" s="1" a="1"/>
  <c r="E1" i="146" s="1"/>
  <c r="F17" i="13"/>
  <c r="F35" i="13"/>
  <c r="F57" i="13"/>
  <c r="F51" i="13"/>
  <c r="F74" i="13"/>
  <c r="F101" i="13"/>
  <c r="F95" i="13"/>
  <c r="F76" i="13"/>
  <c r="F75" i="13"/>
  <c r="C19" i="146" a="1"/>
  <c r="C19" i="146" s="1"/>
  <c r="E19" i="146" s="1" a="1"/>
  <c r="E19" i="146" s="1"/>
  <c r="G17" i="13"/>
  <c r="G35" i="13"/>
  <c r="G57" i="13"/>
  <c r="G51" i="13"/>
  <c r="G74" i="13"/>
  <c r="G101" i="13"/>
  <c r="G95" i="13"/>
  <c r="G76" i="13"/>
  <c r="G75" i="13"/>
  <c r="H74" i="13"/>
  <c r="H95" i="13"/>
  <c r="H76" i="13"/>
  <c r="H75" i="13"/>
  <c r="C29" i="144" a="1"/>
  <c r="C29" i="144" s="1"/>
  <c r="T26" i="3"/>
  <c r="C30" i="144" a="1"/>
  <c r="C30" i="144" s="1"/>
  <c r="U26" i="3"/>
  <c r="C31" i="144" a="1"/>
  <c r="C31" i="144" s="1"/>
  <c r="V26" i="3"/>
  <c r="F8" i="74" s="1"/>
  <c r="C32" i="144" a="1"/>
  <c r="C32" i="144" s="1"/>
  <c r="C33" i="144" a="1"/>
  <c r="C33" i="144" s="1"/>
  <c r="C34" i="144" a="1"/>
  <c r="C34" i="144" s="1"/>
  <c r="C35" i="144" a="1"/>
  <c r="C35" i="144" s="1"/>
  <c r="C36" i="144" a="1"/>
  <c r="C36" i="144" s="1"/>
  <c r="C37" i="144" a="1"/>
  <c r="C37" i="144" s="1"/>
  <c r="F3" i="134" a="1"/>
  <c r="F3" i="134" s="1"/>
  <c r="C4" i="3"/>
  <c r="C5" i="3" s="1"/>
  <c r="C6" i="3" s="1"/>
  <c r="C7" i="3" s="1"/>
  <c r="C8" i="3" s="1"/>
  <c r="C9" i="3" s="1"/>
  <c r="C10" i="3" s="1"/>
  <c r="A3" i="134" a="1"/>
  <c r="A3" i="134" s="1"/>
  <c r="AB26" i="3"/>
  <c r="AB25" i="3"/>
  <c r="C28" i="144" a="1"/>
  <c r="C28" i="144" s="1"/>
  <c r="C27" i="144" a="1"/>
  <c r="C27" i="144" s="1"/>
  <c r="C26" i="144" a="1"/>
  <c r="C26" i="144" s="1"/>
  <c r="C25" i="144" a="1"/>
  <c r="C25" i="144" s="1"/>
  <c r="V25" i="3"/>
  <c r="C24" i="144" a="1"/>
  <c r="C24" i="144" s="1"/>
  <c r="U25" i="3"/>
  <c r="C23" i="144" a="1"/>
  <c r="C23" i="144" s="1"/>
  <c r="T25" i="3"/>
  <c r="C22" i="144" a="1"/>
  <c r="C22" i="144" s="1"/>
  <c r="C21" i="144" a="1"/>
  <c r="C21" i="144" s="1"/>
  <c r="C20" i="144" a="1"/>
  <c r="C20" i="144" s="1"/>
  <c r="C19" i="144" a="1"/>
  <c r="C19" i="144" s="1"/>
  <c r="C18" i="144" a="1"/>
  <c r="C18" i="144" s="1"/>
  <c r="C17" i="144" a="1"/>
  <c r="C17" i="144" s="1"/>
  <c r="C16" i="144" a="1"/>
  <c r="C16" i="144" s="1"/>
  <c r="C15" i="144" a="1"/>
  <c r="C15" i="144" s="1"/>
  <c r="C14" i="144" a="1"/>
  <c r="C14" i="144" s="1"/>
  <c r="C13" i="144" a="1"/>
  <c r="C13" i="144" s="1"/>
  <c r="C12" i="144" a="1"/>
  <c r="C12" i="144" s="1"/>
  <c r="C11" i="144" a="1"/>
  <c r="C11" i="144" s="1"/>
  <c r="C10" i="144" a="1"/>
  <c r="C10" i="144" s="1"/>
  <c r="C9" i="144" a="1"/>
  <c r="C9" i="144" s="1"/>
  <c r="C8" i="144" a="1"/>
  <c r="C8" i="144" s="1"/>
  <c r="C7" i="144" a="1"/>
  <c r="C7" i="144" s="1"/>
  <c r="C6" i="144" a="1"/>
  <c r="C6" i="144" s="1"/>
  <c r="C5" i="144" a="1"/>
  <c r="C5" i="144" s="1"/>
  <c r="C4" i="144" a="1"/>
  <c r="C4" i="144" s="1"/>
  <c r="C3" i="144" a="1"/>
  <c r="C3" i="144" s="1"/>
  <c r="C2" i="144" a="1"/>
  <c r="C2" i="144" s="1"/>
  <c r="X27" i="3"/>
  <c r="B16" i="373" s="1"/>
  <c r="W27" i="3"/>
  <c r="E15" i="374" s="1"/>
  <c r="G15" i="374" a="1"/>
  <c r="G15" i="374" s="1"/>
  <c r="D15" i="374" a="1"/>
  <c r="D15" i="374" s="1"/>
  <c r="A15" i="374" a="1"/>
  <c r="A15" i="374" s="1"/>
  <c r="G14" i="374" a="1"/>
  <c r="G14" i="374" s="1"/>
  <c r="D14" i="374" a="1"/>
  <c r="D14" i="374" s="1"/>
  <c r="A14" i="374" a="1"/>
  <c r="A14" i="374" s="1"/>
  <c r="G13" i="374" a="1"/>
  <c r="G13" i="374" s="1"/>
  <c r="D13" i="374" a="1"/>
  <c r="D13" i="374" s="1"/>
  <c r="A13" i="374" a="1"/>
  <c r="A13" i="374" s="1"/>
  <c r="G12" i="374" a="1"/>
  <c r="G12" i="374" s="1"/>
  <c r="D12" i="374" a="1"/>
  <c r="D12" i="374" s="1"/>
  <c r="A12" i="374" a="1"/>
  <c r="A12" i="374" s="1"/>
  <c r="G11" i="374" a="1"/>
  <c r="G11" i="374" s="1"/>
  <c r="D11" i="374" a="1"/>
  <c r="D11" i="374" s="1"/>
  <c r="A11" i="374" a="1"/>
  <c r="A11" i="374" s="1"/>
  <c r="G10" i="374" a="1"/>
  <c r="G10" i="374" s="1"/>
  <c r="D10" i="374" a="1"/>
  <c r="D10" i="374" s="1"/>
  <c r="A10" i="374" a="1"/>
  <c r="A10" i="374" s="1"/>
  <c r="G9" i="374" a="1"/>
  <c r="G9" i="374" s="1"/>
  <c r="D9" i="374" a="1"/>
  <c r="D9" i="374" s="1"/>
  <c r="A9" i="374" a="1"/>
  <c r="A9" i="374" s="1"/>
  <c r="G8" i="374" a="1"/>
  <c r="G8" i="374" s="1"/>
  <c r="D8" i="374" a="1"/>
  <c r="D8" i="374" s="1"/>
  <c r="A8" i="374" a="1"/>
  <c r="A8" i="374" s="1"/>
  <c r="G7" i="374" a="1"/>
  <c r="G7" i="374" s="1"/>
  <c r="D7" i="374" a="1"/>
  <c r="D7" i="374" s="1"/>
  <c r="A7" i="374" a="1"/>
  <c r="A7" i="374" s="1"/>
  <c r="G6" i="374" a="1"/>
  <c r="G6" i="374" s="1"/>
  <c r="D6" i="374" a="1"/>
  <c r="D6" i="374" s="1"/>
  <c r="A6" i="374" a="1"/>
  <c r="A6" i="374" s="1"/>
  <c r="G15" i="373" a="1"/>
  <c r="G15" i="373" s="1"/>
  <c r="D15" i="373" a="1"/>
  <c r="D15" i="373" s="1"/>
  <c r="A15" i="373" a="1"/>
  <c r="A15" i="373" s="1"/>
  <c r="G14" i="373" a="1"/>
  <c r="G14" i="373" s="1"/>
  <c r="D14" i="373" a="1"/>
  <c r="D14" i="373" s="1"/>
  <c r="A14" i="373" a="1"/>
  <c r="A14" i="373" s="1"/>
  <c r="G13" i="373" a="1"/>
  <c r="G13" i="373" s="1"/>
  <c r="D13" i="373" a="1"/>
  <c r="D13" i="373" s="1"/>
  <c r="A13" i="373" a="1"/>
  <c r="A13" i="373" s="1"/>
  <c r="G12" i="373" a="1"/>
  <c r="G12" i="373" s="1"/>
  <c r="D12" i="373" a="1"/>
  <c r="D12" i="373" s="1"/>
  <c r="A12" i="373" a="1"/>
  <c r="A12" i="373" s="1"/>
  <c r="G11" i="373" a="1"/>
  <c r="G11" i="373" s="1"/>
  <c r="D11" i="373" a="1"/>
  <c r="D11" i="373" s="1"/>
  <c r="A11" i="373" a="1"/>
  <c r="A11" i="373" s="1"/>
  <c r="G10" i="373" a="1"/>
  <c r="G10" i="373" s="1"/>
  <c r="D10" i="373" a="1"/>
  <c r="D10" i="373" s="1"/>
  <c r="A10" i="373" a="1"/>
  <c r="A10" i="373" s="1"/>
  <c r="G9" i="373" a="1"/>
  <c r="G9" i="373" s="1"/>
  <c r="D9" i="373" a="1"/>
  <c r="D9" i="373" s="1"/>
  <c r="A9" i="373" a="1"/>
  <c r="A9" i="373" s="1"/>
  <c r="G8" i="373" a="1"/>
  <c r="G8" i="373" s="1"/>
  <c r="D8" i="373" a="1"/>
  <c r="D8" i="373" s="1"/>
  <c r="A8" i="373" a="1"/>
  <c r="A8" i="373" s="1"/>
  <c r="G7" i="373" a="1"/>
  <c r="G7" i="373" s="1"/>
  <c r="D7" i="373" a="1"/>
  <c r="D7" i="373" s="1"/>
  <c r="A7" i="373" a="1"/>
  <c r="A7" i="373" s="1"/>
  <c r="G6" i="373" a="1"/>
  <c r="G6" i="373" s="1"/>
  <c r="D6" i="373" a="1"/>
  <c r="D6" i="373" s="1"/>
  <c r="A6" i="373" a="1"/>
  <c r="A6" i="373" s="1"/>
  <c r="G15" i="372" a="1"/>
  <c r="G15" i="372" s="1"/>
  <c r="D15" i="372" a="1"/>
  <c r="D15" i="372" s="1"/>
  <c r="A15" i="372" a="1"/>
  <c r="A15" i="372" s="1"/>
  <c r="G14" i="372" a="1"/>
  <c r="G14" i="372" s="1"/>
  <c r="D14" i="372" a="1"/>
  <c r="D14" i="372" s="1"/>
  <c r="A14" i="372" a="1"/>
  <c r="A14" i="372" s="1"/>
  <c r="G13" i="372" a="1"/>
  <c r="G13" i="372" s="1"/>
  <c r="D13" i="372" a="1"/>
  <c r="D13" i="372" s="1"/>
  <c r="A13" i="372" a="1"/>
  <c r="A13" i="372" s="1"/>
  <c r="G12" i="372" a="1"/>
  <c r="G12" i="372" s="1"/>
  <c r="D12" i="372" a="1"/>
  <c r="D12" i="372" s="1"/>
  <c r="A12" i="372" a="1"/>
  <c r="A12" i="372" s="1"/>
  <c r="G11" i="372" a="1"/>
  <c r="G11" i="372" s="1"/>
  <c r="D11" i="372" a="1"/>
  <c r="D11" i="372" s="1"/>
  <c r="A11" i="372" a="1"/>
  <c r="A11" i="372" s="1"/>
  <c r="G10" i="372" a="1"/>
  <c r="G10" i="372" s="1"/>
  <c r="D10" i="372" a="1"/>
  <c r="D10" i="372" s="1"/>
  <c r="A10" i="372" a="1"/>
  <c r="A10" i="372" s="1"/>
  <c r="G9" i="372" a="1"/>
  <c r="G9" i="372" s="1"/>
  <c r="D9" i="372" a="1"/>
  <c r="D9" i="372" s="1"/>
  <c r="A9" i="372" a="1"/>
  <c r="A9" i="372" s="1"/>
  <c r="G8" i="372" a="1"/>
  <c r="G8" i="372" s="1"/>
  <c r="D8" i="372" a="1"/>
  <c r="D8" i="372" s="1"/>
  <c r="A8" i="372" a="1"/>
  <c r="A8" i="372" s="1"/>
  <c r="G7" i="372" a="1"/>
  <c r="G7" i="372" s="1"/>
  <c r="D7" i="372" a="1"/>
  <c r="D7" i="372" s="1"/>
  <c r="A7" i="372" a="1"/>
  <c r="A7" i="372" s="1"/>
  <c r="G6" i="372" a="1"/>
  <c r="G6" i="372" s="1"/>
  <c r="D6" i="372" a="1"/>
  <c r="D6" i="372" s="1"/>
  <c r="A6" i="372" a="1"/>
  <c r="A6" i="372" s="1"/>
  <c r="G15" i="371" a="1"/>
  <c r="G15" i="371" s="1"/>
  <c r="D15" i="371" a="1"/>
  <c r="D15" i="371" s="1"/>
  <c r="A15" i="371" a="1"/>
  <c r="A15" i="371" s="1"/>
  <c r="G14" i="371" a="1"/>
  <c r="G14" i="371" s="1"/>
  <c r="G13" i="371" a="1"/>
  <c r="G13" i="371" s="1"/>
  <c r="G12" i="371" a="1"/>
  <c r="G12" i="371" s="1"/>
  <c r="G11" i="371" a="1"/>
  <c r="G11" i="371" s="1"/>
  <c r="G10" i="371" a="1"/>
  <c r="G10" i="371" s="1"/>
  <c r="G9" i="371" a="1"/>
  <c r="G9" i="371" s="1"/>
  <c r="K17" i="371" s="1"/>
  <c r="G8" i="371" a="1"/>
  <c r="G8" i="371" s="1"/>
  <c r="G7" i="371" a="1"/>
  <c r="G7" i="371" s="1"/>
  <c r="D14" i="371" a="1"/>
  <c r="D14" i="371" s="1"/>
  <c r="D13" i="371" a="1"/>
  <c r="D13" i="371" s="1"/>
  <c r="D12" i="371" a="1"/>
  <c r="D12" i="371" s="1"/>
  <c r="D11" i="371" a="1"/>
  <c r="D11" i="371" s="1"/>
  <c r="D10" i="371" a="1"/>
  <c r="D10" i="371" s="1"/>
  <c r="D9" i="371" a="1"/>
  <c r="D9" i="371" s="1"/>
  <c r="D8" i="371" a="1"/>
  <c r="D8" i="371" s="1"/>
  <c r="D7" i="371" a="1"/>
  <c r="D7" i="371" s="1"/>
  <c r="A14" i="371" a="1"/>
  <c r="A14" i="371" s="1"/>
  <c r="K16" i="371" s="1"/>
  <c r="A13" i="371" a="1"/>
  <c r="A13" i="371" s="1"/>
  <c r="K15" i="371" s="1"/>
  <c r="A12" i="371" a="1"/>
  <c r="A12" i="371" s="1"/>
  <c r="K14" i="371" s="1"/>
  <c r="A11" i="371" a="1"/>
  <c r="A11" i="371" s="1"/>
  <c r="K13" i="371" s="1"/>
  <c r="A10" i="371" a="1"/>
  <c r="A10" i="371" s="1"/>
  <c r="K12" i="371" s="1"/>
  <c r="A9" i="371" a="1"/>
  <c r="A9" i="371" s="1"/>
  <c r="K11" i="371" s="1"/>
  <c r="A8" i="371" a="1"/>
  <c r="A8" i="371" s="1"/>
  <c r="K10" i="371" s="1"/>
  <c r="A6" i="371" a="1"/>
  <c r="A6" i="371" s="1"/>
  <c r="K8" i="371" s="1"/>
  <c r="A7" i="371" a="1"/>
  <c r="A7" i="371" s="1"/>
  <c r="K9" i="371" s="1"/>
  <c r="P21" i="3"/>
  <c r="L21" i="3"/>
  <c r="K21" i="3"/>
  <c r="F13" i="370"/>
  <c r="J21" i="3"/>
  <c r="I21" i="3"/>
  <c r="C13" i="87" s="1"/>
  <c r="J7" i="87" s="1"/>
  <c r="H21" i="3"/>
  <c r="R5" i="13"/>
  <c r="R6" i="13" s="1"/>
  <c r="R7" i="13" s="1"/>
  <c r="R8" i="13" s="1"/>
  <c r="R9" i="13" s="1"/>
  <c r="L17" i="13"/>
  <c r="R22" i="13"/>
  <c r="R23" i="13" s="1"/>
  <c r="R24" i="13" s="1"/>
  <c r="R25" i="13" s="1"/>
  <c r="R26" i="13" s="1"/>
  <c r="L35" i="13"/>
  <c r="R40" i="13"/>
  <c r="R41" i="13" s="1"/>
  <c r="R42" i="13" s="1"/>
  <c r="R43" i="13" s="1"/>
  <c r="R44" i="13" s="1"/>
  <c r="R45" i="13" s="1"/>
  <c r="R46" i="13" s="1"/>
  <c r="L57" i="13"/>
  <c r="L51" i="13"/>
  <c r="L76" i="13"/>
  <c r="L74" i="13"/>
  <c r="L75" i="13"/>
  <c r="R84" i="13"/>
  <c r="R85" i="13" s="1"/>
  <c r="R86" i="13" s="1"/>
  <c r="R87" i="13" s="1"/>
  <c r="R88" i="13" s="1"/>
  <c r="R89" i="13" s="1"/>
  <c r="R90" i="13" s="1"/>
  <c r="L101" i="13"/>
  <c r="L95" i="13"/>
  <c r="C3" i="134" a="1"/>
  <c r="C3" i="134" s="1"/>
  <c r="K101" i="13"/>
  <c r="C106" i="146" a="1"/>
  <c r="E130" i="146" s="1" a="1"/>
  <c r="E130" i="146" s="1"/>
  <c r="K95" i="13"/>
  <c r="C56" i="146" a="1"/>
  <c r="E79" i="146" s="1" a="1"/>
  <c r="E79" i="146" s="1"/>
  <c r="C81" i="146" a="1"/>
  <c r="E105" i="146" s="1" a="1"/>
  <c r="E105" i="146" s="1"/>
  <c r="I17" i="13"/>
  <c r="I35" i="13"/>
  <c r="I57" i="13"/>
  <c r="I51" i="13"/>
  <c r="I101" i="13"/>
  <c r="I95" i="13"/>
  <c r="I75" i="13"/>
  <c r="I76" i="13"/>
  <c r="I74" i="13"/>
  <c r="J17" i="13"/>
  <c r="J35" i="13"/>
  <c r="J57" i="13"/>
  <c r="J51" i="13"/>
  <c r="J101" i="13"/>
  <c r="J95" i="13"/>
  <c r="J75" i="13"/>
  <c r="J76" i="13"/>
  <c r="J74" i="13"/>
  <c r="K17" i="13"/>
  <c r="K35" i="13"/>
  <c r="K57" i="13"/>
  <c r="K51" i="13"/>
  <c r="K75" i="13"/>
  <c r="K76" i="13"/>
  <c r="K74" i="13"/>
  <c r="C49" i="350" a="1"/>
  <c r="C49" i="350" s="1"/>
  <c r="C48" i="350" a="1"/>
  <c r="C48" i="350" s="1"/>
  <c r="C47" i="350" a="1"/>
  <c r="C47" i="350" s="1"/>
  <c r="C46" i="350" a="1"/>
  <c r="C46" i="350" s="1"/>
  <c r="C45" i="350" a="1"/>
  <c r="C45" i="350" s="1"/>
  <c r="C44" i="350" a="1"/>
  <c r="C44" i="350" s="1"/>
  <c r="C43" i="350" a="1"/>
  <c r="C43" i="350" s="1"/>
  <c r="C42" i="350" a="1"/>
  <c r="C42" i="350" s="1"/>
  <c r="C41" i="350" a="1"/>
  <c r="C41" i="350" s="1"/>
  <c r="C40" i="350" a="1"/>
  <c r="C40" i="350" s="1"/>
  <c r="C39" i="350" a="1"/>
  <c r="C39" i="350" s="1"/>
  <c r="C38" i="350" a="1"/>
  <c r="C38" i="350" s="1"/>
  <c r="E101" i="13"/>
  <c r="E95" i="13"/>
  <c r="D101" i="13"/>
  <c r="D95" i="13"/>
  <c r="C95" i="13"/>
  <c r="B95" i="13"/>
  <c r="B21" i="368"/>
  <c r="F15" i="368" s="1"/>
  <c r="B20" i="368"/>
  <c r="F14" i="368" s="1"/>
  <c r="B19" i="368"/>
  <c r="F13" i="368" s="1"/>
  <c r="B18" i="368"/>
  <c r="F12" i="368" s="1"/>
  <c r="B17" i="368"/>
  <c r="F11" i="368" s="1"/>
  <c r="B16" i="368"/>
  <c r="F10" i="368" s="1"/>
  <c r="B15" i="368"/>
  <c r="F9" i="368" s="1"/>
  <c r="B14" i="368"/>
  <c r="F8" i="368" s="1"/>
  <c r="B13" i="368"/>
  <c r="F7" i="368" s="1"/>
  <c r="B12" i="368"/>
  <c r="F6" i="368" s="1"/>
  <c r="P84" i="13"/>
  <c r="P85" i="13" s="1"/>
  <c r="P86" i="13" s="1"/>
  <c r="P87" i="13" s="1"/>
  <c r="P88" i="13" s="1"/>
  <c r="P89" i="13" s="1"/>
  <c r="P90" i="13" s="1"/>
  <c r="B21" i="367"/>
  <c r="F15" i="367" s="1"/>
  <c r="B20" i="367"/>
  <c r="F14" i="367" s="1"/>
  <c r="B19" i="367"/>
  <c r="F13" i="367" s="1"/>
  <c r="B18" i="367"/>
  <c r="F12" i="367" s="1"/>
  <c r="B17" i="367"/>
  <c r="F11" i="367" s="1"/>
  <c r="B16" i="367"/>
  <c r="F10" i="367" s="1"/>
  <c r="B15" i="367"/>
  <c r="F9" i="367" s="1"/>
  <c r="B14" i="367"/>
  <c r="F8" i="367" s="1"/>
  <c r="B13" i="367"/>
  <c r="F7" i="367" s="1"/>
  <c r="B12" i="367"/>
  <c r="F6" i="367" s="1"/>
  <c r="B21" i="366"/>
  <c r="F15" i="366" s="1"/>
  <c r="B20" i="366"/>
  <c r="F14" i="366" s="1"/>
  <c r="B19" i="366"/>
  <c r="F13" i="366" s="1"/>
  <c r="B18" i="366"/>
  <c r="F12" i="366" s="1"/>
  <c r="B17" i="366"/>
  <c r="F11" i="366" s="1"/>
  <c r="B16" i="366"/>
  <c r="F10" i="366" s="1"/>
  <c r="B15" i="366"/>
  <c r="F9" i="366" s="1"/>
  <c r="B14" i="366"/>
  <c r="F8" i="366" s="1"/>
  <c r="B13" i="366"/>
  <c r="F7" i="366" s="1"/>
  <c r="B12" i="366"/>
  <c r="F6" i="366" s="1"/>
  <c r="B21" i="365"/>
  <c r="F15" i="365" s="1"/>
  <c r="B20" i="365"/>
  <c r="F14" i="365" s="1"/>
  <c r="B19" i="365"/>
  <c r="F13" i="365" s="1"/>
  <c r="B18" i="365"/>
  <c r="F12" i="365" s="1"/>
  <c r="B17" i="365"/>
  <c r="F11" i="365" s="1"/>
  <c r="B16" i="365"/>
  <c r="F10" i="365" s="1"/>
  <c r="B15" i="365"/>
  <c r="F9" i="365" s="1"/>
  <c r="B14" i="365"/>
  <c r="F8" i="365" s="1"/>
  <c r="B13" i="365"/>
  <c r="F7" i="365" s="1"/>
  <c r="B12" i="365"/>
  <c r="F6" i="365" s="1"/>
  <c r="B21" i="364"/>
  <c r="F15" i="364" s="1"/>
  <c r="B20" i="364"/>
  <c r="F14" i="364" s="1"/>
  <c r="B19" i="364"/>
  <c r="F13" i="364" s="1"/>
  <c r="B18" i="364"/>
  <c r="F12" i="364" s="1"/>
  <c r="B17" i="364"/>
  <c r="F11" i="364" s="1"/>
  <c r="B16" i="364"/>
  <c r="F10" i="364" s="1"/>
  <c r="B15" i="364"/>
  <c r="F9" i="364" s="1"/>
  <c r="B14" i="364"/>
  <c r="F8" i="364" s="1"/>
  <c r="B13" i="364"/>
  <c r="F7" i="364" s="1"/>
  <c r="B12" i="364"/>
  <c r="F6" i="364" s="1"/>
  <c r="B21" i="363"/>
  <c r="F15" i="363" s="1"/>
  <c r="B20" i="363"/>
  <c r="F14" i="363" s="1"/>
  <c r="B19" i="363"/>
  <c r="F13" i="363" s="1"/>
  <c r="B18" i="363"/>
  <c r="F12" i="363" s="1"/>
  <c r="B17" i="363"/>
  <c r="F11" i="363" s="1"/>
  <c r="B16" i="363"/>
  <c r="F10" i="363" s="1"/>
  <c r="B15" i="363"/>
  <c r="F9" i="363" s="1"/>
  <c r="B14" i="363"/>
  <c r="F8" i="363" s="1"/>
  <c r="B13" i="363"/>
  <c r="F7" i="363" s="1"/>
  <c r="B12" i="363"/>
  <c r="F6" i="363" s="1"/>
  <c r="E39" i="362"/>
  <c r="E38" i="362"/>
  <c r="E37" i="362"/>
  <c r="X26" i="3"/>
  <c r="W26" i="3"/>
  <c r="F22" i="114" s="1"/>
  <c r="E35" i="362"/>
  <c r="E34" i="362"/>
  <c r="E33" i="362"/>
  <c r="E32" i="362"/>
  <c r="E26" i="362"/>
  <c r="E25" i="362"/>
  <c r="E24" i="362"/>
  <c r="E22" i="362"/>
  <c r="E21" i="362"/>
  <c r="E20" i="362"/>
  <c r="B20" i="362"/>
  <c r="I14" i="362" s="1"/>
  <c r="E19" i="362"/>
  <c r="B19" i="362"/>
  <c r="I13" i="362" s="1"/>
  <c r="E9" i="362"/>
  <c r="I18" i="362" s="1"/>
  <c r="B18" i="362"/>
  <c r="I12" i="362" s="1"/>
  <c r="E8" i="362"/>
  <c r="I17" i="362" s="1"/>
  <c r="B17" i="362"/>
  <c r="I11" i="362" s="1"/>
  <c r="E7" i="362"/>
  <c r="I16" i="362" s="1"/>
  <c r="B16" i="362"/>
  <c r="I10" i="362" s="1"/>
  <c r="E6" i="362"/>
  <c r="I15" i="362" s="1"/>
  <c r="B15" i="362"/>
  <c r="I9" i="362" s="1"/>
  <c r="B14" i="362"/>
  <c r="I8" i="362" s="1"/>
  <c r="E13" i="362"/>
  <c r="B13" i="362"/>
  <c r="I7" i="362" s="1"/>
  <c r="E12" i="362"/>
  <c r="B12" i="362"/>
  <c r="I6" i="362" s="1"/>
  <c r="E11" i="362"/>
  <c r="E39" i="361"/>
  <c r="E38" i="361"/>
  <c r="E37" i="361"/>
  <c r="E35" i="361"/>
  <c r="E34" i="361"/>
  <c r="E33" i="361"/>
  <c r="E32" i="361"/>
  <c r="E26" i="361"/>
  <c r="E25" i="361"/>
  <c r="E24" i="361"/>
  <c r="E22" i="361"/>
  <c r="E21" i="361"/>
  <c r="E20" i="361"/>
  <c r="B20" i="361"/>
  <c r="I14" i="361" s="1"/>
  <c r="E19" i="361"/>
  <c r="B19" i="361"/>
  <c r="I13" i="361" s="1"/>
  <c r="E9" i="361"/>
  <c r="I18" i="361" s="1"/>
  <c r="B18" i="361"/>
  <c r="I12" i="361" s="1"/>
  <c r="E8" i="361"/>
  <c r="I17" i="361" s="1"/>
  <c r="B17" i="361"/>
  <c r="I11" i="361" s="1"/>
  <c r="E7" i="361"/>
  <c r="I16" i="361" s="1"/>
  <c r="B16" i="361"/>
  <c r="I10" i="361" s="1"/>
  <c r="E6" i="361"/>
  <c r="I15" i="361" s="1"/>
  <c r="B15" i="361"/>
  <c r="I9" i="361" s="1"/>
  <c r="B14" i="361"/>
  <c r="I8" i="361" s="1"/>
  <c r="E13" i="361"/>
  <c r="B13" i="361"/>
  <c r="I7" i="361" s="1"/>
  <c r="E12" i="361"/>
  <c r="B12" i="361"/>
  <c r="I6" i="361" s="1"/>
  <c r="E11" i="361"/>
  <c r="E39" i="360"/>
  <c r="E38" i="360"/>
  <c r="E37" i="360"/>
  <c r="E35" i="360"/>
  <c r="E34" i="360"/>
  <c r="E33" i="360"/>
  <c r="E32" i="360"/>
  <c r="E26" i="360"/>
  <c r="E25" i="360"/>
  <c r="E24" i="360"/>
  <c r="E22" i="360"/>
  <c r="E21" i="360"/>
  <c r="E20" i="360"/>
  <c r="B20" i="360"/>
  <c r="I14" i="360" s="1"/>
  <c r="E19" i="360"/>
  <c r="B19" i="360"/>
  <c r="I13" i="360" s="1"/>
  <c r="E9" i="360"/>
  <c r="I18" i="360" s="1"/>
  <c r="B18" i="360"/>
  <c r="I12" i="360" s="1"/>
  <c r="E8" i="360"/>
  <c r="I17" i="360" s="1"/>
  <c r="B17" i="360"/>
  <c r="I11" i="360" s="1"/>
  <c r="E7" i="360"/>
  <c r="I16" i="360" s="1"/>
  <c r="B16" i="360"/>
  <c r="I10" i="360" s="1"/>
  <c r="E6" i="360"/>
  <c r="I15" i="360" s="1"/>
  <c r="B15" i="360"/>
  <c r="I9" i="360" s="1"/>
  <c r="B14" i="360"/>
  <c r="I8" i="360" s="1"/>
  <c r="E13" i="360"/>
  <c r="B13" i="360"/>
  <c r="I7" i="360" s="1"/>
  <c r="E12" i="360"/>
  <c r="B12" i="360"/>
  <c r="I6" i="360" s="1"/>
  <c r="E11" i="360"/>
  <c r="B21" i="359"/>
  <c r="F15" i="359" s="1"/>
  <c r="B20" i="359"/>
  <c r="F14" i="359" s="1"/>
  <c r="B19" i="359"/>
  <c r="F13" i="359" s="1"/>
  <c r="B18" i="359"/>
  <c r="F12" i="359" s="1"/>
  <c r="B17" i="359"/>
  <c r="F11" i="359" s="1"/>
  <c r="B16" i="359"/>
  <c r="F10" i="359" s="1"/>
  <c r="B15" i="359"/>
  <c r="F9" i="359" s="1"/>
  <c r="B14" i="359"/>
  <c r="F8" i="359" s="1"/>
  <c r="B13" i="359"/>
  <c r="F7" i="359" s="1"/>
  <c r="B12" i="359"/>
  <c r="F6" i="359" s="1"/>
  <c r="BB5" i="6"/>
  <c r="BB6" i="6"/>
  <c r="BB8" i="6"/>
  <c r="BB9" i="6"/>
  <c r="BB4" i="6"/>
  <c r="E35" i="131"/>
  <c r="E22" i="131"/>
  <c r="E35" i="126"/>
  <c r="E22" i="126"/>
  <c r="E9" i="126"/>
  <c r="I18" i="126" s="1"/>
  <c r="E35" i="125"/>
  <c r="E22" i="125"/>
  <c r="E9" i="125"/>
  <c r="I18" i="125" s="1"/>
  <c r="E35" i="119"/>
  <c r="E22" i="119"/>
  <c r="E9" i="119"/>
  <c r="I18" i="119" s="1"/>
  <c r="E35" i="114"/>
  <c r="E22" i="114"/>
  <c r="E9" i="114"/>
  <c r="I18" i="114" s="1"/>
  <c r="E35" i="111"/>
  <c r="E22" i="111"/>
  <c r="E9" i="111"/>
  <c r="I18" i="111" s="1"/>
  <c r="E35" i="112"/>
  <c r="E22" i="112"/>
  <c r="E9" i="112"/>
  <c r="I18" i="112" s="1"/>
  <c r="E35" i="106"/>
  <c r="E22" i="106"/>
  <c r="E9" i="106"/>
  <c r="I18" i="106" s="1"/>
  <c r="E35" i="105"/>
  <c r="E22" i="105"/>
  <c r="E9" i="105"/>
  <c r="I18" i="105" s="1"/>
  <c r="E35" i="93"/>
  <c r="E22" i="93"/>
  <c r="E9" i="93"/>
  <c r="I18" i="93" s="1"/>
  <c r="E35" i="98"/>
  <c r="E22" i="98"/>
  <c r="E9" i="98"/>
  <c r="I18" i="98" s="1"/>
  <c r="E35" i="90"/>
  <c r="E22" i="90"/>
  <c r="E9" i="90"/>
  <c r="I18" i="90" s="1"/>
  <c r="E35" i="92"/>
  <c r="E22" i="92"/>
  <c r="E9" i="92"/>
  <c r="I18" i="92" s="1"/>
  <c r="E35" i="91"/>
  <c r="E22" i="91"/>
  <c r="E9" i="91"/>
  <c r="I18" i="91" s="1"/>
  <c r="E35" i="88"/>
  <c r="E22" i="88"/>
  <c r="E9" i="88"/>
  <c r="I18" i="88" s="1"/>
  <c r="E35" i="87"/>
  <c r="E22" i="87"/>
  <c r="E9" i="87"/>
  <c r="I18" i="87" s="1"/>
  <c r="E35" i="86"/>
  <c r="E22" i="86"/>
  <c r="E9" i="86"/>
  <c r="I18" i="86" s="1"/>
  <c r="E35" i="83"/>
  <c r="E22" i="83"/>
  <c r="E9" i="83"/>
  <c r="I18" i="83" s="1"/>
  <c r="E35" i="78"/>
  <c r="E22" i="78"/>
  <c r="E9" i="78"/>
  <c r="I18" i="78" s="1"/>
  <c r="E35" i="77"/>
  <c r="E22" i="77"/>
  <c r="E9" i="77"/>
  <c r="I18" i="77" s="1"/>
  <c r="E35" i="57"/>
  <c r="E22" i="57"/>
  <c r="E9" i="57"/>
  <c r="I18" i="57" s="1"/>
  <c r="E35" i="50"/>
  <c r="E22" i="50"/>
  <c r="E9" i="50"/>
  <c r="I18" i="50" s="1"/>
  <c r="E35" i="64"/>
  <c r="E22" i="64"/>
  <c r="E9" i="64"/>
  <c r="I18" i="64" s="1"/>
  <c r="E35" i="75"/>
  <c r="E22" i="75"/>
  <c r="E9" i="75"/>
  <c r="I18" i="75" s="1"/>
  <c r="E35" i="52"/>
  <c r="E22" i="52"/>
  <c r="E9" i="52"/>
  <c r="I18" i="52" s="1"/>
  <c r="E35" i="69"/>
  <c r="E22" i="69"/>
  <c r="E9" i="69"/>
  <c r="I18" i="69" s="1"/>
  <c r="E35" i="73"/>
  <c r="E22" i="73"/>
  <c r="E9" i="73"/>
  <c r="I18" i="73" s="1"/>
  <c r="E35" i="55"/>
  <c r="E22" i="55"/>
  <c r="E9" i="55"/>
  <c r="I18" i="55" s="1"/>
  <c r="E35" i="58"/>
  <c r="E22" i="58"/>
  <c r="E9" i="58"/>
  <c r="I18" i="58" s="1"/>
  <c r="E35" i="56"/>
  <c r="E22" i="56"/>
  <c r="E9" i="56"/>
  <c r="I18" i="56" s="1"/>
  <c r="E35" i="68"/>
  <c r="E22" i="68"/>
  <c r="E9" i="68"/>
  <c r="I18" i="68" s="1"/>
  <c r="E35" i="76"/>
  <c r="E22" i="76"/>
  <c r="E9" i="76"/>
  <c r="I18" i="76" s="1"/>
  <c r="E35" i="54"/>
  <c r="E22" i="54"/>
  <c r="E9" i="54"/>
  <c r="I18" i="54" s="1"/>
  <c r="E35" i="53"/>
  <c r="E22" i="53"/>
  <c r="E9" i="53"/>
  <c r="I18" i="53" s="1"/>
  <c r="E35" i="47"/>
  <c r="E22" i="47"/>
  <c r="E9" i="47"/>
  <c r="I18" i="47" s="1"/>
  <c r="E35" i="49"/>
  <c r="E22" i="49"/>
  <c r="E9" i="49"/>
  <c r="I18" i="49" s="1"/>
  <c r="E35" i="65"/>
  <c r="E22" i="65"/>
  <c r="E9" i="65"/>
  <c r="I18" i="65" s="1"/>
  <c r="E35" i="72"/>
  <c r="E22" i="72"/>
  <c r="E9" i="72"/>
  <c r="I18" i="72" s="1"/>
  <c r="E35" i="63"/>
  <c r="E22" i="63"/>
  <c r="E9" i="63"/>
  <c r="I18" i="63" s="1"/>
  <c r="E35" i="51"/>
  <c r="E22" i="51"/>
  <c r="E9" i="51"/>
  <c r="I18" i="51" s="1"/>
  <c r="E35" i="71"/>
  <c r="E22" i="71"/>
  <c r="E9" i="71"/>
  <c r="I18" i="71" s="1"/>
  <c r="E35" i="48"/>
  <c r="E22" i="48"/>
  <c r="E9" i="48"/>
  <c r="I18" i="48" s="1"/>
  <c r="E35" i="59"/>
  <c r="E22" i="59"/>
  <c r="E9" i="59"/>
  <c r="I18" i="59" s="1"/>
  <c r="E35" i="70"/>
  <c r="E22" i="70"/>
  <c r="E9" i="70"/>
  <c r="I18" i="70" s="1"/>
  <c r="E35" i="74"/>
  <c r="E22" i="74"/>
  <c r="E9" i="74"/>
  <c r="I18" i="74" s="1"/>
  <c r="E35" i="60"/>
  <c r="E22" i="60"/>
  <c r="E9" i="60"/>
  <c r="I18" i="60" s="1"/>
  <c r="E35" i="67"/>
  <c r="E22" i="67"/>
  <c r="E9" i="67"/>
  <c r="I18" i="67" s="1"/>
  <c r="E35" i="61"/>
  <c r="E22" i="61"/>
  <c r="E9" i="61"/>
  <c r="I18" i="61" s="1"/>
  <c r="E35" i="62"/>
  <c r="E22" i="62"/>
  <c r="E9" i="62"/>
  <c r="I18" i="62" s="1"/>
  <c r="E35" i="66"/>
  <c r="E22" i="66"/>
  <c r="E9" i="66"/>
  <c r="I18" i="66" s="1"/>
  <c r="E35" i="40"/>
  <c r="E22" i="40"/>
  <c r="E9" i="40"/>
  <c r="I18" i="40" s="1"/>
  <c r="E9" i="131"/>
  <c r="I18" i="131" s="1"/>
  <c r="L78" i="13"/>
  <c r="E34" i="126"/>
  <c r="E21" i="126"/>
  <c r="E8" i="126"/>
  <c r="I17" i="126" s="1"/>
  <c r="E34" i="125"/>
  <c r="E21" i="125"/>
  <c r="E8" i="125"/>
  <c r="I17" i="125" s="1"/>
  <c r="E34" i="119"/>
  <c r="E21" i="119"/>
  <c r="E8" i="119"/>
  <c r="I17" i="119" s="1"/>
  <c r="E34" i="114"/>
  <c r="E21" i="114"/>
  <c r="E8" i="114"/>
  <c r="I17" i="114" s="1"/>
  <c r="E34" i="111"/>
  <c r="E21" i="111"/>
  <c r="E8" i="111"/>
  <c r="I17" i="111" s="1"/>
  <c r="E34" i="112"/>
  <c r="E21" i="112"/>
  <c r="E8" i="112"/>
  <c r="I17" i="112" s="1"/>
  <c r="E34" i="106"/>
  <c r="E21" i="106"/>
  <c r="E8" i="106"/>
  <c r="I17" i="106" s="1"/>
  <c r="E34" i="105"/>
  <c r="E21" i="105"/>
  <c r="E8" i="105"/>
  <c r="I17" i="105" s="1"/>
  <c r="E34" i="93"/>
  <c r="E21" i="93"/>
  <c r="E8" i="93"/>
  <c r="I17" i="93" s="1"/>
  <c r="E34" i="98"/>
  <c r="E21" i="98"/>
  <c r="E8" i="98"/>
  <c r="I17" i="98" s="1"/>
  <c r="E34" i="90"/>
  <c r="E21" i="90"/>
  <c r="E8" i="90"/>
  <c r="I17" i="90" s="1"/>
  <c r="E34" i="92"/>
  <c r="E21" i="92"/>
  <c r="E8" i="92"/>
  <c r="I17" i="92" s="1"/>
  <c r="E34" i="91"/>
  <c r="E21" i="91"/>
  <c r="E8" i="91"/>
  <c r="I17" i="91" s="1"/>
  <c r="E34" i="88"/>
  <c r="E21" i="88"/>
  <c r="E8" i="88"/>
  <c r="I17" i="88" s="1"/>
  <c r="E34" i="87"/>
  <c r="E21" i="87"/>
  <c r="E8" i="87"/>
  <c r="I17" i="87" s="1"/>
  <c r="E34" i="86"/>
  <c r="E21" i="86"/>
  <c r="E8" i="86"/>
  <c r="I17" i="86" s="1"/>
  <c r="E34" i="83"/>
  <c r="E21" i="83"/>
  <c r="E8" i="83"/>
  <c r="I17" i="83" s="1"/>
  <c r="E34" i="78"/>
  <c r="E21" i="78"/>
  <c r="E8" i="78"/>
  <c r="I17" i="78" s="1"/>
  <c r="E34" i="77"/>
  <c r="E21" i="77"/>
  <c r="E8" i="77"/>
  <c r="I17" i="77" s="1"/>
  <c r="E34" i="57"/>
  <c r="E21" i="57"/>
  <c r="E8" i="57"/>
  <c r="I17" i="57" s="1"/>
  <c r="E34" i="50"/>
  <c r="E21" i="50"/>
  <c r="E8" i="50"/>
  <c r="I17" i="50" s="1"/>
  <c r="E34" i="64"/>
  <c r="E21" i="64"/>
  <c r="E8" i="64"/>
  <c r="I17" i="64" s="1"/>
  <c r="E34" i="75"/>
  <c r="E21" i="75"/>
  <c r="E8" i="75"/>
  <c r="I17" i="75" s="1"/>
  <c r="E34" i="52"/>
  <c r="E21" i="52"/>
  <c r="E8" i="52"/>
  <c r="I17" i="52" s="1"/>
  <c r="E34" i="69"/>
  <c r="E21" i="69"/>
  <c r="E8" i="69"/>
  <c r="I17" i="69" s="1"/>
  <c r="E34" i="73"/>
  <c r="E21" i="73"/>
  <c r="E8" i="73"/>
  <c r="I17" i="73" s="1"/>
  <c r="E34" i="55"/>
  <c r="E21" i="55"/>
  <c r="E8" i="55"/>
  <c r="I17" i="55" s="1"/>
  <c r="E34" i="58"/>
  <c r="E21" i="58"/>
  <c r="E8" i="58"/>
  <c r="I17" i="58" s="1"/>
  <c r="E34" i="56"/>
  <c r="E21" i="56"/>
  <c r="E8" i="56"/>
  <c r="I17" i="56" s="1"/>
  <c r="E34" i="68"/>
  <c r="E21" i="68"/>
  <c r="E8" i="68"/>
  <c r="I17" i="68" s="1"/>
  <c r="E34" i="76"/>
  <c r="E21" i="76"/>
  <c r="E8" i="76"/>
  <c r="I17" i="76" s="1"/>
  <c r="E34" i="54"/>
  <c r="E21" i="54"/>
  <c r="E8" i="54"/>
  <c r="I17" i="54" s="1"/>
  <c r="E34" i="53"/>
  <c r="E21" i="53"/>
  <c r="E8" i="53"/>
  <c r="I17" i="53" s="1"/>
  <c r="E34" i="47"/>
  <c r="E21" i="47"/>
  <c r="E8" i="47"/>
  <c r="I17" i="47" s="1"/>
  <c r="E34" i="49"/>
  <c r="E21" i="49"/>
  <c r="E8" i="49"/>
  <c r="I17" i="49" s="1"/>
  <c r="E34" i="65"/>
  <c r="E21" i="65"/>
  <c r="E8" i="65"/>
  <c r="I17" i="65" s="1"/>
  <c r="E34" i="72"/>
  <c r="E21" i="72"/>
  <c r="E8" i="72"/>
  <c r="I17" i="72" s="1"/>
  <c r="E34" i="63"/>
  <c r="E21" i="63"/>
  <c r="E8" i="63"/>
  <c r="I17" i="63" s="1"/>
  <c r="E34" i="51"/>
  <c r="E21" i="51"/>
  <c r="E8" i="51"/>
  <c r="I17" i="51" s="1"/>
  <c r="E34" i="71"/>
  <c r="E21" i="71"/>
  <c r="E8" i="71"/>
  <c r="I17" i="71" s="1"/>
  <c r="E34" i="48"/>
  <c r="E21" i="48"/>
  <c r="E8" i="48"/>
  <c r="I17" i="48" s="1"/>
  <c r="E34" i="59"/>
  <c r="E21" i="59"/>
  <c r="E8" i="59"/>
  <c r="I17" i="59" s="1"/>
  <c r="E34" i="70"/>
  <c r="E21" i="70"/>
  <c r="E8" i="70"/>
  <c r="I17" i="70" s="1"/>
  <c r="E34" i="74"/>
  <c r="E21" i="74"/>
  <c r="E8" i="74"/>
  <c r="I17" i="74" s="1"/>
  <c r="E34" i="60"/>
  <c r="E21" i="60"/>
  <c r="E8" i="60"/>
  <c r="I17" i="60" s="1"/>
  <c r="E34" i="67"/>
  <c r="E21" i="67"/>
  <c r="E8" i="67"/>
  <c r="I17" i="67" s="1"/>
  <c r="E34" i="61"/>
  <c r="E21" i="61"/>
  <c r="E8" i="61"/>
  <c r="I17" i="61" s="1"/>
  <c r="E34" i="62"/>
  <c r="E21" i="62"/>
  <c r="E8" i="62"/>
  <c r="I17" i="62" s="1"/>
  <c r="E34" i="66"/>
  <c r="E21" i="66"/>
  <c r="E8" i="66"/>
  <c r="I17" i="66" s="1"/>
  <c r="E33" i="126"/>
  <c r="E20" i="126"/>
  <c r="E7" i="126"/>
  <c r="I16" i="126" s="1"/>
  <c r="E33" i="125"/>
  <c r="E20" i="125"/>
  <c r="E7" i="125"/>
  <c r="I16" i="125" s="1"/>
  <c r="E33" i="119"/>
  <c r="E20" i="119"/>
  <c r="E7" i="119"/>
  <c r="I16" i="119" s="1"/>
  <c r="E33" i="114"/>
  <c r="E20" i="114"/>
  <c r="E7" i="114"/>
  <c r="I16" i="114" s="1"/>
  <c r="E33" i="111"/>
  <c r="E20" i="111"/>
  <c r="E7" i="111"/>
  <c r="I16" i="111" s="1"/>
  <c r="E33" i="112"/>
  <c r="E20" i="112"/>
  <c r="E7" i="112"/>
  <c r="I16" i="112" s="1"/>
  <c r="E33" i="106"/>
  <c r="E20" i="106"/>
  <c r="E7" i="106"/>
  <c r="I16" i="106" s="1"/>
  <c r="E33" i="105"/>
  <c r="E20" i="105"/>
  <c r="E7" i="105"/>
  <c r="I16" i="105" s="1"/>
  <c r="E33" i="93"/>
  <c r="E20" i="93"/>
  <c r="E7" i="93"/>
  <c r="I16" i="93" s="1"/>
  <c r="E33" i="98"/>
  <c r="E20" i="98"/>
  <c r="E7" i="98"/>
  <c r="I16" i="98" s="1"/>
  <c r="E33" i="90"/>
  <c r="E20" i="90"/>
  <c r="E7" i="90"/>
  <c r="I16" i="90" s="1"/>
  <c r="E33" i="92"/>
  <c r="E20" i="92"/>
  <c r="E7" i="92"/>
  <c r="I16" i="92" s="1"/>
  <c r="E33" i="91"/>
  <c r="E20" i="91"/>
  <c r="E7" i="91"/>
  <c r="I16" i="91" s="1"/>
  <c r="E33" i="88"/>
  <c r="E20" i="88"/>
  <c r="E7" i="88"/>
  <c r="I16" i="88" s="1"/>
  <c r="E33" i="87"/>
  <c r="E20" i="87"/>
  <c r="E7" i="87"/>
  <c r="I16" i="87" s="1"/>
  <c r="E33" i="86"/>
  <c r="E20" i="86"/>
  <c r="E7" i="86"/>
  <c r="I16" i="86" s="1"/>
  <c r="E33" i="83"/>
  <c r="E20" i="83"/>
  <c r="E7" i="83"/>
  <c r="I16" i="83" s="1"/>
  <c r="E33" i="78"/>
  <c r="E20" i="78"/>
  <c r="E7" i="78"/>
  <c r="I16" i="78" s="1"/>
  <c r="E33" i="77"/>
  <c r="E20" i="77"/>
  <c r="E7" i="77"/>
  <c r="I16" i="77" s="1"/>
  <c r="E33" i="57"/>
  <c r="E20" i="57"/>
  <c r="E7" i="57"/>
  <c r="I16" i="57" s="1"/>
  <c r="E33" i="50"/>
  <c r="E20" i="50"/>
  <c r="E7" i="50"/>
  <c r="I16" i="50" s="1"/>
  <c r="E33" i="64"/>
  <c r="E20" i="64"/>
  <c r="E7" i="64"/>
  <c r="I16" i="64" s="1"/>
  <c r="E33" i="75"/>
  <c r="E20" i="75"/>
  <c r="E7" i="75"/>
  <c r="I16" i="75" s="1"/>
  <c r="E33" i="52"/>
  <c r="E20" i="52"/>
  <c r="E7" i="52"/>
  <c r="I16" i="52" s="1"/>
  <c r="E33" i="69"/>
  <c r="E20" i="69"/>
  <c r="E7" i="69"/>
  <c r="I16" i="69" s="1"/>
  <c r="E33" i="73"/>
  <c r="E20" i="73"/>
  <c r="E7" i="73"/>
  <c r="I16" i="73" s="1"/>
  <c r="E33" i="55"/>
  <c r="E20" i="55"/>
  <c r="E7" i="55"/>
  <c r="I16" i="55" s="1"/>
  <c r="E33" i="58"/>
  <c r="E20" i="58"/>
  <c r="E7" i="58"/>
  <c r="I16" i="58" s="1"/>
  <c r="E33" i="56"/>
  <c r="E20" i="56"/>
  <c r="E7" i="56"/>
  <c r="I16" i="56" s="1"/>
  <c r="E33" i="68"/>
  <c r="E20" i="68"/>
  <c r="E7" i="68"/>
  <c r="I16" i="68" s="1"/>
  <c r="E33" i="76"/>
  <c r="E20" i="76"/>
  <c r="E7" i="76"/>
  <c r="I16" i="76" s="1"/>
  <c r="E33" i="54"/>
  <c r="E20" i="54"/>
  <c r="E7" i="54"/>
  <c r="I16" i="54" s="1"/>
  <c r="E33" i="53"/>
  <c r="E20" i="53"/>
  <c r="E7" i="53"/>
  <c r="I16" i="53" s="1"/>
  <c r="E33" i="47"/>
  <c r="E20" i="47"/>
  <c r="E7" i="47"/>
  <c r="I16" i="47" s="1"/>
  <c r="E33" i="49"/>
  <c r="E20" i="49"/>
  <c r="E7" i="49"/>
  <c r="I16" i="49" s="1"/>
  <c r="E33" i="65"/>
  <c r="E20" i="65"/>
  <c r="E7" i="65"/>
  <c r="I16" i="65" s="1"/>
  <c r="E33" i="72"/>
  <c r="E20" i="72"/>
  <c r="E7" i="72"/>
  <c r="I16" i="72" s="1"/>
  <c r="E33" i="63"/>
  <c r="E20" i="63"/>
  <c r="E7" i="63"/>
  <c r="I16" i="63" s="1"/>
  <c r="E33" i="51"/>
  <c r="E20" i="51"/>
  <c r="E7" i="51"/>
  <c r="I16" i="51" s="1"/>
  <c r="E33" i="71"/>
  <c r="E20" i="71"/>
  <c r="E7" i="71"/>
  <c r="I16" i="71" s="1"/>
  <c r="E33" i="48"/>
  <c r="E20" i="48"/>
  <c r="E7" i="48"/>
  <c r="I16" i="48" s="1"/>
  <c r="E33" i="59"/>
  <c r="E20" i="59"/>
  <c r="E7" i="59"/>
  <c r="I16" i="59" s="1"/>
  <c r="E33" i="70"/>
  <c r="E20" i="70"/>
  <c r="E7" i="70"/>
  <c r="I16" i="70" s="1"/>
  <c r="E33" i="74"/>
  <c r="E20" i="74"/>
  <c r="E7" i="74"/>
  <c r="I16" i="74" s="1"/>
  <c r="E33" i="60"/>
  <c r="E20" i="60"/>
  <c r="E7" i="60"/>
  <c r="I16" i="60" s="1"/>
  <c r="E33" i="67"/>
  <c r="E20" i="67"/>
  <c r="E7" i="67"/>
  <c r="I16" i="67" s="1"/>
  <c r="E33" i="61"/>
  <c r="E20" i="61"/>
  <c r="E7" i="61"/>
  <c r="I16" i="61" s="1"/>
  <c r="E33" i="62"/>
  <c r="E20" i="62"/>
  <c r="E7" i="62"/>
  <c r="I16" i="62" s="1"/>
  <c r="E33" i="66"/>
  <c r="E20" i="66"/>
  <c r="E7" i="66"/>
  <c r="I16" i="66" s="1"/>
  <c r="E32" i="126"/>
  <c r="E19" i="126"/>
  <c r="E6" i="126"/>
  <c r="I15" i="126" s="1"/>
  <c r="E32" i="125"/>
  <c r="E19" i="125"/>
  <c r="E6" i="125"/>
  <c r="I15" i="125" s="1"/>
  <c r="E32" i="119"/>
  <c r="E19" i="119"/>
  <c r="E6" i="119"/>
  <c r="I15" i="119" s="1"/>
  <c r="E32" i="114"/>
  <c r="E19" i="114"/>
  <c r="E6" i="114"/>
  <c r="I15" i="114" s="1"/>
  <c r="E32" i="111"/>
  <c r="E19" i="111"/>
  <c r="E6" i="111"/>
  <c r="I15" i="111" s="1"/>
  <c r="E32" i="112"/>
  <c r="E19" i="112"/>
  <c r="E6" i="112"/>
  <c r="I15" i="112" s="1"/>
  <c r="E32" i="106"/>
  <c r="E19" i="106"/>
  <c r="E6" i="106"/>
  <c r="I15" i="106" s="1"/>
  <c r="E32" i="105"/>
  <c r="E19" i="105"/>
  <c r="E6" i="105"/>
  <c r="I15" i="105" s="1"/>
  <c r="E32" i="93"/>
  <c r="E19" i="93"/>
  <c r="E6" i="93"/>
  <c r="I15" i="93" s="1"/>
  <c r="E32" i="98"/>
  <c r="E19" i="98"/>
  <c r="E6" i="98"/>
  <c r="I15" i="98" s="1"/>
  <c r="E32" i="90"/>
  <c r="E19" i="90"/>
  <c r="E6" i="90"/>
  <c r="I15" i="90" s="1"/>
  <c r="E32" i="92"/>
  <c r="E19" i="92"/>
  <c r="E6" i="92"/>
  <c r="I15" i="92" s="1"/>
  <c r="E32" i="91"/>
  <c r="E19" i="91"/>
  <c r="E6" i="91"/>
  <c r="I15" i="91" s="1"/>
  <c r="E32" i="88"/>
  <c r="E19" i="88"/>
  <c r="E6" i="88"/>
  <c r="I15" i="88" s="1"/>
  <c r="E32" i="87"/>
  <c r="E19" i="87"/>
  <c r="E6" i="87"/>
  <c r="I15" i="87" s="1"/>
  <c r="E32" i="86"/>
  <c r="E19" i="86"/>
  <c r="E6" i="86"/>
  <c r="I15" i="86" s="1"/>
  <c r="E32" i="83"/>
  <c r="E19" i="83"/>
  <c r="E6" i="83"/>
  <c r="I15" i="83" s="1"/>
  <c r="E32" i="78"/>
  <c r="E19" i="78"/>
  <c r="E6" i="78"/>
  <c r="I15" i="78" s="1"/>
  <c r="E32" i="77"/>
  <c r="E19" i="77"/>
  <c r="E6" i="77"/>
  <c r="I15" i="77" s="1"/>
  <c r="E32" i="57"/>
  <c r="E19" i="57"/>
  <c r="E6" i="57"/>
  <c r="I15" i="57" s="1"/>
  <c r="E32" i="50"/>
  <c r="E19" i="50"/>
  <c r="E6" i="50"/>
  <c r="I15" i="50" s="1"/>
  <c r="E32" i="64"/>
  <c r="E19" i="64"/>
  <c r="E6" i="64"/>
  <c r="I15" i="64" s="1"/>
  <c r="E32" i="75"/>
  <c r="E19" i="75"/>
  <c r="E6" i="75"/>
  <c r="I15" i="75" s="1"/>
  <c r="E32" i="52"/>
  <c r="E19" i="52"/>
  <c r="E6" i="52"/>
  <c r="I15" i="52" s="1"/>
  <c r="E32" i="69"/>
  <c r="E19" i="69"/>
  <c r="E6" i="69"/>
  <c r="I15" i="69" s="1"/>
  <c r="E32" i="73"/>
  <c r="E19" i="73"/>
  <c r="E6" i="73"/>
  <c r="I15" i="73" s="1"/>
  <c r="E32" i="55"/>
  <c r="E19" i="55"/>
  <c r="E6" i="55"/>
  <c r="I15" i="55" s="1"/>
  <c r="E32" i="58"/>
  <c r="E19" i="58"/>
  <c r="E6" i="58"/>
  <c r="I15" i="58" s="1"/>
  <c r="E32" i="56"/>
  <c r="E19" i="56"/>
  <c r="E6" i="56"/>
  <c r="I15" i="56" s="1"/>
  <c r="E32" i="68"/>
  <c r="E19" i="68"/>
  <c r="E6" i="68"/>
  <c r="I15" i="68" s="1"/>
  <c r="E32" i="76"/>
  <c r="E19" i="76"/>
  <c r="E6" i="76"/>
  <c r="I15" i="76" s="1"/>
  <c r="E32" i="54"/>
  <c r="E19" i="54"/>
  <c r="E6" i="54"/>
  <c r="I15" i="54" s="1"/>
  <c r="E32" i="53"/>
  <c r="E19" i="53"/>
  <c r="E6" i="53"/>
  <c r="I15" i="53" s="1"/>
  <c r="E32" i="47"/>
  <c r="E19" i="47"/>
  <c r="E6" i="47"/>
  <c r="I15" i="47" s="1"/>
  <c r="E32" i="49"/>
  <c r="E19" i="49"/>
  <c r="E6" i="49"/>
  <c r="I15" i="49" s="1"/>
  <c r="E32" i="65"/>
  <c r="E19" i="65"/>
  <c r="E6" i="65"/>
  <c r="I15" i="65" s="1"/>
  <c r="E32" i="72"/>
  <c r="E19" i="72"/>
  <c r="E6" i="72"/>
  <c r="I15" i="72" s="1"/>
  <c r="E32" i="63"/>
  <c r="E19" i="63"/>
  <c r="E6" i="63"/>
  <c r="I15" i="63" s="1"/>
  <c r="E32" i="51"/>
  <c r="E19" i="51"/>
  <c r="E6" i="51"/>
  <c r="I15" i="51" s="1"/>
  <c r="E32" i="71"/>
  <c r="E19" i="71"/>
  <c r="E6" i="71"/>
  <c r="I15" i="71" s="1"/>
  <c r="E32" i="48"/>
  <c r="E19" i="48"/>
  <c r="E6" i="48"/>
  <c r="I15" i="48" s="1"/>
  <c r="E32" i="59"/>
  <c r="E19" i="59"/>
  <c r="E6" i="59"/>
  <c r="I15" i="59" s="1"/>
  <c r="E32" i="70"/>
  <c r="E19" i="70"/>
  <c r="E6" i="70"/>
  <c r="I15" i="70" s="1"/>
  <c r="E32" i="74"/>
  <c r="E19" i="74"/>
  <c r="E6" i="74"/>
  <c r="I15" i="74" s="1"/>
  <c r="E32" i="60"/>
  <c r="E19" i="60"/>
  <c r="E6" i="60"/>
  <c r="I15" i="60" s="1"/>
  <c r="E32" i="67"/>
  <c r="E19" i="67"/>
  <c r="E6" i="67"/>
  <c r="I15" i="67" s="1"/>
  <c r="E32" i="61"/>
  <c r="E19" i="61"/>
  <c r="E6" i="61"/>
  <c r="I15" i="61" s="1"/>
  <c r="E32" i="62"/>
  <c r="E19" i="62"/>
  <c r="E6" i="62"/>
  <c r="I15" i="62" s="1"/>
  <c r="E32" i="66"/>
  <c r="E19" i="66"/>
  <c r="E6" i="66"/>
  <c r="I15" i="66" s="1"/>
  <c r="E34" i="131"/>
  <c r="E33" i="131"/>
  <c r="E32" i="131"/>
  <c r="E21" i="131"/>
  <c r="E20" i="131"/>
  <c r="E19" i="131"/>
  <c r="E8" i="131"/>
  <c r="I17" i="131" s="1"/>
  <c r="E7" i="131"/>
  <c r="I16" i="131" s="1"/>
  <c r="E6" i="131"/>
  <c r="I15" i="131" s="1"/>
  <c r="C37" i="350" a="1"/>
  <c r="C37" i="350" s="1"/>
  <c r="C36" i="350" a="1"/>
  <c r="C36" i="350" s="1"/>
  <c r="C35" i="350" a="1"/>
  <c r="C35" i="350" s="1"/>
  <c r="C34" i="350" a="1"/>
  <c r="C34" i="350" s="1"/>
  <c r="C33" i="350" a="1"/>
  <c r="C33" i="350" s="1"/>
  <c r="C32" i="350" a="1"/>
  <c r="C32" i="350" s="1"/>
  <c r="C29" i="350" a="1"/>
  <c r="C29" i="350" s="1"/>
  <c r="C28" i="350" a="1"/>
  <c r="C28" i="350" s="1"/>
  <c r="C27" i="350" a="1"/>
  <c r="C27" i="350" s="1"/>
  <c r="C26" i="350" a="1"/>
  <c r="C26" i="350" s="1"/>
  <c r="C25" i="350" a="1"/>
  <c r="C25" i="350" s="1"/>
  <c r="C24" i="350" a="1"/>
  <c r="C24" i="350" s="1"/>
  <c r="C23" i="350" a="1"/>
  <c r="C23" i="350" s="1"/>
  <c r="C22" i="350" a="1"/>
  <c r="C22" i="350" s="1"/>
  <c r="C21" i="350" a="1"/>
  <c r="C21" i="350" s="1"/>
  <c r="C20" i="350" a="1"/>
  <c r="C20" i="350" s="1"/>
  <c r="C19" i="350" a="1"/>
  <c r="C19" i="350" s="1"/>
  <c r="C18" i="350" a="1"/>
  <c r="C18" i="350" s="1"/>
  <c r="C17" i="350" a="1"/>
  <c r="C17" i="350" s="1"/>
  <c r="C16" i="350" a="1"/>
  <c r="C16" i="350" s="1"/>
  <c r="C15" i="350" a="1"/>
  <c r="C15" i="350" s="1"/>
  <c r="C14" i="350" a="1"/>
  <c r="C14" i="350" s="1"/>
  <c r="C13" i="350" a="1"/>
  <c r="C13" i="350" s="1"/>
  <c r="C12" i="350" a="1"/>
  <c r="C12" i="350" s="1"/>
  <c r="C11" i="350" a="1"/>
  <c r="C11" i="350" s="1"/>
  <c r="C10" i="350" a="1"/>
  <c r="C10" i="350" s="1"/>
  <c r="C9" i="350" a="1"/>
  <c r="C9" i="350" s="1"/>
  <c r="C8" i="350" a="1"/>
  <c r="C8" i="350" s="1"/>
  <c r="C7" i="350" a="1"/>
  <c r="C7" i="350" s="1"/>
  <c r="C6" i="350" a="1"/>
  <c r="C6" i="350" s="1"/>
  <c r="C5" i="350" a="1"/>
  <c r="C5" i="350" s="1"/>
  <c r="C4" i="350" a="1"/>
  <c r="C4" i="350" s="1"/>
  <c r="C3" i="350" a="1"/>
  <c r="C3" i="350" s="1"/>
  <c r="C2" i="350" a="1"/>
  <c r="C2" i="350" s="1"/>
  <c r="H3" i="134" a="1"/>
  <c r="H3" i="134" s="1"/>
  <c r="B21" i="349"/>
  <c r="F15" i="349" s="1"/>
  <c r="B20" i="349"/>
  <c r="F14" i="349" s="1"/>
  <c r="B19" i="349"/>
  <c r="F13" i="349" s="1"/>
  <c r="B18" i="349"/>
  <c r="F12" i="349" s="1"/>
  <c r="B17" i="349"/>
  <c r="F11" i="349" s="1"/>
  <c r="B16" i="349"/>
  <c r="F10" i="349" s="1"/>
  <c r="B15" i="349"/>
  <c r="F9" i="349" s="1"/>
  <c r="B14" i="349"/>
  <c r="F8" i="349" s="1"/>
  <c r="B13" i="349"/>
  <c r="F7" i="349" s="1"/>
  <c r="B12" i="349"/>
  <c r="F6" i="349" s="1"/>
  <c r="B21" i="348"/>
  <c r="F15" i="348" s="1"/>
  <c r="B20" i="348"/>
  <c r="F14" i="348" s="1"/>
  <c r="B19" i="348"/>
  <c r="F13" i="348" s="1"/>
  <c r="B18" i="348"/>
  <c r="F12" i="348" s="1"/>
  <c r="B17" i="348"/>
  <c r="F11" i="348" s="1"/>
  <c r="B16" i="348"/>
  <c r="F10" i="348" s="1"/>
  <c r="B15" i="348"/>
  <c r="F9" i="348" s="1"/>
  <c r="B14" i="348"/>
  <c r="F8" i="348" s="1"/>
  <c r="B13" i="348"/>
  <c r="F7" i="348" s="1"/>
  <c r="B12" i="348"/>
  <c r="F6" i="348" s="1"/>
  <c r="B21" i="347"/>
  <c r="F15" i="347" s="1"/>
  <c r="B20" i="347"/>
  <c r="F14" i="347" s="1"/>
  <c r="B19" i="347"/>
  <c r="F13" i="347" s="1"/>
  <c r="B18" i="347"/>
  <c r="F12" i="347" s="1"/>
  <c r="B17" i="347"/>
  <c r="F11" i="347" s="1"/>
  <c r="B16" i="347"/>
  <c r="F10" i="347" s="1"/>
  <c r="B15" i="347"/>
  <c r="F9" i="347" s="1"/>
  <c r="B14" i="347"/>
  <c r="F8" i="347" s="1"/>
  <c r="B13" i="347"/>
  <c r="F7" i="347" s="1"/>
  <c r="B12" i="347"/>
  <c r="F6" i="347" s="1"/>
  <c r="B21" i="346"/>
  <c r="F15" i="346" s="1"/>
  <c r="B20" i="346"/>
  <c r="F14" i="346" s="1"/>
  <c r="B19" i="346"/>
  <c r="F13" i="346" s="1"/>
  <c r="B18" i="346"/>
  <c r="F12" i="346" s="1"/>
  <c r="B17" i="346"/>
  <c r="F11" i="346" s="1"/>
  <c r="B16" i="346"/>
  <c r="F10" i="346" s="1"/>
  <c r="B15" i="346"/>
  <c r="F9" i="346" s="1"/>
  <c r="B14" i="346"/>
  <c r="F8" i="346" s="1"/>
  <c r="B13" i="346"/>
  <c r="F7" i="346" s="1"/>
  <c r="B12" i="346"/>
  <c r="F6" i="346" s="1"/>
  <c r="B21" i="345"/>
  <c r="F15" i="345" s="1"/>
  <c r="B20" i="345"/>
  <c r="F14" i="345" s="1"/>
  <c r="B19" i="345"/>
  <c r="F13" i="345" s="1"/>
  <c r="B18" i="345"/>
  <c r="F12" i="345" s="1"/>
  <c r="B17" i="345"/>
  <c r="F11" i="345" s="1"/>
  <c r="B16" i="345"/>
  <c r="F10" i="345" s="1"/>
  <c r="B15" i="345"/>
  <c r="F9" i="345" s="1"/>
  <c r="B14" i="345"/>
  <c r="F8" i="345" s="1"/>
  <c r="B13" i="345"/>
  <c r="F7" i="345" s="1"/>
  <c r="B12" i="345"/>
  <c r="F6" i="345" s="1"/>
  <c r="B21" i="344"/>
  <c r="F15" i="344" s="1"/>
  <c r="B20" i="344"/>
  <c r="F14" i="344" s="1"/>
  <c r="B19" i="344"/>
  <c r="F13" i="344" s="1"/>
  <c r="B18" i="344"/>
  <c r="F12" i="344" s="1"/>
  <c r="B17" i="344"/>
  <c r="F11" i="344" s="1"/>
  <c r="B16" i="344"/>
  <c r="F10" i="344" s="1"/>
  <c r="B15" i="344"/>
  <c r="F9" i="344" s="1"/>
  <c r="B14" i="344"/>
  <c r="F8" i="344" s="1"/>
  <c r="B13" i="344"/>
  <c r="F7" i="344" s="1"/>
  <c r="B12" i="344"/>
  <c r="F6" i="344" s="1"/>
  <c r="B21" i="343"/>
  <c r="F15" i="343" s="1"/>
  <c r="B20" i="343"/>
  <c r="F14" i="343" s="1"/>
  <c r="B19" i="343"/>
  <c r="F13" i="343" s="1"/>
  <c r="B18" i="343"/>
  <c r="F12" i="343" s="1"/>
  <c r="B17" i="343"/>
  <c r="F11" i="343" s="1"/>
  <c r="B16" i="343"/>
  <c r="F10" i="343" s="1"/>
  <c r="B15" i="343"/>
  <c r="F9" i="343" s="1"/>
  <c r="B14" i="343"/>
  <c r="F8" i="343" s="1"/>
  <c r="B13" i="343"/>
  <c r="F7" i="343" s="1"/>
  <c r="B12" i="343"/>
  <c r="F6" i="343" s="1"/>
  <c r="B21" i="342"/>
  <c r="F15" i="342" s="1"/>
  <c r="B20" i="342"/>
  <c r="F14" i="342" s="1"/>
  <c r="B19" i="342"/>
  <c r="F13" i="342" s="1"/>
  <c r="B18" i="342"/>
  <c r="F12" i="342" s="1"/>
  <c r="B17" i="342"/>
  <c r="F11" i="342" s="1"/>
  <c r="B16" i="342"/>
  <c r="F10" i="342" s="1"/>
  <c r="B15" i="342"/>
  <c r="F9" i="342" s="1"/>
  <c r="B14" i="342"/>
  <c r="F8" i="342" s="1"/>
  <c r="B13" i="342"/>
  <c r="F7" i="342" s="1"/>
  <c r="B12" i="342"/>
  <c r="F6" i="342" s="1"/>
  <c r="B21" i="341"/>
  <c r="F15" i="341" s="1"/>
  <c r="B20" i="341"/>
  <c r="F14" i="341" s="1"/>
  <c r="B19" i="341"/>
  <c r="F13" i="341" s="1"/>
  <c r="B18" i="341"/>
  <c r="F12" i="341" s="1"/>
  <c r="B17" i="341"/>
  <c r="F11" i="341" s="1"/>
  <c r="B16" i="341"/>
  <c r="F10" i="341" s="1"/>
  <c r="B15" i="341"/>
  <c r="F9" i="341" s="1"/>
  <c r="B14" i="341"/>
  <c r="F8" i="341" s="1"/>
  <c r="B13" i="341"/>
  <c r="F7" i="341" s="1"/>
  <c r="B12" i="341"/>
  <c r="F6" i="341" s="1"/>
  <c r="B21" i="340"/>
  <c r="F15" i="340" s="1"/>
  <c r="B20" i="340"/>
  <c r="F14" i="340" s="1"/>
  <c r="B19" i="340"/>
  <c r="F13" i="340" s="1"/>
  <c r="B18" i="340"/>
  <c r="F12" i="340" s="1"/>
  <c r="B17" i="340"/>
  <c r="F11" i="340" s="1"/>
  <c r="B16" i="340"/>
  <c r="F10" i="340" s="1"/>
  <c r="B15" i="340"/>
  <c r="F9" i="340" s="1"/>
  <c r="B14" i="340"/>
  <c r="F8" i="340" s="1"/>
  <c r="B13" i="340"/>
  <c r="F7" i="340" s="1"/>
  <c r="B12" i="340"/>
  <c r="F6" i="340" s="1"/>
  <c r="B21" i="339"/>
  <c r="F15" i="339" s="1"/>
  <c r="B20" i="339"/>
  <c r="F14" i="339" s="1"/>
  <c r="B19" i="339"/>
  <c r="F13" i="339" s="1"/>
  <c r="B18" i="339"/>
  <c r="F12" i="339" s="1"/>
  <c r="B17" i="339"/>
  <c r="F11" i="339" s="1"/>
  <c r="B16" i="339"/>
  <c r="F10" i="339" s="1"/>
  <c r="B15" i="339"/>
  <c r="F9" i="339" s="1"/>
  <c r="B14" i="339"/>
  <c r="F8" i="339" s="1"/>
  <c r="B13" i="339"/>
  <c r="F7" i="339" s="1"/>
  <c r="B12" i="339"/>
  <c r="F6" i="339" s="1"/>
  <c r="B21" i="338"/>
  <c r="F15" i="338" s="1"/>
  <c r="B20" i="338"/>
  <c r="F14" i="338" s="1"/>
  <c r="B19" i="338"/>
  <c r="F13" i="338" s="1"/>
  <c r="B18" i="338"/>
  <c r="F12" i="338" s="1"/>
  <c r="B17" i="338"/>
  <c r="F11" i="338" s="1"/>
  <c r="B16" i="338"/>
  <c r="F10" i="338" s="1"/>
  <c r="B15" i="338"/>
  <c r="F9" i="338" s="1"/>
  <c r="B14" i="338"/>
  <c r="F8" i="338" s="1"/>
  <c r="B13" i="338"/>
  <c r="F7" i="338" s="1"/>
  <c r="B12" i="338"/>
  <c r="F6" i="338" s="1"/>
  <c r="B21" i="337"/>
  <c r="F15" i="337" s="1"/>
  <c r="B20" i="337"/>
  <c r="F14" i="337" s="1"/>
  <c r="B19" i="337"/>
  <c r="F13" i="337" s="1"/>
  <c r="B18" i="337"/>
  <c r="F12" i="337" s="1"/>
  <c r="B17" i="337"/>
  <c r="F11" i="337" s="1"/>
  <c r="B16" i="337"/>
  <c r="F10" i="337" s="1"/>
  <c r="B15" i="337"/>
  <c r="F9" i="337" s="1"/>
  <c r="B14" i="337"/>
  <c r="F8" i="337" s="1"/>
  <c r="B13" i="337"/>
  <c r="F7" i="337" s="1"/>
  <c r="B12" i="337"/>
  <c r="F6" i="337" s="1"/>
  <c r="B21" i="336"/>
  <c r="F15" i="336" s="1"/>
  <c r="B20" i="336"/>
  <c r="F14" i="336" s="1"/>
  <c r="B19" i="336"/>
  <c r="F13" i="336" s="1"/>
  <c r="B18" i="336"/>
  <c r="F12" i="336" s="1"/>
  <c r="B17" i="336"/>
  <c r="F11" i="336" s="1"/>
  <c r="B16" i="336"/>
  <c r="F10" i="336" s="1"/>
  <c r="B15" i="336"/>
  <c r="F9" i="336" s="1"/>
  <c r="B14" i="336"/>
  <c r="F8" i="336" s="1"/>
  <c r="B13" i="336"/>
  <c r="F7" i="336" s="1"/>
  <c r="B12" i="336"/>
  <c r="F6" i="336" s="1"/>
  <c r="B21" i="335"/>
  <c r="F15" i="335" s="1"/>
  <c r="B20" i="335"/>
  <c r="F14" i="335" s="1"/>
  <c r="B19" i="335"/>
  <c r="F13" i="335" s="1"/>
  <c r="B18" i="335"/>
  <c r="F12" i="335" s="1"/>
  <c r="B17" i="335"/>
  <c r="F11" i="335" s="1"/>
  <c r="B16" i="335"/>
  <c r="F10" i="335" s="1"/>
  <c r="B15" i="335"/>
  <c r="F9" i="335" s="1"/>
  <c r="B14" i="335"/>
  <c r="F8" i="335" s="1"/>
  <c r="B13" i="335"/>
  <c r="F7" i="335" s="1"/>
  <c r="B12" i="335"/>
  <c r="F6" i="335" s="1"/>
  <c r="B21" i="334"/>
  <c r="F15" i="334" s="1"/>
  <c r="B20" i="334"/>
  <c r="F14" i="334" s="1"/>
  <c r="B19" i="334"/>
  <c r="F13" i="334" s="1"/>
  <c r="B18" i="334"/>
  <c r="F12" i="334" s="1"/>
  <c r="B17" i="334"/>
  <c r="F11" i="334" s="1"/>
  <c r="B16" i="334"/>
  <c r="F10" i="334" s="1"/>
  <c r="B15" i="334"/>
  <c r="F9" i="334" s="1"/>
  <c r="B14" i="334"/>
  <c r="F8" i="334" s="1"/>
  <c r="B13" i="334"/>
  <c r="F7" i="334" s="1"/>
  <c r="B12" i="334"/>
  <c r="F6" i="334" s="1"/>
  <c r="B21" i="333"/>
  <c r="F15" i="333" s="1"/>
  <c r="B20" i="333"/>
  <c r="F14" i="333" s="1"/>
  <c r="B19" i="333"/>
  <c r="F13" i="333" s="1"/>
  <c r="B18" i="333"/>
  <c r="F12" i="333" s="1"/>
  <c r="B17" i="333"/>
  <c r="F11" i="333" s="1"/>
  <c r="B16" i="333"/>
  <c r="F10" i="333" s="1"/>
  <c r="B15" i="333"/>
  <c r="F9" i="333" s="1"/>
  <c r="B14" i="333"/>
  <c r="F8" i="333" s="1"/>
  <c r="B13" i="333"/>
  <c r="F7" i="333" s="1"/>
  <c r="B12" i="333"/>
  <c r="F6" i="333" s="1"/>
  <c r="B21" i="332"/>
  <c r="F15" i="332" s="1"/>
  <c r="B20" i="332"/>
  <c r="F14" i="332" s="1"/>
  <c r="B19" i="332"/>
  <c r="F13" i="332" s="1"/>
  <c r="B18" i="332"/>
  <c r="F12" i="332" s="1"/>
  <c r="B17" i="332"/>
  <c r="F11" i="332" s="1"/>
  <c r="B16" i="332"/>
  <c r="F10" i="332" s="1"/>
  <c r="B15" i="332"/>
  <c r="F9" i="332" s="1"/>
  <c r="B14" i="332"/>
  <c r="F8" i="332" s="1"/>
  <c r="B13" i="332"/>
  <c r="F7" i="332" s="1"/>
  <c r="B12" i="332"/>
  <c r="F6" i="332" s="1"/>
  <c r="B21" i="331"/>
  <c r="F15" i="331" s="1"/>
  <c r="B20" i="331"/>
  <c r="F14" i="331" s="1"/>
  <c r="B19" i="331"/>
  <c r="F13" i="331" s="1"/>
  <c r="B18" i="331"/>
  <c r="F12" i="331" s="1"/>
  <c r="B17" i="331"/>
  <c r="F11" i="331" s="1"/>
  <c r="B16" i="331"/>
  <c r="F10" i="331" s="1"/>
  <c r="B15" i="331"/>
  <c r="F9" i="331" s="1"/>
  <c r="B14" i="331"/>
  <c r="F8" i="331" s="1"/>
  <c r="B13" i="331"/>
  <c r="F7" i="331" s="1"/>
  <c r="B12" i="331"/>
  <c r="F6" i="331" s="1"/>
  <c r="B21" i="330"/>
  <c r="F15" i="330" s="1"/>
  <c r="B20" i="330"/>
  <c r="F14" i="330" s="1"/>
  <c r="B19" i="330"/>
  <c r="F13" i="330" s="1"/>
  <c r="B18" i="330"/>
  <c r="F12" i="330" s="1"/>
  <c r="B17" i="330"/>
  <c r="F11" i="330" s="1"/>
  <c r="B16" i="330"/>
  <c r="F10" i="330" s="1"/>
  <c r="B15" i="330"/>
  <c r="F9" i="330" s="1"/>
  <c r="B14" i="330"/>
  <c r="F8" i="330" s="1"/>
  <c r="B13" i="330"/>
  <c r="F7" i="330" s="1"/>
  <c r="B12" i="330"/>
  <c r="F6" i="330" s="1"/>
  <c r="B21" i="329"/>
  <c r="F15" i="329" s="1"/>
  <c r="B20" i="329"/>
  <c r="F14" i="329" s="1"/>
  <c r="B19" i="329"/>
  <c r="F13" i="329" s="1"/>
  <c r="B18" i="329"/>
  <c r="F12" i="329" s="1"/>
  <c r="B17" i="329"/>
  <c r="F11" i="329" s="1"/>
  <c r="B16" i="329"/>
  <c r="F10" i="329" s="1"/>
  <c r="B15" i="329"/>
  <c r="F9" i="329" s="1"/>
  <c r="B14" i="329"/>
  <c r="F8" i="329" s="1"/>
  <c r="B13" i="329"/>
  <c r="F7" i="329" s="1"/>
  <c r="B12" i="329"/>
  <c r="F6" i="329" s="1"/>
  <c r="B21" i="328"/>
  <c r="F15" i="328" s="1"/>
  <c r="B20" i="328"/>
  <c r="F14" i="328" s="1"/>
  <c r="B19" i="328"/>
  <c r="F13" i="328" s="1"/>
  <c r="B18" i="328"/>
  <c r="F12" i="328" s="1"/>
  <c r="B17" i="328"/>
  <c r="F11" i="328" s="1"/>
  <c r="B16" i="328"/>
  <c r="F10" i="328" s="1"/>
  <c r="B15" i="328"/>
  <c r="F9" i="328" s="1"/>
  <c r="B14" i="328"/>
  <c r="F8" i="328" s="1"/>
  <c r="B13" i="328"/>
  <c r="F7" i="328" s="1"/>
  <c r="B12" i="328"/>
  <c r="F6" i="328" s="1"/>
  <c r="B21" i="327"/>
  <c r="F15" i="327" s="1"/>
  <c r="B20" i="327"/>
  <c r="F14" i="327" s="1"/>
  <c r="B19" i="327"/>
  <c r="F13" i="327" s="1"/>
  <c r="B18" i="327"/>
  <c r="F12" i="327" s="1"/>
  <c r="B17" i="327"/>
  <c r="F11" i="327" s="1"/>
  <c r="B16" i="327"/>
  <c r="F10" i="327" s="1"/>
  <c r="B15" i="327"/>
  <c r="F9" i="327" s="1"/>
  <c r="B14" i="327"/>
  <c r="F8" i="327" s="1"/>
  <c r="B13" i="327"/>
  <c r="F7" i="327" s="1"/>
  <c r="B12" i="327"/>
  <c r="F6" i="327" s="1"/>
  <c r="B21" i="326"/>
  <c r="F15" i="326" s="1"/>
  <c r="B20" i="326"/>
  <c r="F14" i="326" s="1"/>
  <c r="B19" i="326"/>
  <c r="F13" i="326" s="1"/>
  <c r="B18" i="326"/>
  <c r="F12" i="326" s="1"/>
  <c r="B17" i="326"/>
  <c r="F11" i="326" s="1"/>
  <c r="B16" i="326"/>
  <c r="F10" i="326" s="1"/>
  <c r="B15" i="326"/>
  <c r="F9" i="326" s="1"/>
  <c r="B14" i="326"/>
  <c r="F8" i="326" s="1"/>
  <c r="B13" i="326"/>
  <c r="F7" i="326" s="1"/>
  <c r="B12" i="326"/>
  <c r="F6" i="326" s="1"/>
  <c r="B21" i="325"/>
  <c r="F15" i="325" s="1"/>
  <c r="B20" i="325"/>
  <c r="F14" i="325" s="1"/>
  <c r="B19" i="325"/>
  <c r="F13" i="325" s="1"/>
  <c r="B18" i="325"/>
  <c r="F12" i="325" s="1"/>
  <c r="B17" i="325"/>
  <c r="F11" i="325" s="1"/>
  <c r="B16" i="325"/>
  <c r="F10" i="325" s="1"/>
  <c r="B15" i="325"/>
  <c r="F9" i="325" s="1"/>
  <c r="B14" i="325"/>
  <c r="F8" i="325" s="1"/>
  <c r="B13" i="325"/>
  <c r="F7" i="325" s="1"/>
  <c r="B12" i="325"/>
  <c r="F6" i="325" s="1"/>
  <c r="B21" i="324"/>
  <c r="F15" i="324" s="1"/>
  <c r="B20" i="324"/>
  <c r="F14" i="324" s="1"/>
  <c r="B19" i="324"/>
  <c r="F13" i="324" s="1"/>
  <c r="B18" i="324"/>
  <c r="F12" i="324" s="1"/>
  <c r="B17" i="324"/>
  <c r="F11" i="324" s="1"/>
  <c r="B16" i="324"/>
  <c r="F10" i="324" s="1"/>
  <c r="B15" i="324"/>
  <c r="F9" i="324" s="1"/>
  <c r="B14" i="324"/>
  <c r="F8" i="324" s="1"/>
  <c r="B13" i="324"/>
  <c r="F7" i="324" s="1"/>
  <c r="B12" i="324"/>
  <c r="F6" i="324" s="1"/>
  <c r="B21" i="323"/>
  <c r="F15" i="323" s="1"/>
  <c r="B20" i="323"/>
  <c r="F14" i="323" s="1"/>
  <c r="B19" i="323"/>
  <c r="F13" i="323" s="1"/>
  <c r="B18" i="323"/>
  <c r="F12" i="323" s="1"/>
  <c r="B17" i="323"/>
  <c r="F11" i="323" s="1"/>
  <c r="B16" i="323"/>
  <c r="F10" i="323" s="1"/>
  <c r="B15" i="323"/>
  <c r="F9" i="323" s="1"/>
  <c r="B14" i="323"/>
  <c r="F8" i="323" s="1"/>
  <c r="B13" i="323"/>
  <c r="F7" i="323" s="1"/>
  <c r="B12" i="323"/>
  <c r="F6" i="323" s="1"/>
  <c r="B21" i="322"/>
  <c r="F15" i="322" s="1"/>
  <c r="B20" i="322"/>
  <c r="F14" i="322" s="1"/>
  <c r="B19" i="322"/>
  <c r="F13" i="322" s="1"/>
  <c r="B18" i="322"/>
  <c r="F12" i="322" s="1"/>
  <c r="B17" i="322"/>
  <c r="F11" i="322" s="1"/>
  <c r="B16" i="322"/>
  <c r="F10" i="322" s="1"/>
  <c r="B15" i="322"/>
  <c r="F9" i="322" s="1"/>
  <c r="B14" i="322"/>
  <c r="F8" i="322" s="1"/>
  <c r="B13" i="322"/>
  <c r="F7" i="322" s="1"/>
  <c r="B12" i="322"/>
  <c r="F6" i="322" s="1"/>
  <c r="B21" i="321"/>
  <c r="F15" i="321" s="1"/>
  <c r="B20" i="321"/>
  <c r="F14" i="321" s="1"/>
  <c r="B19" i="321"/>
  <c r="F13" i="321" s="1"/>
  <c r="B18" i="321"/>
  <c r="F12" i="321" s="1"/>
  <c r="B17" i="321"/>
  <c r="F11" i="321" s="1"/>
  <c r="B16" i="321"/>
  <c r="F10" i="321" s="1"/>
  <c r="B15" i="321"/>
  <c r="F9" i="321" s="1"/>
  <c r="B14" i="321"/>
  <c r="F8" i="321" s="1"/>
  <c r="B13" i="321"/>
  <c r="F7" i="321" s="1"/>
  <c r="B12" i="321"/>
  <c r="F6" i="321" s="1"/>
  <c r="B21" i="320"/>
  <c r="F15" i="320" s="1"/>
  <c r="B20" i="320"/>
  <c r="F14" i="320" s="1"/>
  <c r="B19" i="320"/>
  <c r="F13" i="320" s="1"/>
  <c r="B18" i="320"/>
  <c r="F12" i="320" s="1"/>
  <c r="B17" i="320"/>
  <c r="F11" i="320" s="1"/>
  <c r="B16" i="320"/>
  <c r="F10" i="320" s="1"/>
  <c r="B15" i="320"/>
  <c r="F9" i="320" s="1"/>
  <c r="B14" i="320"/>
  <c r="F8" i="320" s="1"/>
  <c r="B13" i="320"/>
  <c r="F7" i="320" s="1"/>
  <c r="B12" i="320"/>
  <c r="F6" i="320" s="1"/>
  <c r="B21" i="319"/>
  <c r="F15" i="319" s="1"/>
  <c r="B20" i="319"/>
  <c r="F14" i="319" s="1"/>
  <c r="B19" i="319"/>
  <c r="F13" i="319" s="1"/>
  <c r="B18" i="319"/>
  <c r="F12" i="319" s="1"/>
  <c r="B17" i="319"/>
  <c r="F11" i="319" s="1"/>
  <c r="B16" i="319"/>
  <c r="F10" i="319" s="1"/>
  <c r="B15" i="319"/>
  <c r="F9" i="319" s="1"/>
  <c r="B14" i="319"/>
  <c r="F8" i="319" s="1"/>
  <c r="B13" i="319"/>
  <c r="F7" i="319" s="1"/>
  <c r="B12" i="319"/>
  <c r="F6" i="319" s="1"/>
  <c r="B21" i="318"/>
  <c r="F15" i="318" s="1"/>
  <c r="B20" i="318"/>
  <c r="F14" i="318" s="1"/>
  <c r="B19" i="318"/>
  <c r="F13" i="318" s="1"/>
  <c r="B18" i="318"/>
  <c r="F12" i="318" s="1"/>
  <c r="B17" i="318"/>
  <c r="F11" i="318" s="1"/>
  <c r="B16" i="318"/>
  <c r="F10" i="318" s="1"/>
  <c r="B15" i="318"/>
  <c r="F9" i="318" s="1"/>
  <c r="B14" i="318"/>
  <c r="F8" i="318" s="1"/>
  <c r="B13" i="318"/>
  <c r="F7" i="318" s="1"/>
  <c r="B12" i="318"/>
  <c r="F6" i="318" s="1"/>
  <c r="B21" i="317"/>
  <c r="F15" i="317" s="1"/>
  <c r="B20" i="317"/>
  <c r="F14" i="317" s="1"/>
  <c r="B19" i="317"/>
  <c r="F13" i="317" s="1"/>
  <c r="B18" i="317"/>
  <c r="F12" i="317" s="1"/>
  <c r="B17" i="317"/>
  <c r="F11" i="317" s="1"/>
  <c r="B16" i="317"/>
  <c r="F10" i="317" s="1"/>
  <c r="B15" i="317"/>
  <c r="F9" i="317" s="1"/>
  <c r="B14" i="317"/>
  <c r="F8" i="317" s="1"/>
  <c r="B13" i="317"/>
  <c r="F7" i="317" s="1"/>
  <c r="B12" i="317"/>
  <c r="F6" i="317" s="1"/>
  <c r="B21" i="316"/>
  <c r="F15" i="316" s="1"/>
  <c r="B20" i="316"/>
  <c r="F14" i="316" s="1"/>
  <c r="B19" i="316"/>
  <c r="F13" i="316" s="1"/>
  <c r="B18" i="316"/>
  <c r="F12" i="316" s="1"/>
  <c r="B17" i="316"/>
  <c r="F11" i="316" s="1"/>
  <c r="B16" i="316"/>
  <c r="F10" i="316" s="1"/>
  <c r="B15" i="316"/>
  <c r="F9" i="316" s="1"/>
  <c r="B14" i="316"/>
  <c r="F8" i="316" s="1"/>
  <c r="B13" i="316"/>
  <c r="F7" i="316" s="1"/>
  <c r="B12" i="316"/>
  <c r="F6" i="316" s="1"/>
  <c r="B21" i="315"/>
  <c r="F15" i="315" s="1"/>
  <c r="B20" i="315"/>
  <c r="F14" i="315" s="1"/>
  <c r="B19" i="315"/>
  <c r="F13" i="315" s="1"/>
  <c r="B18" i="315"/>
  <c r="F12" i="315" s="1"/>
  <c r="B17" i="315"/>
  <c r="F11" i="315" s="1"/>
  <c r="B16" i="315"/>
  <c r="F10" i="315" s="1"/>
  <c r="B15" i="315"/>
  <c r="F9" i="315" s="1"/>
  <c r="B14" i="315"/>
  <c r="F8" i="315" s="1"/>
  <c r="B13" i="315"/>
  <c r="F7" i="315" s="1"/>
  <c r="B12" i="315"/>
  <c r="F6" i="315" s="1"/>
  <c r="B21" i="314"/>
  <c r="F15" i="314" s="1"/>
  <c r="B20" i="314"/>
  <c r="F14" i="314" s="1"/>
  <c r="B19" i="314"/>
  <c r="F13" i="314" s="1"/>
  <c r="B18" i="314"/>
  <c r="F12" i="314" s="1"/>
  <c r="B17" i="314"/>
  <c r="F11" i="314" s="1"/>
  <c r="B16" i="314"/>
  <c r="F10" i="314" s="1"/>
  <c r="B15" i="314"/>
  <c r="F9" i="314" s="1"/>
  <c r="B14" i="314"/>
  <c r="F8" i="314" s="1"/>
  <c r="B13" i="314"/>
  <c r="F7" i="314" s="1"/>
  <c r="B12" i="314"/>
  <c r="F6" i="314" s="1"/>
  <c r="B21" i="313"/>
  <c r="F15" i="313" s="1"/>
  <c r="B20" i="313"/>
  <c r="F14" i="313" s="1"/>
  <c r="B19" i="313"/>
  <c r="F13" i="313" s="1"/>
  <c r="B18" i="313"/>
  <c r="F12" i="313" s="1"/>
  <c r="B17" i="313"/>
  <c r="F11" i="313" s="1"/>
  <c r="B16" i="313"/>
  <c r="F10" i="313" s="1"/>
  <c r="B15" i="313"/>
  <c r="F9" i="313" s="1"/>
  <c r="B14" i="313"/>
  <c r="F8" i="313" s="1"/>
  <c r="B13" i="313"/>
  <c r="F7" i="313" s="1"/>
  <c r="B12" i="313"/>
  <c r="F6" i="313" s="1"/>
  <c r="B21" i="312"/>
  <c r="F15" i="312" s="1"/>
  <c r="B20" i="312"/>
  <c r="F14" i="312" s="1"/>
  <c r="B19" i="312"/>
  <c r="F13" i="312" s="1"/>
  <c r="B18" i="312"/>
  <c r="F12" i="312" s="1"/>
  <c r="B17" i="312"/>
  <c r="F11" i="312" s="1"/>
  <c r="B16" i="312"/>
  <c r="F10" i="312" s="1"/>
  <c r="B15" i="312"/>
  <c r="F9" i="312" s="1"/>
  <c r="B14" i="312"/>
  <c r="F8" i="312" s="1"/>
  <c r="B13" i="312"/>
  <c r="F7" i="312" s="1"/>
  <c r="B12" i="312"/>
  <c r="F6" i="312" s="1"/>
  <c r="B21" i="311"/>
  <c r="F15" i="311" s="1"/>
  <c r="B20" i="311"/>
  <c r="F14" i="311" s="1"/>
  <c r="B19" i="311"/>
  <c r="F13" i="311" s="1"/>
  <c r="B18" i="311"/>
  <c r="F12" i="311" s="1"/>
  <c r="B17" i="311"/>
  <c r="F11" i="311" s="1"/>
  <c r="B16" i="311"/>
  <c r="F10" i="311" s="1"/>
  <c r="B15" i="311"/>
  <c r="F9" i="311" s="1"/>
  <c r="B14" i="311"/>
  <c r="F8" i="311" s="1"/>
  <c r="B13" i="311"/>
  <c r="F7" i="311" s="1"/>
  <c r="B12" i="311"/>
  <c r="F6" i="311" s="1"/>
  <c r="B21" i="310"/>
  <c r="F15" i="310" s="1"/>
  <c r="B20" i="310"/>
  <c r="F14" i="310" s="1"/>
  <c r="B19" i="310"/>
  <c r="F13" i="310" s="1"/>
  <c r="B18" i="310"/>
  <c r="F12" i="310" s="1"/>
  <c r="B17" i="310"/>
  <c r="F11" i="310" s="1"/>
  <c r="B16" i="310"/>
  <c r="F10" i="310" s="1"/>
  <c r="B15" i="310"/>
  <c r="F9" i="310" s="1"/>
  <c r="B14" i="310"/>
  <c r="F8" i="310" s="1"/>
  <c r="B13" i="310"/>
  <c r="F7" i="310" s="1"/>
  <c r="B12" i="310"/>
  <c r="F6" i="310" s="1"/>
  <c r="B21" i="309"/>
  <c r="F15" i="309" s="1"/>
  <c r="B20" i="309"/>
  <c r="F14" i="309" s="1"/>
  <c r="B19" i="309"/>
  <c r="F13" i="309" s="1"/>
  <c r="B18" i="309"/>
  <c r="F12" i="309" s="1"/>
  <c r="B17" i="309"/>
  <c r="F11" i="309" s="1"/>
  <c r="B16" i="309"/>
  <c r="F10" i="309" s="1"/>
  <c r="B15" i="309"/>
  <c r="F9" i="309" s="1"/>
  <c r="B14" i="309"/>
  <c r="F8" i="309" s="1"/>
  <c r="B13" i="309"/>
  <c r="F7" i="309" s="1"/>
  <c r="B12" i="309"/>
  <c r="F6" i="309" s="1"/>
  <c r="B21" i="308"/>
  <c r="F15" i="308" s="1"/>
  <c r="B20" i="308"/>
  <c r="F14" i="308" s="1"/>
  <c r="B19" i="308"/>
  <c r="F13" i="308" s="1"/>
  <c r="B18" i="308"/>
  <c r="F12" i="308" s="1"/>
  <c r="B17" i="308"/>
  <c r="F11" i="308" s="1"/>
  <c r="B16" i="308"/>
  <c r="F10" i="308" s="1"/>
  <c r="B15" i="308"/>
  <c r="F9" i="308" s="1"/>
  <c r="B14" i="308"/>
  <c r="F8" i="308" s="1"/>
  <c r="B13" i="308"/>
  <c r="F7" i="308" s="1"/>
  <c r="B12" i="308"/>
  <c r="F6" i="308" s="1"/>
  <c r="B21" i="307"/>
  <c r="F15" i="307" s="1"/>
  <c r="B20" i="307"/>
  <c r="F14" i="307" s="1"/>
  <c r="B19" i="307"/>
  <c r="F13" i="307" s="1"/>
  <c r="B18" i="307"/>
  <c r="F12" i="307" s="1"/>
  <c r="B17" i="307"/>
  <c r="F11" i="307" s="1"/>
  <c r="B16" i="307"/>
  <c r="F10" i="307" s="1"/>
  <c r="B15" i="307"/>
  <c r="F9" i="307" s="1"/>
  <c r="B14" i="307"/>
  <c r="F8" i="307" s="1"/>
  <c r="B13" i="307"/>
  <c r="F7" i="307" s="1"/>
  <c r="B12" i="307"/>
  <c r="F6" i="307" s="1"/>
  <c r="B21" i="306"/>
  <c r="F15" i="306" s="1"/>
  <c r="B20" i="306"/>
  <c r="F14" i="306" s="1"/>
  <c r="B19" i="306"/>
  <c r="F13" i="306" s="1"/>
  <c r="B18" i="306"/>
  <c r="F12" i="306" s="1"/>
  <c r="B17" i="306"/>
  <c r="F11" i="306" s="1"/>
  <c r="B16" i="306"/>
  <c r="F10" i="306" s="1"/>
  <c r="B15" i="306"/>
  <c r="F9" i="306" s="1"/>
  <c r="B14" i="306"/>
  <c r="F8" i="306" s="1"/>
  <c r="B13" i="306"/>
  <c r="F7" i="306" s="1"/>
  <c r="B12" i="306"/>
  <c r="F6" i="306" s="1"/>
  <c r="B21" i="305"/>
  <c r="F15" i="305" s="1"/>
  <c r="B20" i="305"/>
  <c r="F14" i="305" s="1"/>
  <c r="B19" i="305"/>
  <c r="F13" i="305" s="1"/>
  <c r="B18" i="305"/>
  <c r="F12" i="305" s="1"/>
  <c r="B17" i="305"/>
  <c r="F11" i="305" s="1"/>
  <c r="B16" i="305"/>
  <c r="F10" i="305" s="1"/>
  <c r="B15" i="305"/>
  <c r="F9" i="305" s="1"/>
  <c r="B14" i="305"/>
  <c r="F8" i="305" s="1"/>
  <c r="B13" i="305"/>
  <c r="F7" i="305" s="1"/>
  <c r="B12" i="305"/>
  <c r="F6" i="305" s="1"/>
  <c r="B21" i="304"/>
  <c r="F15" i="304" s="1"/>
  <c r="B20" i="304"/>
  <c r="F14" i="304" s="1"/>
  <c r="B19" i="304"/>
  <c r="F13" i="304" s="1"/>
  <c r="B18" i="304"/>
  <c r="F12" i="304" s="1"/>
  <c r="B17" i="304"/>
  <c r="F11" i="304" s="1"/>
  <c r="B16" i="304"/>
  <c r="F10" i="304" s="1"/>
  <c r="B15" i="304"/>
  <c r="F9" i="304" s="1"/>
  <c r="B14" i="304"/>
  <c r="F8" i="304" s="1"/>
  <c r="B13" i="304"/>
  <c r="F7" i="304" s="1"/>
  <c r="B12" i="304"/>
  <c r="F6" i="304" s="1"/>
  <c r="B21" i="303"/>
  <c r="F15" i="303" s="1"/>
  <c r="B20" i="303"/>
  <c r="F14" i="303" s="1"/>
  <c r="B19" i="303"/>
  <c r="F13" i="303" s="1"/>
  <c r="B18" i="303"/>
  <c r="F12" i="303" s="1"/>
  <c r="B17" i="303"/>
  <c r="F11" i="303" s="1"/>
  <c r="B16" i="303"/>
  <c r="F10" i="303" s="1"/>
  <c r="B15" i="303"/>
  <c r="F9" i="303" s="1"/>
  <c r="B14" i="303"/>
  <c r="F8" i="303" s="1"/>
  <c r="B13" i="303"/>
  <c r="F7" i="303" s="1"/>
  <c r="B12" i="303"/>
  <c r="F6" i="303" s="1"/>
  <c r="B21" i="302"/>
  <c r="F15" i="302" s="1"/>
  <c r="B20" i="302"/>
  <c r="F14" i="302" s="1"/>
  <c r="B19" i="302"/>
  <c r="F13" i="302" s="1"/>
  <c r="B18" i="302"/>
  <c r="F12" i="302" s="1"/>
  <c r="B17" i="302"/>
  <c r="F11" i="302" s="1"/>
  <c r="B16" i="302"/>
  <c r="F10" i="302" s="1"/>
  <c r="B15" i="302"/>
  <c r="F9" i="302" s="1"/>
  <c r="B14" i="302"/>
  <c r="F8" i="302" s="1"/>
  <c r="B13" i="302"/>
  <c r="F7" i="302" s="1"/>
  <c r="B12" i="302"/>
  <c r="F6" i="302" s="1"/>
  <c r="B21" i="301"/>
  <c r="F15" i="301" s="1"/>
  <c r="B20" i="301"/>
  <c r="F14" i="301" s="1"/>
  <c r="B19" i="301"/>
  <c r="F13" i="301" s="1"/>
  <c r="B18" i="301"/>
  <c r="F12" i="301" s="1"/>
  <c r="B17" i="301"/>
  <c r="F11" i="301" s="1"/>
  <c r="B16" i="301"/>
  <c r="F10" i="301" s="1"/>
  <c r="B15" i="301"/>
  <c r="F9" i="301" s="1"/>
  <c r="B14" i="301"/>
  <c r="F8" i="301" s="1"/>
  <c r="B13" i="301"/>
  <c r="F7" i="301" s="1"/>
  <c r="B12" i="301"/>
  <c r="F6" i="301" s="1"/>
  <c r="B21" i="300"/>
  <c r="F15" i="300" s="1"/>
  <c r="B20" i="300"/>
  <c r="F14" i="300" s="1"/>
  <c r="B19" i="300"/>
  <c r="F13" i="300" s="1"/>
  <c r="B18" i="300"/>
  <c r="F12" i="300" s="1"/>
  <c r="B17" i="300"/>
  <c r="F11" i="300" s="1"/>
  <c r="B16" i="300"/>
  <c r="F10" i="300" s="1"/>
  <c r="B15" i="300"/>
  <c r="F9" i="300" s="1"/>
  <c r="B14" i="300"/>
  <c r="F8" i="300" s="1"/>
  <c r="B13" i="300"/>
  <c r="F7" i="300" s="1"/>
  <c r="B12" i="300"/>
  <c r="F6" i="300" s="1"/>
  <c r="B21" i="299"/>
  <c r="F15" i="299" s="1"/>
  <c r="B20" i="299"/>
  <c r="F14" i="299" s="1"/>
  <c r="B19" i="299"/>
  <c r="F13" i="299" s="1"/>
  <c r="B18" i="299"/>
  <c r="F12" i="299" s="1"/>
  <c r="B17" i="299"/>
  <c r="F11" i="299" s="1"/>
  <c r="B16" i="299"/>
  <c r="F10" i="299" s="1"/>
  <c r="B15" i="299"/>
  <c r="F9" i="299" s="1"/>
  <c r="B14" i="299"/>
  <c r="F8" i="299" s="1"/>
  <c r="B13" i="299"/>
  <c r="F7" i="299" s="1"/>
  <c r="B12" i="299"/>
  <c r="F6" i="299" s="1"/>
  <c r="B21" i="298"/>
  <c r="F15" i="298" s="1"/>
  <c r="B20" i="298"/>
  <c r="F14" i="298" s="1"/>
  <c r="B19" i="298"/>
  <c r="F13" i="298" s="1"/>
  <c r="B18" i="298"/>
  <c r="F12" i="298" s="1"/>
  <c r="B17" i="298"/>
  <c r="F11" i="298" s="1"/>
  <c r="B16" i="298"/>
  <c r="F10" i="298" s="1"/>
  <c r="B15" i="298"/>
  <c r="F9" i="298" s="1"/>
  <c r="B14" i="298"/>
  <c r="F8" i="298" s="1"/>
  <c r="B13" i="298"/>
  <c r="F7" i="298" s="1"/>
  <c r="B12" i="298"/>
  <c r="F6" i="298" s="1"/>
  <c r="B21" i="297"/>
  <c r="F15" i="297" s="1"/>
  <c r="B20" i="297"/>
  <c r="F14" i="297" s="1"/>
  <c r="B19" i="297"/>
  <c r="F13" i="297" s="1"/>
  <c r="B18" i="297"/>
  <c r="F12" i="297" s="1"/>
  <c r="B17" i="297"/>
  <c r="F11" i="297" s="1"/>
  <c r="B16" i="297"/>
  <c r="F10" i="297" s="1"/>
  <c r="B15" i="297"/>
  <c r="F9" i="297" s="1"/>
  <c r="B14" i="297"/>
  <c r="F8" i="297" s="1"/>
  <c r="B13" i="297"/>
  <c r="F7" i="297" s="1"/>
  <c r="B12" i="297"/>
  <c r="F6" i="297" s="1"/>
  <c r="B21" i="296"/>
  <c r="F15" i="296" s="1"/>
  <c r="B20" i="296"/>
  <c r="F14" i="296" s="1"/>
  <c r="B19" i="296"/>
  <c r="F13" i="296" s="1"/>
  <c r="B18" i="296"/>
  <c r="F12" i="296" s="1"/>
  <c r="B17" i="296"/>
  <c r="F11" i="296" s="1"/>
  <c r="B16" i="296"/>
  <c r="F10" i="296" s="1"/>
  <c r="B15" i="296"/>
  <c r="F9" i="296" s="1"/>
  <c r="B14" i="296"/>
  <c r="F8" i="296" s="1"/>
  <c r="B13" i="296"/>
  <c r="F7" i="296" s="1"/>
  <c r="B12" i="296"/>
  <c r="F6" i="296" s="1"/>
  <c r="B21" i="295"/>
  <c r="F15" i="295" s="1"/>
  <c r="B20" i="295"/>
  <c r="F14" i="295" s="1"/>
  <c r="B19" i="295"/>
  <c r="F13" i="295" s="1"/>
  <c r="B18" i="295"/>
  <c r="F12" i="295" s="1"/>
  <c r="B17" i="295"/>
  <c r="F11" i="295" s="1"/>
  <c r="B16" i="295"/>
  <c r="F10" i="295" s="1"/>
  <c r="B15" i="295"/>
  <c r="F9" i="295" s="1"/>
  <c r="B14" i="295"/>
  <c r="F8" i="295" s="1"/>
  <c r="B13" i="295"/>
  <c r="F7" i="295" s="1"/>
  <c r="B12" i="295"/>
  <c r="F6" i="295" s="1"/>
  <c r="B21" i="294"/>
  <c r="F15" i="294" s="1"/>
  <c r="B20" i="294"/>
  <c r="F14" i="294" s="1"/>
  <c r="B19" i="294"/>
  <c r="F13" i="294" s="1"/>
  <c r="B18" i="294"/>
  <c r="F12" i="294" s="1"/>
  <c r="B17" i="294"/>
  <c r="F11" i="294" s="1"/>
  <c r="B16" i="294"/>
  <c r="F10" i="294" s="1"/>
  <c r="B15" i="294"/>
  <c r="F9" i="294" s="1"/>
  <c r="B14" i="294"/>
  <c r="F8" i="294" s="1"/>
  <c r="B13" i="294"/>
  <c r="F7" i="294" s="1"/>
  <c r="B12" i="294"/>
  <c r="F6" i="294" s="1"/>
  <c r="B21" i="293"/>
  <c r="F15" i="293" s="1"/>
  <c r="B20" i="293"/>
  <c r="F14" i="293" s="1"/>
  <c r="B19" i="293"/>
  <c r="F13" i="293" s="1"/>
  <c r="B18" i="293"/>
  <c r="F12" i="293" s="1"/>
  <c r="B17" i="293"/>
  <c r="F11" i="293" s="1"/>
  <c r="B16" i="293"/>
  <c r="F10" i="293" s="1"/>
  <c r="B15" i="293"/>
  <c r="F9" i="293" s="1"/>
  <c r="B14" i="293"/>
  <c r="F8" i="293" s="1"/>
  <c r="B13" i="293"/>
  <c r="F7" i="293" s="1"/>
  <c r="B12" i="293"/>
  <c r="F6" i="293" s="1"/>
  <c r="B21" i="292"/>
  <c r="F15" i="292" s="1"/>
  <c r="B20" i="292"/>
  <c r="F14" i="292" s="1"/>
  <c r="B19" i="292"/>
  <c r="F13" i="292" s="1"/>
  <c r="B18" i="292"/>
  <c r="F12" i="292" s="1"/>
  <c r="B17" i="292"/>
  <c r="F11" i="292" s="1"/>
  <c r="B16" i="292"/>
  <c r="F10" i="292" s="1"/>
  <c r="B15" i="292"/>
  <c r="F9" i="292" s="1"/>
  <c r="B14" i="292"/>
  <c r="F8" i="292" s="1"/>
  <c r="B13" i="292"/>
  <c r="F7" i="292" s="1"/>
  <c r="B12" i="292"/>
  <c r="F6" i="292" s="1"/>
  <c r="B21" i="291"/>
  <c r="F15" i="291" s="1"/>
  <c r="B20" i="291"/>
  <c r="F14" i="291" s="1"/>
  <c r="B19" i="291"/>
  <c r="F13" i="291" s="1"/>
  <c r="B18" i="291"/>
  <c r="F12" i="291" s="1"/>
  <c r="B17" i="291"/>
  <c r="F11" i="291" s="1"/>
  <c r="B16" i="291"/>
  <c r="F10" i="291" s="1"/>
  <c r="B15" i="291"/>
  <c r="F9" i="291" s="1"/>
  <c r="B14" i="291"/>
  <c r="F8" i="291" s="1"/>
  <c r="B13" i="291"/>
  <c r="F7" i="291" s="1"/>
  <c r="B12" i="291"/>
  <c r="F6" i="291" s="1"/>
  <c r="B21" i="290"/>
  <c r="F15" i="290" s="1"/>
  <c r="B20" i="290"/>
  <c r="F14" i="290" s="1"/>
  <c r="B19" i="290"/>
  <c r="F13" i="290" s="1"/>
  <c r="B18" i="290"/>
  <c r="F12" i="290" s="1"/>
  <c r="B17" i="290"/>
  <c r="F11" i="290" s="1"/>
  <c r="B16" i="290"/>
  <c r="F10" i="290" s="1"/>
  <c r="B15" i="290"/>
  <c r="F9" i="290" s="1"/>
  <c r="B14" i="290"/>
  <c r="F8" i="290" s="1"/>
  <c r="B13" i="290"/>
  <c r="F7" i="290" s="1"/>
  <c r="B12" i="290"/>
  <c r="F6" i="290" s="1"/>
  <c r="B21" i="289"/>
  <c r="F15" i="289" s="1"/>
  <c r="B20" i="289"/>
  <c r="F14" i="289" s="1"/>
  <c r="B19" i="289"/>
  <c r="F13" i="289" s="1"/>
  <c r="B18" i="289"/>
  <c r="F12" i="289" s="1"/>
  <c r="B17" i="289"/>
  <c r="F11" i="289" s="1"/>
  <c r="B16" i="289"/>
  <c r="F10" i="289" s="1"/>
  <c r="B15" i="289"/>
  <c r="F9" i="289" s="1"/>
  <c r="B14" i="289"/>
  <c r="F8" i="289" s="1"/>
  <c r="B13" i="289"/>
  <c r="F7" i="289" s="1"/>
  <c r="B12" i="289"/>
  <c r="F6" i="289" s="1"/>
  <c r="B21" i="288"/>
  <c r="F15" i="288" s="1"/>
  <c r="B20" i="288"/>
  <c r="F14" i="288" s="1"/>
  <c r="B19" i="288"/>
  <c r="F13" i="288" s="1"/>
  <c r="B18" i="288"/>
  <c r="F12" i="288" s="1"/>
  <c r="B17" i="288"/>
  <c r="F11" i="288" s="1"/>
  <c r="B16" i="288"/>
  <c r="F10" i="288" s="1"/>
  <c r="B15" i="288"/>
  <c r="F9" i="288" s="1"/>
  <c r="B14" i="288"/>
  <c r="F8" i="288" s="1"/>
  <c r="B13" i="288"/>
  <c r="F7" i="288" s="1"/>
  <c r="B12" i="288"/>
  <c r="F6" i="288" s="1"/>
  <c r="B21" i="287"/>
  <c r="F15" i="287" s="1"/>
  <c r="B20" i="287"/>
  <c r="F14" i="287" s="1"/>
  <c r="B19" i="287"/>
  <c r="F13" i="287" s="1"/>
  <c r="B18" i="287"/>
  <c r="F12" i="287" s="1"/>
  <c r="B17" i="287"/>
  <c r="F11" i="287" s="1"/>
  <c r="B16" i="287"/>
  <c r="F10" i="287" s="1"/>
  <c r="B15" i="287"/>
  <c r="F9" i="287" s="1"/>
  <c r="B14" i="287"/>
  <c r="F8" i="287" s="1"/>
  <c r="B13" i="287"/>
  <c r="F7" i="287" s="1"/>
  <c r="B12" i="287"/>
  <c r="F6" i="287" s="1"/>
  <c r="B21" i="286"/>
  <c r="F15" i="286" s="1"/>
  <c r="B20" i="286"/>
  <c r="F14" i="286" s="1"/>
  <c r="B19" i="286"/>
  <c r="F13" i="286" s="1"/>
  <c r="B18" i="286"/>
  <c r="F12" i="286" s="1"/>
  <c r="B17" i="286"/>
  <c r="F11" i="286" s="1"/>
  <c r="B16" i="286"/>
  <c r="F10" i="286" s="1"/>
  <c r="B15" i="286"/>
  <c r="F9" i="286" s="1"/>
  <c r="B14" i="286"/>
  <c r="F8" i="286" s="1"/>
  <c r="B13" i="286"/>
  <c r="F7" i="286" s="1"/>
  <c r="B12" i="286"/>
  <c r="F6" i="286" s="1"/>
  <c r="B21" i="285"/>
  <c r="F15" i="285" s="1"/>
  <c r="B20" i="285"/>
  <c r="F14" i="285" s="1"/>
  <c r="B19" i="285"/>
  <c r="F13" i="285" s="1"/>
  <c r="B18" i="285"/>
  <c r="F12" i="285" s="1"/>
  <c r="B17" i="285"/>
  <c r="F11" i="285" s="1"/>
  <c r="B16" i="285"/>
  <c r="F10" i="285" s="1"/>
  <c r="B15" i="285"/>
  <c r="F9" i="285" s="1"/>
  <c r="B14" i="285"/>
  <c r="F8" i="285" s="1"/>
  <c r="B13" i="285"/>
  <c r="F7" i="285" s="1"/>
  <c r="B12" i="285"/>
  <c r="F6" i="285" s="1"/>
  <c r="B21" i="284"/>
  <c r="F15" i="284" s="1"/>
  <c r="B20" i="284"/>
  <c r="F14" i="284" s="1"/>
  <c r="B19" i="284"/>
  <c r="F13" i="284" s="1"/>
  <c r="B18" i="284"/>
  <c r="F12" i="284" s="1"/>
  <c r="B17" i="284"/>
  <c r="F11" i="284" s="1"/>
  <c r="B16" i="284"/>
  <c r="F10" i="284" s="1"/>
  <c r="B15" i="284"/>
  <c r="F9" i="284" s="1"/>
  <c r="B14" i="284"/>
  <c r="F8" i="284" s="1"/>
  <c r="B13" i="284"/>
  <c r="F7" i="284" s="1"/>
  <c r="B12" i="284"/>
  <c r="F6" i="284" s="1"/>
  <c r="B21" i="283"/>
  <c r="F15" i="283" s="1"/>
  <c r="B20" i="283"/>
  <c r="F14" i="283" s="1"/>
  <c r="B19" i="283"/>
  <c r="F13" i="283" s="1"/>
  <c r="B18" i="283"/>
  <c r="F12" i="283" s="1"/>
  <c r="B17" i="283"/>
  <c r="F11" i="283" s="1"/>
  <c r="B16" i="283"/>
  <c r="F10" i="283" s="1"/>
  <c r="B15" i="283"/>
  <c r="F9" i="283" s="1"/>
  <c r="B14" i="283"/>
  <c r="F8" i="283" s="1"/>
  <c r="B13" i="283"/>
  <c r="F7" i="283" s="1"/>
  <c r="B12" i="283"/>
  <c r="F6" i="283" s="1"/>
  <c r="B21" i="282"/>
  <c r="F15" i="282" s="1"/>
  <c r="B20" i="282"/>
  <c r="F14" i="282" s="1"/>
  <c r="B19" i="282"/>
  <c r="F13" i="282" s="1"/>
  <c r="B18" i="282"/>
  <c r="F12" i="282" s="1"/>
  <c r="B17" i="282"/>
  <c r="F11" i="282" s="1"/>
  <c r="B16" i="282"/>
  <c r="F10" i="282" s="1"/>
  <c r="B15" i="282"/>
  <c r="F9" i="282" s="1"/>
  <c r="B14" i="282"/>
  <c r="F8" i="282" s="1"/>
  <c r="B13" i="282"/>
  <c r="F7" i="282" s="1"/>
  <c r="B12" i="282"/>
  <c r="F6" i="282" s="1"/>
  <c r="B21" i="281"/>
  <c r="F15" i="281" s="1"/>
  <c r="B20" i="281"/>
  <c r="F14" i="281" s="1"/>
  <c r="B19" i="281"/>
  <c r="F13" i="281" s="1"/>
  <c r="B18" i="281"/>
  <c r="F12" i="281" s="1"/>
  <c r="B17" i="281"/>
  <c r="F11" i="281" s="1"/>
  <c r="B16" i="281"/>
  <c r="F10" i="281" s="1"/>
  <c r="B15" i="281"/>
  <c r="F9" i="281" s="1"/>
  <c r="B14" i="281"/>
  <c r="F8" i="281" s="1"/>
  <c r="B13" i="281"/>
  <c r="F7" i="281" s="1"/>
  <c r="B12" i="281"/>
  <c r="F6" i="281" s="1"/>
  <c r="B21" i="280"/>
  <c r="F15" i="280" s="1"/>
  <c r="B20" i="280"/>
  <c r="F14" i="280" s="1"/>
  <c r="B19" i="280"/>
  <c r="F13" i="280" s="1"/>
  <c r="B18" i="280"/>
  <c r="F12" i="280" s="1"/>
  <c r="B17" i="280"/>
  <c r="F11" i="280" s="1"/>
  <c r="B16" i="280"/>
  <c r="F10" i="280" s="1"/>
  <c r="B15" i="280"/>
  <c r="F9" i="280" s="1"/>
  <c r="B14" i="280"/>
  <c r="F8" i="280" s="1"/>
  <c r="B13" i="280"/>
  <c r="F7" i="280" s="1"/>
  <c r="B12" i="280"/>
  <c r="F6" i="280" s="1"/>
  <c r="B21" i="279"/>
  <c r="F15" i="279" s="1"/>
  <c r="B20" i="279"/>
  <c r="F14" i="279" s="1"/>
  <c r="B19" i="279"/>
  <c r="F13" i="279" s="1"/>
  <c r="B18" i="279"/>
  <c r="F12" i="279" s="1"/>
  <c r="B17" i="279"/>
  <c r="F11" i="279" s="1"/>
  <c r="B16" i="279"/>
  <c r="F10" i="279" s="1"/>
  <c r="B15" i="279"/>
  <c r="F9" i="279" s="1"/>
  <c r="B14" i="279"/>
  <c r="F8" i="279" s="1"/>
  <c r="B13" i="279"/>
  <c r="F7" i="279" s="1"/>
  <c r="B12" i="279"/>
  <c r="F6" i="279" s="1"/>
  <c r="B21" i="278"/>
  <c r="F15" i="278" s="1"/>
  <c r="B20" i="278"/>
  <c r="F14" i="278" s="1"/>
  <c r="B19" i="278"/>
  <c r="F13" i="278" s="1"/>
  <c r="B18" i="278"/>
  <c r="F12" i="278" s="1"/>
  <c r="B17" i="278"/>
  <c r="F11" i="278" s="1"/>
  <c r="B16" i="278"/>
  <c r="F10" i="278" s="1"/>
  <c r="B15" i="278"/>
  <c r="F9" i="278" s="1"/>
  <c r="B14" i="278"/>
  <c r="F8" i="278" s="1"/>
  <c r="B13" i="278"/>
  <c r="F7" i="278" s="1"/>
  <c r="B12" i="278"/>
  <c r="F6" i="278" s="1"/>
  <c r="B21" i="277"/>
  <c r="F15" i="277" s="1"/>
  <c r="B20" i="277"/>
  <c r="F14" i="277" s="1"/>
  <c r="B19" i="277"/>
  <c r="F13" i="277" s="1"/>
  <c r="B18" i="277"/>
  <c r="F12" i="277" s="1"/>
  <c r="B17" i="277"/>
  <c r="F11" i="277" s="1"/>
  <c r="B16" i="277"/>
  <c r="F10" i="277" s="1"/>
  <c r="B15" i="277"/>
  <c r="F9" i="277" s="1"/>
  <c r="B14" i="277"/>
  <c r="F8" i="277" s="1"/>
  <c r="B13" i="277"/>
  <c r="F7" i="277" s="1"/>
  <c r="B12" i="277"/>
  <c r="F6" i="277" s="1"/>
  <c r="B21" i="276"/>
  <c r="F15" i="276" s="1"/>
  <c r="B20" i="276"/>
  <c r="F14" i="276" s="1"/>
  <c r="B19" i="276"/>
  <c r="F13" i="276" s="1"/>
  <c r="B18" i="276"/>
  <c r="F12" i="276" s="1"/>
  <c r="B17" i="276"/>
  <c r="F11" i="276" s="1"/>
  <c r="B16" i="276"/>
  <c r="F10" i="276" s="1"/>
  <c r="B15" i="276"/>
  <c r="F9" i="276" s="1"/>
  <c r="B14" i="276"/>
  <c r="F8" i="276" s="1"/>
  <c r="B13" i="276"/>
  <c r="F7" i="276" s="1"/>
  <c r="B12" i="276"/>
  <c r="F6" i="276" s="1"/>
  <c r="B21" i="275"/>
  <c r="F15" i="275" s="1"/>
  <c r="B20" i="275"/>
  <c r="F14" i="275" s="1"/>
  <c r="B19" i="275"/>
  <c r="F13" i="275" s="1"/>
  <c r="B18" i="275"/>
  <c r="F12" i="275" s="1"/>
  <c r="B17" i="275"/>
  <c r="F11" i="275" s="1"/>
  <c r="B16" i="275"/>
  <c r="F10" i="275" s="1"/>
  <c r="B15" i="275"/>
  <c r="F9" i="275" s="1"/>
  <c r="B14" i="275"/>
  <c r="F8" i="275" s="1"/>
  <c r="B13" i="275"/>
  <c r="F7" i="275" s="1"/>
  <c r="B12" i="275"/>
  <c r="F6" i="275" s="1"/>
  <c r="B21" i="274"/>
  <c r="F15" i="274" s="1"/>
  <c r="B20" i="274"/>
  <c r="F14" i="274" s="1"/>
  <c r="B19" i="274"/>
  <c r="F13" i="274" s="1"/>
  <c r="B18" i="274"/>
  <c r="F12" i="274" s="1"/>
  <c r="B17" i="274"/>
  <c r="F11" i="274" s="1"/>
  <c r="B16" i="274"/>
  <c r="F10" i="274" s="1"/>
  <c r="B15" i="274"/>
  <c r="F9" i="274" s="1"/>
  <c r="B14" i="274"/>
  <c r="F8" i="274" s="1"/>
  <c r="B13" i="274"/>
  <c r="F7" i="274" s="1"/>
  <c r="B12" i="274"/>
  <c r="F6" i="274" s="1"/>
  <c r="B21" i="273"/>
  <c r="F15" i="273" s="1"/>
  <c r="B20" i="273"/>
  <c r="F14" i="273" s="1"/>
  <c r="B19" i="273"/>
  <c r="F13" i="273" s="1"/>
  <c r="B18" i="273"/>
  <c r="F12" i="273" s="1"/>
  <c r="B17" i="273"/>
  <c r="F11" i="273" s="1"/>
  <c r="B16" i="273"/>
  <c r="F10" i="273" s="1"/>
  <c r="B15" i="273"/>
  <c r="F9" i="273" s="1"/>
  <c r="B14" i="273"/>
  <c r="F8" i="273" s="1"/>
  <c r="B13" i="273"/>
  <c r="F7" i="273" s="1"/>
  <c r="B12" i="273"/>
  <c r="F6" i="273" s="1"/>
  <c r="B21" i="272"/>
  <c r="F15" i="272" s="1"/>
  <c r="B20" i="272"/>
  <c r="F14" i="272" s="1"/>
  <c r="B19" i="272"/>
  <c r="F13" i="272" s="1"/>
  <c r="B18" i="272"/>
  <c r="F12" i="272" s="1"/>
  <c r="B17" i="272"/>
  <c r="F11" i="272" s="1"/>
  <c r="B16" i="272"/>
  <c r="F10" i="272" s="1"/>
  <c r="B15" i="272"/>
  <c r="F9" i="272" s="1"/>
  <c r="B14" i="272"/>
  <c r="F8" i="272" s="1"/>
  <c r="B13" i="272"/>
  <c r="F7" i="272" s="1"/>
  <c r="B12" i="272"/>
  <c r="F6" i="272" s="1"/>
  <c r="B21" i="271"/>
  <c r="F15" i="271" s="1"/>
  <c r="B20" i="271"/>
  <c r="F14" i="271" s="1"/>
  <c r="B19" i="271"/>
  <c r="F13" i="271" s="1"/>
  <c r="B18" i="271"/>
  <c r="F12" i="271" s="1"/>
  <c r="B17" i="271"/>
  <c r="F11" i="271" s="1"/>
  <c r="B16" i="271"/>
  <c r="F10" i="271" s="1"/>
  <c r="B15" i="271"/>
  <c r="F9" i="271" s="1"/>
  <c r="B14" i="271"/>
  <c r="F8" i="271" s="1"/>
  <c r="B13" i="271"/>
  <c r="F7" i="271" s="1"/>
  <c r="B12" i="271"/>
  <c r="F6" i="271" s="1"/>
  <c r="B21" i="270"/>
  <c r="F15" i="270" s="1"/>
  <c r="B20" i="270"/>
  <c r="F14" i="270" s="1"/>
  <c r="B19" i="270"/>
  <c r="F13" i="270" s="1"/>
  <c r="B18" i="270"/>
  <c r="F12" i="270" s="1"/>
  <c r="B17" i="270"/>
  <c r="F11" i="270" s="1"/>
  <c r="B16" i="270"/>
  <c r="F10" i="270" s="1"/>
  <c r="B15" i="270"/>
  <c r="F9" i="270" s="1"/>
  <c r="B14" i="270"/>
  <c r="F8" i="270" s="1"/>
  <c r="B13" i="270"/>
  <c r="F7" i="270" s="1"/>
  <c r="B12" i="270"/>
  <c r="F6" i="270" s="1"/>
  <c r="B21" i="269"/>
  <c r="F15" i="269" s="1"/>
  <c r="B20" i="269"/>
  <c r="F14" i="269" s="1"/>
  <c r="B19" i="269"/>
  <c r="F13" i="269" s="1"/>
  <c r="B18" i="269"/>
  <c r="F12" i="269" s="1"/>
  <c r="B17" i="269"/>
  <c r="F11" i="269" s="1"/>
  <c r="B16" i="269"/>
  <c r="F10" i="269" s="1"/>
  <c r="B15" i="269"/>
  <c r="F9" i="269" s="1"/>
  <c r="B14" i="269"/>
  <c r="F8" i="269" s="1"/>
  <c r="B13" i="269"/>
  <c r="F7" i="269" s="1"/>
  <c r="B12" i="269"/>
  <c r="F6" i="269" s="1"/>
  <c r="B21" i="268"/>
  <c r="F15" i="268" s="1"/>
  <c r="B20" i="268"/>
  <c r="F14" i="268" s="1"/>
  <c r="B19" i="268"/>
  <c r="F13" i="268" s="1"/>
  <c r="B18" i="268"/>
  <c r="F12" i="268" s="1"/>
  <c r="B17" i="268"/>
  <c r="F11" i="268" s="1"/>
  <c r="B16" i="268"/>
  <c r="F10" i="268" s="1"/>
  <c r="B15" i="268"/>
  <c r="F9" i="268" s="1"/>
  <c r="B14" i="268"/>
  <c r="F8" i="268" s="1"/>
  <c r="B13" i="268"/>
  <c r="F7" i="268" s="1"/>
  <c r="B12" i="268"/>
  <c r="F6" i="268" s="1"/>
  <c r="B21" i="267"/>
  <c r="F15" i="267" s="1"/>
  <c r="B20" i="267"/>
  <c r="F14" i="267" s="1"/>
  <c r="B19" i="267"/>
  <c r="F13" i="267" s="1"/>
  <c r="B18" i="267"/>
  <c r="F12" i="267" s="1"/>
  <c r="B17" i="267"/>
  <c r="F11" i="267" s="1"/>
  <c r="B16" i="267"/>
  <c r="F10" i="267" s="1"/>
  <c r="B15" i="267"/>
  <c r="F9" i="267" s="1"/>
  <c r="B14" i="267"/>
  <c r="F8" i="267" s="1"/>
  <c r="B13" i="267"/>
  <c r="F7" i="267" s="1"/>
  <c r="B12" i="267"/>
  <c r="F6" i="267" s="1"/>
  <c r="B21" i="266"/>
  <c r="F15" i="266" s="1"/>
  <c r="B20" i="266"/>
  <c r="F14" i="266" s="1"/>
  <c r="B19" i="266"/>
  <c r="F13" i="266" s="1"/>
  <c r="B18" i="266"/>
  <c r="F12" i="266" s="1"/>
  <c r="B17" i="266"/>
  <c r="F11" i="266" s="1"/>
  <c r="B16" i="266"/>
  <c r="F10" i="266" s="1"/>
  <c r="B15" i="266"/>
  <c r="F9" i="266" s="1"/>
  <c r="B14" i="266"/>
  <c r="F8" i="266" s="1"/>
  <c r="B13" i="266"/>
  <c r="F7" i="266" s="1"/>
  <c r="B12" i="266"/>
  <c r="F6" i="266" s="1"/>
  <c r="B21" i="265"/>
  <c r="F15" i="265" s="1"/>
  <c r="B20" i="265"/>
  <c r="F14" i="265" s="1"/>
  <c r="B19" i="265"/>
  <c r="F13" i="265" s="1"/>
  <c r="B18" i="265"/>
  <c r="F12" i="265" s="1"/>
  <c r="B17" i="265"/>
  <c r="F11" i="265" s="1"/>
  <c r="B16" i="265"/>
  <c r="F10" i="265" s="1"/>
  <c r="B15" i="265"/>
  <c r="F9" i="265" s="1"/>
  <c r="B14" i="265"/>
  <c r="F8" i="265" s="1"/>
  <c r="B13" i="265"/>
  <c r="F7" i="265" s="1"/>
  <c r="B12" i="265"/>
  <c r="F6" i="265" s="1"/>
  <c r="B21" i="264"/>
  <c r="F15" i="264" s="1"/>
  <c r="B20" i="264"/>
  <c r="F14" i="264" s="1"/>
  <c r="B19" i="264"/>
  <c r="F13" i="264" s="1"/>
  <c r="B18" i="264"/>
  <c r="F12" i="264" s="1"/>
  <c r="B17" i="264"/>
  <c r="F11" i="264" s="1"/>
  <c r="B16" i="264"/>
  <c r="F10" i="264" s="1"/>
  <c r="B15" i="264"/>
  <c r="F9" i="264" s="1"/>
  <c r="B14" i="264"/>
  <c r="F8" i="264" s="1"/>
  <c r="B13" i="264"/>
  <c r="F7" i="264" s="1"/>
  <c r="B12" i="264"/>
  <c r="F6" i="264" s="1"/>
  <c r="B21" i="263"/>
  <c r="F15" i="263" s="1"/>
  <c r="B20" i="263"/>
  <c r="F14" i="263" s="1"/>
  <c r="B19" i="263"/>
  <c r="F13" i="263" s="1"/>
  <c r="B18" i="263"/>
  <c r="F12" i="263" s="1"/>
  <c r="B17" i="263"/>
  <c r="F11" i="263" s="1"/>
  <c r="B16" i="263"/>
  <c r="F10" i="263" s="1"/>
  <c r="B15" i="263"/>
  <c r="F9" i="263" s="1"/>
  <c r="B14" i="263"/>
  <c r="F8" i="263" s="1"/>
  <c r="B13" i="263"/>
  <c r="F7" i="263" s="1"/>
  <c r="B12" i="263"/>
  <c r="F6" i="263" s="1"/>
  <c r="B21" i="262"/>
  <c r="F15" i="262" s="1"/>
  <c r="B20" i="262"/>
  <c r="F14" i="262" s="1"/>
  <c r="B19" i="262"/>
  <c r="F13" i="262" s="1"/>
  <c r="B18" i="262"/>
  <c r="F12" i="262" s="1"/>
  <c r="B17" i="262"/>
  <c r="F11" i="262" s="1"/>
  <c r="B16" i="262"/>
  <c r="F10" i="262" s="1"/>
  <c r="B15" i="262"/>
  <c r="F9" i="262" s="1"/>
  <c r="B14" i="262"/>
  <c r="F8" i="262" s="1"/>
  <c r="B13" i="262"/>
  <c r="F7" i="262" s="1"/>
  <c r="B12" i="262"/>
  <c r="F6" i="262" s="1"/>
  <c r="B21" i="261"/>
  <c r="F15" i="261" s="1"/>
  <c r="B20" i="261"/>
  <c r="F14" i="261" s="1"/>
  <c r="B19" i="261"/>
  <c r="F13" i="261" s="1"/>
  <c r="B18" i="261"/>
  <c r="F12" i="261" s="1"/>
  <c r="B17" i="261"/>
  <c r="F11" i="261" s="1"/>
  <c r="B16" i="261"/>
  <c r="F10" i="261" s="1"/>
  <c r="B15" i="261"/>
  <c r="F9" i="261" s="1"/>
  <c r="B14" i="261"/>
  <c r="F8" i="261" s="1"/>
  <c r="B13" i="261"/>
  <c r="F7" i="261" s="1"/>
  <c r="B12" i="261"/>
  <c r="F6" i="261" s="1"/>
  <c r="B21" i="260"/>
  <c r="F15" i="260" s="1"/>
  <c r="B20" i="260"/>
  <c r="F14" i="260" s="1"/>
  <c r="B19" i="260"/>
  <c r="F13" i="260" s="1"/>
  <c r="B18" i="260"/>
  <c r="F12" i="260" s="1"/>
  <c r="B17" i="260"/>
  <c r="F11" i="260" s="1"/>
  <c r="B16" i="260"/>
  <c r="F10" i="260" s="1"/>
  <c r="B15" i="260"/>
  <c r="F9" i="260" s="1"/>
  <c r="B14" i="260"/>
  <c r="F8" i="260" s="1"/>
  <c r="B13" i="260"/>
  <c r="F7" i="260" s="1"/>
  <c r="B12" i="260"/>
  <c r="F6" i="260" s="1"/>
  <c r="B21" i="259"/>
  <c r="F15" i="259" s="1"/>
  <c r="B20" i="259"/>
  <c r="F14" i="259" s="1"/>
  <c r="B19" i="259"/>
  <c r="F13" i="259" s="1"/>
  <c r="B18" i="259"/>
  <c r="F12" i="259" s="1"/>
  <c r="B17" i="259"/>
  <c r="F11" i="259" s="1"/>
  <c r="B16" i="259"/>
  <c r="F10" i="259" s="1"/>
  <c r="B15" i="259"/>
  <c r="F9" i="259" s="1"/>
  <c r="B14" i="259"/>
  <c r="F8" i="259" s="1"/>
  <c r="B13" i="259"/>
  <c r="F7" i="259" s="1"/>
  <c r="B12" i="259"/>
  <c r="F6" i="259" s="1"/>
  <c r="B21" i="258"/>
  <c r="F15" i="258" s="1"/>
  <c r="B20" i="258"/>
  <c r="F14" i="258" s="1"/>
  <c r="B19" i="258"/>
  <c r="F13" i="258" s="1"/>
  <c r="B18" i="258"/>
  <c r="F12" i="258" s="1"/>
  <c r="B17" i="258"/>
  <c r="F11" i="258" s="1"/>
  <c r="B16" i="258"/>
  <c r="F10" i="258" s="1"/>
  <c r="B15" i="258"/>
  <c r="F9" i="258" s="1"/>
  <c r="B14" i="258"/>
  <c r="F8" i="258" s="1"/>
  <c r="B13" i="258"/>
  <c r="F7" i="258" s="1"/>
  <c r="B12" i="258"/>
  <c r="F6" i="258" s="1"/>
  <c r="B21" i="257"/>
  <c r="F15" i="257" s="1"/>
  <c r="B20" i="257"/>
  <c r="F14" i="257" s="1"/>
  <c r="B19" i="257"/>
  <c r="F13" i="257" s="1"/>
  <c r="B18" i="257"/>
  <c r="F12" i="257" s="1"/>
  <c r="B17" i="257"/>
  <c r="F11" i="257" s="1"/>
  <c r="B16" i="257"/>
  <c r="F10" i="257" s="1"/>
  <c r="B15" i="257"/>
  <c r="F9" i="257" s="1"/>
  <c r="B14" i="257"/>
  <c r="F8" i="257" s="1"/>
  <c r="B13" i="257"/>
  <c r="F7" i="257" s="1"/>
  <c r="B12" i="257"/>
  <c r="F6" i="257" s="1"/>
  <c r="B21" i="256"/>
  <c r="F15" i="256" s="1"/>
  <c r="B20" i="256"/>
  <c r="F14" i="256" s="1"/>
  <c r="B19" i="256"/>
  <c r="F13" i="256" s="1"/>
  <c r="B18" i="256"/>
  <c r="F12" i="256" s="1"/>
  <c r="B17" i="256"/>
  <c r="F11" i="256" s="1"/>
  <c r="B16" i="256"/>
  <c r="F10" i="256" s="1"/>
  <c r="B15" i="256"/>
  <c r="F9" i="256" s="1"/>
  <c r="B14" i="256"/>
  <c r="F8" i="256" s="1"/>
  <c r="B13" i="256"/>
  <c r="F7" i="256" s="1"/>
  <c r="B12" i="256"/>
  <c r="F6" i="256" s="1"/>
  <c r="B21" i="255"/>
  <c r="F15" i="255" s="1"/>
  <c r="B20" i="255"/>
  <c r="F14" i="255" s="1"/>
  <c r="B19" i="255"/>
  <c r="F13" i="255" s="1"/>
  <c r="B18" i="255"/>
  <c r="F12" i="255" s="1"/>
  <c r="B17" i="255"/>
  <c r="F11" i="255" s="1"/>
  <c r="B16" i="255"/>
  <c r="F10" i="255" s="1"/>
  <c r="B15" i="255"/>
  <c r="F9" i="255" s="1"/>
  <c r="B14" i="255"/>
  <c r="F8" i="255" s="1"/>
  <c r="B13" i="255"/>
  <c r="F7" i="255" s="1"/>
  <c r="B12" i="255"/>
  <c r="F6" i="255" s="1"/>
  <c r="B21" i="254"/>
  <c r="F15" i="254" s="1"/>
  <c r="B20" i="254"/>
  <c r="F14" i="254" s="1"/>
  <c r="B19" i="254"/>
  <c r="F13" i="254" s="1"/>
  <c r="B18" i="254"/>
  <c r="F12" i="254" s="1"/>
  <c r="B17" i="254"/>
  <c r="F11" i="254" s="1"/>
  <c r="B16" i="254"/>
  <c r="F10" i="254" s="1"/>
  <c r="B15" i="254"/>
  <c r="F9" i="254" s="1"/>
  <c r="B14" i="254"/>
  <c r="F8" i="254" s="1"/>
  <c r="B13" i="254"/>
  <c r="F7" i="254" s="1"/>
  <c r="B12" i="254"/>
  <c r="F6" i="254" s="1"/>
  <c r="B21" i="253"/>
  <c r="F15" i="253" s="1"/>
  <c r="B20" i="253"/>
  <c r="F14" i="253" s="1"/>
  <c r="B19" i="253"/>
  <c r="F13" i="253" s="1"/>
  <c r="B18" i="253"/>
  <c r="F12" i="253" s="1"/>
  <c r="B17" i="253"/>
  <c r="F11" i="253" s="1"/>
  <c r="B16" i="253"/>
  <c r="F10" i="253" s="1"/>
  <c r="B15" i="253"/>
  <c r="F9" i="253" s="1"/>
  <c r="B14" i="253"/>
  <c r="F8" i="253" s="1"/>
  <c r="B13" i="253"/>
  <c r="F7" i="253" s="1"/>
  <c r="B12" i="253"/>
  <c r="F6" i="253" s="1"/>
  <c r="B21" i="252"/>
  <c r="F15" i="252" s="1"/>
  <c r="B20" i="252"/>
  <c r="F14" i="252" s="1"/>
  <c r="B19" i="252"/>
  <c r="F13" i="252" s="1"/>
  <c r="B18" i="252"/>
  <c r="F12" i="252" s="1"/>
  <c r="B17" i="252"/>
  <c r="F11" i="252" s="1"/>
  <c r="B16" i="252"/>
  <c r="F10" i="252" s="1"/>
  <c r="B15" i="252"/>
  <c r="F9" i="252" s="1"/>
  <c r="B14" i="252"/>
  <c r="F8" i="252" s="1"/>
  <c r="B13" i="252"/>
  <c r="F7" i="252" s="1"/>
  <c r="B12" i="252"/>
  <c r="F6" i="252" s="1"/>
  <c r="B21" i="251"/>
  <c r="F15" i="251" s="1"/>
  <c r="B20" i="251"/>
  <c r="F14" i="251" s="1"/>
  <c r="B19" i="251"/>
  <c r="F13" i="251" s="1"/>
  <c r="B18" i="251"/>
  <c r="F12" i="251" s="1"/>
  <c r="B17" i="251"/>
  <c r="F11" i="251" s="1"/>
  <c r="B16" i="251"/>
  <c r="F10" i="251" s="1"/>
  <c r="B15" i="251"/>
  <c r="F9" i="251" s="1"/>
  <c r="B14" i="251"/>
  <c r="F8" i="251" s="1"/>
  <c r="B13" i="251"/>
  <c r="F7" i="251" s="1"/>
  <c r="B12" i="251"/>
  <c r="F6" i="251" s="1"/>
  <c r="B21" i="250"/>
  <c r="F15" i="250" s="1"/>
  <c r="B20" i="250"/>
  <c r="F14" i="250" s="1"/>
  <c r="B19" i="250"/>
  <c r="F13" i="250" s="1"/>
  <c r="B18" i="250"/>
  <c r="F12" i="250" s="1"/>
  <c r="B17" i="250"/>
  <c r="F11" i="250" s="1"/>
  <c r="B16" i="250"/>
  <c r="F10" i="250" s="1"/>
  <c r="B15" i="250"/>
  <c r="F9" i="250" s="1"/>
  <c r="B14" i="250"/>
  <c r="F8" i="250" s="1"/>
  <c r="B13" i="250"/>
  <c r="F7" i="250" s="1"/>
  <c r="B12" i="250"/>
  <c r="F6" i="250" s="1"/>
  <c r="B21" i="249"/>
  <c r="F15" i="249" s="1"/>
  <c r="B20" i="249"/>
  <c r="F14" i="249" s="1"/>
  <c r="B19" i="249"/>
  <c r="F13" i="249" s="1"/>
  <c r="B18" i="249"/>
  <c r="F12" i="249" s="1"/>
  <c r="B17" i="249"/>
  <c r="F11" i="249" s="1"/>
  <c r="B16" i="249"/>
  <c r="F10" i="249" s="1"/>
  <c r="B15" i="249"/>
  <c r="F9" i="249" s="1"/>
  <c r="B14" i="249"/>
  <c r="F8" i="249" s="1"/>
  <c r="B13" i="249"/>
  <c r="F7" i="249" s="1"/>
  <c r="B12" i="249"/>
  <c r="F6" i="249" s="1"/>
  <c r="B21" i="248"/>
  <c r="F15" i="248" s="1"/>
  <c r="B20" i="248"/>
  <c r="F14" i="248" s="1"/>
  <c r="B19" i="248"/>
  <c r="F13" i="248" s="1"/>
  <c r="B18" i="248"/>
  <c r="F12" i="248" s="1"/>
  <c r="B17" i="248"/>
  <c r="F11" i="248" s="1"/>
  <c r="B16" i="248"/>
  <c r="F10" i="248" s="1"/>
  <c r="B15" i="248"/>
  <c r="F9" i="248" s="1"/>
  <c r="B14" i="248"/>
  <c r="F8" i="248" s="1"/>
  <c r="B13" i="248"/>
  <c r="F7" i="248" s="1"/>
  <c r="B12" i="248"/>
  <c r="F6" i="248" s="1"/>
  <c r="B21" i="247"/>
  <c r="F15" i="247" s="1"/>
  <c r="B20" i="247"/>
  <c r="F14" i="247" s="1"/>
  <c r="B19" i="247"/>
  <c r="F13" i="247" s="1"/>
  <c r="B18" i="247"/>
  <c r="F12" i="247" s="1"/>
  <c r="B17" i="247"/>
  <c r="F11" i="247" s="1"/>
  <c r="B16" i="247"/>
  <c r="F10" i="247" s="1"/>
  <c r="B15" i="247"/>
  <c r="F9" i="247" s="1"/>
  <c r="B14" i="247"/>
  <c r="F8" i="247" s="1"/>
  <c r="B13" i="247"/>
  <c r="F7" i="247" s="1"/>
  <c r="B12" i="247"/>
  <c r="F6" i="247" s="1"/>
  <c r="B21" i="246"/>
  <c r="F15" i="246" s="1"/>
  <c r="B20" i="246"/>
  <c r="F14" i="246" s="1"/>
  <c r="B19" i="246"/>
  <c r="F13" i="246" s="1"/>
  <c r="B18" i="246"/>
  <c r="F12" i="246" s="1"/>
  <c r="B17" i="246"/>
  <c r="F11" i="246" s="1"/>
  <c r="B16" i="246"/>
  <c r="F10" i="246" s="1"/>
  <c r="B15" i="246"/>
  <c r="F9" i="246" s="1"/>
  <c r="B14" i="246"/>
  <c r="F8" i="246" s="1"/>
  <c r="B13" i="246"/>
  <c r="F7" i="246" s="1"/>
  <c r="B12" i="246"/>
  <c r="F6" i="246" s="1"/>
  <c r="B21" i="245"/>
  <c r="F15" i="245" s="1"/>
  <c r="B20" i="245"/>
  <c r="F14" i="245" s="1"/>
  <c r="B19" i="245"/>
  <c r="F13" i="245" s="1"/>
  <c r="B18" i="245"/>
  <c r="F12" i="245" s="1"/>
  <c r="B17" i="245"/>
  <c r="F11" i="245" s="1"/>
  <c r="B16" i="245"/>
  <c r="F10" i="245" s="1"/>
  <c r="B15" i="245"/>
  <c r="F9" i="245" s="1"/>
  <c r="B14" i="245"/>
  <c r="F8" i="245" s="1"/>
  <c r="B13" i="245"/>
  <c r="F7" i="245" s="1"/>
  <c r="B12" i="245"/>
  <c r="F6" i="245" s="1"/>
  <c r="E39" i="131"/>
  <c r="E38" i="131"/>
  <c r="E37" i="131"/>
  <c r="E26" i="131"/>
  <c r="E25" i="131"/>
  <c r="E24" i="131"/>
  <c r="B20" i="131"/>
  <c r="I14" i="131" s="1"/>
  <c r="B19" i="131"/>
  <c r="I13" i="131" s="1"/>
  <c r="B18" i="131"/>
  <c r="I12" i="131" s="1"/>
  <c r="B17" i="131"/>
  <c r="I11" i="131" s="1"/>
  <c r="B16" i="131"/>
  <c r="I10" i="131" s="1"/>
  <c r="B15" i="131"/>
  <c r="I9" i="131" s="1"/>
  <c r="B14" i="131"/>
  <c r="I8" i="131" s="1"/>
  <c r="E13" i="131"/>
  <c r="B13" i="131"/>
  <c r="I7" i="131" s="1"/>
  <c r="E12" i="131"/>
  <c r="B12" i="131"/>
  <c r="I6" i="131" s="1"/>
  <c r="E11" i="131"/>
  <c r="B21" i="130"/>
  <c r="F15" i="130" s="1"/>
  <c r="B20" i="130"/>
  <c r="F14" i="130" s="1"/>
  <c r="B19" i="130"/>
  <c r="F13" i="130" s="1"/>
  <c r="B18" i="130"/>
  <c r="F12" i="130" s="1"/>
  <c r="B17" i="130"/>
  <c r="F11" i="130" s="1"/>
  <c r="B16" i="130"/>
  <c r="F10" i="130" s="1"/>
  <c r="B15" i="130"/>
  <c r="F9" i="130" s="1"/>
  <c r="B14" i="130"/>
  <c r="F8" i="130" s="1"/>
  <c r="B13" i="130"/>
  <c r="F7" i="130" s="1"/>
  <c r="B12" i="130"/>
  <c r="F6" i="130" s="1"/>
  <c r="B21" i="129"/>
  <c r="F15" i="129" s="1"/>
  <c r="B20" i="129"/>
  <c r="F14" i="129" s="1"/>
  <c r="B19" i="129"/>
  <c r="F13" i="129" s="1"/>
  <c r="B18" i="129"/>
  <c r="F12" i="129" s="1"/>
  <c r="B17" i="129"/>
  <c r="F11" i="129" s="1"/>
  <c r="B16" i="129"/>
  <c r="F10" i="129" s="1"/>
  <c r="B15" i="129"/>
  <c r="F9" i="129" s="1"/>
  <c r="B14" i="129"/>
  <c r="F8" i="129" s="1"/>
  <c r="B13" i="129"/>
  <c r="F7" i="129" s="1"/>
  <c r="B12" i="129"/>
  <c r="F6" i="129" s="1"/>
  <c r="B21" i="128"/>
  <c r="F15" i="128" s="1"/>
  <c r="B20" i="128"/>
  <c r="F14" i="128" s="1"/>
  <c r="B19" i="128"/>
  <c r="F13" i="128" s="1"/>
  <c r="B18" i="128"/>
  <c r="F12" i="128" s="1"/>
  <c r="B17" i="128"/>
  <c r="F11" i="128" s="1"/>
  <c r="B16" i="128"/>
  <c r="F10" i="128" s="1"/>
  <c r="B15" i="128"/>
  <c r="F9" i="128" s="1"/>
  <c r="B14" i="128"/>
  <c r="F8" i="128" s="1"/>
  <c r="B13" i="128"/>
  <c r="F7" i="128" s="1"/>
  <c r="B12" i="128"/>
  <c r="F6" i="128" s="1"/>
  <c r="B21" i="127"/>
  <c r="F15" i="127" s="1"/>
  <c r="B20" i="127"/>
  <c r="F14" i="127" s="1"/>
  <c r="B19" i="127"/>
  <c r="F13" i="127" s="1"/>
  <c r="B18" i="127"/>
  <c r="F12" i="127" s="1"/>
  <c r="B17" i="127"/>
  <c r="F11" i="127" s="1"/>
  <c r="B16" i="127"/>
  <c r="F10" i="127" s="1"/>
  <c r="B15" i="127"/>
  <c r="F9" i="127" s="1"/>
  <c r="B14" i="127"/>
  <c r="F8" i="127" s="1"/>
  <c r="B13" i="127"/>
  <c r="F7" i="127" s="1"/>
  <c r="B12" i="127"/>
  <c r="F6" i="127" s="1"/>
  <c r="E39" i="126"/>
  <c r="E38" i="126"/>
  <c r="E37" i="126"/>
  <c r="E26" i="126"/>
  <c r="E25" i="126"/>
  <c r="E24" i="126"/>
  <c r="B20" i="126"/>
  <c r="I14" i="126" s="1"/>
  <c r="B19" i="126"/>
  <c r="I13" i="126" s="1"/>
  <c r="B18" i="126"/>
  <c r="I12" i="126" s="1"/>
  <c r="B17" i="126"/>
  <c r="I11" i="126" s="1"/>
  <c r="B16" i="126"/>
  <c r="I10" i="126" s="1"/>
  <c r="B15" i="126"/>
  <c r="I9" i="126" s="1"/>
  <c r="B14" i="126"/>
  <c r="I8" i="126" s="1"/>
  <c r="E13" i="126"/>
  <c r="B13" i="126"/>
  <c r="I7" i="126" s="1"/>
  <c r="E12" i="126"/>
  <c r="B12" i="126"/>
  <c r="I6" i="126" s="1"/>
  <c r="E11" i="126"/>
  <c r="E39" i="125"/>
  <c r="E38" i="125"/>
  <c r="E37" i="125"/>
  <c r="E26" i="125"/>
  <c r="E25" i="125"/>
  <c r="E24" i="125"/>
  <c r="B20" i="125"/>
  <c r="I14" i="125" s="1"/>
  <c r="B19" i="125"/>
  <c r="I13" i="125" s="1"/>
  <c r="B18" i="125"/>
  <c r="I12" i="125" s="1"/>
  <c r="B17" i="125"/>
  <c r="I11" i="125" s="1"/>
  <c r="B16" i="125"/>
  <c r="I10" i="125" s="1"/>
  <c r="B15" i="125"/>
  <c r="I9" i="125" s="1"/>
  <c r="B14" i="125"/>
  <c r="I8" i="125" s="1"/>
  <c r="E13" i="125"/>
  <c r="B13" i="125"/>
  <c r="I7" i="125" s="1"/>
  <c r="E12" i="125"/>
  <c r="B12" i="125"/>
  <c r="I6" i="125" s="1"/>
  <c r="E11" i="125"/>
  <c r="B21" i="123"/>
  <c r="F15" i="123" s="1"/>
  <c r="B20" i="123"/>
  <c r="F14" i="123" s="1"/>
  <c r="B19" i="123"/>
  <c r="F13" i="123" s="1"/>
  <c r="B18" i="123"/>
  <c r="F12" i="123" s="1"/>
  <c r="B17" i="123"/>
  <c r="F11" i="123" s="1"/>
  <c r="B16" i="123"/>
  <c r="F10" i="123" s="1"/>
  <c r="B15" i="123"/>
  <c r="F9" i="123" s="1"/>
  <c r="B14" i="123"/>
  <c r="F8" i="123" s="1"/>
  <c r="B13" i="123"/>
  <c r="F7" i="123" s="1"/>
  <c r="B12" i="123"/>
  <c r="F6" i="123" s="1"/>
  <c r="B21" i="122"/>
  <c r="F15" i="122" s="1"/>
  <c r="B20" i="122"/>
  <c r="F14" i="122" s="1"/>
  <c r="B19" i="122"/>
  <c r="F13" i="122" s="1"/>
  <c r="B18" i="122"/>
  <c r="F12" i="122" s="1"/>
  <c r="B17" i="122"/>
  <c r="F11" i="122" s="1"/>
  <c r="B16" i="122"/>
  <c r="F10" i="122" s="1"/>
  <c r="B15" i="122"/>
  <c r="F9" i="122" s="1"/>
  <c r="B14" i="122"/>
  <c r="F8" i="122" s="1"/>
  <c r="B13" i="122"/>
  <c r="F7" i="122" s="1"/>
  <c r="B12" i="122"/>
  <c r="F6" i="122" s="1"/>
  <c r="B21" i="121"/>
  <c r="F15" i="121" s="1"/>
  <c r="B20" i="121"/>
  <c r="F14" i="121" s="1"/>
  <c r="B19" i="121"/>
  <c r="F13" i="121" s="1"/>
  <c r="B18" i="121"/>
  <c r="F12" i="121" s="1"/>
  <c r="B17" i="121"/>
  <c r="F11" i="121" s="1"/>
  <c r="B16" i="121"/>
  <c r="F10" i="121" s="1"/>
  <c r="B15" i="121"/>
  <c r="F9" i="121" s="1"/>
  <c r="B14" i="121"/>
  <c r="F8" i="121" s="1"/>
  <c r="B13" i="121"/>
  <c r="F7" i="121" s="1"/>
  <c r="B12" i="121"/>
  <c r="F6" i="121" s="1"/>
  <c r="B21" i="120"/>
  <c r="F15" i="120" s="1"/>
  <c r="B20" i="120"/>
  <c r="F14" i="120" s="1"/>
  <c r="B19" i="120"/>
  <c r="F13" i="120" s="1"/>
  <c r="B18" i="120"/>
  <c r="F12" i="120" s="1"/>
  <c r="B17" i="120"/>
  <c r="F11" i="120" s="1"/>
  <c r="B16" i="120"/>
  <c r="F10" i="120" s="1"/>
  <c r="B15" i="120"/>
  <c r="F9" i="120" s="1"/>
  <c r="B14" i="120"/>
  <c r="F8" i="120" s="1"/>
  <c r="B13" i="120"/>
  <c r="F7" i="120" s="1"/>
  <c r="B12" i="120"/>
  <c r="F6" i="120" s="1"/>
  <c r="E39" i="119"/>
  <c r="E38" i="119"/>
  <c r="E37" i="119"/>
  <c r="X25" i="3"/>
  <c r="W25" i="3"/>
  <c r="E26" i="119"/>
  <c r="E25" i="119"/>
  <c r="E24" i="119"/>
  <c r="B20" i="119"/>
  <c r="I14" i="119" s="1"/>
  <c r="B19" i="119"/>
  <c r="I13" i="119" s="1"/>
  <c r="B18" i="119"/>
  <c r="I12" i="119" s="1"/>
  <c r="B17" i="119"/>
  <c r="I11" i="119" s="1"/>
  <c r="B16" i="119"/>
  <c r="I10" i="119" s="1"/>
  <c r="B15" i="119"/>
  <c r="I9" i="119" s="1"/>
  <c r="B14" i="119"/>
  <c r="I8" i="119" s="1"/>
  <c r="E13" i="119"/>
  <c r="B13" i="119"/>
  <c r="I7" i="119" s="1"/>
  <c r="E12" i="119"/>
  <c r="B12" i="119"/>
  <c r="I6" i="119" s="1"/>
  <c r="E11" i="119"/>
  <c r="B21" i="118"/>
  <c r="F15" i="118" s="1"/>
  <c r="B20" i="118"/>
  <c r="F14" i="118" s="1"/>
  <c r="B19" i="118"/>
  <c r="F13" i="118" s="1"/>
  <c r="B18" i="118"/>
  <c r="F12" i="118" s="1"/>
  <c r="B17" i="118"/>
  <c r="F11" i="118" s="1"/>
  <c r="B16" i="118"/>
  <c r="F10" i="118" s="1"/>
  <c r="B15" i="118"/>
  <c r="F9" i="118" s="1"/>
  <c r="B14" i="118"/>
  <c r="F8" i="118" s="1"/>
  <c r="B13" i="118"/>
  <c r="F7" i="118" s="1"/>
  <c r="B12" i="118"/>
  <c r="F6" i="118" s="1"/>
  <c r="B21" i="117"/>
  <c r="F15" i="117" s="1"/>
  <c r="B20" i="117"/>
  <c r="F14" i="117" s="1"/>
  <c r="B19" i="117"/>
  <c r="F13" i="117" s="1"/>
  <c r="B18" i="117"/>
  <c r="F12" i="117" s="1"/>
  <c r="B17" i="117"/>
  <c r="F11" i="117" s="1"/>
  <c r="B16" i="117"/>
  <c r="F10" i="117" s="1"/>
  <c r="B15" i="117"/>
  <c r="F9" i="117" s="1"/>
  <c r="B14" i="117"/>
  <c r="F8" i="117" s="1"/>
  <c r="B13" i="117"/>
  <c r="F7" i="117" s="1"/>
  <c r="B12" i="117"/>
  <c r="F6" i="117" s="1"/>
  <c r="B21" i="116"/>
  <c r="F15" i="116" s="1"/>
  <c r="B20" i="116"/>
  <c r="F14" i="116" s="1"/>
  <c r="B19" i="116"/>
  <c r="F13" i="116" s="1"/>
  <c r="B18" i="116"/>
  <c r="F12" i="116" s="1"/>
  <c r="B17" i="116"/>
  <c r="F11" i="116" s="1"/>
  <c r="B16" i="116"/>
  <c r="F10" i="116" s="1"/>
  <c r="B15" i="116"/>
  <c r="F9" i="116" s="1"/>
  <c r="B14" i="116"/>
  <c r="F8" i="116" s="1"/>
  <c r="B13" i="116"/>
  <c r="F7" i="116" s="1"/>
  <c r="B12" i="116"/>
  <c r="F6" i="116" s="1"/>
  <c r="B21" i="115"/>
  <c r="F15" i="115" s="1"/>
  <c r="B20" i="115"/>
  <c r="F14" i="115" s="1"/>
  <c r="B19" i="115"/>
  <c r="F13" i="115" s="1"/>
  <c r="B18" i="115"/>
  <c r="F12" i="115" s="1"/>
  <c r="B17" i="115"/>
  <c r="F11" i="115" s="1"/>
  <c r="B16" i="115"/>
  <c r="F10" i="115" s="1"/>
  <c r="B15" i="115"/>
  <c r="F9" i="115" s="1"/>
  <c r="B14" i="115"/>
  <c r="F8" i="115" s="1"/>
  <c r="B13" i="115"/>
  <c r="F7" i="115" s="1"/>
  <c r="B12" i="115"/>
  <c r="F6" i="115" s="1"/>
  <c r="E39" i="114"/>
  <c r="E38" i="114"/>
  <c r="E37" i="114"/>
  <c r="E26" i="114"/>
  <c r="E25" i="114"/>
  <c r="E24" i="114"/>
  <c r="B20" i="114"/>
  <c r="I14" i="114" s="1"/>
  <c r="B19" i="114"/>
  <c r="I13" i="114" s="1"/>
  <c r="B18" i="114"/>
  <c r="I12" i="114" s="1"/>
  <c r="B17" i="114"/>
  <c r="I11" i="114" s="1"/>
  <c r="B16" i="114"/>
  <c r="I10" i="114" s="1"/>
  <c r="B15" i="114"/>
  <c r="I9" i="114" s="1"/>
  <c r="B14" i="114"/>
  <c r="I8" i="114" s="1"/>
  <c r="E13" i="114"/>
  <c r="B13" i="114"/>
  <c r="I7" i="114" s="1"/>
  <c r="E12" i="114"/>
  <c r="B12" i="114"/>
  <c r="I6" i="114" s="1"/>
  <c r="E11" i="114"/>
  <c r="B21" i="113"/>
  <c r="F15" i="113" s="1"/>
  <c r="B20" i="113"/>
  <c r="F14" i="113" s="1"/>
  <c r="B19" i="113"/>
  <c r="F13" i="113" s="1"/>
  <c r="B18" i="113"/>
  <c r="F12" i="113" s="1"/>
  <c r="B17" i="113"/>
  <c r="F11" i="113" s="1"/>
  <c r="B16" i="113"/>
  <c r="F10" i="113" s="1"/>
  <c r="B15" i="113"/>
  <c r="F9" i="113" s="1"/>
  <c r="B14" i="113"/>
  <c r="F8" i="113" s="1"/>
  <c r="B13" i="113"/>
  <c r="F7" i="113" s="1"/>
  <c r="B12" i="113"/>
  <c r="F6" i="113" s="1"/>
  <c r="E39" i="112"/>
  <c r="E38" i="112"/>
  <c r="E37" i="112"/>
  <c r="E26" i="112"/>
  <c r="E25" i="112"/>
  <c r="E24" i="112"/>
  <c r="B20" i="112"/>
  <c r="I14" i="112" s="1"/>
  <c r="B19" i="112"/>
  <c r="I13" i="112" s="1"/>
  <c r="B18" i="112"/>
  <c r="I12" i="112" s="1"/>
  <c r="B17" i="112"/>
  <c r="I11" i="112" s="1"/>
  <c r="B16" i="112"/>
  <c r="I10" i="112" s="1"/>
  <c r="B15" i="112"/>
  <c r="I9" i="112" s="1"/>
  <c r="B14" i="112"/>
  <c r="I8" i="112" s="1"/>
  <c r="E13" i="112"/>
  <c r="B13" i="112"/>
  <c r="I7" i="112" s="1"/>
  <c r="E12" i="112"/>
  <c r="B12" i="112"/>
  <c r="I6" i="112" s="1"/>
  <c r="E11" i="112"/>
  <c r="E39" i="111"/>
  <c r="E38" i="111"/>
  <c r="E37" i="111"/>
  <c r="E26" i="111"/>
  <c r="E25" i="111"/>
  <c r="E24" i="111"/>
  <c r="B20" i="111"/>
  <c r="I14" i="111" s="1"/>
  <c r="B19" i="111"/>
  <c r="I13" i="111" s="1"/>
  <c r="B18" i="111"/>
  <c r="I12" i="111" s="1"/>
  <c r="B17" i="111"/>
  <c r="I11" i="111" s="1"/>
  <c r="B16" i="111"/>
  <c r="I10" i="111" s="1"/>
  <c r="B15" i="111"/>
  <c r="I9" i="111" s="1"/>
  <c r="B14" i="111"/>
  <c r="I8" i="111" s="1"/>
  <c r="E13" i="111"/>
  <c r="B13" i="111"/>
  <c r="I7" i="111" s="1"/>
  <c r="E12" i="111"/>
  <c r="B12" i="111"/>
  <c r="I6" i="111" s="1"/>
  <c r="E11" i="111"/>
  <c r="B21" i="110"/>
  <c r="F15" i="110" s="1"/>
  <c r="B20" i="110"/>
  <c r="F14" i="110" s="1"/>
  <c r="B19" i="110"/>
  <c r="F13" i="110" s="1"/>
  <c r="B18" i="110"/>
  <c r="F12" i="110" s="1"/>
  <c r="B17" i="110"/>
  <c r="F11" i="110" s="1"/>
  <c r="B16" i="110"/>
  <c r="F10" i="110" s="1"/>
  <c r="B15" i="110"/>
  <c r="F9" i="110" s="1"/>
  <c r="B14" i="110"/>
  <c r="F8" i="110" s="1"/>
  <c r="B13" i="110"/>
  <c r="F7" i="110" s="1"/>
  <c r="B12" i="110"/>
  <c r="F6" i="110" s="1"/>
  <c r="B21" i="109"/>
  <c r="F15" i="109" s="1"/>
  <c r="B20" i="109"/>
  <c r="F14" i="109" s="1"/>
  <c r="B19" i="109"/>
  <c r="F13" i="109" s="1"/>
  <c r="B18" i="109"/>
  <c r="F12" i="109" s="1"/>
  <c r="B17" i="109"/>
  <c r="F11" i="109" s="1"/>
  <c r="B16" i="109"/>
  <c r="F10" i="109" s="1"/>
  <c r="B15" i="109"/>
  <c r="F9" i="109" s="1"/>
  <c r="B14" i="109"/>
  <c r="F8" i="109" s="1"/>
  <c r="B13" i="109"/>
  <c r="F7" i="109" s="1"/>
  <c r="B12" i="109"/>
  <c r="F6" i="109" s="1"/>
  <c r="B21" i="108"/>
  <c r="F15" i="108" s="1"/>
  <c r="B20" i="108"/>
  <c r="F14" i="108" s="1"/>
  <c r="B19" i="108"/>
  <c r="F13" i="108" s="1"/>
  <c r="B18" i="108"/>
  <c r="F12" i="108" s="1"/>
  <c r="B17" i="108"/>
  <c r="F11" i="108" s="1"/>
  <c r="B16" i="108"/>
  <c r="F10" i="108" s="1"/>
  <c r="B15" i="108"/>
  <c r="F9" i="108" s="1"/>
  <c r="B14" i="108"/>
  <c r="F8" i="108" s="1"/>
  <c r="B13" i="108"/>
  <c r="F7" i="108" s="1"/>
  <c r="B12" i="108"/>
  <c r="F6" i="108" s="1"/>
  <c r="B21" i="107"/>
  <c r="F15" i="107" s="1"/>
  <c r="B20" i="107"/>
  <c r="F14" i="107" s="1"/>
  <c r="B19" i="107"/>
  <c r="F13" i="107" s="1"/>
  <c r="B18" i="107"/>
  <c r="F12" i="107" s="1"/>
  <c r="B17" i="107"/>
  <c r="F11" i="107" s="1"/>
  <c r="B16" i="107"/>
  <c r="F10" i="107" s="1"/>
  <c r="B15" i="107"/>
  <c r="F9" i="107" s="1"/>
  <c r="B14" i="107"/>
  <c r="F8" i="107" s="1"/>
  <c r="B13" i="107"/>
  <c r="F7" i="107" s="1"/>
  <c r="B12" i="107"/>
  <c r="F6" i="107" s="1"/>
  <c r="E39" i="106"/>
  <c r="E38" i="106"/>
  <c r="E37" i="106"/>
  <c r="E26" i="106"/>
  <c r="E25" i="106"/>
  <c r="E24" i="106"/>
  <c r="B20" i="106"/>
  <c r="I14" i="106" s="1"/>
  <c r="B19" i="106"/>
  <c r="I13" i="106" s="1"/>
  <c r="B18" i="106"/>
  <c r="I12" i="106" s="1"/>
  <c r="B17" i="106"/>
  <c r="I11" i="106" s="1"/>
  <c r="B16" i="106"/>
  <c r="I10" i="106" s="1"/>
  <c r="B15" i="106"/>
  <c r="I9" i="106" s="1"/>
  <c r="B14" i="106"/>
  <c r="I8" i="106" s="1"/>
  <c r="E13" i="106"/>
  <c r="B13" i="106"/>
  <c r="I7" i="106" s="1"/>
  <c r="E12" i="106"/>
  <c r="B12" i="106"/>
  <c r="I6" i="106" s="1"/>
  <c r="E11" i="106"/>
  <c r="E39" i="105"/>
  <c r="E38" i="105"/>
  <c r="E37" i="105"/>
  <c r="E26" i="105"/>
  <c r="E25" i="105"/>
  <c r="E24" i="105"/>
  <c r="B20" i="105"/>
  <c r="I14" i="105" s="1"/>
  <c r="B19" i="105"/>
  <c r="I13" i="105" s="1"/>
  <c r="B18" i="105"/>
  <c r="I12" i="105" s="1"/>
  <c r="B17" i="105"/>
  <c r="I11" i="105" s="1"/>
  <c r="B16" i="105"/>
  <c r="I10" i="105" s="1"/>
  <c r="B15" i="105"/>
  <c r="I9" i="105" s="1"/>
  <c r="B14" i="105"/>
  <c r="I8" i="105" s="1"/>
  <c r="E13" i="105"/>
  <c r="B13" i="105"/>
  <c r="I7" i="105" s="1"/>
  <c r="E12" i="105"/>
  <c r="B12" i="105"/>
  <c r="I6" i="105" s="1"/>
  <c r="E11" i="105"/>
  <c r="B21" i="104"/>
  <c r="F15" i="104" s="1"/>
  <c r="B20" i="104"/>
  <c r="F14" i="104" s="1"/>
  <c r="B19" i="104"/>
  <c r="F13" i="104" s="1"/>
  <c r="B18" i="104"/>
  <c r="F12" i="104" s="1"/>
  <c r="B17" i="104"/>
  <c r="F11" i="104" s="1"/>
  <c r="B16" i="104"/>
  <c r="F10" i="104" s="1"/>
  <c r="B15" i="104"/>
  <c r="F9" i="104" s="1"/>
  <c r="B14" i="104"/>
  <c r="F8" i="104" s="1"/>
  <c r="B13" i="104"/>
  <c r="F7" i="104" s="1"/>
  <c r="B12" i="104"/>
  <c r="F6" i="104" s="1"/>
  <c r="B21" i="103"/>
  <c r="F15" i="103" s="1"/>
  <c r="B20" i="103"/>
  <c r="F14" i="103" s="1"/>
  <c r="B19" i="103"/>
  <c r="F13" i="103" s="1"/>
  <c r="B18" i="103"/>
  <c r="F12" i="103" s="1"/>
  <c r="B17" i="103"/>
  <c r="F11" i="103" s="1"/>
  <c r="B16" i="103"/>
  <c r="F10" i="103" s="1"/>
  <c r="B15" i="103"/>
  <c r="F9" i="103" s="1"/>
  <c r="B14" i="103"/>
  <c r="F8" i="103" s="1"/>
  <c r="B13" i="103"/>
  <c r="F7" i="103" s="1"/>
  <c r="B12" i="103"/>
  <c r="F6" i="103" s="1"/>
  <c r="B21" i="101"/>
  <c r="F15" i="101" s="1"/>
  <c r="B20" i="101"/>
  <c r="F14" i="101" s="1"/>
  <c r="B19" i="101"/>
  <c r="F13" i="101" s="1"/>
  <c r="B18" i="101"/>
  <c r="F12" i="101" s="1"/>
  <c r="B17" i="101"/>
  <c r="F11" i="101" s="1"/>
  <c r="B16" i="101"/>
  <c r="F10" i="101" s="1"/>
  <c r="B15" i="101"/>
  <c r="F9" i="101" s="1"/>
  <c r="B14" i="101"/>
  <c r="F8" i="101" s="1"/>
  <c r="B13" i="101"/>
  <c r="F7" i="101" s="1"/>
  <c r="B12" i="101"/>
  <c r="F6" i="101" s="1"/>
  <c r="B21" i="100"/>
  <c r="F15" i="100" s="1"/>
  <c r="B20" i="100"/>
  <c r="F14" i="100" s="1"/>
  <c r="B19" i="100"/>
  <c r="F13" i="100" s="1"/>
  <c r="B18" i="100"/>
  <c r="F12" i="100" s="1"/>
  <c r="B17" i="100"/>
  <c r="F11" i="100" s="1"/>
  <c r="B16" i="100"/>
  <c r="F10" i="100" s="1"/>
  <c r="B15" i="100"/>
  <c r="F9" i="100" s="1"/>
  <c r="B14" i="100"/>
  <c r="F8" i="100" s="1"/>
  <c r="B13" i="100"/>
  <c r="F7" i="100" s="1"/>
  <c r="B12" i="100"/>
  <c r="F6" i="100" s="1"/>
  <c r="B21" i="99"/>
  <c r="F15" i="99" s="1"/>
  <c r="B20" i="99"/>
  <c r="F14" i="99" s="1"/>
  <c r="B19" i="99"/>
  <c r="F13" i="99" s="1"/>
  <c r="B18" i="99"/>
  <c r="F12" i="99" s="1"/>
  <c r="B17" i="99"/>
  <c r="F11" i="99" s="1"/>
  <c r="B16" i="99"/>
  <c r="F10" i="99" s="1"/>
  <c r="B15" i="99"/>
  <c r="F9" i="99" s="1"/>
  <c r="B14" i="99"/>
  <c r="F8" i="99" s="1"/>
  <c r="B13" i="99"/>
  <c r="F7" i="99" s="1"/>
  <c r="B12" i="99"/>
  <c r="F6" i="99" s="1"/>
  <c r="E39" i="98"/>
  <c r="E38" i="98"/>
  <c r="E37" i="98"/>
  <c r="E26" i="98"/>
  <c r="E25" i="98"/>
  <c r="E24" i="98"/>
  <c r="B20" i="98"/>
  <c r="I14" i="98" s="1"/>
  <c r="B19" i="98"/>
  <c r="I13" i="98" s="1"/>
  <c r="B18" i="98"/>
  <c r="I12" i="98" s="1"/>
  <c r="B17" i="98"/>
  <c r="I11" i="98" s="1"/>
  <c r="B16" i="98"/>
  <c r="I10" i="98" s="1"/>
  <c r="B15" i="98"/>
  <c r="I9" i="98" s="1"/>
  <c r="B14" i="98"/>
  <c r="I8" i="98" s="1"/>
  <c r="E13" i="98"/>
  <c r="B13" i="98"/>
  <c r="I7" i="98" s="1"/>
  <c r="E12" i="98"/>
  <c r="B12" i="98"/>
  <c r="I6" i="98" s="1"/>
  <c r="E11" i="98"/>
  <c r="B21" i="97"/>
  <c r="F15" i="97" s="1"/>
  <c r="B20" i="97"/>
  <c r="F14" i="97" s="1"/>
  <c r="B19" i="97"/>
  <c r="F13" i="97" s="1"/>
  <c r="B18" i="97"/>
  <c r="F12" i="97" s="1"/>
  <c r="B17" i="97"/>
  <c r="F11" i="97" s="1"/>
  <c r="B16" i="97"/>
  <c r="F10" i="97" s="1"/>
  <c r="B15" i="97"/>
  <c r="F9" i="97" s="1"/>
  <c r="B14" i="97"/>
  <c r="F8" i="97" s="1"/>
  <c r="B13" i="97"/>
  <c r="F7" i="97" s="1"/>
  <c r="B12" i="97"/>
  <c r="F6" i="97" s="1"/>
  <c r="B21" i="96"/>
  <c r="F15" i="96" s="1"/>
  <c r="B20" i="96"/>
  <c r="F14" i="96" s="1"/>
  <c r="B19" i="96"/>
  <c r="F13" i="96" s="1"/>
  <c r="B18" i="96"/>
  <c r="F12" i="96" s="1"/>
  <c r="B17" i="96"/>
  <c r="F11" i="96" s="1"/>
  <c r="B16" i="96"/>
  <c r="F10" i="96" s="1"/>
  <c r="B15" i="96"/>
  <c r="F9" i="96" s="1"/>
  <c r="B14" i="96"/>
  <c r="F8" i="96" s="1"/>
  <c r="B13" i="96"/>
  <c r="F7" i="96" s="1"/>
  <c r="B12" i="96"/>
  <c r="F6" i="96" s="1"/>
  <c r="B21" i="95"/>
  <c r="F15" i="95" s="1"/>
  <c r="B20" i="95"/>
  <c r="F14" i="95" s="1"/>
  <c r="B19" i="95"/>
  <c r="F13" i="95" s="1"/>
  <c r="B18" i="95"/>
  <c r="F12" i="95" s="1"/>
  <c r="B17" i="95"/>
  <c r="F11" i="95" s="1"/>
  <c r="B16" i="95"/>
  <c r="F10" i="95" s="1"/>
  <c r="B15" i="95"/>
  <c r="F9" i="95" s="1"/>
  <c r="B14" i="95"/>
  <c r="F8" i="95" s="1"/>
  <c r="B13" i="95"/>
  <c r="F7" i="95" s="1"/>
  <c r="B12" i="95"/>
  <c r="F6" i="95" s="1"/>
  <c r="B21" i="94"/>
  <c r="F15" i="94" s="1"/>
  <c r="B20" i="94"/>
  <c r="F14" i="94" s="1"/>
  <c r="B19" i="94"/>
  <c r="F13" i="94" s="1"/>
  <c r="B18" i="94"/>
  <c r="F12" i="94" s="1"/>
  <c r="B17" i="94"/>
  <c r="F11" i="94" s="1"/>
  <c r="B16" i="94"/>
  <c r="F10" i="94" s="1"/>
  <c r="B15" i="94"/>
  <c r="F9" i="94" s="1"/>
  <c r="B14" i="94"/>
  <c r="F8" i="94" s="1"/>
  <c r="B13" i="94"/>
  <c r="F7" i="94" s="1"/>
  <c r="B12" i="94"/>
  <c r="F6" i="94" s="1"/>
  <c r="E39" i="93"/>
  <c r="E38" i="93"/>
  <c r="E37" i="93"/>
  <c r="E26" i="93"/>
  <c r="E25" i="93"/>
  <c r="E24" i="93"/>
  <c r="B20" i="93"/>
  <c r="I14" i="93" s="1"/>
  <c r="B19" i="93"/>
  <c r="I13" i="93" s="1"/>
  <c r="B18" i="93"/>
  <c r="I12" i="93" s="1"/>
  <c r="B17" i="93"/>
  <c r="I11" i="93" s="1"/>
  <c r="B16" i="93"/>
  <c r="I10" i="93" s="1"/>
  <c r="B15" i="93"/>
  <c r="I9" i="93" s="1"/>
  <c r="B14" i="93"/>
  <c r="I8" i="93" s="1"/>
  <c r="E13" i="93"/>
  <c r="B13" i="93"/>
  <c r="I7" i="93" s="1"/>
  <c r="E12" i="93"/>
  <c r="B12" i="93"/>
  <c r="I6" i="93" s="1"/>
  <c r="E11" i="93"/>
  <c r="E39" i="92"/>
  <c r="E38" i="92"/>
  <c r="E37" i="92"/>
  <c r="E26" i="92"/>
  <c r="E25" i="92"/>
  <c r="E24" i="92"/>
  <c r="B20" i="92"/>
  <c r="I14" i="92" s="1"/>
  <c r="B19" i="92"/>
  <c r="I13" i="92" s="1"/>
  <c r="B18" i="92"/>
  <c r="I12" i="92" s="1"/>
  <c r="B17" i="92"/>
  <c r="I11" i="92" s="1"/>
  <c r="B16" i="92"/>
  <c r="I10" i="92" s="1"/>
  <c r="B15" i="92"/>
  <c r="I9" i="92" s="1"/>
  <c r="B14" i="92"/>
  <c r="I8" i="92" s="1"/>
  <c r="E13" i="92"/>
  <c r="B13" i="92"/>
  <c r="I7" i="92" s="1"/>
  <c r="E12" i="92"/>
  <c r="B12" i="92"/>
  <c r="I6" i="92" s="1"/>
  <c r="E11" i="92"/>
  <c r="E39" i="91"/>
  <c r="E38" i="91"/>
  <c r="E37" i="91"/>
  <c r="E26" i="91"/>
  <c r="E25" i="91"/>
  <c r="E24" i="91"/>
  <c r="B20" i="91"/>
  <c r="I14" i="91" s="1"/>
  <c r="B19" i="91"/>
  <c r="I13" i="91" s="1"/>
  <c r="B18" i="91"/>
  <c r="I12" i="91" s="1"/>
  <c r="B17" i="91"/>
  <c r="I11" i="91" s="1"/>
  <c r="B16" i="91"/>
  <c r="I10" i="91" s="1"/>
  <c r="B15" i="91"/>
  <c r="I9" i="91" s="1"/>
  <c r="B14" i="91"/>
  <c r="I8" i="91" s="1"/>
  <c r="E13" i="91"/>
  <c r="B13" i="91"/>
  <c r="I7" i="91" s="1"/>
  <c r="E12" i="91"/>
  <c r="B12" i="91"/>
  <c r="I6" i="91" s="1"/>
  <c r="E11" i="91"/>
  <c r="E39" i="90"/>
  <c r="E38" i="90"/>
  <c r="E37" i="90"/>
  <c r="E26" i="90"/>
  <c r="E25" i="90"/>
  <c r="E24" i="90"/>
  <c r="B20" i="90"/>
  <c r="I14" i="90" s="1"/>
  <c r="B19" i="90"/>
  <c r="I13" i="90" s="1"/>
  <c r="B18" i="90"/>
  <c r="I12" i="90" s="1"/>
  <c r="B17" i="90"/>
  <c r="I11" i="90" s="1"/>
  <c r="B16" i="90"/>
  <c r="I10" i="90" s="1"/>
  <c r="B15" i="90"/>
  <c r="I9" i="90" s="1"/>
  <c r="B14" i="90"/>
  <c r="I8" i="90" s="1"/>
  <c r="E13" i="90"/>
  <c r="B13" i="90"/>
  <c r="I7" i="90" s="1"/>
  <c r="E12" i="90"/>
  <c r="B12" i="90"/>
  <c r="I6" i="90" s="1"/>
  <c r="E11" i="90"/>
  <c r="B21" i="89"/>
  <c r="F15" i="89" s="1"/>
  <c r="B20" i="89"/>
  <c r="F14" i="89" s="1"/>
  <c r="B19" i="89"/>
  <c r="F13" i="89" s="1"/>
  <c r="B18" i="89"/>
  <c r="F12" i="89" s="1"/>
  <c r="B17" i="89"/>
  <c r="F11" i="89" s="1"/>
  <c r="B16" i="89"/>
  <c r="F10" i="89" s="1"/>
  <c r="B15" i="89"/>
  <c r="F9" i="89" s="1"/>
  <c r="B14" i="89"/>
  <c r="F8" i="89" s="1"/>
  <c r="B13" i="89"/>
  <c r="F7" i="89" s="1"/>
  <c r="B12" i="89"/>
  <c r="F6" i="89" s="1"/>
  <c r="B17" i="86"/>
  <c r="I11" i="86" s="1"/>
  <c r="E39" i="88"/>
  <c r="E38" i="88"/>
  <c r="E37" i="88"/>
  <c r="E26" i="88"/>
  <c r="E25" i="88"/>
  <c r="E24" i="88"/>
  <c r="B20" i="88"/>
  <c r="I14" i="88" s="1"/>
  <c r="B19" i="88"/>
  <c r="I13" i="88" s="1"/>
  <c r="B18" i="88"/>
  <c r="I12" i="88" s="1"/>
  <c r="B17" i="88"/>
  <c r="I11" i="88" s="1"/>
  <c r="B16" i="88"/>
  <c r="I10" i="88" s="1"/>
  <c r="B15" i="88"/>
  <c r="I9" i="88" s="1"/>
  <c r="B14" i="88"/>
  <c r="I8" i="88" s="1"/>
  <c r="E13" i="88"/>
  <c r="B13" i="88"/>
  <c r="I7" i="88" s="1"/>
  <c r="E12" i="88"/>
  <c r="B12" i="88"/>
  <c r="I6" i="88" s="1"/>
  <c r="E11" i="88"/>
  <c r="E39" i="87"/>
  <c r="E38" i="87"/>
  <c r="E37" i="87"/>
  <c r="E26" i="87"/>
  <c r="E25" i="87"/>
  <c r="E24" i="87"/>
  <c r="B20" i="87"/>
  <c r="I14" i="87" s="1"/>
  <c r="B19" i="87"/>
  <c r="I13" i="87" s="1"/>
  <c r="B18" i="87"/>
  <c r="I12" i="87" s="1"/>
  <c r="B17" i="87"/>
  <c r="I11" i="87" s="1"/>
  <c r="B16" i="87"/>
  <c r="I10" i="87" s="1"/>
  <c r="B15" i="87"/>
  <c r="I9" i="87" s="1"/>
  <c r="B14" i="87"/>
  <c r="I8" i="87" s="1"/>
  <c r="E13" i="87"/>
  <c r="B13" i="87"/>
  <c r="I7" i="87" s="1"/>
  <c r="E12" i="87"/>
  <c r="B12" i="87"/>
  <c r="I6" i="87" s="1"/>
  <c r="E11" i="87"/>
  <c r="E39" i="86"/>
  <c r="E38" i="86"/>
  <c r="E37" i="86"/>
  <c r="E26" i="86"/>
  <c r="E25" i="86"/>
  <c r="E24" i="86"/>
  <c r="B20" i="86"/>
  <c r="I14" i="86" s="1"/>
  <c r="B19" i="86"/>
  <c r="I13" i="86" s="1"/>
  <c r="B18" i="86"/>
  <c r="I12" i="86" s="1"/>
  <c r="B16" i="86"/>
  <c r="I10" i="86" s="1"/>
  <c r="B15" i="86"/>
  <c r="I9" i="86" s="1"/>
  <c r="B14" i="86"/>
  <c r="I8" i="86" s="1"/>
  <c r="E13" i="86"/>
  <c r="B13" i="86"/>
  <c r="I7" i="86" s="1"/>
  <c r="E12" i="86"/>
  <c r="B12" i="86"/>
  <c r="I6" i="86" s="1"/>
  <c r="E11" i="86"/>
  <c r="E39" i="83"/>
  <c r="E38" i="83"/>
  <c r="E37" i="83"/>
  <c r="E26" i="83"/>
  <c r="E25" i="83"/>
  <c r="E24" i="83"/>
  <c r="B20" i="83"/>
  <c r="I14" i="83" s="1"/>
  <c r="B19" i="83"/>
  <c r="I13" i="83" s="1"/>
  <c r="B18" i="83"/>
  <c r="I12" i="83" s="1"/>
  <c r="B17" i="83"/>
  <c r="I11" i="83" s="1"/>
  <c r="B16" i="83"/>
  <c r="I10" i="83" s="1"/>
  <c r="B15" i="83"/>
  <c r="I9" i="83" s="1"/>
  <c r="B14" i="83"/>
  <c r="I8" i="83" s="1"/>
  <c r="E13" i="83"/>
  <c r="B13" i="83"/>
  <c r="I7" i="83" s="1"/>
  <c r="E12" i="83"/>
  <c r="B12" i="83"/>
  <c r="I6" i="83" s="1"/>
  <c r="E11" i="83"/>
  <c r="E39" i="78"/>
  <c r="E38" i="78"/>
  <c r="E37" i="78"/>
  <c r="E26" i="78"/>
  <c r="E25" i="78"/>
  <c r="E24" i="78"/>
  <c r="B20" i="78"/>
  <c r="I14" i="78" s="1"/>
  <c r="B19" i="78"/>
  <c r="I13" i="78" s="1"/>
  <c r="B18" i="78"/>
  <c r="I12" i="78" s="1"/>
  <c r="B17" i="78"/>
  <c r="I11" i="78" s="1"/>
  <c r="B16" i="78"/>
  <c r="I10" i="78" s="1"/>
  <c r="B15" i="78"/>
  <c r="I9" i="78" s="1"/>
  <c r="B14" i="78"/>
  <c r="I8" i="78" s="1"/>
  <c r="E13" i="78"/>
  <c r="B13" i="78"/>
  <c r="I7" i="78" s="1"/>
  <c r="E12" i="78"/>
  <c r="B12" i="78"/>
  <c r="I6" i="78" s="1"/>
  <c r="E11" i="78"/>
  <c r="E39" i="77"/>
  <c r="E38" i="77"/>
  <c r="E37" i="77"/>
  <c r="E26" i="77"/>
  <c r="E25" i="77"/>
  <c r="E24" i="77"/>
  <c r="B20" i="77"/>
  <c r="I14" i="77" s="1"/>
  <c r="B19" i="77"/>
  <c r="I13" i="77" s="1"/>
  <c r="B18" i="77"/>
  <c r="I12" i="77" s="1"/>
  <c r="B17" i="77"/>
  <c r="I11" i="77" s="1"/>
  <c r="B16" i="77"/>
  <c r="I10" i="77" s="1"/>
  <c r="B15" i="77"/>
  <c r="I9" i="77" s="1"/>
  <c r="B14" i="77"/>
  <c r="I8" i="77" s="1"/>
  <c r="E13" i="77"/>
  <c r="B13" i="77"/>
  <c r="I7" i="77" s="1"/>
  <c r="E12" i="77"/>
  <c r="B12" i="77"/>
  <c r="I6" i="77" s="1"/>
  <c r="E11" i="77"/>
  <c r="E39" i="76"/>
  <c r="E38" i="76"/>
  <c r="E37" i="76"/>
  <c r="E26" i="76"/>
  <c r="E25" i="76"/>
  <c r="E24" i="76"/>
  <c r="B20" i="76"/>
  <c r="I14" i="76" s="1"/>
  <c r="B19" i="76"/>
  <c r="I13" i="76" s="1"/>
  <c r="B18" i="76"/>
  <c r="I12" i="76" s="1"/>
  <c r="B17" i="76"/>
  <c r="I11" i="76" s="1"/>
  <c r="B16" i="76"/>
  <c r="I10" i="76" s="1"/>
  <c r="B15" i="76"/>
  <c r="I9" i="76" s="1"/>
  <c r="B14" i="76"/>
  <c r="I8" i="76" s="1"/>
  <c r="E13" i="76"/>
  <c r="B13" i="76"/>
  <c r="I7" i="76" s="1"/>
  <c r="E12" i="76"/>
  <c r="B12" i="76"/>
  <c r="I6" i="76" s="1"/>
  <c r="E11" i="76"/>
  <c r="E39" i="75"/>
  <c r="E38" i="75"/>
  <c r="E37" i="75"/>
  <c r="E26" i="75"/>
  <c r="E25" i="75"/>
  <c r="E24" i="75"/>
  <c r="B20" i="75"/>
  <c r="I14" i="75" s="1"/>
  <c r="B19" i="75"/>
  <c r="I13" i="75" s="1"/>
  <c r="B18" i="75"/>
  <c r="I12" i="75" s="1"/>
  <c r="B17" i="75"/>
  <c r="I11" i="75" s="1"/>
  <c r="B16" i="75"/>
  <c r="I10" i="75" s="1"/>
  <c r="B15" i="75"/>
  <c r="I9" i="75" s="1"/>
  <c r="B14" i="75"/>
  <c r="I8" i="75" s="1"/>
  <c r="E13" i="75"/>
  <c r="B13" i="75"/>
  <c r="I7" i="75" s="1"/>
  <c r="E12" i="75"/>
  <c r="B12" i="75"/>
  <c r="I6" i="75" s="1"/>
  <c r="E11" i="75"/>
  <c r="E39" i="74"/>
  <c r="E38" i="74"/>
  <c r="E37" i="74"/>
  <c r="E26" i="74"/>
  <c r="E25" i="74"/>
  <c r="E24" i="74"/>
  <c r="B20" i="74"/>
  <c r="I14" i="74" s="1"/>
  <c r="B19" i="74"/>
  <c r="I13" i="74" s="1"/>
  <c r="B18" i="74"/>
  <c r="I12" i="74" s="1"/>
  <c r="B17" i="74"/>
  <c r="I11" i="74" s="1"/>
  <c r="B16" i="74"/>
  <c r="I10" i="74" s="1"/>
  <c r="B15" i="74"/>
  <c r="I9" i="74" s="1"/>
  <c r="B14" i="74"/>
  <c r="I8" i="74" s="1"/>
  <c r="E13" i="74"/>
  <c r="B13" i="74"/>
  <c r="I7" i="74" s="1"/>
  <c r="E12" i="74"/>
  <c r="B12" i="74"/>
  <c r="I6" i="74" s="1"/>
  <c r="E11" i="74"/>
  <c r="E39" i="73"/>
  <c r="E38" i="73"/>
  <c r="E37" i="73"/>
  <c r="E26" i="73"/>
  <c r="E25" i="73"/>
  <c r="E24" i="73"/>
  <c r="B20" i="73"/>
  <c r="I14" i="73" s="1"/>
  <c r="B19" i="73"/>
  <c r="I13" i="73" s="1"/>
  <c r="B18" i="73"/>
  <c r="I12" i="73" s="1"/>
  <c r="B17" i="73"/>
  <c r="I11" i="73" s="1"/>
  <c r="B16" i="73"/>
  <c r="I10" i="73" s="1"/>
  <c r="B15" i="73"/>
  <c r="I9" i="73" s="1"/>
  <c r="B14" i="73"/>
  <c r="I8" i="73" s="1"/>
  <c r="E13" i="73"/>
  <c r="B13" i="73"/>
  <c r="I7" i="73" s="1"/>
  <c r="E12" i="73"/>
  <c r="B12" i="73"/>
  <c r="I6" i="73" s="1"/>
  <c r="E11" i="73"/>
  <c r="E39" i="72"/>
  <c r="E38" i="72"/>
  <c r="E37" i="72"/>
  <c r="E26" i="72"/>
  <c r="E25" i="72"/>
  <c r="E24" i="72"/>
  <c r="B20" i="72"/>
  <c r="I14" i="72" s="1"/>
  <c r="B19" i="72"/>
  <c r="I13" i="72" s="1"/>
  <c r="B18" i="72"/>
  <c r="I12" i="72" s="1"/>
  <c r="B17" i="72"/>
  <c r="I11" i="72" s="1"/>
  <c r="B16" i="72"/>
  <c r="I10" i="72" s="1"/>
  <c r="B15" i="72"/>
  <c r="I9" i="72" s="1"/>
  <c r="B14" i="72"/>
  <c r="I8" i="72" s="1"/>
  <c r="E13" i="72"/>
  <c r="B13" i="72"/>
  <c r="I7" i="72" s="1"/>
  <c r="E12" i="72"/>
  <c r="B12" i="72"/>
  <c r="I6" i="72" s="1"/>
  <c r="E11" i="72"/>
  <c r="E39" i="71"/>
  <c r="E38" i="71"/>
  <c r="E37" i="71"/>
  <c r="E26" i="71"/>
  <c r="E25" i="71"/>
  <c r="E24" i="71"/>
  <c r="B20" i="71"/>
  <c r="I14" i="71" s="1"/>
  <c r="B19" i="71"/>
  <c r="I13" i="71" s="1"/>
  <c r="B18" i="71"/>
  <c r="I12" i="71" s="1"/>
  <c r="B17" i="71"/>
  <c r="I11" i="71" s="1"/>
  <c r="B16" i="71"/>
  <c r="I10" i="71" s="1"/>
  <c r="B15" i="71"/>
  <c r="I9" i="71" s="1"/>
  <c r="B14" i="71"/>
  <c r="I8" i="71" s="1"/>
  <c r="E13" i="71"/>
  <c r="B13" i="71"/>
  <c r="I7" i="71" s="1"/>
  <c r="E12" i="71"/>
  <c r="B12" i="71"/>
  <c r="I6" i="71" s="1"/>
  <c r="E11" i="71"/>
  <c r="E39" i="70"/>
  <c r="E38" i="70"/>
  <c r="E37" i="70"/>
  <c r="E26" i="70"/>
  <c r="E25" i="70"/>
  <c r="E24" i="70"/>
  <c r="B20" i="70"/>
  <c r="I14" i="70" s="1"/>
  <c r="B19" i="70"/>
  <c r="I13" i="70" s="1"/>
  <c r="B18" i="70"/>
  <c r="I12" i="70" s="1"/>
  <c r="B17" i="70"/>
  <c r="I11" i="70" s="1"/>
  <c r="B16" i="70"/>
  <c r="I10" i="70" s="1"/>
  <c r="B15" i="70"/>
  <c r="I9" i="70" s="1"/>
  <c r="B14" i="70"/>
  <c r="I8" i="70" s="1"/>
  <c r="E13" i="70"/>
  <c r="B13" i="70"/>
  <c r="I7" i="70" s="1"/>
  <c r="E12" i="70"/>
  <c r="B12" i="70"/>
  <c r="I6" i="70" s="1"/>
  <c r="E11" i="70"/>
  <c r="E39" i="69"/>
  <c r="E38" i="69"/>
  <c r="E37" i="69"/>
  <c r="E26" i="69"/>
  <c r="E25" i="69"/>
  <c r="E24" i="69"/>
  <c r="B20" i="69"/>
  <c r="I14" i="69" s="1"/>
  <c r="B19" i="69"/>
  <c r="I13" i="69" s="1"/>
  <c r="B18" i="69"/>
  <c r="I12" i="69" s="1"/>
  <c r="B17" i="69"/>
  <c r="I11" i="69" s="1"/>
  <c r="B16" i="69"/>
  <c r="I10" i="69" s="1"/>
  <c r="B15" i="69"/>
  <c r="I9" i="69" s="1"/>
  <c r="B14" i="69"/>
  <c r="I8" i="69" s="1"/>
  <c r="E13" i="69"/>
  <c r="B13" i="69"/>
  <c r="I7" i="69" s="1"/>
  <c r="E12" i="69"/>
  <c r="B12" i="69"/>
  <c r="I6" i="69" s="1"/>
  <c r="E11" i="69"/>
  <c r="E39" i="68"/>
  <c r="E38" i="68"/>
  <c r="E37" i="68"/>
  <c r="E26" i="68"/>
  <c r="E25" i="68"/>
  <c r="E24" i="68"/>
  <c r="B20" i="68"/>
  <c r="I14" i="68" s="1"/>
  <c r="B19" i="68"/>
  <c r="I13" i="68" s="1"/>
  <c r="B18" i="68"/>
  <c r="I12" i="68" s="1"/>
  <c r="B17" i="68"/>
  <c r="I11" i="68" s="1"/>
  <c r="B16" i="68"/>
  <c r="I10" i="68" s="1"/>
  <c r="B15" i="68"/>
  <c r="I9" i="68" s="1"/>
  <c r="B14" i="68"/>
  <c r="I8" i="68" s="1"/>
  <c r="E13" i="68"/>
  <c r="B13" i="68"/>
  <c r="I7" i="68" s="1"/>
  <c r="E12" i="68"/>
  <c r="B12" i="68"/>
  <c r="I6" i="68" s="1"/>
  <c r="E11" i="68"/>
  <c r="E39" i="67"/>
  <c r="E38" i="67"/>
  <c r="E37" i="67"/>
  <c r="E26" i="67"/>
  <c r="E25" i="67"/>
  <c r="E24" i="67"/>
  <c r="B20" i="67"/>
  <c r="I14" i="67" s="1"/>
  <c r="B19" i="67"/>
  <c r="I13" i="67" s="1"/>
  <c r="B18" i="67"/>
  <c r="I12" i="67" s="1"/>
  <c r="B17" i="67"/>
  <c r="I11" i="67" s="1"/>
  <c r="B16" i="67"/>
  <c r="I10" i="67" s="1"/>
  <c r="B15" i="67"/>
  <c r="I9" i="67" s="1"/>
  <c r="B14" i="67"/>
  <c r="I8" i="67" s="1"/>
  <c r="E13" i="67"/>
  <c r="B13" i="67"/>
  <c r="I7" i="67" s="1"/>
  <c r="E12" i="67"/>
  <c r="B12" i="67"/>
  <c r="I6" i="67" s="1"/>
  <c r="E11" i="67"/>
  <c r="E39" i="66"/>
  <c r="E38" i="66"/>
  <c r="E37" i="66"/>
  <c r="E26" i="66"/>
  <c r="E25" i="66"/>
  <c r="E24" i="66"/>
  <c r="B20" i="66"/>
  <c r="I14" i="66" s="1"/>
  <c r="B19" i="66"/>
  <c r="I13" i="66" s="1"/>
  <c r="B18" i="66"/>
  <c r="I12" i="66" s="1"/>
  <c r="B17" i="66"/>
  <c r="I11" i="66" s="1"/>
  <c r="B16" i="66"/>
  <c r="I10" i="66" s="1"/>
  <c r="B15" i="66"/>
  <c r="I9" i="66" s="1"/>
  <c r="B14" i="66"/>
  <c r="I8" i="66" s="1"/>
  <c r="E13" i="66"/>
  <c r="B13" i="66"/>
  <c r="I7" i="66" s="1"/>
  <c r="E12" i="66"/>
  <c r="B12" i="66"/>
  <c r="I6" i="66" s="1"/>
  <c r="E11" i="66"/>
  <c r="E39" i="65"/>
  <c r="E38" i="65"/>
  <c r="E37" i="65"/>
  <c r="E26" i="65"/>
  <c r="E25" i="65"/>
  <c r="E24" i="65"/>
  <c r="B20" i="65"/>
  <c r="I14" i="65" s="1"/>
  <c r="B19" i="65"/>
  <c r="I13" i="65" s="1"/>
  <c r="B18" i="65"/>
  <c r="I12" i="65" s="1"/>
  <c r="B17" i="65"/>
  <c r="I11" i="65" s="1"/>
  <c r="B16" i="65"/>
  <c r="I10" i="65" s="1"/>
  <c r="B15" i="65"/>
  <c r="I9" i="65" s="1"/>
  <c r="B14" i="65"/>
  <c r="I8" i="65" s="1"/>
  <c r="E13" i="65"/>
  <c r="B13" i="65"/>
  <c r="I7" i="65" s="1"/>
  <c r="E12" i="65"/>
  <c r="B12" i="65"/>
  <c r="I6" i="65" s="1"/>
  <c r="E11" i="65"/>
  <c r="E39" i="64"/>
  <c r="E38" i="64"/>
  <c r="E37" i="64"/>
  <c r="E26" i="64"/>
  <c r="E25" i="64"/>
  <c r="E24" i="64"/>
  <c r="B20" i="64"/>
  <c r="I14" i="64" s="1"/>
  <c r="B19" i="64"/>
  <c r="I13" i="64" s="1"/>
  <c r="B18" i="64"/>
  <c r="I12" i="64" s="1"/>
  <c r="B17" i="64"/>
  <c r="I11" i="64" s="1"/>
  <c r="B16" i="64"/>
  <c r="I10" i="64" s="1"/>
  <c r="B15" i="64"/>
  <c r="I9" i="64" s="1"/>
  <c r="B14" i="64"/>
  <c r="I8" i="64" s="1"/>
  <c r="E13" i="64"/>
  <c r="B13" i="64"/>
  <c r="I7" i="64" s="1"/>
  <c r="E12" i="64"/>
  <c r="B12" i="64"/>
  <c r="I6" i="64" s="1"/>
  <c r="E11" i="64"/>
  <c r="E39" i="63"/>
  <c r="E38" i="63"/>
  <c r="E37" i="63"/>
  <c r="E26" i="63"/>
  <c r="E25" i="63"/>
  <c r="E24" i="63"/>
  <c r="B20" i="63"/>
  <c r="I14" i="63" s="1"/>
  <c r="B19" i="63"/>
  <c r="I13" i="63" s="1"/>
  <c r="B18" i="63"/>
  <c r="I12" i="63" s="1"/>
  <c r="B17" i="63"/>
  <c r="I11" i="63" s="1"/>
  <c r="B16" i="63"/>
  <c r="I10" i="63" s="1"/>
  <c r="B15" i="63"/>
  <c r="I9" i="63" s="1"/>
  <c r="B14" i="63"/>
  <c r="I8" i="63" s="1"/>
  <c r="E13" i="63"/>
  <c r="B13" i="63"/>
  <c r="I7" i="63" s="1"/>
  <c r="E12" i="63"/>
  <c r="B12" i="63"/>
  <c r="I6" i="63" s="1"/>
  <c r="E11" i="63"/>
  <c r="E39" i="62"/>
  <c r="E38" i="62"/>
  <c r="E37" i="62"/>
  <c r="E26" i="62"/>
  <c r="E25" i="62"/>
  <c r="E24" i="62"/>
  <c r="B20" i="62"/>
  <c r="I14" i="62" s="1"/>
  <c r="B19" i="62"/>
  <c r="I13" i="62" s="1"/>
  <c r="B18" i="62"/>
  <c r="I12" i="62" s="1"/>
  <c r="B17" i="62"/>
  <c r="I11" i="62" s="1"/>
  <c r="B16" i="62"/>
  <c r="I10" i="62" s="1"/>
  <c r="B15" i="62"/>
  <c r="I9" i="62" s="1"/>
  <c r="B14" i="62"/>
  <c r="I8" i="62" s="1"/>
  <c r="E13" i="62"/>
  <c r="B13" i="62"/>
  <c r="I7" i="62" s="1"/>
  <c r="E12" i="62"/>
  <c r="B12" i="62"/>
  <c r="I6" i="62" s="1"/>
  <c r="E11" i="62"/>
  <c r="E39" i="61"/>
  <c r="E38" i="61"/>
  <c r="E37" i="61"/>
  <c r="E26" i="61"/>
  <c r="E25" i="61"/>
  <c r="E24" i="61"/>
  <c r="B20" i="61"/>
  <c r="I14" i="61" s="1"/>
  <c r="B19" i="61"/>
  <c r="I13" i="61" s="1"/>
  <c r="B18" i="61"/>
  <c r="I12" i="61" s="1"/>
  <c r="B17" i="61"/>
  <c r="I11" i="61" s="1"/>
  <c r="B16" i="61"/>
  <c r="I10" i="61" s="1"/>
  <c r="B15" i="61"/>
  <c r="I9" i="61" s="1"/>
  <c r="B14" i="61"/>
  <c r="I8" i="61" s="1"/>
  <c r="E13" i="61"/>
  <c r="B13" i="61"/>
  <c r="I7" i="61" s="1"/>
  <c r="E12" i="61"/>
  <c r="B12" i="61"/>
  <c r="I6" i="61" s="1"/>
  <c r="E11" i="61"/>
  <c r="E39" i="60"/>
  <c r="E38" i="60"/>
  <c r="E37" i="60"/>
  <c r="E26" i="60"/>
  <c r="E25" i="60"/>
  <c r="E24" i="60"/>
  <c r="B20" i="60"/>
  <c r="I14" i="60" s="1"/>
  <c r="B19" i="60"/>
  <c r="I13" i="60" s="1"/>
  <c r="B18" i="60"/>
  <c r="I12" i="60" s="1"/>
  <c r="B17" i="60"/>
  <c r="I11" i="60" s="1"/>
  <c r="B16" i="60"/>
  <c r="I10" i="60" s="1"/>
  <c r="B15" i="60"/>
  <c r="I9" i="60" s="1"/>
  <c r="B14" i="60"/>
  <c r="I8" i="60" s="1"/>
  <c r="E13" i="60"/>
  <c r="B13" i="60"/>
  <c r="I7" i="60" s="1"/>
  <c r="E12" i="60"/>
  <c r="B12" i="60"/>
  <c r="I6" i="60" s="1"/>
  <c r="E11" i="60"/>
  <c r="E39" i="59"/>
  <c r="E38" i="59"/>
  <c r="E37" i="59"/>
  <c r="E26" i="59"/>
  <c r="E25" i="59"/>
  <c r="E24" i="59"/>
  <c r="B20" i="59"/>
  <c r="I14" i="59" s="1"/>
  <c r="B19" i="59"/>
  <c r="I13" i="59" s="1"/>
  <c r="B18" i="59"/>
  <c r="I12" i="59" s="1"/>
  <c r="B17" i="59"/>
  <c r="I11" i="59" s="1"/>
  <c r="B16" i="59"/>
  <c r="I10" i="59" s="1"/>
  <c r="B15" i="59"/>
  <c r="I9" i="59" s="1"/>
  <c r="B14" i="59"/>
  <c r="I8" i="59" s="1"/>
  <c r="E13" i="59"/>
  <c r="B13" i="59"/>
  <c r="I7" i="59" s="1"/>
  <c r="E12" i="59"/>
  <c r="B12" i="59"/>
  <c r="I6" i="59" s="1"/>
  <c r="E11" i="59"/>
  <c r="E39" i="58"/>
  <c r="E38" i="58"/>
  <c r="E37" i="58"/>
  <c r="E26" i="58"/>
  <c r="E25" i="58"/>
  <c r="E24" i="58"/>
  <c r="B20" i="58"/>
  <c r="I14" i="58" s="1"/>
  <c r="B19" i="58"/>
  <c r="I13" i="58" s="1"/>
  <c r="B18" i="58"/>
  <c r="I12" i="58" s="1"/>
  <c r="B17" i="58"/>
  <c r="I11" i="58" s="1"/>
  <c r="B16" i="58"/>
  <c r="I10" i="58" s="1"/>
  <c r="B15" i="58"/>
  <c r="I9" i="58" s="1"/>
  <c r="B14" i="58"/>
  <c r="I8" i="58" s="1"/>
  <c r="E13" i="58"/>
  <c r="B13" i="58"/>
  <c r="I7" i="58" s="1"/>
  <c r="E12" i="58"/>
  <c r="B12" i="58"/>
  <c r="I6" i="58" s="1"/>
  <c r="E11" i="58"/>
  <c r="E39" i="57"/>
  <c r="E38" i="57"/>
  <c r="E37" i="57"/>
  <c r="E26" i="57"/>
  <c r="E25" i="57"/>
  <c r="E24" i="57"/>
  <c r="B20" i="57"/>
  <c r="I14" i="57" s="1"/>
  <c r="B19" i="57"/>
  <c r="I13" i="57" s="1"/>
  <c r="B18" i="57"/>
  <c r="I12" i="57" s="1"/>
  <c r="B17" i="57"/>
  <c r="I11" i="57" s="1"/>
  <c r="B16" i="57"/>
  <c r="I10" i="57" s="1"/>
  <c r="B15" i="57"/>
  <c r="I9" i="57" s="1"/>
  <c r="B14" i="57"/>
  <c r="I8" i="57" s="1"/>
  <c r="E13" i="57"/>
  <c r="B13" i="57"/>
  <c r="I7" i="57" s="1"/>
  <c r="E12" i="57"/>
  <c r="B12" i="57"/>
  <c r="I6" i="57" s="1"/>
  <c r="E11" i="57"/>
  <c r="E39" i="56"/>
  <c r="E38" i="56"/>
  <c r="E37" i="56"/>
  <c r="E26" i="56"/>
  <c r="E25" i="56"/>
  <c r="E24" i="56"/>
  <c r="B20" i="56"/>
  <c r="I14" i="56" s="1"/>
  <c r="B19" i="56"/>
  <c r="I13" i="56" s="1"/>
  <c r="B18" i="56"/>
  <c r="I12" i="56" s="1"/>
  <c r="B17" i="56"/>
  <c r="I11" i="56" s="1"/>
  <c r="B16" i="56"/>
  <c r="I10" i="56" s="1"/>
  <c r="B15" i="56"/>
  <c r="I9" i="56" s="1"/>
  <c r="B14" i="56"/>
  <c r="I8" i="56" s="1"/>
  <c r="E13" i="56"/>
  <c r="B13" i="56"/>
  <c r="I7" i="56" s="1"/>
  <c r="E12" i="56"/>
  <c r="B12" i="56"/>
  <c r="I6" i="56" s="1"/>
  <c r="E11" i="56"/>
  <c r="E39" i="55"/>
  <c r="E38" i="55"/>
  <c r="E37" i="55"/>
  <c r="E26" i="55"/>
  <c r="E25" i="55"/>
  <c r="E24" i="55"/>
  <c r="B20" i="55"/>
  <c r="I14" i="55" s="1"/>
  <c r="B19" i="55"/>
  <c r="I13" i="55" s="1"/>
  <c r="B18" i="55"/>
  <c r="I12" i="55" s="1"/>
  <c r="B17" i="55"/>
  <c r="I11" i="55" s="1"/>
  <c r="B16" i="55"/>
  <c r="I10" i="55" s="1"/>
  <c r="B15" i="55"/>
  <c r="I9" i="55" s="1"/>
  <c r="B14" i="55"/>
  <c r="I8" i="55" s="1"/>
  <c r="E13" i="55"/>
  <c r="B13" i="55"/>
  <c r="I7" i="55" s="1"/>
  <c r="E12" i="55"/>
  <c r="B12" i="55"/>
  <c r="I6" i="55" s="1"/>
  <c r="E11" i="55"/>
  <c r="E39" i="54"/>
  <c r="E38" i="54"/>
  <c r="E37" i="54"/>
  <c r="E26" i="54"/>
  <c r="E25" i="54"/>
  <c r="E24" i="54"/>
  <c r="B20" i="54"/>
  <c r="I14" i="54" s="1"/>
  <c r="B19" i="54"/>
  <c r="I13" i="54" s="1"/>
  <c r="B18" i="54"/>
  <c r="I12" i="54" s="1"/>
  <c r="B17" i="54"/>
  <c r="I11" i="54" s="1"/>
  <c r="B16" i="54"/>
  <c r="I10" i="54" s="1"/>
  <c r="B15" i="54"/>
  <c r="I9" i="54" s="1"/>
  <c r="B14" i="54"/>
  <c r="I8" i="54" s="1"/>
  <c r="E13" i="54"/>
  <c r="B13" i="54"/>
  <c r="I7" i="54" s="1"/>
  <c r="E12" i="54"/>
  <c r="B12" i="54"/>
  <c r="I6" i="54" s="1"/>
  <c r="E11" i="54"/>
  <c r="E39" i="53"/>
  <c r="E38" i="53"/>
  <c r="E37" i="53"/>
  <c r="E26" i="53"/>
  <c r="E25" i="53"/>
  <c r="E24" i="53"/>
  <c r="B20" i="53"/>
  <c r="I14" i="53" s="1"/>
  <c r="B19" i="53"/>
  <c r="I13" i="53" s="1"/>
  <c r="B18" i="53"/>
  <c r="I12" i="53" s="1"/>
  <c r="B17" i="53"/>
  <c r="I11" i="53" s="1"/>
  <c r="B16" i="53"/>
  <c r="I10" i="53" s="1"/>
  <c r="B15" i="53"/>
  <c r="I9" i="53" s="1"/>
  <c r="B14" i="53"/>
  <c r="I8" i="53" s="1"/>
  <c r="E13" i="53"/>
  <c r="B13" i="53"/>
  <c r="I7" i="53" s="1"/>
  <c r="E12" i="53"/>
  <c r="B12" i="53"/>
  <c r="I6" i="53" s="1"/>
  <c r="E11" i="53"/>
  <c r="E39" i="52"/>
  <c r="E38" i="52"/>
  <c r="E37" i="52"/>
  <c r="E26" i="52"/>
  <c r="E25" i="52"/>
  <c r="E24" i="52"/>
  <c r="B20" i="52"/>
  <c r="I14" i="52" s="1"/>
  <c r="B19" i="52"/>
  <c r="I13" i="52" s="1"/>
  <c r="B18" i="52"/>
  <c r="I12" i="52" s="1"/>
  <c r="B17" i="52"/>
  <c r="I11" i="52" s="1"/>
  <c r="B16" i="52"/>
  <c r="I10" i="52" s="1"/>
  <c r="B15" i="52"/>
  <c r="I9" i="52" s="1"/>
  <c r="B14" i="52"/>
  <c r="I8" i="52" s="1"/>
  <c r="E13" i="52"/>
  <c r="B13" i="52"/>
  <c r="I7" i="52" s="1"/>
  <c r="E12" i="52"/>
  <c r="B12" i="52"/>
  <c r="I6" i="52" s="1"/>
  <c r="E11" i="52"/>
  <c r="E39" i="51"/>
  <c r="E38" i="51"/>
  <c r="E37" i="51"/>
  <c r="E26" i="51"/>
  <c r="E25" i="51"/>
  <c r="E24" i="51"/>
  <c r="B20" i="51"/>
  <c r="I14" i="51" s="1"/>
  <c r="B19" i="51"/>
  <c r="I13" i="51" s="1"/>
  <c r="B18" i="51"/>
  <c r="I12" i="51" s="1"/>
  <c r="B17" i="51"/>
  <c r="I11" i="51" s="1"/>
  <c r="B16" i="51"/>
  <c r="I10" i="51" s="1"/>
  <c r="B15" i="51"/>
  <c r="I9" i="51" s="1"/>
  <c r="B14" i="51"/>
  <c r="I8" i="51" s="1"/>
  <c r="E13" i="51"/>
  <c r="B13" i="51"/>
  <c r="I7" i="51" s="1"/>
  <c r="E12" i="51"/>
  <c r="B12" i="51"/>
  <c r="I6" i="51" s="1"/>
  <c r="E11" i="51"/>
  <c r="E39" i="50"/>
  <c r="E38" i="50"/>
  <c r="E37" i="50"/>
  <c r="E26" i="50"/>
  <c r="E25" i="50"/>
  <c r="E24" i="50"/>
  <c r="B20" i="50"/>
  <c r="I14" i="50" s="1"/>
  <c r="B19" i="50"/>
  <c r="I13" i="50" s="1"/>
  <c r="B18" i="50"/>
  <c r="I12" i="50" s="1"/>
  <c r="B17" i="50"/>
  <c r="I11" i="50" s="1"/>
  <c r="B16" i="50"/>
  <c r="I10" i="50" s="1"/>
  <c r="B15" i="50"/>
  <c r="I9" i="50" s="1"/>
  <c r="B14" i="50"/>
  <c r="I8" i="50" s="1"/>
  <c r="E13" i="50"/>
  <c r="B13" i="50"/>
  <c r="I7" i="50" s="1"/>
  <c r="E12" i="50"/>
  <c r="B12" i="50"/>
  <c r="I6" i="50" s="1"/>
  <c r="E11" i="50"/>
  <c r="E39" i="49"/>
  <c r="E38" i="49"/>
  <c r="E37" i="49"/>
  <c r="E26" i="49"/>
  <c r="E25" i="49"/>
  <c r="E24" i="49"/>
  <c r="B20" i="49"/>
  <c r="I14" i="49" s="1"/>
  <c r="B19" i="49"/>
  <c r="I13" i="49" s="1"/>
  <c r="B18" i="49"/>
  <c r="I12" i="49" s="1"/>
  <c r="B17" i="49"/>
  <c r="I11" i="49" s="1"/>
  <c r="B16" i="49"/>
  <c r="I10" i="49" s="1"/>
  <c r="B15" i="49"/>
  <c r="I9" i="49" s="1"/>
  <c r="B14" i="49"/>
  <c r="I8" i="49" s="1"/>
  <c r="E13" i="49"/>
  <c r="B13" i="49"/>
  <c r="I7" i="49" s="1"/>
  <c r="E12" i="49"/>
  <c r="B12" i="49"/>
  <c r="I6" i="49" s="1"/>
  <c r="E11" i="49"/>
  <c r="E39" i="48"/>
  <c r="E38" i="48"/>
  <c r="E37" i="48"/>
  <c r="E26" i="48"/>
  <c r="E25" i="48"/>
  <c r="E24" i="48"/>
  <c r="B20" i="48"/>
  <c r="I14" i="48" s="1"/>
  <c r="B19" i="48"/>
  <c r="I13" i="48" s="1"/>
  <c r="B18" i="48"/>
  <c r="I12" i="48" s="1"/>
  <c r="B17" i="48"/>
  <c r="I11" i="48" s="1"/>
  <c r="B16" i="48"/>
  <c r="I10" i="48" s="1"/>
  <c r="B15" i="48"/>
  <c r="I9" i="48" s="1"/>
  <c r="B14" i="48"/>
  <c r="I8" i="48" s="1"/>
  <c r="E13" i="48"/>
  <c r="B13" i="48"/>
  <c r="I7" i="48" s="1"/>
  <c r="E12" i="48"/>
  <c r="B12" i="48"/>
  <c r="I6" i="48" s="1"/>
  <c r="E11" i="48"/>
  <c r="E39" i="47"/>
  <c r="E38" i="47"/>
  <c r="E37" i="47"/>
  <c r="E26" i="47"/>
  <c r="E25" i="47"/>
  <c r="E24" i="47"/>
  <c r="B20" i="47"/>
  <c r="I14" i="47" s="1"/>
  <c r="B19" i="47"/>
  <c r="I13" i="47" s="1"/>
  <c r="B18" i="47"/>
  <c r="I12" i="47" s="1"/>
  <c r="B17" i="47"/>
  <c r="I11" i="47" s="1"/>
  <c r="B16" i="47"/>
  <c r="I10" i="47" s="1"/>
  <c r="B15" i="47"/>
  <c r="I9" i="47" s="1"/>
  <c r="B14" i="47"/>
  <c r="I8" i="47" s="1"/>
  <c r="E13" i="47"/>
  <c r="B13" i="47"/>
  <c r="I7" i="47" s="1"/>
  <c r="E12" i="47"/>
  <c r="B12" i="47"/>
  <c r="I6" i="47" s="1"/>
  <c r="E11" i="47"/>
  <c r="AB23" i="3"/>
  <c r="Q20" i="3"/>
  <c r="AA23" i="3"/>
  <c r="Z23" i="3"/>
  <c r="Y23" i="3"/>
  <c r="X23" i="3"/>
  <c r="F10" i="436"/>
  <c r="W23" i="3"/>
  <c r="V23" i="3"/>
  <c r="U23" i="3"/>
  <c r="T23" i="3"/>
  <c r="P20" i="3"/>
  <c r="O20" i="3"/>
  <c r="N20" i="3"/>
  <c r="M20" i="3"/>
  <c r="L20" i="3"/>
  <c r="K20" i="3"/>
  <c r="J20" i="3"/>
  <c r="I20" i="3"/>
  <c r="H20" i="3"/>
  <c r="E39" i="40"/>
  <c r="E38" i="40"/>
  <c r="E37" i="40"/>
  <c r="E26" i="40"/>
  <c r="E25" i="40"/>
  <c r="E24" i="40"/>
  <c r="C21" i="40"/>
  <c r="C20" i="40"/>
  <c r="J14" i="40" s="1"/>
  <c r="B20" i="40"/>
  <c r="I14" i="40" s="1"/>
  <c r="C19" i="40"/>
  <c r="B19" i="40"/>
  <c r="I13" i="40" s="1"/>
  <c r="C18" i="40"/>
  <c r="B18" i="40"/>
  <c r="I12" i="40" s="1"/>
  <c r="B17" i="40"/>
  <c r="I11" i="40" s="1"/>
  <c r="C16" i="40"/>
  <c r="J10" i="40" s="1"/>
  <c r="C15" i="40"/>
  <c r="J9" i="40" s="1"/>
  <c r="B15" i="40"/>
  <c r="I9" i="40" s="1"/>
  <c r="C14" i="40"/>
  <c r="J8" i="40" s="1"/>
  <c r="B14" i="40"/>
  <c r="I8" i="40" s="1"/>
  <c r="E13" i="40"/>
  <c r="C13" i="40"/>
  <c r="J7" i="40" s="1"/>
  <c r="B13" i="40"/>
  <c r="I7" i="40" s="1"/>
  <c r="E12" i="40"/>
  <c r="C12" i="40"/>
  <c r="J6" i="40" s="1"/>
  <c r="B12" i="40"/>
  <c r="I6" i="40" s="1"/>
  <c r="E11" i="40"/>
  <c r="B7" i="40"/>
  <c r="B6" i="40"/>
  <c r="J4" i="40" s="1"/>
  <c r="C11" i="6"/>
  <c r="P40" i="13"/>
  <c r="P41" i="13" s="1"/>
  <c r="P42" i="13" s="1"/>
  <c r="P43" i="13" s="1"/>
  <c r="P44" i="13" s="1"/>
  <c r="P45" i="13" s="1"/>
  <c r="P46" i="13" s="1"/>
  <c r="P22" i="13"/>
  <c r="P23" i="13" s="1"/>
  <c r="P24" i="13" s="1"/>
  <c r="P25" i="13" s="1"/>
  <c r="P26" i="13" s="1"/>
  <c r="P5" i="13"/>
  <c r="P6" i="13" s="1"/>
  <c r="P7" i="13" s="1"/>
  <c r="P8" i="13" s="1"/>
  <c r="P9" i="13" s="1"/>
  <c r="B21" i="14"/>
  <c r="F15" i="14" s="1"/>
  <c r="B20" i="14"/>
  <c r="F14" i="14" s="1"/>
  <c r="B19" i="14"/>
  <c r="F13" i="14" s="1"/>
  <c r="B18" i="14"/>
  <c r="F12" i="14" s="1"/>
  <c r="B17" i="14"/>
  <c r="F11" i="14" s="1"/>
  <c r="B16" i="14"/>
  <c r="F10" i="14" s="1"/>
  <c r="B15" i="14"/>
  <c r="F9" i="14" s="1"/>
  <c r="B14" i="14"/>
  <c r="F8" i="14" s="1"/>
  <c r="B13" i="14"/>
  <c r="F7" i="14" s="1"/>
  <c r="B12" i="14"/>
  <c r="F6" i="14" s="1"/>
  <c r="L100" i="13"/>
  <c r="K100" i="13"/>
  <c r="J100" i="13"/>
  <c r="I100" i="13"/>
  <c r="H100" i="13"/>
  <c r="G100" i="13"/>
  <c r="F100" i="13"/>
  <c r="E100" i="13"/>
  <c r="D100" i="13"/>
  <c r="C100" i="13"/>
  <c r="B100" i="13"/>
  <c r="L99" i="13"/>
  <c r="K99" i="13"/>
  <c r="J99" i="13"/>
  <c r="I99" i="13"/>
  <c r="H99" i="13"/>
  <c r="G99" i="13"/>
  <c r="F99" i="13"/>
  <c r="E99" i="13"/>
  <c r="D99" i="13"/>
  <c r="C99" i="13"/>
  <c r="B99" i="13"/>
  <c r="L98" i="13"/>
  <c r="K98" i="13"/>
  <c r="J98" i="13"/>
  <c r="I98" i="13"/>
  <c r="H98" i="13"/>
  <c r="G98" i="13"/>
  <c r="F98" i="13"/>
  <c r="E98" i="13"/>
  <c r="D98" i="13"/>
  <c r="C98" i="13"/>
  <c r="B98" i="13"/>
  <c r="L97" i="13"/>
  <c r="K97" i="13"/>
  <c r="J97" i="13"/>
  <c r="I97" i="13"/>
  <c r="H97" i="13"/>
  <c r="G97" i="13"/>
  <c r="F97" i="13"/>
  <c r="E97" i="13"/>
  <c r="D97" i="13"/>
  <c r="C97" i="13"/>
  <c r="B97" i="13"/>
  <c r="L96" i="13"/>
  <c r="K96" i="13"/>
  <c r="J96" i="13"/>
  <c r="I96" i="13"/>
  <c r="H96" i="13"/>
  <c r="G96" i="13"/>
  <c r="F96" i="13"/>
  <c r="E96" i="13"/>
  <c r="D96" i="13"/>
  <c r="C96" i="13"/>
  <c r="B96" i="13"/>
  <c r="K78" i="13"/>
  <c r="J78" i="13"/>
  <c r="I78" i="13"/>
  <c r="H78" i="13"/>
  <c r="G78" i="13"/>
  <c r="F78" i="13"/>
  <c r="E78" i="13"/>
  <c r="D78" i="13"/>
  <c r="C78" i="13"/>
  <c r="B78" i="13"/>
  <c r="L77" i="13"/>
  <c r="K77" i="13"/>
  <c r="J77" i="13"/>
  <c r="I77" i="13"/>
  <c r="H77" i="13"/>
  <c r="G77" i="13"/>
  <c r="F77" i="13"/>
  <c r="E77" i="13"/>
  <c r="D77" i="13"/>
  <c r="C77" i="13"/>
  <c r="B77" i="13"/>
  <c r="E76" i="13"/>
  <c r="D76" i="13"/>
  <c r="C76" i="13"/>
  <c r="B76" i="13"/>
  <c r="E75" i="13"/>
  <c r="D75" i="13"/>
  <c r="C75" i="13"/>
  <c r="B75" i="13"/>
  <c r="E74" i="13"/>
  <c r="D74" i="13"/>
  <c r="C74" i="13"/>
  <c r="B74" i="13"/>
  <c r="E57" i="13"/>
  <c r="D57" i="13"/>
  <c r="C57" i="13"/>
  <c r="B57" i="13"/>
  <c r="L56" i="13"/>
  <c r="K56" i="13"/>
  <c r="J56" i="13"/>
  <c r="I56" i="13"/>
  <c r="H56" i="13"/>
  <c r="G56" i="13"/>
  <c r="F56" i="13"/>
  <c r="E56" i="13"/>
  <c r="D56" i="13"/>
  <c r="C56" i="13"/>
  <c r="B56" i="13"/>
  <c r="L55" i="13"/>
  <c r="K55" i="13"/>
  <c r="J55" i="13"/>
  <c r="I55" i="13"/>
  <c r="H55" i="13"/>
  <c r="G55" i="13"/>
  <c r="F55" i="13"/>
  <c r="E55" i="13"/>
  <c r="D55" i="13"/>
  <c r="C55" i="13"/>
  <c r="B55" i="13"/>
  <c r="L54" i="13"/>
  <c r="K54" i="13"/>
  <c r="J54" i="13"/>
  <c r="I54" i="13"/>
  <c r="H54" i="13"/>
  <c r="G54" i="13"/>
  <c r="F54" i="13"/>
  <c r="E54" i="13"/>
  <c r="D54" i="13"/>
  <c r="C54" i="13"/>
  <c r="B54" i="13"/>
  <c r="L53" i="13"/>
  <c r="K53" i="13"/>
  <c r="J53" i="13"/>
  <c r="I53" i="13"/>
  <c r="H53" i="13"/>
  <c r="G53" i="13"/>
  <c r="F53" i="13"/>
  <c r="E53" i="13"/>
  <c r="D53" i="13"/>
  <c r="C53" i="13"/>
  <c r="B53" i="13"/>
  <c r="L52" i="13"/>
  <c r="K52" i="13"/>
  <c r="J52" i="13"/>
  <c r="I52" i="13"/>
  <c r="H52" i="13"/>
  <c r="G52" i="13"/>
  <c r="F52" i="13"/>
  <c r="E52" i="13"/>
  <c r="D52" i="13"/>
  <c r="C52" i="13"/>
  <c r="B52" i="13"/>
  <c r="E51" i="13"/>
  <c r="D51" i="13"/>
  <c r="C51" i="13"/>
  <c r="B51" i="13"/>
  <c r="E35" i="13"/>
  <c r="D35" i="13"/>
  <c r="C35" i="13"/>
  <c r="B35" i="13"/>
  <c r="L34" i="13"/>
  <c r="K34" i="13"/>
  <c r="J34" i="13"/>
  <c r="I34" i="13"/>
  <c r="H34" i="13"/>
  <c r="G34" i="13"/>
  <c r="F34" i="13"/>
  <c r="E34" i="13"/>
  <c r="D34" i="13"/>
  <c r="C34" i="13"/>
  <c r="B34" i="13"/>
  <c r="L33" i="13"/>
  <c r="K33" i="13"/>
  <c r="J33" i="13"/>
  <c r="I33" i="13"/>
  <c r="H33" i="13"/>
  <c r="G33" i="13"/>
  <c r="F33" i="13"/>
  <c r="E33" i="13"/>
  <c r="D33" i="13"/>
  <c r="C33" i="13"/>
  <c r="B33" i="13"/>
  <c r="L32" i="13"/>
  <c r="K32" i="13"/>
  <c r="J32" i="13"/>
  <c r="I32" i="13"/>
  <c r="H32" i="13"/>
  <c r="G32" i="13"/>
  <c r="F32" i="13"/>
  <c r="E32" i="13"/>
  <c r="D32" i="13"/>
  <c r="C32" i="13"/>
  <c r="B32" i="13"/>
  <c r="L31" i="13"/>
  <c r="K31" i="13"/>
  <c r="J31" i="13"/>
  <c r="I31" i="13"/>
  <c r="H31" i="13"/>
  <c r="G31" i="13"/>
  <c r="F31" i="13"/>
  <c r="E31" i="13"/>
  <c r="D31" i="13"/>
  <c r="C31" i="13"/>
  <c r="B31" i="13"/>
  <c r="E17" i="13"/>
  <c r="D17" i="13"/>
  <c r="C17" i="13"/>
  <c r="B17" i="13"/>
  <c r="L16" i="13"/>
  <c r="K16" i="13"/>
  <c r="J16" i="13"/>
  <c r="I16" i="13"/>
  <c r="H16" i="13"/>
  <c r="G16" i="13"/>
  <c r="F16" i="13"/>
  <c r="E16" i="13"/>
  <c r="D16" i="13"/>
  <c r="C16" i="13"/>
  <c r="B16" i="13"/>
  <c r="L15" i="13"/>
  <c r="K15" i="13"/>
  <c r="J15" i="13"/>
  <c r="I15" i="13"/>
  <c r="H15" i="13"/>
  <c r="G15" i="13"/>
  <c r="F15" i="13"/>
  <c r="E15" i="13"/>
  <c r="D15" i="13"/>
  <c r="C15" i="13"/>
  <c r="B15" i="13"/>
  <c r="L14" i="13"/>
  <c r="K14" i="13"/>
  <c r="J14" i="13"/>
  <c r="I14" i="13"/>
  <c r="H14" i="13"/>
  <c r="G14" i="13"/>
  <c r="F14" i="13"/>
  <c r="E14" i="13"/>
  <c r="D14" i="13"/>
  <c r="C14" i="13"/>
  <c r="B14" i="13"/>
  <c r="L13" i="13"/>
  <c r="K13" i="13"/>
  <c r="J13" i="13"/>
  <c r="I13" i="13"/>
  <c r="H13" i="13"/>
  <c r="G13" i="13"/>
  <c r="F13" i="13"/>
  <c r="E13" i="13"/>
  <c r="D13" i="13"/>
  <c r="C13" i="13"/>
  <c r="B13" i="13"/>
  <c r="U21" i="3"/>
  <c r="V21" i="3"/>
  <c r="Y21" i="3"/>
  <c r="Z21" i="3"/>
  <c r="AA21" i="3"/>
  <c r="W21" i="3"/>
  <c r="X21" i="3"/>
  <c r="AB21" i="3"/>
  <c r="U22" i="3"/>
  <c r="V22" i="3"/>
  <c r="Y22" i="3"/>
  <c r="Z22" i="3"/>
  <c r="AA22" i="3"/>
  <c r="W22" i="3"/>
  <c r="X22" i="3"/>
  <c r="AB22" i="3"/>
  <c r="U24" i="3"/>
  <c r="V24" i="3"/>
  <c r="Y24" i="3"/>
  <c r="Z24" i="3"/>
  <c r="AA24" i="3"/>
  <c r="F39" i="484"/>
  <c r="W24" i="3"/>
  <c r="F22" i="422"/>
  <c r="X24" i="3"/>
  <c r="AB24" i="3"/>
  <c r="F27" i="422"/>
  <c r="U27" i="3"/>
  <c r="V27" i="3"/>
  <c r="T27" i="3"/>
  <c r="T24" i="3"/>
  <c r="F19" i="484"/>
  <c r="T22" i="3"/>
  <c r="T21" i="3"/>
  <c r="U20" i="3"/>
  <c r="V20" i="3"/>
  <c r="Y20" i="3"/>
  <c r="Z20" i="3"/>
  <c r="AA20" i="3"/>
  <c r="W20" i="3"/>
  <c r="X20" i="3"/>
  <c r="AB20" i="3"/>
  <c r="T20" i="3"/>
  <c r="U19" i="3"/>
  <c r="V19" i="3"/>
  <c r="Y19" i="3"/>
  <c r="Z19" i="3"/>
  <c r="AA19" i="3"/>
  <c r="W19" i="3"/>
  <c r="X19" i="3"/>
  <c r="AB19" i="3"/>
  <c r="T19" i="3"/>
  <c r="I16" i="3"/>
  <c r="J16" i="3"/>
  <c r="K16" i="3"/>
  <c r="L16" i="3"/>
  <c r="M16" i="3"/>
  <c r="N16" i="3"/>
  <c r="O16" i="3"/>
  <c r="P16" i="3"/>
  <c r="Q16" i="3"/>
  <c r="H16" i="3"/>
  <c r="Q17" i="3"/>
  <c r="Q18" i="3"/>
  <c r="Q19" i="3"/>
  <c r="I19" i="3"/>
  <c r="J19" i="3"/>
  <c r="K19" i="3"/>
  <c r="L19" i="3"/>
  <c r="M19" i="3"/>
  <c r="N19" i="3"/>
  <c r="O19" i="3"/>
  <c r="P19" i="3"/>
  <c r="H19" i="3"/>
  <c r="I18" i="3"/>
  <c r="J18" i="3"/>
  <c r="K18" i="3"/>
  <c r="L18" i="3"/>
  <c r="M18" i="3"/>
  <c r="N18" i="3"/>
  <c r="O18" i="3"/>
  <c r="P18" i="3"/>
  <c r="H18" i="3"/>
  <c r="I17" i="3"/>
  <c r="J17" i="3"/>
  <c r="K17" i="3"/>
  <c r="L17" i="3"/>
  <c r="M17" i="3"/>
  <c r="N17" i="3"/>
  <c r="O17" i="3"/>
  <c r="P17" i="3"/>
  <c r="H17" i="3"/>
  <c r="B16" i="40"/>
  <c r="I10" i="40" s="1"/>
  <c r="F12" i="131"/>
  <c r="C18" i="48"/>
  <c r="F19" i="77"/>
  <c r="C18" i="72"/>
  <c r="F12" i="93"/>
  <c r="F38" i="40"/>
  <c r="F8" i="40"/>
  <c r="F6" i="40"/>
  <c r="F7" i="40"/>
  <c r="F14" i="40"/>
  <c r="F9" i="40"/>
  <c r="F10" i="40"/>
  <c r="F39" i="40"/>
  <c r="F40" i="40"/>
  <c r="F12" i="40"/>
  <c r="F32" i="40"/>
  <c r="F33" i="40"/>
  <c r="F34" i="40"/>
  <c r="F35" i="40"/>
  <c r="F13" i="40"/>
  <c r="F36" i="40"/>
  <c r="H20" i="374"/>
  <c r="H20" i="372"/>
  <c r="B20" i="372"/>
  <c r="E20" i="373"/>
  <c r="B20" i="373"/>
  <c r="E20" i="371"/>
  <c r="E16" i="371"/>
  <c r="H16" i="372"/>
  <c r="F32" i="437"/>
  <c r="F6" i="437"/>
  <c r="F19" i="437"/>
  <c r="F19" i="436"/>
  <c r="C20" i="432"/>
  <c r="J14" i="432" s="1"/>
  <c r="C20" i="437"/>
  <c r="J14" i="437" s="1"/>
  <c r="C20" i="436"/>
  <c r="J14" i="436" s="1"/>
  <c r="F12" i="437"/>
  <c r="F25" i="437"/>
  <c r="C18" i="437"/>
  <c r="C18" i="436"/>
  <c r="F10" i="437"/>
  <c r="F37" i="436"/>
  <c r="C19" i="432"/>
  <c r="C19" i="437"/>
  <c r="C19" i="436"/>
  <c r="C13" i="437"/>
  <c r="J7" i="437" s="1"/>
  <c r="C14" i="432"/>
  <c r="J8" i="432" s="1"/>
  <c r="F7" i="437"/>
  <c r="F26" i="432"/>
  <c r="F32" i="432"/>
  <c r="F36" i="432"/>
  <c r="F40" i="432"/>
  <c r="F34" i="431"/>
  <c r="C19" i="98"/>
  <c r="C19" i="431"/>
  <c r="F32" i="431"/>
  <c r="C20" i="402"/>
  <c r="J14" i="402" s="1"/>
  <c r="C20" i="431"/>
  <c r="J14" i="431" s="1"/>
  <c r="C18" i="402"/>
  <c r="C18" i="431"/>
  <c r="F23" i="431"/>
  <c r="F37" i="431"/>
  <c r="F24" i="431"/>
  <c r="C17" i="408"/>
  <c r="F27" i="408"/>
  <c r="H17" i="409"/>
  <c r="L40" i="375" s="1"/>
  <c r="E17" i="409"/>
  <c r="L39" i="375" s="1"/>
  <c r="B17" i="409"/>
  <c r="L38" i="375" s="1"/>
  <c r="F26" i="398"/>
  <c r="F21" i="408"/>
  <c r="F21" i="394"/>
  <c r="F20" i="407"/>
  <c r="F20" i="394"/>
  <c r="F19" i="63"/>
  <c r="F19" i="407"/>
  <c r="F19" i="408"/>
  <c r="F19" i="406"/>
  <c r="F6" i="422"/>
  <c r="F25" i="406"/>
  <c r="F25" i="394"/>
  <c r="F10" i="401"/>
  <c r="F23" i="398"/>
  <c r="F23" i="407"/>
  <c r="F10" i="422"/>
  <c r="F36" i="423"/>
  <c r="F24" i="398"/>
  <c r="F11" i="423"/>
  <c r="F37" i="406"/>
  <c r="C19" i="423"/>
  <c r="C18" i="423"/>
  <c r="C21" i="422"/>
  <c r="C20" i="422"/>
  <c r="J14" i="422" s="1"/>
  <c r="C20" i="423"/>
  <c r="J14" i="423" s="1"/>
  <c r="C13" i="423"/>
  <c r="J7" i="423" s="1"/>
  <c r="C13" i="422"/>
  <c r="J7" i="422" s="1"/>
  <c r="C14" i="423"/>
  <c r="J8" i="423" s="1"/>
  <c r="F10" i="67"/>
  <c r="F23" i="92"/>
  <c r="F36" i="86"/>
  <c r="C13" i="78"/>
  <c r="J7" i="78" s="1"/>
  <c r="C13" i="126"/>
  <c r="J7" i="126" s="1"/>
  <c r="C13" i="391"/>
  <c r="J7" i="391" s="1"/>
  <c r="E119" i="146" a="1"/>
  <c r="E119" i="146" s="1"/>
  <c r="F34" i="106"/>
  <c r="F27" i="360"/>
  <c r="B17" i="372"/>
  <c r="L11" i="375" s="1"/>
  <c r="H17" i="371"/>
  <c r="L4" i="375" s="1"/>
  <c r="C13" i="69"/>
  <c r="J7" i="69" s="1"/>
  <c r="B17" i="374"/>
  <c r="L29" i="375" s="1"/>
  <c r="C13" i="67"/>
  <c r="J7" i="67" s="1"/>
  <c r="B17" i="371"/>
  <c r="C13" i="52"/>
  <c r="J7" i="52" s="1"/>
  <c r="C13" i="68"/>
  <c r="J7" i="68" s="1"/>
  <c r="H17" i="372"/>
  <c r="L13" i="375" s="1"/>
  <c r="C13" i="56"/>
  <c r="J7" i="56" s="1"/>
  <c r="H17" i="374"/>
  <c r="L31" i="375" s="1"/>
  <c r="E17" i="373"/>
  <c r="L21" i="375" s="1"/>
  <c r="C13" i="112"/>
  <c r="J7" i="112" s="1"/>
  <c r="C13" i="77"/>
  <c r="J7" i="77" s="1"/>
  <c r="E17" i="372"/>
  <c r="L12" i="375" s="1"/>
  <c r="H17" i="373"/>
  <c r="L22" i="375" s="1"/>
  <c r="E17" i="374"/>
  <c r="L30" i="375" s="1"/>
  <c r="C13" i="71"/>
  <c r="J7" i="71" s="1"/>
  <c r="C19" i="61"/>
  <c r="F7" i="126"/>
  <c r="F6" i="78"/>
  <c r="F34" i="378"/>
  <c r="F19" i="106"/>
  <c r="F8" i="391"/>
  <c r="F34" i="395"/>
  <c r="F32" i="83"/>
  <c r="F7" i="47"/>
  <c r="F32" i="70"/>
  <c r="F33" i="131"/>
  <c r="F10" i="57"/>
  <c r="E15" i="372"/>
  <c r="F32" i="58"/>
  <c r="F34" i="386"/>
  <c r="F6" i="86"/>
  <c r="F32" i="126"/>
  <c r="F8" i="55"/>
  <c r="F36" i="50"/>
  <c r="F6" i="361"/>
  <c r="F33" i="88"/>
  <c r="C12" i="87"/>
  <c r="J6" i="87" s="1"/>
  <c r="F32" i="361"/>
  <c r="F32" i="71"/>
  <c r="F21" i="131"/>
  <c r="F19" i="54"/>
  <c r="C16" i="387"/>
  <c r="J10" i="387" s="1"/>
  <c r="F19" i="362"/>
  <c r="F19" i="111"/>
  <c r="F6" i="98"/>
  <c r="F6" i="50"/>
  <c r="C12" i="49"/>
  <c r="J6" i="49" s="1"/>
  <c r="F32" i="391"/>
  <c r="F19" i="379"/>
  <c r="F34" i="114"/>
  <c r="F32" i="114"/>
  <c r="F19" i="360"/>
  <c r="F21" i="72"/>
  <c r="C13" i="362"/>
  <c r="J7" i="362" s="1"/>
  <c r="F32" i="119"/>
  <c r="F6" i="68"/>
  <c r="F19" i="67"/>
  <c r="C12" i="63"/>
  <c r="J6" i="63" s="1"/>
  <c r="F34" i="74"/>
  <c r="F32" i="64"/>
  <c r="F19" i="119"/>
  <c r="F19" i="56"/>
  <c r="F32" i="360"/>
  <c r="F34" i="71"/>
  <c r="F32" i="93"/>
  <c r="F6" i="60"/>
  <c r="F6" i="56"/>
  <c r="F32" i="48"/>
  <c r="F8" i="361"/>
  <c r="C12" i="379"/>
  <c r="J6" i="379" s="1"/>
  <c r="F6" i="77"/>
  <c r="F32" i="111"/>
  <c r="F32" i="49"/>
  <c r="F6" i="71"/>
  <c r="F32" i="61"/>
  <c r="C13" i="50"/>
  <c r="J7" i="50" s="1"/>
  <c r="F32" i="378"/>
  <c r="F6" i="92"/>
  <c r="F6" i="88"/>
  <c r="F32" i="68"/>
  <c r="F6" i="75"/>
  <c r="F32" i="112"/>
  <c r="C13" i="93"/>
  <c r="J7" i="93" s="1"/>
  <c r="F6" i="119"/>
  <c r="F21" i="390"/>
  <c r="F6" i="55"/>
  <c r="F34" i="69"/>
  <c r="F21" i="92"/>
  <c r="F32" i="56"/>
  <c r="F6" i="125"/>
  <c r="C12" i="90"/>
  <c r="J6" i="90" s="1"/>
  <c r="F6" i="362"/>
  <c r="F6" i="360"/>
  <c r="F8" i="87"/>
  <c r="F34" i="125"/>
  <c r="F6" i="52"/>
  <c r="F32" i="55"/>
  <c r="F6" i="379"/>
  <c r="F32" i="362"/>
  <c r="F34" i="93"/>
  <c r="F8" i="83"/>
  <c r="F6" i="112"/>
  <c r="F9" i="111"/>
  <c r="F6" i="74"/>
  <c r="F19" i="91"/>
  <c r="F6" i="47"/>
  <c r="C13" i="119"/>
  <c r="J7" i="119" s="1"/>
  <c r="F21" i="397"/>
  <c r="F21" i="87"/>
  <c r="F34" i="105"/>
  <c r="F21" i="387"/>
  <c r="F6" i="131"/>
  <c r="F19" i="59"/>
  <c r="F32" i="63"/>
  <c r="F19" i="76"/>
  <c r="F34" i="51"/>
  <c r="C13" i="378"/>
  <c r="J7" i="378" s="1"/>
  <c r="F8" i="67"/>
  <c r="F8" i="126"/>
  <c r="F32" i="386"/>
  <c r="F19" i="51"/>
  <c r="F32" i="87"/>
  <c r="F6" i="83"/>
  <c r="C13" i="75"/>
  <c r="J7" i="75" s="1"/>
  <c r="C12" i="70"/>
  <c r="J6" i="70" s="1"/>
  <c r="C12" i="86"/>
  <c r="J6" i="86" s="1"/>
  <c r="F21" i="61"/>
  <c r="E16" i="372"/>
  <c r="F34" i="55"/>
  <c r="F21" i="78"/>
  <c r="F19" i="386"/>
  <c r="F6" i="106"/>
  <c r="F6" i="57"/>
  <c r="C13" i="370"/>
  <c r="G7" i="370" s="1"/>
  <c r="F8" i="360"/>
  <c r="F21" i="126"/>
  <c r="F8" i="52"/>
  <c r="F32" i="387"/>
  <c r="B16" i="372"/>
  <c r="F32" i="60"/>
  <c r="F19" i="53"/>
  <c r="F19" i="90"/>
  <c r="C12" i="55"/>
  <c r="J6" i="55" s="1"/>
  <c r="C13" i="64"/>
  <c r="J7" i="64" s="1"/>
  <c r="C13" i="394"/>
  <c r="J7" i="394" s="1"/>
  <c r="F32" i="54"/>
  <c r="F19" i="387"/>
  <c r="F6" i="61"/>
  <c r="F19" i="57"/>
  <c r="F19" i="61"/>
  <c r="F19" i="125"/>
  <c r="F32" i="395"/>
  <c r="F21" i="52"/>
  <c r="F8" i="98"/>
  <c r="C12" i="71"/>
  <c r="J6" i="71" s="1"/>
  <c r="C12" i="387"/>
  <c r="J6" i="387" s="1"/>
  <c r="F19" i="49"/>
  <c r="F6" i="51"/>
  <c r="E20" i="409"/>
  <c r="F34" i="76"/>
  <c r="H20" i="409"/>
  <c r="F34" i="362"/>
  <c r="F6" i="69"/>
  <c r="F21" i="56"/>
  <c r="F32" i="47"/>
  <c r="C12" i="111"/>
  <c r="J6" i="111" s="1"/>
  <c r="F21" i="63"/>
  <c r="F6" i="378"/>
  <c r="F6" i="64"/>
  <c r="F32" i="92"/>
  <c r="F8" i="379"/>
  <c r="F19" i="72"/>
  <c r="F19" i="93"/>
  <c r="F6" i="394"/>
  <c r="F34" i="377"/>
  <c r="F34" i="78"/>
  <c r="F8" i="66"/>
  <c r="F32" i="62"/>
  <c r="F6" i="48"/>
  <c r="F19" i="75"/>
  <c r="C12" i="72"/>
  <c r="J6" i="72" s="1"/>
  <c r="C13" i="53"/>
  <c r="J7" i="53" s="1"/>
  <c r="F32" i="379"/>
  <c r="F19" i="378"/>
  <c r="F8" i="70"/>
  <c r="F32" i="125"/>
  <c r="F21" i="65"/>
  <c r="F32" i="76"/>
  <c r="F6" i="91"/>
  <c r="F32" i="72"/>
  <c r="F19" i="60"/>
  <c r="F21" i="391"/>
  <c r="E15" i="373"/>
  <c r="F6" i="93"/>
  <c r="C12" i="378"/>
  <c r="J6" i="378" s="1"/>
  <c r="F21" i="125"/>
  <c r="F6" i="65"/>
  <c r="F6" i="114"/>
  <c r="C12" i="360"/>
  <c r="J6" i="360" s="1"/>
  <c r="F8" i="58"/>
  <c r="B16" i="371"/>
  <c r="F19" i="62"/>
  <c r="F6" i="58"/>
  <c r="F19" i="50"/>
  <c r="F19" i="98"/>
  <c r="C12" i="390"/>
  <c r="J6" i="390" s="1"/>
  <c r="F27" i="387"/>
  <c r="F40" i="125"/>
  <c r="C17" i="47"/>
  <c r="F27" i="86"/>
  <c r="F27" i="111"/>
  <c r="F11" i="131"/>
  <c r="F19" i="375"/>
  <c r="F27" i="52"/>
  <c r="F27" i="56"/>
  <c r="F40" i="77"/>
  <c r="F24" i="76"/>
  <c r="F40" i="92"/>
  <c r="F40" i="48"/>
  <c r="F40" i="87"/>
  <c r="C19" i="75"/>
  <c r="F20" i="106"/>
  <c r="F40" i="83"/>
  <c r="F27" i="119"/>
  <c r="F27" i="63"/>
  <c r="F37" i="55"/>
  <c r="F24" i="58"/>
  <c r="F14" i="386"/>
  <c r="F14" i="58"/>
  <c r="F40" i="114"/>
  <c r="F7" i="114"/>
  <c r="F14" i="53"/>
  <c r="F27" i="106"/>
  <c r="F40" i="51"/>
  <c r="F27" i="57"/>
  <c r="F33" i="91"/>
  <c r="F11" i="397"/>
  <c r="F14" i="361"/>
  <c r="F40" i="378"/>
  <c r="F20" i="126"/>
  <c r="F14" i="387"/>
  <c r="F14" i="379"/>
  <c r="F20" i="78"/>
  <c r="F40" i="53"/>
  <c r="F40" i="52"/>
  <c r="D48" i="145" a="1"/>
  <c r="D48" i="145" s="1"/>
  <c r="F38" i="49"/>
  <c r="F38" i="360"/>
  <c r="C20" i="68"/>
  <c r="J14" i="68" s="1"/>
  <c r="F38" i="77"/>
  <c r="F12" i="105"/>
  <c r="F25" i="69"/>
  <c r="B18" i="409"/>
  <c r="L41" i="375" s="1"/>
  <c r="F12" i="59"/>
  <c r="F38" i="126"/>
  <c r="F38" i="361"/>
  <c r="F12" i="49"/>
  <c r="F12" i="125"/>
  <c r="F25" i="88"/>
  <c r="F25" i="48"/>
  <c r="F38" i="91"/>
  <c r="C20" i="390"/>
  <c r="J14" i="390" s="1"/>
  <c r="C18" i="56"/>
  <c r="F25" i="379"/>
  <c r="F25" i="112"/>
  <c r="C20" i="408"/>
  <c r="J14" i="408" s="1"/>
  <c r="E19" i="409"/>
  <c r="L45" i="375" s="1"/>
  <c r="F25" i="98"/>
  <c r="F12" i="379"/>
  <c r="H16" i="371"/>
  <c r="C20" i="387"/>
  <c r="J14" i="387" s="1"/>
  <c r="F12" i="106"/>
  <c r="F38" i="86"/>
  <c r="C18" i="73"/>
  <c r="H20" i="371"/>
  <c r="F25" i="387"/>
  <c r="F12" i="76"/>
  <c r="F12" i="57"/>
  <c r="F38" i="48"/>
  <c r="F12" i="62"/>
  <c r="F38" i="58"/>
  <c r="H16" i="373"/>
  <c r="B20" i="374"/>
  <c r="F25" i="75"/>
  <c r="F12" i="111"/>
  <c r="F38" i="63"/>
  <c r="C18" i="90"/>
  <c r="F25" i="60"/>
  <c r="F12" i="77"/>
  <c r="F38" i="88"/>
  <c r="B16" i="409"/>
  <c r="F25" i="386"/>
  <c r="C20" i="406"/>
  <c r="J14" i="406" s="1"/>
  <c r="E16" i="409"/>
  <c r="H16" i="409"/>
  <c r="F38" i="62"/>
  <c r="F12" i="360"/>
  <c r="C20" i="105"/>
  <c r="J14" i="105" s="1"/>
  <c r="C20" i="119"/>
  <c r="J14" i="119" s="1"/>
  <c r="C18" i="70"/>
  <c r="F12" i="69"/>
  <c r="F25" i="106"/>
  <c r="C18" i="60"/>
  <c r="F12" i="91"/>
  <c r="F38" i="111"/>
  <c r="C18" i="360"/>
  <c r="C18" i="69"/>
  <c r="F22" i="386"/>
  <c r="F12" i="86"/>
  <c r="F12" i="377"/>
  <c r="F25" i="86"/>
  <c r="F38" i="377"/>
  <c r="E16" i="373"/>
  <c r="F38" i="112"/>
  <c r="C18" i="98"/>
  <c r="F25" i="70"/>
  <c r="F35" i="56"/>
  <c r="C18" i="394"/>
  <c r="C20" i="61"/>
  <c r="J14" i="61" s="1"/>
  <c r="F25" i="91"/>
  <c r="B16" i="374"/>
  <c r="F38" i="55"/>
  <c r="F22" i="361"/>
  <c r="F12" i="361"/>
  <c r="E16" i="374"/>
  <c r="F9" i="379"/>
  <c r="F25" i="55"/>
  <c r="C18" i="125"/>
  <c r="F38" i="56"/>
  <c r="C20" i="407"/>
  <c r="J14" i="407" s="1"/>
  <c r="F10" i="406"/>
  <c r="C19" i="406"/>
  <c r="C19" i="408"/>
  <c r="F34" i="406"/>
  <c r="F36" i="407"/>
  <c r="F36" i="408"/>
  <c r="F12" i="407"/>
  <c r="C21" i="406"/>
  <c r="C21" i="407"/>
  <c r="F7" i="402"/>
  <c r="F13" i="408"/>
  <c r="F39" i="406"/>
  <c r="F39" i="407"/>
  <c r="F13" i="406"/>
  <c r="C14" i="408"/>
  <c r="J8" i="408" s="1"/>
  <c r="C14" i="406"/>
  <c r="J8" i="406" s="1"/>
  <c r="F14" i="407"/>
  <c r="F6" i="407"/>
  <c r="F6" i="408"/>
  <c r="F6" i="406"/>
  <c r="F7" i="407"/>
  <c r="F7" i="408"/>
  <c r="C16" i="408"/>
  <c r="J10" i="408" s="1"/>
  <c r="C16" i="406"/>
  <c r="J10" i="406" s="1"/>
  <c r="F8" i="407"/>
  <c r="F32" i="406"/>
  <c r="F32" i="407"/>
  <c r="C18" i="408"/>
  <c r="C18" i="406"/>
  <c r="F9" i="406"/>
  <c r="F10" i="408"/>
  <c r="F33" i="408"/>
  <c r="D31" i="145" a="1"/>
  <c r="D31" i="145" s="1"/>
  <c r="D45" i="145" a="1"/>
  <c r="D45" i="145" s="1"/>
  <c r="D43" i="145" a="1"/>
  <c r="D43" i="145" s="1"/>
  <c r="D41" i="145" a="1"/>
  <c r="D41" i="145" s="1"/>
  <c r="D44" i="145" a="1"/>
  <c r="D44" i="145" s="1"/>
  <c r="D42" i="145" a="1"/>
  <c r="D42" i="145" s="1"/>
  <c r="F13" i="90"/>
  <c r="F13" i="71"/>
  <c r="F20" i="68"/>
  <c r="F7" i="59"/>
  <c r="F33" i="70"/>
  <c r="F7" i="77"/>
  <c r="C19" i="72"/>
  <c r="F20" i="377"/>
  <c r="F20" i="54"/>
  <c r="C19" i="69"/>
  <c r="F7" i="125"/>
  <c r="F33" i="47"/>
  <c r="F33" i="78"/>
  <c r="F7" i="69"/>
  <c r="F33" i="119"/>
  <c r="F33" i="60"/>
  <c r="F7" i="395"/>
  <c r="F33" i="67"/>
  <c r="F33" i="111"/>
  <c r="F33" i="379"/>
  <c r="F13" i="378"/>
  <c r="F20" i="90"/>
  <c r="F33" i="125"/>
  <c r="F33" i="72"/>
  <c r="F7" i="386"/>
  <c r="F20" i="98"/>
  <c r="F20" i="67"/>
  <c r="F20" i="86"/>
  <c r="F20" i="76"/>
  <c r="F33" i="65"/>
  <c r="F7" i="76"/>
  <c r="F7" i="63"/>
  <c r="F7" i="391"/>
  <c r="F7" i="48"/>
  <c r="F8" i="401"/>
  <c r="F20" i="360"/>
  <c r="F33" i="90"/>
  <c r="F20" i="362"/>
  <c r="F7" i="377"/>
  <c r="F33" i="59"/>
  <c r="F33" i="73"/>
  <c r="C19" i="125"/>
  <c r="F33" i="387"/>
  <c r="F33" i="106"/>
  <c r="F26" i="59"/>
  <c r="F20" i="74"/>
  <c r="F7" i="91"/>
  <c r="F33" i="74"/>
  <c r="F33" i="54"/>
  <c r="F20" i="390"/>
  <c r="F7" i="72"/>
  <c r="F7" i="53"/>
  <c r="F7" i="87"/>
  <c r="F20" i="361"/>
  <c r="F7" i="57"/>
  <c r="F33" i="377"/>
  <c r="C19" i="360"/>
  <c r="F20" i="387"/>
  <c r="F33" i="57"/>
  <c r="F20" i="57"/>
  <c r="F33" i="62"/>
  <c r="F33" i="69"/>
  <c r="F20" i="61"/>
  <c r="F33" i="114"/>
  <c r="F20" i="114"/>
  <c r="F20" i="65"/>
  <c r="F7" i="55"/>
  <c r="F7" i="92"/>
  <c r="F33" i="77"/>
  <c r="F7" i="131"/>
  <c r="F7" i="111"/>
  <c r="F7" i="70"/>
  <c r="F20" i="397"/>
  <c r="F7" i="64"/>
  <c r="F20" i="75"/>
  <c r="F7" i="379"/>
  <c r="F7" i="62"/>
  <c r="F7" i="73"/>
  <c r="F7" i="52"/>
  <c r="F7" i="394"/>
  <c r="F7" i="398"/>
  <c r="F33" i="71"/>
  <c r="F20" i="49"/>
  <c r="F20" i="125"/>
  <c r="F33" i="55"/>
  <c r="F20" i="91"/>
  <c r="R20" i="375"/>
  <c r="F7" i="390"/>
  <c r="F20" i="379"/>
  <c r="F33" i="66"/>
  <c r="F20" i="87"/>
  <c r="F20" i="88"/>
  <c r="C19" i="111"/>
  <c r="F20" i="52"/>
  <c r="F20" i="56"/>
  <c r="F20" i="53"/>
  <c r="F13" i="106"/>
  <c r="F7" i="65"/>
  <c r="F33" i="75"/>
  <c r="F33" i="360"/>
  <c r="C19" i="362"/>
  <c r="F7" i="387"/>
  <c r="F7" i="93"/>
  <c r="F26" i="71"/>
  <c r="F20" i="112"/>
  <c r="F20" i="51"/>
  <c r="F20" i="55"/>
  <c r="F33" i="105"/>
  <c r="F33" i="390"/>
  <c r="F7" i="88"/>
  <c r="F33" i="98"/>
  <c r="F20" i="59"/>
  <c r="F33" i="92"/>
  <c r="F33" i="64"/>
  <c r="F37" i="77"/>
  <c r="C20" i="50"/>
  <c r="J14" i="50" s="1"/>
  <c r="F23" i="53"/>
  <c r="F36" i="73"/>
  <c r="C21" i="62"/>
  <c r="C20" i="83"/>
  <c r="J14" i="83" s="1"/>
  <c r="C20" i="93"/>
  <c r="J14" i="93" s="1"/>
  <c r="C20" i="377"/>
  <c r="J14" i="377" s="1"/>
  <c r="F24" i="48"/>
  <c r="F24" i="56"/>
  <c r="C20" i="60"/>
  <c r="J14" i="60" s="1"/>
  <c r="C20" i="386"/>
  <c r="J14" i="386" s="1"/>
  <c r="C21" i="72"/>
  <c r="C21" i="68"/>
  <c r="F10" i="64"/>
  <c r="F23" i="65"/>
  <c r="F36" i="98"/>
  <c r="F10" i="112"/>
  <c r="F23" i="68"/>
  <c r="F36" i="93"/>
  <c r="F11" i="390"/>
  <c r="C20" i="394"/>
  <c r="J14" i="394" s="1"/>
  <c r="F36" i="398"/>
  <c r="F36" i="397"/>
  <c r="F23" i="379"/>
  <c r="C20" i="106"/>
  <c r="J14" i="106" s="1"/>
  <c r="F11" i="361"/>
  <c r="C20" i="48"/>
  <c r="J14" i="48" s="1"/>
  <c r="C20" i="51"/>
  <c r="J14" i="51" s="1"/>
  <c r="F37" i="48"/>
  <c r="C20" i="57"/>
  <c r="J14" i="57" s="1"/>
  <c r="C21" i="112"/>
  <c r="C21" i="50"/>
  <c r="F36" i="78"/>
  <c r="F10" i="60"/>
  <c r="F23" i="57"/>
  <c r="F23" i="126"/>
  <c r="F36" i="55"/>
  <c r="F23" i="119"/>
  <c r="F23" i="83"/>
  <c r="F23" i="75"/>
  <c r="F36" i="47"/>
  <c r="F36" i="126"/>
  <c r="C20" i="98"/>
  <c r="J14" i="98" s="1"/>
  <c r="C21" i="111"/>
  <c r="C20" i="77"/>
  <c r="J14" i="77" s="1"/>
  <c r="C20" i="112"/>
  <c r="J14" i="112" s="1"/>
  <c r="C21" i="51"/>
  <c r="C21" i="92"/>
  <c r="F24" i="74"/>
  <c r="F37" i="49"/>
  <c r="F11" i="62"/>
  <c r="F11" i="387"/>
  <c r="C21" i="74"/>
  <c r="F36" i="74"/>
  <c r="F10" i="56"/>
  <c r="F23" i="52"/>
  <c r="F23" i="48"/>
  <c r="F11" i="52"/>
  <c r="F23" i="67"/>
  <c r="F10" i="75"/>
  <c r="C20" i="391"/>
  <c r="J14" i="391" s="1"/>
  <c r="C20" i="395"/>
  <c r="J14" i="395" s="1"/>
  <c r="C20" i="397"/>
  <c r="J14" i="397" s="1"/>
  <c r="C12" i="404"/>
  <c r="J6" i="404" s="1"/>
  <c r="C17" i="404"/>
  <c r="F23" i="404"/>
  <c r="F36" i="404"/>
  <c r="F36" i="361"/>
  <c r="C20" i="362"/>
  <c r="J14" i="362" s="1"/>
  <c r="C21" i="65"/>
  <c r="F37" i="105"/>
  <c r="F24" i="55"/>
  <c r="F36" i="66"/>
  <c r="F36" i="49"/>
  <c r="F36" i="91"/>
  <c r="F10" i="111"/>
  <c r="F36" i="64"/>
  <c r="F23" i="55"/>
  <c r="F10" i="71"/>
  <c r="F36" i="105"/>
  <c r="F10" i="91"/>
  <c r="F10" i="397"/>
  <c r="F6" i="404"/>
  <c r="C20" i="92"/>
  <c r="J14" i="92" s="1"/>
  <c r="C20" i="114"/>
  <c r="J14" i="114" s="1"/>
  <c r="F10" i="361"/>
  <c r="C20" i="126"/>
  <c r="J14" i="126" s="1"/>
  <c r="C20" i="91"/>
  <c r="J14" i="91" s="1"/>
  <c r="C21" i="49"/>
  <c r="F11" i="87"/>
  <c r="C21" i="387"/>
  <c r="C21" i="52"/>
  <c r="C21" i="78"/>
  <c r="F36" i="48"/>
  <c r="F23" i="47"/>
  <c r="F23" i="90"/>
  <c r="F10" i="90"/>
  <c r="F36" i="92"/>
  <c r="F10" i="62"/>
  <c r="F10" i="54"/>
  <c r="F23" i="64"/>
  <c r="C18" i="404"/>
  <c r="F23" i="59"/>
  <c r="C20" i="111"/>
  <c r="J14" i="111" s="1"/>
  <c r="C20" i="370"/>
  <c r="F11" i="56"/>
  <c r="F23" i="88"/>
  <c r="F36" i="72"/>
  <c r="F36" i="60"/>
  <c r="F10" i="63"/>
  <c r="F10" i="114"/>
  <c r="F36" i="360"/>
  <c r="C20" i="73"/>
  <c r="J14" i="73" s="1"/>
  <c r="C20" i="88"/>
  <c r="J14" i="88" s="1"/>
  <c r="C20" i="55"/>
  <c r="J14" i="55" s="1"/>
  <c r="F10" i="88"/>
  <c r="F10" i="49"/>
  <c r="F36" i="65"/>
  <c r="F23" i="50"/>
  <c r="C21" i="379"/>
  <c r="F37" i="377"/>
  <c r="C20" i="87"/>
  <c r="J14" i="87" s="1"/>
  <c r="C20" i="63"/>
  <c r="J14" i="63" s="1"/>
  <c r="C21" i="106"/>
  <c r="F37" i="69"/>
  <c r="F24" i="88"/>
  <c r="C20" i="58"/>
  <c r="J14" i="58" s="1"/>
  <c r="C21" i="386"/>
  <c r="F10" i="87"/>
  <c r="F10" i="78"/>
  <c r="F10" i="58"/>
  <c r="F36" i="61"/>
  <c r="C19" i="404"/>
  <c r="F38" i="404"/>
  <c r="F10" i="360"/>
  <c r="F10" i="73"/>
  <c r="F36" i="394"/>
  <c r="F7" i="404"/>
  <c r="C20" i="125"/>
  <c r="J14" i="125" s="1"/>
  <c r="C20" i="52"/>
  <c r="J14" i="52" s="1"/>
  <c r="F10" i="131"/>
  <c r="F36" i="76"/>
  <c r="F10" i="59"/>
  <c r="C21" i="398"/>
  <c r="C21" i="362"/>
  <c r="C20" i="72"/>
  <c r="J14" i="72" s="1"/>
  <c r="C20" i="66"/>
  <c r="J14" i="66" s="1"/>
  <c r="C21" i="58"/>
  <c r="F11" i="53"/>
  <c r="F37" i="75"/>
  <c r="C20" i="78"/>
  <c r="J14" i="78" s="1"/>
  <c r="C20" i="361"/>
  <c r="J14" i="361" s="1"/>
  <c r="C21" i="98"/>
  <c r="F36" i="106"/>
  <c r="F36" i="377"/>
  <c r="F36" i="119"/>
  <c r="F23" i="78"/>
  <c r="F10" i="74"/>
  <c r="F36" i="51"/>
  <c r="F36" i="114"/>
  <c r="F23" i="56"/>
  <c r="F10" i="394"/>
  <c r="F10" i="398"/>
  <c r="F13" i="404"/>
  <c r="F19" i="404"/>
  <c r="F26" i="404"/>
  <c r="F39" i="404"/>
  <c r="C21" i="131"/>
  <c r="F23" i="131"/>
  <c r="F10" i="105"/>
  <c r="F36" i="68"/>
  <c r="F36" i="131"/>
  <c r="F11" i="378"/>
  <c r="C20" i="74"/>
  <c r="J14" i="74" s="1"/>
  <c r="C20" i="53"/>
  <c r="J14" i="53" s="1"/>
  <c r="F37" i="59"/>
  <c r="C20" i="62"/>
  <c r="J14" i="62" s="1"/>
  <c r="C20" i="59"/>
  <c r="J14" i="59" s="1"/>
  <c r="F10" i="387"/>
  <c r="C21" i="61"/>
  <c r="F10" i="125"/>
  <c r="F23" i="114"/>
  <c r="F36" i="112"/>
  <c r="F36" i="71"/>
  <c r="F10" i="69"/>
  <c r="F36" i="75"/>
  <c r="F10" i="53"/>
  <c r="F23" i="71"/>
  <c r="F23" i="51"/>
  <c r="C21" i="391"/>
  <c r="C21" i="390"/>
  <c r="C20" i="398"/>
  <c r="J14" i="398" s="1"/>
  <c r="F8" i="404"/>
  <c r="C20" i="64"/>
  <c r="J14" i="64" s="1"/>
  <c r="C21" i="76"/>
  <c r="F36" i="56"/>
  <c r="F23" i="60"/>
  <c r="F23" i="377"/>
  <c r="C20" i="378"/>
  <c r="J14" i="378" s="1"/>
  <c r="C20" i="90"/>
  <c r="J14" i="90" s="1"/>
  <c r="F24" i="114"/>
  <c r="F37" i="50"/>
  <c r="C20" i="56"/>
  <c r="J14" i="56" s="1"/>
  <c r="F37" i="386"/>
  <c r="C21" i="70"/>
  <c r="C21" i="55"/>
  <c r="F23" i="77"/>
  <c r="F23" i="111"/>
  <c r="F36" i="67"/>
  <c r="F23" i="74"/>
  <c r="F10" i="66"/>
  <c r="F36" i="77"/>
  <c r="F36" i="52"/>
  <c r="F10" i="50"/>
  <c r="F23" i="390"/>
  <c r="F23" i="397"/>
  <c r="C14" i="404"/>
  <c r="J8" i="404" s="1"/>
  <c r="C20" i="404"/>
  <c r="J14" i="404" s="1"/>
  <c r="C20" i="76"/>
  <c r="J14" i="76" s="1"/>
  <c r="C21" i="63"/>
  <c r="C21" i="119"/>
  <c r="F23" i="361"/>
  <c r="C21" i="73"/>
  <c r="C21" i="67"/>
  <c r="F23" i="93"/>
  <c r="F23" i="66"/>
  <c r="F10" i="48"/>
  <c r="F14" i="404"/>
  <c r="F32" i="404"/>
  <c r="F36" i="54"/>
  <c r="F23" i="76"/>
  <c r="C20" i="360"/>
  <c r="J14" i="360" s="1"/>
  <c r="C20" i="54"/>
  <c r="J14" i="54" s="1"/>
  <c r="F11" i="125"/>
  <c r="F11" i="67"/>
  <c r="C21" i="59"/>
  <c r="C21" i="394"/>
  <c r="F23" i="362"/>
  <c r="C20" i="379"/>
  <c r="J14" i="379" s="1"/>
  <c r="F10" i="362"/>
  <c r="C20" i="47"/>
  <c r="J14" i="47" s="1"/>
  <c r="C20" i="49"/>
  <c r="J14" i="49" s="1"/>
  <c r="C20" i="131"/>
  <c r="J14" i="131" s="1"/>
  <c r="C21" i="69"/>
  <c r="F24" i="67"/>
  <c r="F37" i="72"/>
  <c r="C20" i="86"/>
  <c r="J14" i="86" s="1"/>
  <c r="C20" i="70"/>
  <c r="J14" i="70" s="1"/>
  <c r="C21" i="93"/>
  <c r="F10" i="72"/>
  <c r="F23" i="105"/>
  <c r="F10" i="65"/>
  <c r="F23" i="49"/>
  <c r="F36" i="125"/>
  <c r="F23" i="72"/>
  <c r="C21" i="395"/>
  <c r="F23" i="395"/>
  <c r="F20" i="404"/>
  <c r="F10" i="52"/>
  <c r="F23" i="378"/>
  <c r="F23" i="360"/>
  <c r="C20" i="75"/>
  <c r="J14" i="75" s="1"/>
  <c r="C20" i="69"/>
  <c r="J14" i="69" s="1"/>
  <c r="C19" i="370"/>
  <c r="G13" i="370" s="1"/>
  <c r="F24" i="91"/>
  <c r="F24" i="61"/>
  <c r="C20" i="67"/>
  <c r="J14" i="67" s="1"/>
  <c r="C20" i="65"/>
  <c r="J14" i="65" s="1"/>
  <c r="C20" i="71"/>
  <c r="J14" i="71" s="1"/>
  <c r="C21" i="71"/>
  <c r="C21" i="90"/>
  <c r="F36" i="70"/>
  <c r="F10" i="98"/>
  <c r="F23" i="69"/>
  <c r="F10" i="86"/>
  <c r="F10" i="61"/>
  <c r="F23" i="62"/>
  <c r="F10" i="119"/>
  <c r="F36" i="69"/>
  <c r="F36" i="111"/>
  <c r="F23" i="63"/>
  <c r="F10" i="395"/>
  <c r="C12" i="402"/>
  <c r="J6" i="402" s="1"/>
  <c r="F10" i="404"/>
  <c r="F33" i="404"/>
  <c r="C15" i="48"/>
  <c r="J9" i="48" s="1"/>
  <c r="C18" i="61"/>
  <c r="C17" i="55"/>
  <c r="C15" i="63"/>
  <c r="J9" i="63" s="1"/>
  <c r="C18" i="49"/>
  <c r="C18" i="126"/>
  <c r="C18" i="64"/>
  <c r="C17" i="106"/>
  <c r="C17" i="62"/>
  <c r="C18" i="93"/>
  <c r="C15" i="398"/>
  <c r="J9" i="398" s="1"/>
  <c r="C18" i="106"/>
  <c r="C18" i="76"/>
  <c r="C18" i="71"/>
  <c r="F33" i="398"/>
  <c r="C17" i="361"/>
  <c r="C17" i="67"/>
  <c r="F36" i="402"/>
  <c r="C15" i="76"/>
  <c r="J9" i="76" s="1"/>
  <c r="C18" i="52"/>
  <c r="C18" i="51"/>
  <c r="C17" i="397"/>
  <c r="C15" i="78"/>
  <c r="J9" i="78" s="1"/>
  <c r="C18" i="88"/>
  <c r="C17" i="93"/>
  <c r="D47" i="145" a="1"/>
  <c r="D47" i="145" s="1"/>
  <c r="C15" i="378"/>
  <c r="J9" i="378" s="1"/>
  <c r="C17" i="378"/>
  <c r="C18" i="68"/>
  <c r="C18" i="105"/>
  <c r="C17" i="390"/>
  <c r="C18" i="83"/>
  <c r="C18" i="55"/>
  <c r="C18" i="361"/>
  <c r="C17" i="71"/>
  <c r="C17" i="65"/>
  <c r="F23" i="402"/>
  <c r="C18" i="65"/>
  <c r="C15" i="131"/>
  <c r="J9" i="131" s="1"/>
  <c r="C17" i="370"/>
  <c r="G11" i="370" s="1"/>
  <c r="C18" i="78"/>
  <c r="C18" i="91"/>
  <c r="C17" i="98"/>
  <c r="C18" i="387"/>
  <c r="C18" i="54"/>
  <c r="C15" i="119"/>
  <c r="J9" i="119" s="1"/>
  <c r="C18" i="119"/>
  <c r="C15" i="71"/>
  <c r="J9" i="71" s="1"/>
  <c r="F25" i="395"/>
  <c r="C17" i="56"/>
  <c r="C17" i="63"/>
  <c r="C18" i="50"/>
  <c r="C15" i="72"/>
  <c r="J9" i="72" s="1"/>
  <c r="C17" i="119"/>
  <c r="C17" i="48"/>
  <c r="C18" i="62"/>
  <c r="C18" i="377"/>
  <c r="C18" i="379"/>
  <c r="C18" i="362"/>
  <c r="C18" i="378"/>
  <c r="C15" i="69"/>
  <c r="J9" i="69" s="1"/>
  <c r="C18" i="66"/>
  <c r="D20" i="145" a="1"/>
  <c r="D20" i="145" s="1"/>
  <c r="D23" i="145" a="1"/>
  <c r="D23" i="145" s="1"/>
  <c r="D7" i="145" a="1"/>
  <c r="D7" i="145" s="1"/>
  <c r="F26" i="378"/>
  <c r="F39" i="377"/>
  <c r="C19" i="71"/>
  <c r="C19" i="64"/>
  <c r="F9" i="68"/>
  <c r="F22" i="57"/>
  <c r="F13" i="105"/>
  <c r="F39" i="61"/>
  <c r="F26" i="76"/>
  <c r="F39" i="88"/>
  <c r="F26" i="73"/>
  <c r="F13" i="48"/>
  <c r="F13" i="73"/>
  <c r="F10" i="390"/>
  <c r="F23" i="391"/>
  <c r="C14" i="397"/>
  <c r="J8" i="397" s="1"/>
  <c r="F26" i="75"/>
  <c r="F26" i="119"/>
  <c r="C14" i="112"/>
  <c r="J8" i="112" s="1"/>
  <c r="F26" i="377"/>
  <c r="F13" i="58"/>
  <c r="C19" i="93"/>
  <c r="C19" i="112"/>
  <c r="C19" i="57"/>
  <c r="F13" i="361"/>
  <c r="F24" i="387"/>
  <c r="C19" i="88"/>
  <c r="F13" i="88"/>
  <c r="F35" i="66"/>
  <c r="F9" i="56"/>
  <c r="F26" i="78"/>
  <c r="F9" i="73"/>
  <c r="F22" i="91"/>
  <c r="F22" i="63"/>
  <c r="F39" i="75"/>
  <c r="F39" i="69"/>
  <c r="F39" i="72"/>
  <c r="F39" i="62"/>
  <c r="F13" i="47"/>
  <c r="F26" i="66"/>
  <c r="C14" i="106"/>
  <c r="J8" i="106" s="1"/>
  <c r="F39" i="398"/>
  <c r="C14" i="362"/>
  <c r="J8" i="362" s="1"/>
  <c r="C19" i="78"/>
  <c r="C19" i="377"/>
  <c r="F39" i="360"/>
  <c r="C14" i="377"/>
  <c r="J8" i="377" s="1"/>
  <c r="C19" i="83"/>
  <c r="C19" i="106"/>
  <c r="C19" i="51"/>
  <c r="F35" i="379"/>
  <c r="F35" i="71"/>
  <c r="F39" i="64"/>
  <c r="F26" i="63"/>
  <c r="F9" i="69"/>
  <c r="F13" i="60"/>
  <c r="F26" i="50"/>
  <c r="F13" i="57"/>
  <c r="F39" i="114"/>
  <c r="F26" i="67"/>
  <c r="F26" i="72"/>
  <c r="C14" i="87"/>
  <c r="J8" i="87" s="1"/>
  <c r="F13" i="391"/>
  <c r="F36" i="391"/>
  <c r="C19" i="402"/>
  <c r="F25" i="402"/>
  <c r="F13" i="59"/>
  <c r="C19" i="47"/>
  <c r="C14" i="126"/>
  <c r="J8" i="126" s="1"/>
  <c r="F39" i="379"/>
  <c r="F26" i="360"/>
  <c r="C14" i="379"/>
  <c r="J8" i="379" s="1"/>
  <c r="F26" i="361"/>
  <c r="C19" i="50"/>
  <c r="C19" i="48"/>
  <c r="F39" i="386"/>
  <c r="F26" i="125"/>
  <c r="F35" i="67"/>
  <c r="F35" i="68"/>
  <c r="F9" i="62"/>
  <c r="F39" i="55"/>
  <c r="F26" i="54"/>
  <c r="F26" i="114"/>
  <c r="F26" i="57"/>
  <c r="F26" i="93"/>
  <c r="F26" i="126"/>
  <c r="F26" i="70"/>
  <c r="E19" i="373"/>
  <c r="L27" i="375" s="1"/>
  <c r="F39" i="49"/>
  <c r="C14" i="66"/>
  <c r="J8" i="66" s="1"/>
  <c r="C20" i="401"/>
  <c r="J14" i="401" s="1"/>
  <c r="F6" i="402"/>
  <c r="C19" i="126"/>
  <c r="F26" i="65"/>
  <c r="F39" i="58"/>
  <c r="F39" i="63"/>
  <c r="C19" i="131"/>
  <c r="C14" i="131"/>
  <c r="J8" i="131" s="1"/>
  <c r="C19" i="58"/>
  <c r="C14" i="386"/>
  <c r="J8" i="386" s="1"/>
  <c r="F26" i="386"/>
  <c r="F26" i="387"/>
  <c r="F22" i="64"/>
  <c r="F13" i="50"/>
  <c r="F22" i="86"/>
  <c r="F22" i="77"/>
  <c r="F39" i="387"/>
  <c r="F13" i="69"/>
  <c r="F13" i="86"/>
  <c r="F39" i="76"/>
  <c r="H19" i="372"/>
  <c r="L19" i="375" s="1"/>
  <c r="C14" i="54"/>
  <c r="J8" i="54" s="1"/>
  <c r="F36" i="395"/>
  <c r="F19" i="402"/>
  <c r="F26" i="402"/>
  <c r="F39" i="402"/>
  <c r="F26" i="395"/>
  <c r="F22" i="378"/>
  <c r="C14" i="361"/>
  <c r="J8" i="361" s="1"/>
  <c r="F39" i="59"/>
  <c r="C19" i="70"/>
  <c r="C19" i="67"/>
  <c r="F26" i="362"/>
  <c r="C19" i="86"/>
  <c r="C19" i="386"/>
  <c r="F26" i="86"/>
  <c r="F22" i="126"/>
  <c r="F39" i="105"/>
  <c r="F22" i="54"/>
  <c r="F35" i="131"/>
  <c r="F22" i="59"/>
  <c r="F13" i="62"/>
  <c r="F13" i="70"/>
  <c r="F26" i="58"/>
  <c r="F26" i="48"/>
  <c r="F39" i="53"/>
  <c r="F39" i="66"/>
  <c r="E19" i="374"/>
  <c r="L36" i="375" s="1"/>
  <c r="F39" i="77"/>
  <c r="C19" i="395"/>
  <c r="F13" i="398"/>
  <c r="F8" i="397"/>
  <c r="F11" i="401"/>
  <c r="F20" i="401"/>
  <c r="F13" i="402"/>
  <c r="F39" i="83"/>
  <c r="C19" i="49"/>
  <c r="C19" i="63"/>
  <c r="F9" i="387"/>
  <c r="F9" i="59"/>
  <c r="F39" i="131"/>
  <c r="F22" i="73"/>
  <c r="F22" i="111"/>
  <c r="F13" i="67"/>
  <c r="F35" i="59"/>
  <c r="F22" i="49"/>
  <c r="F39" i="98"/>
  <c r="F13" i="65"/>
  <c r="F39" i="361"/>
  <c r="F26" i="112"/>
  <c r="F39" i="70"/>
  <c r="C14" i="50"/>
  <c r="J8" i="50" s="1"/>
  <c r="F36" i="390"/>
  <c r="F13" i="394"/>
  <c r="F13" i="93"/>
  <c r="F26" i="83"/>
  <c r="F39" i="87"/>
  <c r="C19" i="59"/>
  <c r="F13" i="55"/>
  <c r="C14" i="378"/>
  <c r="J8" i="378" s="1"/>
  <c r="C14" i="75"/>
  <c r="J8" i="75" s="1"/>
  <c r="C19" i="92"/>
  <c r="C19" i="55"/>
  <c r="C19" i="53"/>
  <c r="C18" i="370"/>
  <c r="G12" i="370" s="1"/>
  <c r="C19" i="361"/>
  <c r="F36" i="387"/>
  <c r="F13" i="386"/>
  <c r="F9" i="112"/>
  <c r="F22" i="92"/>
  <c r="F13" i="92"/>
  <c r="F39" i="71"/>
  <c r="F39" i="78"/>
  <c r="F26" i="51"/>
  <c r="F39" i="56"/>
  <c r="C14" i="114"/>
  <c r="J8" i="114" s="1"/>
  <c r="C14" i="49"/>
  <c r="J8" i="49" s="1"/>
  <c r="F39" i="390"/>
  <c r="F10" i="391"/>
  <c r="C14" i="402"/>
  <c r="J8" i="402" s="1"/>
  <c r="F32" i="402"/>
  <c r="C14" i="73"/>
  <c r="J8" i="73" s="1"/>
  <c r="F13" i="72"/>
  <c r="C14" i="58"/>
  <c r="J8" i="58" s="1"/>
  <c r="C14" i="93"/>
  <c r="J8" i="93" s="1"/>
  <c r="C14" i="86"/>
  <c r="J8" i="86" s="1"/>
  <c r="C19" i="54"/>
  <c r="C19" i="74"/>
  <c r="C19" i="90"/>
  <c r="C19" i="73"/>
  <c r="C19" i="56"/>
  <c r="F13" i="387"/>
  <c r="F35" i="70"/>
  <c r="F22" i="93"/>
  <c r="F22" i="106"/>
  <c r="F35" i="55"/>
  <c r="F9" i="53"/>
  <c r="F22" i="67"/>
  <c r="F35" i="87"/>
  <c r="F39" i="93"/>
  <c r="F13" i="98"/>
  <c r="F13" i="76"/>
  <c r="F13" i="83"/>
  <c r="F39" i="119"/>
  <c r="H19" i="374"/>
  <c r="L37" i="375" s="1"/>
  <c r="C14" i="53"/>
  <c r="J8" i="53" s="1"/>
  <c r="C14" i="105"/>
  <c r="J8" i="105" s="1"/>
  <c r="F26" i="390"/>
  <c r="F7" i="397"/>
  <c r="F20" i="402"/>
  <c r="F26" i="98"/>
  <c r="C14" i="47"/>
  <c r="J8" i="47" s="1"/>
  <c r="C14" i="370"/>
  <c r="G8" i="370" s="1"/>
  <c r="F13" i="360"/>
  <c r="C19" i="62"/>
  <c r="C19" i="77"/>
  <c r="C19" i="119"/>
  <c r="F35" i="62"/>
  <c r="F9" i="105"/>
  <c r="F13" i="54"/>
  <c r="F39" i="54"/>
  <c r="F26" i="69"/>
  <c r="F39" i="73"/>
  <c r="F13" i="125"/>
  <c r="C14" i="90"/>
  <c r="J8" i="90" s="1"/>
  <c r="C14" i="68"/>
  <c r="J8" i="68" s="1"/>
  <c r="C14" i="76"/>
  <c r="J8" i="76" s="1"/>
  <c r="C14" i="391"/>
  <c r="J8" i="391" s="1"/>
  <c r="C14" i="390"/>
  <c r="J8" i="390" s="1"/>
  <c r="C21" i="402"/>
  <c r="F33" i="402"/>
  <c r="F13" i="64"/>
  <c r="C14" i="67"/>
  <c r="J8" i="67" s="1"/>
  <c r="C14" i="119"/>
  <c r="J8" i="119" s="1"/>
  <c r="F10" i="379"/>
  <c r="F36" i="379"/>
  <c r="C14" i="63"/>
  <c r="J8" i="63" s="1"/>
  <c r="C19" i="65"/>
  <c r="C19" i="114"/>
  <c r="C19" i="76"/>
  <c r="C19" i="378"/>
  <c r="F9" i="63"/>
  <c r="F35" i="78"/>
  <c r="F13" i="52"/>
  <c r="F9" i="114"/>
  <c r="F22" i="48"/>
  <c r="F9" i="57"/>
  <c r="F9" i="106"/>
  <c r="F35" i="64"/>
  <c r="F39" i="86"/>
  <c r="F22" i="76"/>
  <c r="F26" i="55"/>
  <c r="F26" i="131"/>
  <c r="F39" i="67"/>
  <c r="F26" i="87"/>
  <c r="F26" i="92"/>
  <c r="F39" i="112"/>
  <c r="F26" i="53"/>
  <c r="F39" i="68"/>
  <c r="B19" i="373"/>
  <c r="L26" i="375" s="1"/>
  <c r="E19" i="371"/>
  <c r="B19" i="371"/>
  <c r="F13" i="114"/>
  <c r="C14" i="360"/>
  <c r="J8" i="360" s="1"/>
  <c r="C14" i="59"/>
  <c r="J8" i="59" s="1"/>
  <c r="F9" i="402"/>
  <c r="F39" i="391"/>
  <c r="F39" i="395"/>
  <c r="C19" i="105"/>
  <c r="F13" i="77"/>
  <c r="F26" i="52"/>
  <c r="F39" i="111"/>
  <c r="F9" i="377"/>
  <c r="F9" i="362"/>
  <c r="F13" i="379"/>
  <c r="C19" i="379"/>
  <c r="C14" i="111"/>
  <c r="J8" i="111" s="1"/>
  <c r="C19" i="66"/>
  <c r="C19" i="52"/>
  <c r="F35" i="58"/>
  <c r="F13" i="87"/>
  <c r="F9" i="47"/>
  <c r="F9" i="67"/>
  <c r="F39" i="50"/>
  <c r="F35" i="361"/>
  <c r="F26" i="74"/>
  <c r="F13" i="66"/>
  <c r="F13" i="131"/>
  <c r="F13" i="68"/>
  <c r="F26" i="90"/>
  <c r="F39" i="51"/>
  <c r="F39" i="92"/>
  <c r="F26" i="64"/>
  <c r="C14" i="64"/>
  <c r="J8" i="64" s="1"/>
  <c r="F10" i="402"/>
  <c r="F34" i="402"/>
  <c r="C14" i="125"/>
  <c r="J8" i="125" s="1"/>
  <c r="C19" i="91"/>
  <c r="C19" i="68"/>
  <c r="C19" i="87"/>
  <c r="F39" i="362"/>
  <c r="F9" i="50"/>
  <c r="F35" i="74"/>
  <c r="F9" i="131"/>
  <c r="F9" i="93"/>
  <c r="F22" i="88"/>
  <c r="F35" i="92"/>
  <c r="F35" i="65"/>
  <c r="F39" i="90"/>
  <c r="F39" i="52"/>
  <c r="F13" i="112"/>
  <c r="F39" i="125"/>
  <c r="F26" i="62"/>
  <c r="F26" i="56"/>
  <c r="F13" i="111"/>
  <c r="F39" i="57"/>
  <c r="F39" i="65"/>
  <c r="F26" i="88"/>
  <c r="B19" i="374"/>
  <c r="L35" i="375" s="1"/>
  <c r="F39" i="397"/>
  <c r="F39" i="394"/>
  <c r="F13" i="395"/>
  <c r="C14" i="387"/>
  <c r="J8" i="387" s="1"/>
  <c r="C14" i="70"/>
  <c r="J8" i="70" s="1"/>
  <c r="C14" i="61"/>
  <c r="J8" i="61" s="1"/>
  <c r="C14" i="74"/>
  <c r="J8" i="74" s="1"/>
  <c r="C14" i="401"/>
  <c r="J8" i="401" s="1"/>
  <c r="C14" i="65"/>
  <c r="J8" i="65" s="1"/>
  <c r="C14" i="77"/>
  <c r="J8" i="77" s="1"/>
  <c r="C14" i="83"/>
  <c r="J8" i="83" s="1"/>
  <c r="C14" i="48"/>
  <c r="J8" i="48" s="1"/>
  <c r="C14" i="60"/>
  <c r="J8" i="60" s="1"/>
  <c r="C14" i="51"/>
  <c r="J8" i="51" s="1"/>
  <c r="C14" i="395"/>
  <c r="J8" i="395" s="1"/>
  <c r="C14" i="88"/>
  <c r="J8" i="88" s="1"/>
  <c r="C14" i="56"/>
  <c r="J8" i="56" s="1"/>
  <c r="C14" i="398"/>
  <c r="J8" i="398" s="1"/>
  <c r="C14" i="394"/>
  <c r="J8" i="394" s="1"/>
  <c r="C14" i="55"/>
  <c r="J8" i="55" s="1"/>
  <c r="C14" i="62"/>
  <c r="J8" i="62" s="1"/>
  <c r="C14" i="71"/>
  <c r="J8" i="71" s="1"/>
  <c r="C14" i="78"/>
  <c r="J8" i="78" s="1"/>
  <c r="C14" i="98"/>
  <c r="J8" i="98" s="1"/>
  <c r="F38" i="69"/>
  <c r="F38" i="54"/>
  <c r="F12" i="92"/>
  <c r="F38" i="68"/>
  <c r="F25" i="72"/>
  <c r="F38" i="72"/>
  <c r="F38" i="106"/>
  <c r="F12" i="50"/>
  <c r="F38" i="87"/>
  <c r="F12" i="48"/>
  <c r="F25" i="397"/>
  <c r="F38" i="395"/>
  <c r="F25" i="93"/>
  <c r="F38" i="397"/>
  <c r="F12" i="55"/>
  <c r="F38" i="64"/>
  <c r="F25" i="49"/>
  <c r="F38" i="75"/>
  <c r="F25" i="78"/>
  <c r="F38" i="67"/>
  <c r="F38" i="125"/>
  <c r="F38" i="50"/>
  <c r="F25" i="83"/>
  <c r="F25" i="390"/>
  <c r="F38" i="398"/>
  <c r="F27" i="401"/>
  <c r="F14" i="401"/>
  <c r="F27" i="395"/>
  <c r="F27" i="61"/>
  <c r="F14" i="74"/>
  <c r="F40" i="106"/>
  <c r="F40" i="398"/>
  <c r="F40" i="50"/>
  <c r="F40" i="60"/>
  <c r="F40" i="72"/>
  <c r="F40" i="390"/>
  <c r="F40" i="112"/>
  <c r="F14" i="398"/>
  <c r="F27" i="397"/>
  <c r="F19" i="401"/>
  <c r="F32" i="52"/>
  <c r="F32" i="66"/>
  <c r="F19" i="65"/>
  <c r="F19" i="70"/>
  <c r="F6" i="90"/>
  <c r="F32" i="131"/>
  <c r="F32" i="67"/>
  <c r="F19" i="64"/>
  <c r="F32" i="98"/>
  <c r="F32" i="50"/>
  <c r="F6" i="397"/>
  <c r="F19" i="391"/>
  <c r="F6" i="76"/>
  <c r="F6" i="67"/>
  <c r="F19" i="87"/>
  <c r="F32" i="86"/>
  <c r="F6" i="49"/>
  <c r="F19" i="52"/>
  <c r="F6" i="53"/>
  <c r="F32" i="397"/>
  <c r="F19" i="397"/>
  <c r="F32" i="394"/>
  <c r="F32" i="390"/>
  <c r="F6" i="398"/>
  <c r="F6" i="390"/>
  <c r="F19" i="390"/>
  <c r="F6" i="62"/>
  <c r="F19" i="48"/>
  <c r="F19" i="47"/>
  <c r="F19" i="114"/>
  <c r="F32" i="75"/>
  <c r="F6" i="72"/>
  <c r="F32" i="88"/>
  <c r="F19" i="55"/>
  <c r="F6" i="126"/>
  <c r="F6" i="111"/>
  <c r="F32" i="106"/>
  <c r="F19" i="66"/>
  <c r="F6" i="395"/>
  <c r="F19" i="395"/>
  <c r="F32" i="398"/>
  <c r="C18" i="386"/>
  <c r="C18" i="397"/>
  <c r="C18" i="390"/>
  <c r="C18" i="92"/>
  <c r="C18" i="111"/>
  <c r="C18" i="86"/>
  <c r="C18" i="87"/>
  <c r="C18" i="75"/>
  <c r="C18" i="131"/>
  <c r="C18" i="59"/>
  <c r="C18" i="47"/>
  <c r="C18" i="398"/>
  <c r="C18" i="401"/>
  <c r="C18" i="57"/>
  <c r="C18" i="67"/>
  <c r="C18" i="77"/>
  <c r="C18" i="63"/>
  <c r="C18" i="114"/>
  <c r="C18" i="53"/>
  <c r="C18" i="74"/>
  <c r="C18" i="391"/>
  <c r="F6" i="401"/>
  <c r="F32" i="401"/>
  <c r="C19" i="401"/>
  <c r="C19" i="397"/>
  <c r="C19" i="387"/>
  <c r="C19" i="398"/>
  <c r="C19" i="394"/>
  <c r="C19" i="390"/>
  <c r="C19" i="391"/>
  <c r="F9" i="401"/>
  <c r="F9" i="398"/>
  <c r="F22" i="401"/>
  <c r="F9" i="397"/>
  <c r="C21" i="401"/>
  <c r="F33" i="401"/>
  <c r="F13" i="56"/>
  <c r="C12" i="401"/>
  <c r="J6" i="401" s="1"/>
  <c r="F11" i="395"/>
  <c r="F34" i="401"/>
  <c r="F7" i="401"/>
  <c r="F23" i="401"/>
  <c r="F36" i="401"/>
  <c r="F13" i="401"/>
  <c r="F26" i="401"/>
  <c r="F38" i="394"/>
  <c r="F12" i="394"/>
  <c r="F12" i="387"/>
  <c r="F8" i="395"/>
  <c r="F34" i="394"/>
  <c r="B95" i="355"/>
  <c r="B77" i="355"/>
  <c r="B113" i="355"/>
  <c r="B59" i="355"/>
  <c r="F26" i="423"/>
  <c r="F9" i="436"/>
  <c r="F34" i="423"/>
  <c r="F21" i="422"/>
  <c r="F13" i="423"/>
  <c r="F10" i="431"/>
  <c r="F13" i="431"/>
  <c r="F9" i="432"/>
  <c r="F32" i="436"/>
  <c r="F23" i="446"/>
  <c r="F10" i="423"/>
  <c r="F38" i="422"/>
  <c r="F23" i="436"/>
  <c r="F26" i="446"/>
  <c r="F7" i="446"/>
  <c r="F20" i="446"/>
  <c r="F33" i="446"/>
  <c r="F23" i="423"/>
  <c r="F32" i="422"/>
  <c r="F39" i="423"/>
  <c r="F38" i="423"/>
  <c r="F19" i="446"/>
  <c r="F24" i="446"/>
  <c r="F7" i="423"/>
  <c r="F7" i="422"/>
  <c r="F20" i="423"/>
  <c r="F33" i="436"/>
  <c r="F6" i="431"/>
  <c r="F19" i="423"/>
  <c r="F32" i="423"/>
  <c r="F20" i="436"/>
  <c r="F40" i="436"/>
  <c r="F14" i="422"/>
  <c r="F7" i="431"/>
  <c r="F10" i="432"/>
  <c r="F7" i="436"/>
  <c r="F36" i="444"/>
  <c r="F23" i="444"/>
  <c r="F36" i="443"/>
  <c r="F23" i="443"/>
  <c r="F10" i="443"/>
  <c r="C13" i="444"/>
  <c r="J7" i="444" s="1"/>
  <c r="C19" i="444"/>
  <c r="C19" i="443"/>
  <c r="C14" i="444"/>
  <c r="J8" i="444" s="1"/>
  <c r="C14" i="443"/>
  <c r="J8" i="443" s="1"/>
  <c r="F6" i="444"/>
  <c r="F32" i="444"/>
  <c r="F32" i="443"/>
  <c r="F6" i="443"/>
  <c r="F19" i="444"/>
  <c r="F19" i="443"/>
  <c r="F11" i="444"/>
  <c r="F11" i="443"/>
  <c r="C17" i="444"/>
  <c r="C17" i="443"/>
  <c r="C21" i="444"/>
  <c r="C21" i="443"/>
  <c r="F22" i="444"/>
  <c r="F35" i="443"/>
  <c r="F9" i="443"/>
  <c r="F38" i="443"/>
  <c r="F25" i="443"/>
  <c r="F12" i="443"/>
  <c r="C20" i="444"/>
  <c r="J14" i="444" s="1"/>
  <c r="C20" i="443"/>
  <c r="J14" i="443" s="1"/>
  <c r="F40" i="443"/>
  <c r="F27" i="443"/>
  <c r="F14" i="443"/>
  <c r="F8" i="443"/>
  <c r="F8" i="444"/>
  <c r="F21" i="443"/>
  <c r="C18" i="444"/>
  <c r="C18" i="443"/>
  <c r="C12" i="443"/>
  <c r="J6" i="443" s="1"/>
  <c r="F33" i="444"/>
  <c r="F33" i="443"/>
  <c r="F20" i="444"/>
  <c r="F20" i="443"/>
  <c r="F7" i="443"/>
  <c r="F7" i="444"/>
  <c r="F13" i="444"/>
  <c r="F13" i="443"/>
  <c r="F26" i="444"/>
  <c r="F39" i="443"/>
  <c r="F26" i="443"/>
  <c r="F10" i="446"/>
  <c r="F35" i="446"/>
  <c r="F12" i="444"/>
  <c r="C20" i="446"/>
  <c r="J14" i="446" s="1"/>
  <c r="F19" i="449"/>
  <c r="F36" i="449"/>
  <c r="F34" i="449"/>
  <c r="F26" i="449"/>
  <c r="C19" i="446"/>
  <c r="F20" i="449"/>
  <c r="C21" i="449"/>
  <c r="F21" i="449"/>
  <c r="F39" i="449"/>
  <c r="F22" i="449"/>
  <c r="F40" i="449"/>
  <c r="F23" i="449"/>
  <c r="C14" i="449"/>
  <c r="J8" i="449" s="1"/>
  <c r="F6" i="449"/>
  <c r="F7" i="449"/>
  <c r="F32" i="449"/>
  <c r="F8" i="449"/>
  <c r="C18" i="449"/>
  <c r="F33" i="449"/>
  <c r="F10" i="449"/>
  <c r="C12" i="449"/>
  <c r="J6" i="449" s="1"/>
  <c r="C58" i="353"/>
  <c r="D62" i="353"/>
  <c r="F27" i="484"/>
  <c r="F27" i="485"/>
  <c r="F27" i="486"/>
  <c r="F14" i="485"/>
  <c r="F13" i="485"/>
  <c r="F39" i="485"/>
  <c r="F13" i="486"/>
  <c r="F39" i="486"/>
  <c r="F26" i="485"/>
  <c r="F26" i="484"/>
  <c r="F26" i="486"/>
  <c r="F13" i="484"/>
  <c r="C19" i="484"/>
  <c r="C19" i="485"/>
  <c r="C19" i="486"/>
  <c r="C12" i="484"/>
  <c r="J6" i="484" s="1"/>
  <c r="C12" i="485"/>
  <c r="J6" i="485" s="1"/>
  <c r="C12" i="486"/>
  <c r="J6" i="486" s="1"/>
  <c r="F21" i="484"/>
  <c r="F21" i="485"/>
  <c r="F21" i="486"/>
  <c r="F34" i="484"/>
  <c r="F34" i="485"/>
  <c r="F34" i="486"/>
  <c r="F8" i="485"/>
  <c r="C21" i="484"/>
  <c r="C21" i="485"/>
  <c r="C21" i="486"/>
  <c r="C13" i="484"/>
  <c r="J7" i="484" s="1"/>
  <c r="C13" i="486"/>
  <c r="J7" i="486" s="1"/>
  <c r="C14" i="485"/>
  <c r="J8" i="485" s="1"/>
  <c r="C14" i="486"/>
  <c r="J8" i="486" s="1"/>
  <c r="C14" i="484"/>
  <c r="J8" i="484" s="1"/>
  <c r="F20" i="484"/>
  <c r="F20" i="485"/>
  <c r="F20" i="486"/>
  <c r="F33" i="485"/>
  <c r="F7" i="484"/>
  <c r="F33" i="486"/>
  <c r="F7" i="485"/>
  <c r="F7" i="486"/>
  <c r="C15" i="485"/>
  <c r="J9" i="485" s="1"/>
  <c r="C15" i="484"/>
  <c r="J9" i="484" s="1"/>
  <c r="F19" i="485"/>
  <c r="F6" i="484"/>
  <c r="F32" i="484"/>
  <c r="F19" i="486"/>
  <c r="F32" i="485"/>
  <c r="F32" i="486"/>
  <c r="F6" i="485"/>
  <c r="F6" i="486"/>
  <c r="C20" i="484"/>
  <c r="J14" i="484" s="1"/>
  <c r="C20" i="485"/>
  <c r="J14" i="485" s="1"/>
  <c r="C20" i="486"/>
  <c r="J14" i="486" s="1"/>
  <c r="F25" i="486"/>
  <c r="F12" i="484"/>
  <c r="F38" i="485"/>
  <c r="C18" i="484"/>
  <c r="C18" i="485"/>
  <c r="C18" i="486"/>
  <c r="F22" i="485"/>
  <c r="F35" i="485"/>
  <c r="F35" i="486"/>
  <c r="F9" i="485"/>
  <c r="F22" i="484"/>
  <c r="F11" i="485"/>
  <c r="F37" i="484"/>
  <c r="F37" i="485"/>
  <c r="F23" i="485"/>
  <c r="F23" i="486"/>
  <c r="F36" i="484"/>
  <c r="F36" i="485"/>
  <c r="F10" i="484"/>
  <c r="F36" i="486"/>
  <c r="F10" i="485"/>
  <c r="F10" i="486"/>
  <c r="F23" i="484"/>
  <c r="F40" i="476"/>
  <c r="F14" i="476"/>
  <c r="F14" i="477"/>
  <c r="F26" i="476"/>
  <c r="F39" i="476"/>
  <c r="F26" i="477"/>
  <c r="F13" i="476"/>
  <c r="F13" i="477"/>
  <c r="F39" i="477"/>
  <c r="C19" i="476"/>
  <c r="C19" i="477"/>
  <c r="C12" i="52"/>
  <c r="J6" i="52" s="1"/>
  <c r="C12" i="477"/>
  <c r="J6" i="477" s="1"/>
  <c r="C12" i="476"/>
  <c r="J6" i="476" s="1"/>
  <c r="F8" i="114"/>
  <c r="F34" i="477"/>
  <c r="F8" i="476"/>
  <c r="F21" i="477"/>
  <c r="C21" i="423"/>
  <c r="C21" i="476"/>
  <c r="C21" i="477"/>
  <c r="C13" i="476"/>
  <c r="J7" i="476" s="1"/>
  <c r="C14" i="477"/>
  <c r="J8" i="477" s="1"/>
  <c r="C14" i="476"/>
  <c r="J8" i="476" s="1"/>
  <c r="F20" i="477"/>
  <c r="F33" i="476"/>
  <c r="F33" i="477"/>
  <c r="F7" i="476"/>
  <c r="F7" i="477"/>
  <c r="F20" i="476"/>
  <c r="C15" i="477"/>
  <c r="J9" i="477" s="1"/>
  <c r="F19" i="422"/>
  <c r="F19" i="476"/>
  <c r="F19" i="477"/>
  <c r="F32" i="476"/>
  <c r="F6" i="476"/>
  <c r="F32" i="477"/>
  <c r="F6" i="477"/>
  <c r="C16" i="476"/>
  <c r="J10" i="476" s="1"/>
  <c r="C16" i="477"/>
  <c r="J10" i="477" s="1"/>
  <c r="C20" i="476"/>
  <c r="J14" i="476" s="1"/>
  <c r="C20" i="477"/>
  <c r="J14" i="477" s="1"/>
  <c r="F38" i="437"/>
  <c r="F25" i="476"/>
  <c r="F25" i="477"/>
  <c r="F38" i="476"/>
  <c r="C18" i="476"/>
  <c r="C18" i="477"/>
  <c r="F35" i="476"/>
  <c r="F35" i="477"/>
  <c r="F9" i="476"/>
  <c r="F37" i="477"/>
  <c r="F11" i="477"/>
  <c r="F24" i="477"/>
  <c r="F36" i="476"/>
  <c r="F36" i="477"/>
  <c r="F10" i="477"/>
  <c r="F23" i="476"/>
  <c r="F23" i="477"/>
  <c r="C17" i="477"/>
  <c r="F9" i="91"/>
  <c r="F35" i="93"/>
  <c r="F9" i="49"/>
  <c r="F22" i="47"/>
  <c r="F9" i="64"/>
  <c r="F22" i="58"/>
  <c r="F35" i="63"/>
  <c r="F35" i="86"/>
  <c r="F35" i="119"/>
  <c r="F27" i="64"/>
  <c r="F27" i="112"/>
  <c r="F14" i="362"/>
  <c r="F40" i="66"/>
  <c r="B17" i="373"/>
  <c r="L20" i="375" s="1"/>
  <c r="F37" i="422"/>
  <c r="E17" i="371"/>
  <c r="F22" i="407"/>
  <c r="F24" i="432"/>
  <c r="F35" i="431"/>
  <c r="F9" i="72"/>
  <c r="H19" i="373"/>
  <c r="L28" i="375" s="1"/>
  <c r="E19" i="372"/>
  <c r="L18" i="375" s="1"/>
  <c r="H19" i="371"/>
  <c r="L10" i="375" s="1"/>
  <c r="C21" i="404"/>
  <c r="F21" i="404"/>
  <c r="F8" i="408"/>
  <c r="F19" i="69"/>
  <c r="F34" i="83"/>
  <c r="F32" i="74"/>
  <c r="F6" i="387"/>
  <c r="C21" i="91"/>
  <c r="F21" i="119"/>
  <c r="C12" i="114"/>
  <c r="J6" i="114" s="1"/>
  <c r="F19" i="398"/>
  <c r="F19" i="88"/>
  <c r="F21" i="436"/>
  <c r="C12" i="119"/>
  <c r="J6" i="119" s="1"/>
  <c r="F8" i="47"/>
  <c r="F21" i="75"/>
  <c r="F8" i="60"/>
  <c r="F34" i="379"/>
  <c r="E20" i="374"/>
  <c r="F39" i="453"/>
  <c r="F13" i="471"/>
  <c r="F39" i="471"/>
  <c r="F26" i="471"/>
  <c r="C19" i="453"/>
  <c r="C19" i="471"/>
  <c r="C12" i="452"/>
  <c r="J6" i="452" s="1"/>
  <c r="C12" i="471"/>
  <c r="J6" i="471" s="1"/>
  <c r="F8" i="452"/>
  <c r="F21" i="471"/>
  <c r="F34" i="471"/>
  <c r="F8" i="471"/>
  <c r="C21" i="453"/>
  <c r="C21" i="471"/>
  <c r="C13" i="453"/>
  <c r="J7" i="453" s="1"/>
  <c r="C13" i="471"/>
  <c r="J7" i="471" s="1"/>
  <c r="C14" i="446"/>
  <c r="J8" i="446" s="1"/>
  <c r="C14" i="471"/>
  <c r="J8" i="471" s="1"/>
  <c r="F33" i="63"/>
  <c r="F33" i="471"/>
  <c r="F20" i="471"/>
  <c r="F7" i="471"/>
  <c r="C15" i="453"/>
  <c r="J9" i="453" s="1"/>
  <c r="C15" i="471"/>
  <c r="J9" i="471" s="1"/>
  <c r="F19" i="457"/>
  <c r="F6" i="471"/>
  <c r="F19" i="471"/>
  <c r="F32" i="471"/>
  <c r="C16" i="471"/>
  <c r="J10" i="471" s="1"/>
  <c r="C20" i="452"/>
  <c r="J14" i="452" s="1"/>
  <c r="C20" i="471"/>
  <c r="J14" i="471" s="1"/>
  <c r="F38" i="452"/>
  <c r="F12" i="471"/>
  <c r="C18" i="451"/>
  <c r="C18" i="471"/>
  <c r="F35" i="457"/>
  <c r="F22" i="471"/>
  <c r="F35" i="471"/>
  <c r="F11" i="471"/>
  <c r="F37" i="471"/>
  <c r="F36" i="452"/>
  <c r="F23" i="471"/>
  <c r="F10" i="471"/>
  <c r="F36" i="471"/>
  <c r="C17" i="471"/>
  <c r="C35" i="353"/>
  <c r="B14" i="353"/>
  <c r="D73" i="353"/>
  <c r="E78" i="146" a="1"/>
  <c r="E78" i="146" s="1"/>
  <c r="E77" i="146" a="1"/>
  <c r="E77" i="146" s="1"/>
  <c r="E45" i="146" a="1"/>
  <c r="E45" i="146" s="1"/>
  <c r="E49" i="146" a="1"/>
  <c r="E49" i="146" s="1"/>
  <c r="E46" i="146" a="1"/>
  <c r="E46" i="146" s="1"/>
  <c r="E40" i="146" a="1"/>
  <c r="E40" i="146" s="1"/>
  <c r="E48" i="146" a="1"/>
  <c r="E48" i="146" s="1"/>
  <c r="E41" i="146" a="1"/>
  <c r="E41" i="146" s="1"/>
  <c r="E39" i="146" a="1"/>
  <c r="E39" i="146" s="1"/>
  <c r="E42" i="146" a="1"/>
  <c r="E42" i="146" s="1"/>
  <c r="E47" i="146" a="1"/>
  <c r="E47" i="146" s="1"/>
  <c r="E43" i="146" a="1"/>
  <c r="E43" i="146" s="1"/>
  <c r="E38" i="146" a="1"/>
  <c r="E38" i="146" s="1"/>
  <c r="F39" i="91"/>
  <c r="F13" i="78"/>
  <c r="F13" i="53"/>
  <c r="C21" i="125"/>
  <c r="C21" i="57"/>
  <c r="C21" i="48"/>
  <c r="F13" i="63"/>
  <c r="F8" i="71"/>
  <c r="F21" i="58"/>
  <c r="F8" i="57"/>
  <c r="F21" i="88"/>
  <c r="F8" i="72"/>
  <c r="C12" i="126"/>
  <c r="J6" i="126" s="1"/>
  <c r="F26" i="407"/>
  <c r="F26" i="431"/>
  <c r="F8" i="432"/>
  <c r="B16" i="470"/>
  <c r="F39" i="444"/>
  <c r="F39" i="422"/>
  <c r="F21" i="401"/>
  <c r="F39" i="126"/>
  <c r="F26" i="68"/>
  <c r="F26" i="105"/>
  <c r="F13" i="377"/>
  <c r="F26" i="60"/>
  <c r="F26" i="391"/>
  <c r="F26" i="77"/>
  <c r="F26" i="379"/>
  <c r="C21" i="75"/>
  <c r="C21" i="88"/>
  <c r="C21" i="53"/>
  <c r="C21" i="87"/>
  <c r="F26" i="47"/>
  <c r="F21" i="66"/>
  <c r="F34" i="72"/>
  <c r="F21" i="361"/>
  <c r="C12" i="58"/>
  <c r="J6" i="58" s="1"/>
  <c r="F21" i="379"/>
  <c r="F34" i="397"/>
  <c r="F8" i="92"/>
  <c r="F34" i="390"/>
  <c r="F26" i="406"/>
  <c r="F34" i="446"/>
  <c r="E16" i="470"/>
  <c r="C21" i="83"/>
  <c r="C21" i="66"/>
  <c r="F34" i="65"/>
  <c r="F34" i="61"/>
  <c r="F8" i="86"/>
  <c r="F8" i="63"/>
  <c r="C12" i="88"/>
  <c r="J6" i="88" s="1"/>
  <c r="C12" i="391"/>
  <c r="J6" i="391" s="1"/>
  <c r="F8" i="390"/>
  <c r="F26" i="422"/>
  <c r="H16" i="470"/>
  <c r="F39" i="48"/>
  <c r="F26" i="49"/>
  <c r="F26" i="61"/>
  <c r="F13" i="397"/>
  <c r="C21" i="60"/>
  <c r="C21" i="360"/>
  <c r="C21" i="408"/>
  <c r="F34" i="398"/>
  <c r="F21" i="49"/>
  <c r="F21" i="93"/>
  <c r="F8" i="119"/>
  <c r="F34" i="86"/>
  <c r="F8" i="377"/>
  <c r="F39" i="401"/>
  <c r="B17" i="470"/>
  <c r="L47" i="375" s="1"/>
  <c r="E17" i="470"/>
  <c r="L48" i="375" s="1"/>
  <c r="F8" i="61"/>
  <c r="F34" i="59"/>
  <c r="F21" i="54"/>
  <c r="F34" i="57"/>
  <c r="F34" i="391"/>
  <c r="F21" i="86"/>
  <c r="F34" i="112"/>
  <c r="F26" i="397"/>
  <c r="F8" i="436"/>
  <c r="F13" i="119"/>
  <c r="F13" i="449"/>
  <c r="F8" i="446"/>
  <c r="F39" i="74"/>
  <c r="F13" i="49"/>
  <c r="F13" i="74"/>
  <c r="C21" i="54"/>
  <c r="C21" i="361"/>
  <c r="C21" i="397"/>
  <c r="C21" i="86"/>
  <c r="F21" i="70"/>
  <c r="F34" i="64"/>
  <c r="C21" i="105"/>
  <c r="F8" i="73"/>
  <c r="F8" i="54"/>
  <c r="F8" i="65"/>
  <c r="F8" i="437"/>
  <c r="F34" i="436"/>
  <c r="F8" i="431"/>
  <c r="C12" i="444"/>
  <c r="J6" i="444" s="1"/>
  <c r="F13" i="390"/>
  <c r="F13" i="362"/>
  <c r="F39" i="47"/>
  <c r="F39" i="106"/>
  <c r="F26" i="111"/>
  <c r="C21" i="64"/>
  <c r="C21" i="114"/>
  <c r="F21" i="378"/>
  <c r="F8" i="56"/>
  <c r="F34" i="361"/>
  <c r="F8" i="91"/>
  <c r="C12" i="61"/>
  <c r="J6" i="61" s="1"/>
  <c r="F21" i="73"/>
  <c r="F21" i="83"/>
  <c r="F21" i="57"/>
  <c r="F34" i="437"/>
  <c r="B18" i="470"/>
  <c r="L50" i="375" s="1"/>
  <c r="F21" i="437"/>
  <c r="E18" i="470"/>
  <c r="L51" i="375" s="1"/>
  <c r="C21" i="47"/>
  <c r="F13" i="51"/>
  <c r="F34" i="408"/>
  <c r="C12" i="62"/>
  <c r="J6" i="62" s="1"/>
  <c r="C12" i="68"/>
  <c r="J6" i="68" s="1"/>
  <c r="C12" i="398"/>
  <c r="J6" i="398" s="1"/>
  <c r="F21" i="111"/>
  <c r="F21" i="53"/>
  <c r="F34" i="387"/>
  <c r="F21" i="48"/>
  <c r="F21" i="51"/>
  <c r="C12" i="437"/>
  <c r="J6" i="437" s="1"/>
  <c r="F13" i="91"/>
  <c r="F8" i="402"/>
  <c r="F13" i="61"/>
  <c r="F13" i="75"/>
  <c r="F13" i="126"/>
  <c r="F26" i="91"/>
  <c r="C21" i="77"/>
  <c r="F26" i="106"/>
  <c r="F39" i="60"/>
  <c r="F34" i="407"/>
  <c r="F34" i="62"/>
  <c r="C12" i="394"/>
  <c r="J6" i="394" s="1"/>
  <c r="F21" i="69"/>
  <c r="F34" i="91"/>
  <c r="F21" i="90"/>
  <c r="F34" i="54"/>
  <c r="C21" i="126"/>
  <c r="F34" i="50"/>
  <c r="F34" i="60"/>
  <c r="F39" i="378"/>
  <c r="F8" i="423"/>
  <c r="F26" i="437"/>
  <c r="H18" i="470"/>
  <c r="L52" i="375" s="1"/>
  <c r="C12" i="362"/>
  <c r="J6" i="362" s="1"/>
  <c r="F8" i="75"/>
  <c r="C12" i="47"/>
  <c r="J6" i="47" s="1"/>
  <c r="F21" i="62"/>
  <c r="F34" i="90"/>
  <c r="F8" i="53"/>
  <c r="C12" i="56"/>
  <c r="J6" i="56" s="1"/>
  <c r="F8" i="422"/>
  <c r="F26" i="436"/>
  <c r="F34" i="422"/>
  <c r="C21" i="431"/>
  <c r="F34" i="432"/>
  <c r="F39" i="436"/>
  <c r="B19" i="470"/>
  <c r="L53" i="375" s="1"/>
  <c r="F39" i="408"/>
  <c r="F8" i="62"/>
  <c r="C12" i="64"/>
  <c r="J6" i="64" s="1"/>
  <c r="F21" i="105"/>
  <c r="F21" i="68"/>
  <c r="F8" i="93"/>
  <c r="F8" i="76"/>
  <c r="F21" i="47"/>
  <c r="F34" i="98"/>
  <c r="F21" i="64"/>
  <c r="F8" i="111"/>
  <c r="F8" i="105"/>
  <c r="C12" i="112"/>
  <c r="J6" i="112" s="1"/>
  <c r="C21" i="377"/>
  <c r="F21" i="432"/>
  <c r="F13" i="437"/>
  <c r="F39" i="432"/>
  <c r="F39" i="437"/>
  <c r="F13" i="436"/>
  <c r="E19" i="470"/>
  <c r="L54" i="375" s="1"/>
  <c r="F13" i="446"/>
  <c r="B15" i="470"/>
  <c r="F21" i="398"/>
  <c r="F13" i="432"/>
  <c r="H19" i="470"/>
  <c r="L55" i="375" s="1"/>
  <c r="C12" i="53"/>
  <c r="J6" i="53" s="1"/>
  <c r="C12" i="69"/>
  <c r="J6" i="69" s="1"/>
  <c r="F21" i="106"/>
  <c r="F21" i="406"/>
  <c r="C21" i="436"/>
  <c r="F39" i="446"/>
  <c r="E15" i="470"/>
  <c r="B20" i="470"/>
  <c r="E20" i="470"/>
  <c r="F34" i="360"/>
  <c r="F34" i="126"/>
  <c r="F8" i="398"/>
  <c r="F21" i="55"/>
  <c r="C12" i="91"/>
  <c r="J6" i="91" s="1"/>
  <c r="F8" i="406"/>
  <c r="F26" i="408"/>
  <c r="C21" i="432"/>
  <c r="H15" i="470"/>
  <c r="H20" i="470"/>
  <c r="C15" i="459"/>
  <c r="J9" i="459" s="1"/>
  <c r="F8" i="461"/>
  <c r="C18" i="461"/>
  <c r="B15" i="374"/>
  <c r="F6" i="459"/>
  <c r="F7" i="460"/>
  <c r="C17" i="460"/>
  <c r="F33" i="461"/>
  <c r="C16" i="60"/>
  <c r="J10" i="60" s="1"/>
  <c r="H15" i="373"/>
  <c r="C16" i="432"/>
  <c r="J10" i="432" s="1"/>
  <c r="C16" i="459"/>
  <c r="J10" i="459" s="1"/>
  <c r="F26" i="459"/>
  <c r="F32" i="460"/>
  <c r="F9" i="461"/>
  <c r="C19" i="461"/>
  <c r="C16" i="407"/>
  <c r="J10" i="407" s="1"/>
  <c r="C18" i="460"/>
  <c r="F10" i="461"/>
  <c r="F34" i="461"/>
  <c r="H15" i="374"/>
  <c r="E15" i="371"/>
  <c r="H15" i="371"/>
  <c r="C16" i="391"/>
  <c r="J10" i="391" s="1"/>
  <c r="C16" i="379"/>
  <c r="J10" i="379" s="1"/>
  <c r="C16" i="378"/>
  <c r="J10" i="378" s="1"/>
  <c r="C16" i="422"/>
  <c r="J10" i="422" s="1"/>
  <c r="F7" i="459"/>
  <c r="C17" i="459"/>
  <c r="F33" i="460"/>
  <c r="F19" i="461"/>
  <c r="C16" i="112"/>
  <c r="J10" i="112" s="1"/>
  <c r="C16" i="77"/>
  <c r="J10" i="77" s="1"/>
  <c r="F32" i="459"/>
  <c r="F9" i="460"/>
  <c r="C19" i="460"/>
  <c r="C16" i="401"/>
  <c r="J10" i="401" s="1"/>
  <c r="B15" i="373"/>
  <c r="F8" i="459"/>
  <c r="C18" i="459"/>
  <c r="F10" i="460"/>
  <c r="F34" i="460"/>
  <c r="C20" i="461"/>
  <c r="J14" i="461" s="1"/>
  <c r="F36" i="461"/>
  <c r="C16" i="444"/>
  <c r="J10" i="444" s="1"/>
  <c r="C16" i="397"/>
  <c r="J10" i="397" s="1"/>
  <c r="F33" i="459"/>
  <c r="F19" i="460"/>
  <c r="C12" i="461"/>
  <c r="J6" i="461" s="1"/>
  <c r="C16" i="443"/>
  <c r="J10" i="443" s="1"/>
  <c r="C16" i="88"/>
  <c r="J10" i="88" s="1"/>
  <c r="B15" i="372"/>
  <c r="C19" i="459"/>
  <c r="F20" i="461"/>
  <c r="F37" i="461"/>
  <c r="F10" i="459"/>
  <c r="F34" i="459"/>
  <c r="C20" i="460"/>
  <c r="J14" i="460" s="1"/>
  <c r="F36" i="460"/>
  <c r="F12" i="461"/>
  <c r="C21" i="461"/>
  <c r="C16" i="67"/>
  <c r="J10" i="67" s="1"/>
  <c r="C16" i="57"/>
  <c r="J10" i="57" s="1"/>
  <c r="F19" i="459"/>
  <c r="C12" i="460"/>
  <c r="J6" i="460" s="1"/>
  <c r="F35" i="459"/>
  <c r="F20" i="460"/>
  <c r="F37" i="460"/>
  <c r="C13" i="461"/>
  <c r="J7" i="461" s="1"/>
  <c r="C16" i="58"/>
  <c r="J10" i="58" s="1"/>
  <c r="C20" i="459"/>
  <c r="J14" i="459" s="1"/>
  <c r="F36" i="459"/>
  <c r="C21" i="460"/>
  <c r="F39" i="461"/>
  <c r="C16" i="52"/>
  <c r="J10" i="52" s="1"/>
  <c r="C16" i="98"/>
  <c r="J10" i="98" s="1"/>
  <c r="C12" i="459"/>
  <c r="J6" i="459" s="1"/>
  <c r="F13" i="461"/>
  <c r="F22" i="461"/>
  <c r="F20" i="459"/>
  <c r="F37" i="459"/>
  <c r="C13" i="460"/>
  <c r="J7" i="460" s="1"/>
  <c r="F21" i="460"/>
  <c r="F23" i="461"/>
  <c r="F12" i="459"/>
  <c r="C21" i="459"/>
  <c r="F39" i="460"/>
  <c r="C14" i="461"/>
  <c r="J8" i="461" s="1"/>
  <c r="F13" i="460"/>
  <c r="F40" i="460"/>
  <c r="F14" i="461"/>
  <c r="B15" i="409"/>
  <c r="H15" i="409"/>
  <c r="C13" i="459"/>
  <c r="J7" i="459" s="1"/>
  <c r="F21" i="459"/>
  <c r="F23" i="460"/>
  <c r="C16" i="51"/>
  <c r="J10" i="51" s="1"/>
  <c r="F39" i="459"/>
  <c r="C14" i="460"/>
  <c r="J8" i="460" s="1"/>
  <c r="F25" i="461"/>
  <c r="E15" i="409"/>
  <c r="C16" i="66"/>
  <c r="J10" i="66" s="1"/>
  <c r="C16" i="93"/>
  <c r="J10" i="93" s="1"/>
  <c r="F13" i="459"/>
  <c r="F22" i="459"/>
  <c r="F14" i="460"/>
  <c r="F6" i="461"/>
  <c r="C16" i="71"/>
  <c r="J10" i="71" s="1"/>
  <c r="F23" i="459"/>
  <c r="C16" i="461"/>
  <c r="J10" i="461" s="1"/>
  <c r="F26" i="461"/>
  <c r="B15" i="371"/>
  <c r="H15" i="372"/>
  <c r="C16" i="56"/>
  <c r="J10" i="56" s="1"/>
  <c r="C14" i="459"/>
  <c r="J8" i="459" s="1"/>
  <c r="F25" i="460"/>
  <c r="F14" i="459"/>
  <c r="F24" i="459"/>
  <c r="F6" i="460"/>
  <c r="F7" i="461"/>
  <c r="C17" i="461"/>
  <c r="C16" i="92"/>
  <c r="J10" i="92" s="1"/>
  <c r="C16" i="460"/>
  <c r="J10" i="460" s="1"/>
  <c r="F26" i="460"/>
  <c r="F32" i="461"/>
  <c r="C18" i="395"/>
  <c r="F35" i="50"/>
  <c r="C18" i="58"/>
  <c r="F22" i="404"/>
  <c r="C18" i="422"/>
  <c r="F22" i="431"/>
  <c r="C13" i="436"/>
  <c r="J7" i="436" s="1"/>
  <c r="F11" i="436"/>
  <c r="F22" i="432"/>
  <c r="C18" i="432"/>
  <c r="C18" i="407"/>
  <c r="C18" i="112"/>
  <c r="C12" i="431"/>
  <c r="J6" i="431" s="1"/>
  <c r="C12" i="78"/>
  <c r="J6" i="78" s="1"/>
  <c r="C12" i="106"/>
  <c r="J6" i="106" s="1"/>
  <c r="C12" i="98"/>
  <c r="J6" i="98" s="1"/>
  <c r="C12" i="65"/>
  <c r="J6" i="65" s="1"/>
  <c r="C12" i="74"/>
  <c r="J6" i="74" s="1"/>
  <c r="C12" i="395"/>
  <c r="J6" i="395" s="1"/>
  <c r="C12" i="48"/>
  <c r="J6" i="48" s="1"/>
  <c r="C12" i="92"/>
  <c r="J6" i="92" s="1"/>
  <c r="C12" i="407"/>
  <c r="J6" i="407" s="1"/>
  <c r="C12" i="51"/>
  <c r="J6" i="51" s="1"/>
  <c r="C12" i="361"/>
  <c r="J6" i="361" s="1"/>
  <c r="C12" i="77"/>
  <c r="J6" i="77" s="1"/>
  <c r="C12" i="57"/>
  <c r="J6" i="57" s="1"/>
  <c r="C12" i="66"/>
  <c r="J6" i="66" s="1"/>
  <c r="C12" i="408"/>
  <c r="J6" i="408" s="1"/>
  <c r="C12" i="125"/>
  <c r="J6" i="125" s="1"/>
  <c r="C12" i="131"/>
  <c r="J6" i="131" s="1"/>
  <c r="C12" i="423"/>
  <c r="J6" i="423" s="1"/>
  <c r="C12" i="422"/>
  <c r="J6" i="422" s="1"/>
  <c r="C12" i="93"/>
  <c r="J6" i="93" s="1"/>
  <c r="C12" i="60"/>
  <c r="J6" i="60" s="1"/>
  <c r="C12" i="54"/>
  <c r="J6" i="54" s="1"/>
  <c r="C12" i="406"/>
  <c r="J6" i="406" s="1"/>
  <c r="C12" i="75"/>
  <c r="J6" i="75" s="1"/>
  <c r="C12" i="73"/>
  <c r="J6" i="73" s="1"/>
  <c r="C12" i="397"/>
  <c r="J6" i="397" s="1"/>
  <c r="C12" i="386"/>
  <c r="J6" i="386" s="1"/>
  <c r="C12" i="83"/>
  <c r="J6" i="83" s="1"/>
  <c r="C12" i="67"/>
  <c r="J6" i="67" s="1"/>
  <c r="C12" i="50"/>
  <c r="J6" i="50" s="1"/>
  <c r="C12" i="105"/>
  <c r="J6" i="105" s="1"/>
  <c r="C12" i="377"/>
  <c r="J6" i="377" s="1"/>
  <c r="C12" i="59"/>
  <c r="J6" i="59" s="1"/>
  <c r="C12" i="76"/>
  <c r="J6" i="76" s="1"/>
  <c r="C12" i="436"/>
  <c r="J6" i="436" s="1"/>
  <c r="F20" i="105"/>
  <c r="C14" i="69"/>
  <c r="J8" i="69" s="1"/>
  <c r="F33" i="61"/>
  <c r="F7" i="61"/>
  <c r="F7" i="66"/>
  <c r="F33" i="395"/>
  <c r="F33" i="52"/>
  <c r="F33" i="407"/>
  <c r="F20" i="47"/>
  <c r="F33" i="48"/>
  <c r="C14" i="52"/>
  <c r="J8" i="52" s="1"/>
  <c r="F7" i="60"/>
  <c r="F7" i="74"/>
  <c r="F33" i="406"/>
  <c r="F20" i="422"/>
  <c r="F33" i="49"/>
  <c r="F33" i="68"/>
  <c r="F7" i="105"/>
  <c r="F7" i="112"/>
  <c r="F20" i="62"/>
  <c r="F7" i="54"/>
  <c r="F7" i="68"/>
  <c r="C14" i="422"/>
  <c r="J8" i="422" s="1"/>
  <c r="F33" i="422"/>
  <c r="F7" i="51"/>
  <c r="F33" i="397"/>
  <c r="F20" i="63"/>
  <c r="F20" i="70"/>
  <c r="F20" i="398"/>
  <c r="F33" i="437"/>
  <c r="F33" i="386"/>
  <c r="F20" i="66"/>
  <c r="F20" i="131"/>
  <c r="F7" i="83"/>
  <c r="C14" i="407"/>
  <c r="J8" i="407" s="1"/>
  <c r="F20" i="408"/>
  <c r="F20" i="437"/>
  <c r="C14" i="91"/>
  <c r="J8" i="91" s="1"/>
  <c r="C14" i="92"/>
  <c r="J8" i="92" s="1"/>
  <c r="C14" i="72"/>
  <c r="J8" i="72" s="1"/>
  <c r="F20" i="73"/>
  <c r="F20" i="60"/>
  <c r="F20" i="386"/>
  <c r="F33" i="126"/>
  <c r="F7" i="49"/>
  <c r="F7" i="378"/>
  <c r="F20" i="92"/>
  <c r="C14" i="436"/>
  <c r="J8" i="436" s="1"/>
  <c r="F33" i="423"/>
  <c r="F33" i="58"/>
  <c r="C14" i="437"/>
  <c r="J8" i="437" s="1"/>
  <c r="F20" i="111"/>
  <c r="F20" i="69"/>
  <c r="F7" i="90"/>
  <c r="F7" i="56"/>
  <c r="F33" i="51"/>
  <c r="F7" i="71"/>
  <c r="F7" i="361"/>
  <c r="F7" i="362"/>
  <c r="F33" i="361"/>
  <c r="F33" i="112"/>
  <c r="F33" i="86"/>
  <c r="F33" i="50"/>
  <c r="F20" i="77"/>
  <c r="F20" i="72"/>
  <c r="F7" i="86"/>
  <c r="F33" i="93"/>
  <c r="F33" i="391"/>
  <c r="F7" i="78"/>
  <c r="F33" i="431"/>
  <c r="F33" i="394"/>
  <c r="F7" i="67"/>
  <c r="F33" i="56"/>
  <c r="F33" i="87"/>
  <c r="F7" i="119"/>
  <c r="F33" i="378"/>
  <c r="F20" i="58"/>
  <c r="F20" i="119"/>
  <c r="F7" i="406"/>
  <c r="F20" i="378"/>
  <c r="F20" i="431"/>
  <c r="F7" i="75"/>
  <c r="F33" i="83"/>
  <c r="C14" i="431"/>
  <c r="J8" i="431" s="1"/>
  <c r="C14" i="57"/>
  <c r="J8" i="57" s="1"/>
  <c r="F33" i="432"/>
  <c r="F20" i="64"/>
  <c r="F20" i="83"/>
  <c r="F7" i="106"/>
  <c r="F20" i="395"/>
  <c r="F33" i="76"/>
  <c r="F20" i="71"/>
  <c r="F20" i="50"/>
  <c r="F7" i="432"/>
  <c r="F20" i="48"/>
  <c r="F20" i="432"/>
  <c r="F9" i="444"/>
  <c r="F20" i="391"/>
  <c r="C21" i="457"/>
  <c r="F38" i="457"/>
  <c r="C13" i="457"/>
  <c r="J7" i="457" s="1"/>
  <c r="F21" i="457"/>
  <c r="F39" i="457"/>
  <c r="F13" i="457"/>
  <c r="F7" i="451"/>
  <c r="F23" i="457"/>
  <c r="C14" i="457"/>
  <c r="J8" i="457" s="1"/>
  <c r="F14" i="457"/>
  <c r="F24" i="457"/>
  <c r="C15" i="457"/>
  <c r="J9" i="457" s="1"/>
  <c r="F6" i="457"/>
  <c r="C16" i="457"/>
  <c r="J10" i="457" s="1"/>
  <c r="F26" i="457"/>
  <c r="F7" i="457"/>
  <c r="C17" i="457"/>
  <c r="F32" i="457"/>
  <c r="F8" i="457"/>
  <c r="C18" i="457"/>
  <c r="F33" i="457"/>
  <c r="F9" i="457"/>
  <c r="C19" i="457"/>
  <c r="F10" i="457"/>
  <c r="C20" i="457"/>
  <c r="J14" i="457" s="1"/>
  <c r="F36" i="457"/>
  <c r="C12" i="457"/>
  <c r="J6" i="457" s="1"/>
  <c r="F20" i="457"/>
  <c r="F37" i="457"/>
  <c r="E11" i="146" a="1"/>
  <c r="E11" i="146" s="1"/>
  <c r="E12" i="146" a="1"/>
  <c r="E12" i="146" s="1"/>
  <c r="E83" i="146" a="1"/>
  <c r="E83" i="146" s="1"/>
  <c r="E75" i="146" a="1"/>
  <c r="E75" i="146" s="1"/>
  <c r="E72" i="146" a="1"/>
  <c r="E72" i="146" s="1"/>
  <c r="E63" i="146" a="1"/>
  <c r="E63" i="146" s="1"/>
  <c r="E73" i="146" a="1"/>
  <c r="E73" i="146" s="1"/>
  <c r="E60" i="146" a="1"/>
  <c r="E60" i="146" s="1"/>
  <c r="E58" i="146" a="1"/>
  <c r="E58" i="146" s="1"/>
  <c r="E8" i="146" a="1"/>
  <c r="E8" i="146" s="1"/>
  <c r="E2" i="146" a="1"/>
  <c r="E2" i="146" s="1"/>
  <c r="E9" i="146" a="1"/>
  <c r="E9" i="146" s="1"/>
  <c r="E10" i="146" a="1"/>
  <c r="E10" i="146" s="1"/>
  <c r="E4" i="146" a="1"/>
  <c r="E4" i="146" s="1"/>
  <c r="E5" i="146" a="1"/>
  <c r="E5" i="146" s="1"/>
  <c r="E7" i="146" a="1"/>
  <c r="E7" i="146" s="1"/>
  <c r="E3" i="146" a="1"/>
  <c r="E3" i="146" s="1"/>
  <c r="E21" i="146" a="1"/>
  <c r="E21" i="146" s="1"/>
  <c r="D33" i="145" a="1"/>
  <c r="D33" i="145" s="1"/>
  <c r="E26" i="146" a="1"/>
  <c r="E26" i="146" s="1"/>
  <c r="E29" i="146" a="1"/>
  <c r="E29" i="146" s="1"/>
  <c r="E24" i="146" a="1"/>
  <c r="E24" i="146" s="1"/>
  <c r="E15" i="146" a="1"/>
  <c r="E15" i="146" s="1"/>
  <c r="D51" i="145" a="1"/>
  <c r="D51" i="145" s="1"/>
  <c r="E51" i="146" a="1"/>
  <c r="E51" i="146" s="1"/>
  <c r="D15" i="145" a="1"/>
  <c r="D15" i="145" s="1"/>
  <c r="D12" i="145" a="1"/>
  <c r="D12" i="145" s="1"/>
  <c r="D4" i="145" a="1"/>
  <c r="D4" i="145" s="1"/>
  <c r="D3" i="145" a="1"/>
  <c r="D3" i="145" s="1"/>
  <c r="D6" i="145" a="1"/>
  <c r="D6" i="145" s="1"/>
  <c r="D9" i="145" a="1"/>
  <c r="D9" i="145" s="1"/>
  <c r="D10" i="145" a="1"/>
  <c r="D10" i="145" s="1"/>
  <c r="D8" i="145" a="1"/>
  <c r="D8" i="145" s="1"/>
  <c r="D5" i="145" a="1"/>
  <c r="D5" i="145" s="1"/>
  <c r="D22" i="145" a="1"/>
  <c r="D22" i="145" s="1"/>
  <c r="D27" i="145" a="1"/>
  <c r="D27" i="145" s="1"/>
  <c r="D32" i="145" a="1"/>
  <c r="D32" i="145" s="1"/>
  <c r="E50" i="146" a="1"/>
  <c r="E50" i="146" s="1"/>
  <c r="E14" i="146" a="1"/>
  <c r="E14" i="146" s="1"/>
  <c r="D40" i="145" a="1"/>
  <c r="D40" i="145" s="1"/>
  <c r="D14" i="145" a="1"/>
  <c r="D14" i="145" s="1"/>
  <c r="D46" i="145" a="1"/>
  <c r="D46" i="145" s="1"/>
  <c r="D49" i="145" a="1"/>
  <c r="D49" i="145" s="1"/>
  <c r="B37" i="145"/>
  <c r="D37" i="145" s="1" a="1"/>
  <c r="D37" i="145" s="1"/>
  <c r="C37" i="146"/>
  <c r="E37" i="146" s="1" a="1"/>
  <c r="E37" i="146" s="1"/>
  <c r="B19" i="145"/>
  <c r="D19" i="145" s="1" a="1"/>
  <c r="D19" i="145" s="1"/>
  <c r="G8" i="389"/>
  <c r="F11" i="431"/>
  <c r="F10" i="444"/>
  <c r="F37" i="446"/>
  <c r="F23" i="394"/>
  <c r="F23" i="437"/>
  <c r="C16" i="86"/>
  <c r="J10" i="86" s="1"/>
  <c r="C16" i="125"/>
  <c r="J10" i="125" s="1"/>
  <c r="F23" i="406"/>
  <c r="F36" i="431"/>
  <c r="F36" i="436"/>
  <c r="F23" i="98"/>
  <c r="F10" i="76"/>
  <c r="F36" i="87"/>
  <c r="F23" i="386"/>
  <c r="E111" i="146" a="1"/>
  <c r="E111" i="146" s="1"/>
  <c r="C16" i="423"/>
  <c r="J10" i="423" s="1"/>
  <c r="C12" i="370"/>
  <c r="G6" i="370" s="1"/>
  <c r="C12" i="432"/>
  <c r="J6" i="432" s="1"/>
  <c r="F10" i="377"/>
  <c r="F36" i="53"/>
  <c r="F39" i="431"/>
  <c r="C17" i="449"/>
  <c r="F26" i="394"/>
  <c r="F13" i="422"/>
  <c r="C12" i="446"/>
  <c r="J6" i="446" s="1"/>
  <c r="C19" i="449"/>
  <c r="F22" i="453"/>
  <c r="F9" i="453"/>
  <c r="F35" i="452"/>
  <c r="F22" i="451"/>
  <c r="F35" i="453"/>
  <c r="F9" i="452"/>
  <c r="F22" i="452"/>
  <c r="F6" i="451"/>
  <c r="F32" i="451"/>
  <c r="F19" i="452"/>
  <c r="F19" i="453"/>
  <c r="F6" i="453"/>
  <c r="F19" i="451"/>
  <c r="F32" i="452"/>
  <c r="F32" i="453"/>
  <c r="F6" i="452"/>
  <c r="C14" i="453"/>
  <c r="J8" i="453" s="1"/>
  <c r="F21" i="452"/>
  <c r="C13" i="451"/>
  <c r="J7" i="451" s="1"/>
  <c r="C14" i="452"/>
  <c r="J8" i="452" s="1"/>
  <c r="C21" i="446"/>
  <c r="C20" i="451"/>
  <c r="J14" i="451" s="1"/>
  <c r="F25" i="453"/>
  <c r="F11" i="451"/>
  <c r="F13" i="451"/>
  <c r="F23" i="452"/>
  <c r="F7" i="453"/>
  <c r="F20" i="451"/>
  <c r="F26" i="453"/>
  <c r="C21" i="451"/>
  <c r="F24" i="452"/>
  <c r="C16" i="453"/>
  <c r="J10" i="453" s="1"/>
  <c r="C13" i="446"/>
  <c r="J7" i="446" s="1"/>
  <c r="F40" i="453"/>
  <c r="F40" i="451"/>
  <c r="C14" i="451"/>
  <c r="J8" i="451" s="1"/>
  <c r="F10" i="453"/>
  <c r="F21" i="453"/>
  <c r="F34" i="452"/>
  <c r="F8" i="453"/>
  <c r="C16" i="452"/>
  <c r="J10" i="452" s="1"/>
  <c r="F11" i="453"/>
  <c r="F34" i="453"/>
  <c r="F25" i="451"/>
  <c r="C18" i="453"/>
  <c r="F33" i="451"/>
  <c r="F7" i="452"/>
  <c r="F20" i="453"/>
  <c r="F33" i="452"/>
  <c r="F33" i="453"/>
  <c r="F10" i="452"/>
  <c r="C12" i="453"/>
  <c r="J6" i="453" s="1"/>
  <c r="F36" i="453"/>
  <c r="F8" i="451"/>
  <c r="C18" i="452"/>
  <c r="F12" i="453"/>
  <c r="F34" i="451"/>
  <c r="C19" i="452"/>
  <c r="F37" i="452"/>
  <c r="C20" i="453"/>
  <c r="J14" i="453" s="1"/>
  <c r="F23" i="451"/>
  <c r="F10" i="451"/>
  <c r="C20" i="449"/>
  <c r="J14" i="449" s="1"/>
  <c r="F38" i="453"/>
  <c r="F12" i="451"/>
  <c r="F12" i="452"/>
  <c r="F36" i="451"/>
  <c r="C18" i="446"/>
  <c r="F13" i="452"/>
  <c r="F26" i="451"/>
  <c r="F13" i="453"/>
  <c r="F26" i="452"/>
  <c r="F39" i="451"/>
  <c r="C73" i="353"/>
  <c r="C19" i="451"/>
  <c r="F39" i="452"/>
  <c r="F20" i="452"/>
  <c r="F40" i="452"/>
  <c r="C12" i="451"/>
  <c r="J6" i="451" s="1"/>
  <c r="C21" i="452"/>
  <c r="F23" i="453"/>
  <c r="E117" i="146" a="1"/>
  <c r="E117" i="146" s="1"/>
  <c r="E124" i="146" a="1"/>
  <c r="E124" i="146" s="1"/>
  <c r="E118" i="146" a="1"/>
  <c r="E118" i="146" s="1"/>
  <c r="E85" i="146" a="1"/>
  <c r="E85" i="146" s="1"/>
  <c r="E107" i="146" a="1"/>
  <c r="E107" i="146" s="1"/>
  <c r="E114" i="146" a="1"/>
  <c r="E114" i="146" s="1"/>
  <c r="E125" i="146" a="1"/>
  <c r="E125" i="146" s="1"/>
  <c r="E113" i="146" a="1"/>
  <c r="E113" i="146" s="1"/>
  <c r="E123" i="146" a="1"/>
  <c r="E123" i="146" s="1"/>
  <c r="E127" i="146" a="1"/>
  <c r="E127" i="146" s="1"/>
  <c r="E110" i="146" a="1"/>
  <c r="E110" i="146" s="1"/>
  <c r="E128" i="146" a="1"/>
  <c r="E128" i="146" s="1"/>
  <c r="E121" i="146" a="1"/>
  <c r="E121" i="146" s="1"/>
  <c r="E108" i="146" a="1"/>
  <c r="E108" i="146" s="1"/>
  <c r="E96" i="146" a="1"/>
  <c r="E96" i="146" s="1"/>
  <c r="E88" i="146" a="1"/>
  <c r="E88" i="146" s="1"/>
  <c r="E100" i="146" a="1"/>
  <c r="E100" i="146" s="1"/>
  <c r="E82" i="146" a="1"/>
  <c r="E82" i="146" s="1"/>
  <c r="E80" i="146" a="1"/>
  <c r="E80" i="146" s="1"/>
  <c r="C81" i="146"/>
  <c r="E81" i="146" s="1" a="1"/>
  <c r="E81" i="146" s="1"/>
  <c r="E129" i="146" a="1"/>
  <c r="E129" i="146" s="1"/>
  <c r="F14" i="484"/>
  <c r="F19" i="131"/>
  <c r="F6" i="489"/>
  <c r="F19" i="489"/>
  <c r="F32" i="489"/>
  <c r="C16" i="489"/>
  <c r="J10" i="489" s="1"/>
  <c r="F25" i="489"/>
  <c r="F12" i="489"/>
  <c r="F38" i="489"/>
  <c r="F35" i="422"/>
  <c r="F35" i="489"/>
  <c r="F24" i="489"/>
  <c r="F37" i="489"/>
  <c r="F11" i="489"/>
  <c r="H17" i="470"/>
  <c r="L49" i="375" s="1"/>
  <c r="F23" i="489"/>
  <c r="F10" i="489"/>
  <c r="F36" i="489"/>
  <c r="C17" i="436"/>
  <c r="F26" i="489"/>
  <c r="F13" i="489"/>
  <c r="F39" i="489"/>
  <c r="F8" i="489"/>
  <c r="F21" i="489"/>
  <c r="F34" i="489"/>
  <c r="C21" i="437"/>
  <c r="C21" i="489"/>
  <c r="F33" i="489"/>
  <c r="F20" i="489"/>
  <c r="F7" i="489"/>
  <c r="P29" i="375"/>
  <c r="P16" i="375"/>
  <c r="P21" i="375"/>
  <c r="P15" i="375"/>
  <c r="P23" i="375"/>
  <c r="P17" i="375"/>
  <c r="P22" i="375"/>
  <c r="P26" i="375"/>
  <c r="P28" i="375"/>
  <c r="F6" i="105"/>
  <c r="C16" i="54"/>
  <c r="J10" i="54" s="1"/>
  <c r="F32" i="90"/>
  <c r="F6" i="59"/>
  <c r="F19" i="68"/>
  <c r="F6" i="436"/>
  <c r="F6" i="423"/>
  <c r="F19" i="431"/>
  <c r="B6" i="111"/>
  <c r="J4" i="111" s="1"/>
  <c r="B6" i="71"/>
  <c r="J4" i="71" s="1"/>
  <c r="B6" i="394"/>
  <c r="J4" i="394" s="1"/>
  <c r="B6" i="397"/>
  <c r="J4" i="397" s="1"/>
  <c r="B6" i="88"/>
  <c r="J4" i="88" s="1"/>
  <c r="B6" i="370"/>
  <c r="G4" i="370" s="1"/>
  <c r="B6" i="387"/>
  <c r="J4" i="387" s="1"/>
  <c r="B6" i="49"/>
  <c r="J4" i="49" s="1"/>
  <c r="B6" i="362"/>
  <c r="J4" i="362" s="1"/>
  <c r="B6" i="398"/>
  <c r="J4" i="398" s="1"/>
  <c r="B6" i="64"/>
  <c r="J4" i="64" s="1"/>
  <c r="B6" i="437"/>
  <c r="J4" i="437" s="1"/>
  <c r="B6" i="112"/>
  <c r="J4" i="112" s="1"/>
  <c r="B6" i="457"/>
  <c r="J4" i="457" s="1"/>
  <c r="B6" i="47"/>
  <c r="J4" i="47" s="1"/>
  <c r="B6" i="452"/>
  <c r="J4" i="452" s="1"/>
  <c r="B6" i="73"/>
  <c r="J4" i="73" s="1"/>
  <c r="B6" i="461"/>
  <c r="J4" i="461" s="1"/>
  <c r="B6" i="360"/>
  <c r="J4" i="360" s="1"/>
  <c r="B6" i="50"/>
  <c r="J4" i="50" s="1"/>
  <c r="B6" i="75"/>
  <c r="J4" i="75" s="1"/>
  <c r="B6" i="423"/>
  <c r="J4" i="423" s="1"/>
  <c r="B6" i="377"/>
  <c r="J4" i="377" s="1"/>
  <c r="B6" i="459"/>
  <c r="J4" i="459" s="1"/>
  <c r="B6" i="402"/>
  <c r="J4" i="402" s="1"/>
  <c r="B6" i="98"/>
  <c r="J4" i="98" s="1"/>
  <c r="B6" i="484"/>
  <c r="J4" i="484" s="1"/>
  <c r="B6" i="57"/>
  <c r="J4" i="57" s="1"/>
  <c r="B6" i="54"/>
  <c r="J4" i="54" s="1"/>
  <c r="B6" i="62"/>
  <c r="J4" i="62" s="1"/>
  <c r="B6" i="446"/>
  <c r="J4" i="446" s="1"/>
  <c r="B6" i="87"/>
  <c r="J4" i="87" s="1"/>
  <c r="B6" i="432"/>
  <c r="J4" i="432" s="1"/>
  <c r="B6" i="406"/>
  <c r="J4" i="406" s="1"/>
  <c r="B6" i="444"/>
  <c r="J4" i="444" s="1"/>
  <c r="B6" i="407"/>
  <c r="J4" i="407" s="1"/>
  <c r="B6" i="436"/>
  <c r="J4" i="436" s="1"/>
  <c r="B6" i="48"/>
  <c r="J4" i="48" s="1"/>
  <c r="B6" i="378"/>
  <c r="J4" i="378" s="1"/>
  <c r="B6" i="395"/>
  <c r="J4" i="395" s="1"/>
  <c r="B6" i="61"/>
  <c r="J4" i="61" s="1"/>
  <c r="B6" i="63"/>
  <c r="J4" i="63" s="1"/>
  <c r="B6" i="60"/>
  <c r="J4" i="60" s="1"/>
  <c r="B6" i="379"/>
  <c r="J4" i="379" s="1"/>
  <c r="B6" i="52"/>
  <c r="J4" i="52" s="1"/>
  <c r="B6" i="361"/>
  <c r="J4" i="361" s="1"/>
  <c r="B6" i="477"/>
  <c r="J4" i="477" s="1"/>
  <c r="P9" i="375"/>
  <c r="P11" i="375"/>
  <c r="P10" i="375"/>
  <c r="C19" i="503"/>
  <c r="C18" i="516"/>
  <c r="B6" i="513"/>
  <c r="C13" i="509"/>
  <c r="B6" i="501"/>
  <c r="AK106" i="353" a="1"/>
  <c r="B7" i="503"/>
  <c r="AF109" i="353" a="1"/>
  <c r="O208" i="351" a="1"/>
  <c r="I109" i="353" a="1"/>
  <c r="C17" i="501"/>
  <c r="B7" i="501"/>
  <c r="M212" i="351" a="1"/>
  <c r="C22" i="503"/>
  <c r="I211" i="351" a="1"/>
  <c r="C19" i="497"/>
  <c r="AV109" i="353" a="1"/>
  <c r="C22" i="509"/>
  <c r="C12" i="508"/>
  <c r="AN107" i="353" a="1"/>
  <c r="I110" i="353" a="1"/>
  <c r="AO110" i="353" a="1"/>
  <c r="AQ108" i="353" a="1"/>
  <c r="AF110" i="353" a="1"/>
  <c r="C22" i="516"/>
  <c r="U109" i="353" a="1"/>
  <c r="B7" i="498"/>
  <c r="J106" i="353" a="1"/>
  <c r="AO108" i="353" a="1"/>
  <c r="J212" i="351" a="1"/>
  <c r="R209" i="351" a="1"/>
  <c r="F110" i="353" a="1"/>
  <c r="C17" i="503"/>
  <c r="AQ110" i="353" a="1"/>
  <c r="W109" i="353" a="1"/>
  <c r="AJ109" i="353" a="1"/>
  <c r="C16" i="512"/>
  <c r="C15" i="516"/>
  <c r="C15" i="508"/>
  <c r="AV106" i="353" a="1"/>
  <c r="E108" i="353" a="1"/>
  <c r="AT108" i="353" a="1"/>
  <c r="AT110" i="353" a="1"/>
  <c r="L211" i="351" a="1"/>
  <c r="C16" i="514"/>
  <c r="B6" i="511"/>
  <c r="C18" i="504"/>
  <c r="AB107" i="353" a="1"/>
  <c r="K212" i="351" a="1"/>
  <c r="O108" i="353" a="1"/>
  <c r="N106" i="353" a="1"/>
  <c r="B7" i="508"/>
  <c r="AN108" i="353" a="1"/>
  <c r="B7" i="509"/>
  <c r="B6" i="515"/>
  <c r="C12" i="513"/>
  <c r="G209" i="351" a="1"/>
  <c r="C14" i="508"/>
  <c r="J108" i="353" a="1"/>
  <c r="J208" i="351" a="1"/>
  <c r="C19" i="511"/>
  <c r="G110" i="353" a="1"/>
  <c r="AJ108" i="353" a="1"/>
  <c r="AN109" i="353" a="1"/>
  <c r="AB106" i="353" a="1"/>
  <c r="C18" i="503"/>
  <c r="C16" i="509"/>
  <c r="AV107" i="353" a="1"/>
  <c r="C18" i="508"/>
  <c r="M210" i="351" a="1"/>
  <c r="C14" i="510"/>
  <c r="M106" i="353" a="1"/>
  <c r="C13" i="504"/>
  <c r="X107" i="353" a="1"/>
  <c r="C19" i="512"/>
  <c r="C21" i="512"/>
  <c r="G108" i="353" a="1"/>
  <c r="C13" i="508"/>
  <c r="C22" i="501"/>
  <c r="AE109" i="353" a="1"/>
  <c r="E106" i="353" a="1"/>
  <c r="C18" i="509"/>
  <c r="Q109" i="353" a="1"/>
  <c r="AP110" i="353" a="1"/>
  <c r="Y108" i="353" a="1"/>
  <c r="C14" i="498"/>
  <c r="AD109" i="353" a="1"/>
  <c r="AJ110" i="353" a="1"/>
  <c r="AF106" i="353" a="1"/>
  <c r="J209" i="351" a="1"/>
  <c r="C16" i="508"/>
  <c r="S212" i="351" a="1"/>
  <c r="W106" i="353" a="1"/>
  <c r="AI106" i="353" a="1"/>
  <c r="AJ107" i="353" a="1"/>
  <c r="G211" i="351" a="1"/>
  <c r="Y106" i="353" a="1"/>
  <c r="AH110" i="353" a="1"/>
  <c r="AU106" i="353" a="1"/>
  <c r="AS107" i="353" a="1"/>
  <c r="T209" i="351" a="1"/>
  <c r="P108" i="353" a="1"/>
  <c r="C14" i="509"/>
  <c r="O209" i="351" a="1"/>
  <c r="C21" i="511"/>
  <c r="O211" i="351" a="1"/>
  <c r="H107" i="353" a="1"/>
  <c r="Z106" i="353" a="1"/>
  <c r="C12" i="514"/>
  <c r="J110" i="353" a="1"/>
  <c r="X109" i="353" a="1"/>
  <c r="AK110" i="353" a="1"/>
  <c r="I212" i="351" a="1"/>
  <c r="C17" i="512"/>
  <c r="R106" i="353" a="1"/>
  <c r="K109" i="353" a="1"/>
  <c r="C17" i="513"/>
  <c r="B6" i="503"/>
  <c r="H108" i="353" a="1"/>
  <c r="C21" i="497"/>
  <c r="F107" i="353" a="1"/>
  <c r="C21" i="503"/>
  <c r="B7" i="511"/>
  <c r="R108" i="353" a="1"/>
  <c r="C14" i="514"/>
  <c r="C16" i="501"/>
  <c r="C21" i="515"/>
  <c r="AE108" i="353" a="1"/>
  <c r="I209" i="351" a="1"/>
  <c r="T211" i="351" a="1"/>
  <c r="I107" i="353" a="1"/>
  <c r="C20" i="512"/>
  <c r="AI107" i="353" a="1"/>
  <c r="I208" i="351" a="1"/>
  <c r="AE107" i="353" a="1"/>
  <c r="C22" i="508"/>
  <c r="C14" i="516"/>
  <c r="Q212" i="351" a="1"/>
  <c r="AG107" i="353" a="1"/>
  <c r="C16" i="515"/>
  <c r="F109" i="353" a="1"/>
  <c r="R212" i="351" a="1"/>
  <c r="AD106" i="353" a="1"/>
  <c r="AS110" i="353" a="1"/>
  <c r="H212" i="351" a="1"/>
  <c r="AR106" i="353" a="1"/>
  <c r="AA106" i="353" a="1"/>
  <c r="AA108" i="353" a="1"/>
  <c r="AB109" i="353" a="1"/>
  <c r="AD108" i="353" a="1"/>
  <c r="N107" i="353" a="1"/>
  <c r="C18" i="515"/>
  <c r="Q208" i="351" a="1"/>
  <c r="C19" i="509"/>
  <c r="AF108" i="353" a="1"/>
  <c r="AI108" i="353" a="1"/>
  <c r="AO107" i="353" a="1"/>
  <c r="Y109" i="353" a="1"/>
  <c r="C17" i="509"/>
  <c r="C15" i="513"/>
  <c r="M107" i="353" a="1"/>
  <c r="C19" i="515"/>
  <c r="O107" i="353" a="1"/>
  <c r="C16" i="511"/>
  <c r="AH107" i="353" a="1"/>
  <c r="C18" i="510"/>
  <c r="M109" i="353" a="1"/>
  <c r="C18" i="501"/>
  <c r="AD110" i="353" a="1"/>
  <c r="C13" i="512"/>
  <c r="S208" i="351" a="1"/>
  <c r="T109" i="353" a="1"/>
  <c r="C15" i="509"/>
  <c r="P211" i="351" a="1"/>
  <c r="P212" i="351" a="1"/>
  <c r="AD107" i="353" a="1"/>
  <c r="AL108" i="353" a="1"/>
  <c r="C18" i="511"/>
  <c r="H106" i="353" a="1"/>
  <c r="T208" i="351" a="1"/>
  <c r="B6" i="504"/>
  <c r="C13" i="513"/>
  <c r="AT109" i="353" a="1"/>
  <c r="AU110" i="353" a="1"/>
  <c r="AO109" i="353" a="1"/>
  <c r="C12" i="498"/>
  <c r="M211" i="351" a="1"/>
  <c r="D13" i="355" a="1"/>
  <c r="Q209" i="351" a="1"/>
  <c r="I108" i="353" a="1"/>
  <c r="C21" i="514"/>
  <c r="T107" i="353" a="1"/>
  <c r="AV108" i="353" a="1"/>
  <c r="B13" i="355" a="1"/>
  <c r="B6" i="497"/>
  <c r="AB108" i="353" a="1"/>
  <c r="W107" i="353" a="1"/>
  <c r="AN106" i="353" a="1"/>
  <c r="C16" i="510"/>
  <c r="C12" i="501"/>
  <c r="C20" i="510"/>
  <c r="AP106" i="353" a="1"/>
  <c r="T212" i="351" a="1"/>
  <c r="H211" i="351" a="1"/>
  <c r="C17" i="497"/>
  <c r="C16" i="516"/>
  <c r="B7" i="516"/>
  <c r="U106" i="353" a="1"/>
  <c r="C19" i="498"/>
  <c r="AG110" i="353" a="1"/>
  <c r="C16" i="497"/>
  <c r="C15" i="514"/>
  <c r="T106" i="353" a="1"/>
  <c r="AU109" i="353" a="1"/>
  <c r="C22" i="497"/>
  <c r="C14" i="497"/>
  <c r="L212" i="351" a="1"/>
  <c r="AK107" i="353" a="1"/>
  <c r="C13" i="515"/>
  <c r="AP107" i="353" a="1"/>
  <c r="K208" i="351" a="1"/>
  <c r="E107" i="353" a="1"/>
  <c r="K211" i="351" a="1"/>
  <c r="AG109" i="353" a="1"/>
  <c r="U107" i="353" a="1"/>
  <c r="AI110" i="353" a="1"/>
  <c r="C14" i="512"/>
  <c r="B6" i="514"/>
  <c r="V110" i="353" a="1"/>
  <c r="C22" i="504"/>
  <c r="C12" i="510"/>
  <c r="C21" i="504"/>
  <c r="N109" i="353" a="1"/>
  <c r="P209" i="351" a="1"/>
  <c r="AT106" i="353" a="1"/>
  <c r="AA109" i="353" a="1"/>
  <c r="AS108" i="353" a="1"/>
  <c r="Z107" i="353" a="1"/>
  <c r="C17" i="510"/>
  <c r="C18" i="512"/>
  <c r="S211" i="351" a="1"/>
  <c r="C20" i="513"/>
  <c r="P210" i="351" a="1"/>
  <c r="H210" i="351" a="1"/>
  <c r="P109" i="353" a="1"/>
  <c r="J109" i="353" a="1"/>
  <c r="C21" i="501"/>
  <c r="C20" i="515"/>
  <c r="AL106" i="353" a="1"/>
  <c r="AS109" i="353" a="1"/>
  <c r="P107" i="353" a="1"/>
  <c r="C13" i="510"/>
  <c r="AP108" i="353" a="1"/>
  <c r="C19" i="516"/>
  <c r="AI109" i="353" a="1"/>
  <c r="C18" i="514"/>
  <c r="C15" i="498"/>
  <c r="O212" i="351" a="1"/>
  <c r="O110" i="353" a="1"/>
  <c r="C22" i="512"/>
  <c r="E13" i="355" a="1"/>
  <c r="C20" i="514"/>
  <c r="C19" i="513"/>
  <c r="I210" i="351" a="1"/>
  <c r="C12" i="503"/>
  <c r="AR110" i="353" a="1"/>
  <c r="V109" i="353" a="1"/>
  <c r="Q210" i="351" a="1"/>
  <c r="C13" i="497"/>
  <c r="N108" i="353" a="1"/>
  <c r="J210" i="351" a="1"/>
  <c r="C16" i="503"/>
  <c r="C19" i="510"/>
  <c r="AK109" i="353" a="1"/>
  <c r="AS106" i="353" a="1"/>
  <c r="B7" i="515"/>
  <c r="K210" i="351" a="1"/>
  <c r="AE110" i="353" a="1"/>
  <c r="F108" i="353" a="1"/>
  <c r="B6" i="508"/>
  <c r="G109" i="353" a="1"/>
  <c r="C16" i="513"/>
  <c r="AT107" i="353" a="1"/>
  <c r="R208" i="351" a="1"/>
  <c r="C22" i="515"/>
  <c r="T210" i="351" a="1"/>
  <c r="AG108" i="353" a="1"/>
  <c r="L210" i="351" a="1"/>
  <c r="C15" i="515"/>
  <c r="X108" i="353" a="1"/>
  <c r="B7" i="514"/>
  <c r="Q211" i="351" a="1"/>
  <c r="R109" i="353" a="1"/>
  <c r="C20" i="516"/>
  <c r="AR107" i="353" a="1"/>
  <c r="C20" i="511"/>
  <c r="C13" i="355" a="1"/>
  <c r="G212" i="351" a="1"/>
  <c r="G106" i="353" a="1"/>
  <c r="C14" i="501"/>
  <c r="X106" i="353" a="1"/>
  <c r="J211" i="351" a="1"/>
  <c r="B7" i="512"/>
  <c r="C17" i="504"/>
  <c r="AR108" i="353" a="1"/>
  <c r="R110" i="353" a="1"/>
  <c r="C21" i="508"/>
  <c r="C14" i="503"/>
  <c r="AV110" i="353" a="1"/>
  <c r="C21" i="509"/>
  <c r="C22" i="498"/>
  <c r="K110" i="353" a="1"/>
  <c r="P110" i="353" a="1"/>
  <c r="AL110" i="353" a="1"/>
  <c r="S209" i="351" a="1"/>
  <c r="Q108" i="353" a="1"/>
  <c r="C12" i="512"/>
  <c r="C13" i="514"/>
  <c r="C17" i="511"/>
  <c r="S210" i="351" a="1"/>
  <c r="AU107" i="353" a="1"/>
  <c r="E109" i="353" a="1"/>
  <c r="K209" i="351" a="1"/>
  <c r="C13" i="516"/>
  <c r="C19" i="501"/>
  <c r="C21" i="510"/>
  <c r="B6" i="509"/>
  <c r="V107" i="353" a="1"/>
  <c r="AR109" i="353" a="1"/>
  <c r="K106" i="353" a="1"/>
  <c r="C15" i="503"/>
  <c r="C21" i="498"/>
  <c r="C15" i="497"/>
  <c r="C20" i="497"/>
  <c r="V106" i="353" a="1"/>
  <c r="B6" i="512"/>
  <c r="O210" i="351" a="1"/>
  <c r="B6" i="498"/>
  <c r="C13" i="511"/>
  <c r="J107" i="353" a="1"/>
  <c r="C14" i="504"/>
  <c r="C20" i="504"/>
  <c r="C18" i="498"/>
  <c r="P208" i="351" a="1"/>
  <c r="C19" i="508"/>
  <c r="Z110" i="353" a="1"/>
  <c r="G208" i="351" a="1"/>
  <c r="AB110" i="353" a="1"/>
  <c r="C12" i="515"/>
  <c r="AO106" i="353" a="1"/>
  <c r="C18" i="497"/>
  <c r="M110" i="353" a="1"/>
  <c r="C15" i="512"/>
  <c r="P106" i="353" a="1"/>
  <c r="O106" i="353" a="1"/>
  <c r="AP109" i="353" a="1"/>
  <c r="W108" i="353" a="1"/>
  <c r="H109" i="353" a="1"/>
  <c r="X110" i="353" a="1"/>
  <c r="C17" i="515"/>
  <c r="H208" i="351" a="1"/>
  <c r="C16" i="498"/>
  <c r="AN110" i="353" a="1"/>
  <c r="C13" i="501"/>
  <c r="C14" i="511"/>
  <c r="U108" i="353" a="1"/>
  <c r="AL109" i="353" a="1"/>
  <c r="H110" i="353" a="1"/>
  <c r="V108" i="353" a="1"/>
  <c r="AA110" i="353" a="1"/>
  <c r="AH108" i="353" a="1"/>
  <c r="N110" i="353" a="1"/>
  <c r="L208" i="351" a="1"/>
  <c r="C13" i="503"/>
  <c r="C22" i="513"/>
  <c r="M208" i="351" a="1"/>
  <c r="C13" i="498"/>
  <c r="AH109" i="353" a="1"/>
  <c r="C12" i="516"/>
  <c r="C15" i="501"/>
  <c r="C14" i="513"/>
  <c r="C20" i="509"/>
  <c r="AF107" i="353" a="1"/>
  <c r="C17" i="516"/>
  <c r="Z108" i="353" a="1"/>
  <c r="W110" i="353" a="1"/>
  <c r="B7" i="497"/>
  <c r="B7" i="513"/>
  <c r="Y107" i="353" a="1"/>
  <c r="C12" i="504"/>
  <c r="B6" i="516"/>
  <c r="AE106" i="353" a="1"/>
  <c r="M209" i="351" a="1"/>
  <c r="Z109" i="353" a="1"/>
  <c r="B7" i="510"/>
  <c r="AQ107" i="353" a="1"/>
  <c r="C17" i="498"/>
  <c r="C21" i="516"/>
  <c r="C22" i="511"/>
  <c r="C20" i="503"/>
  <c r="AA107" i="353" a="1"/>
  <c r="H209" i="351" a="1"/>
  <c r="C15" i="510"/>
  <c r="C20" i="501"/>
  <c r="AL107" i="353" a="1"/>
  <c r="U110" i="353" a="1"/>
  <c r="T108" i="353" a="1"/>
  <c r="C22" i="514"/>
  <c r="C19" i="514"/>
  <c r="C20" i="508"/>
  <c r="I106" i="353" a="1"/>
  <c r="C12" i="509"/>
  <c r="AG106" i="353" a="1"/>
  <c r="Q107" i="353" a="1"/>
  <c r="Q106" i="353" a="1"/>
  <c r="C19" i="504"/>
  <c r="K107" i="353" a="1"/>
  <c r="R211" i="351" a="1"/>
  <c r="O109" i="353" a="1"/>
  <c r="G107" i="353" a="1"/>
  <c r="C12" i="511"/>
  <c r="AU108" i="353" a="1"/>
  <c r="C16" i="504"/>
  <c r="AQ106" i="353" a="1"/>
  <c r="E110" i="353" a="1"/>
  <c r="C14" i="515"/>
  <c r="G210" i="351" a="1"/>
  <c r="R210" i="351" a="1"/>
  <c r="C17" i="508"/>
  <c r="L209" i="351" a="1"/>
  <c r="AQ109" i="353" a="1"/>
  <c r="C15" i="504"/>
  <c r="F106" i="353" a="1"/>
  <c r="C22" i="510"/>
  <c r="R107" i="353" a="1"/>
  <c r="C21" i="513"/>
  <c r="K108" i="353" a="1"/>
  <c r="Q110" i="353" a="1"/>
  <c r="AH106" i="353" a="1"/>
  <c r="Y110" i="353" a="1"/>
  <c r="M108" i="353" a="1"/>
  <c r="C18" i="513"/>
  <c r="C12" i="497"/>
  <c r="T110" i="353" a="1"/>
  <c r="AK108" i="353" a="1"/>
  <c r="C17" i="514"/>
  <c r="B7" i="504"/>
  <c r="C20" i="498"/>
  <c r="C15" i="511"/>
  <c r="B6" i="510"/>
  <c r="AJ106" i="353" a="1"/>
  <c r="E122" i="146" l="1" a="1"/>
  <c r="E122" i="146" s="1"/>
  <c r="E126" i="146" a="1"/>
  <c r="E126" i="146" s="1"/>
  <c r="E112" i="146" a="1"/>
  <c r="E112" i="146" s="1"/>
  <c r="E109" i="146" a="1"/>
  <c r="E109" i="146" s="1"/>
  <c r="C106" i="146"/>
  <c r="E106" i="146" s="1" a="1"/>
  <c r="E106" i="146" s="1"/>
  <c r="E116" i="146" a="1"/>
  <c r="E116" i="146" s="1"/>
  <c r="E115" i="146" a="1"/>
  <c r="E115" i="146" s="1"/>
  <c r="E103" i="146" a="1"/>
  <c r="E103" i="146" s="1"/>
  <c r="E120" i="146" a="1"/>
  <c r="E120" i="146" s="1"/>
  <c r="E97" i="146" a="1"/>
  <c r="E97" i="146" s="1"/>
  <c r="E102" i="146" a="1"/>
  <c r="E102" i="146" s="1"/>
  <c r="E20" i="146" a="1"/>
  <c r="E20" i="146" s="1"/>
  <c r="E30" i="146" a="1"/>
  <c r="E30" i="146" s="1"/>
  <c r="E22" i="146" a="1"/>
  <c r="E22" i="146" s="1"/>
  <c r="E32" i="146" a="1"/>
  <c r="E32" i="146" s="1"/>
  <c r="E31" i="146" a="1"/>
  <c r="E31" i="146" s="1"/>
  <c r="E28" i="146" a="1"/>
  <c r="E28" i="146" s="1"/>
  <c r="E33" i="146" a="1"/>
  <c r="E33" i="146" s="1"/>
  <c r="E13" i="146" a="1"/>
  <c r="E13" i="146" s="1"/>
  <c r="E27" i="146" a="1"/>
  <c r="E27" i="146" s="1"/>
  <c r="E25" i="146" a="1"/>
  <c r="E25" i="146" s="1"/>
  <c r="E6" i="146" a="1"/>
  <c r="E6" i="146" s="1"/>
  <c r="D25" i="145" a="1"/>
  <c r="D25" i="145" s="1"/>
  <c r="D50" i="145" a="1"/>
  <c r="D50" i="145" s="1"/>
  <c r="E23" i="146" a="1"/>
  <c r="E23" i="146" s="1"/>
  <c r="D38" i="145" a="1"/>
  <c r="D38" i="145" s="1"/>
  <c r="D30" i="145" a="1"/>
  <c r="D30" i="145" s="1"/>
  <c r="D2" i="145" a="1"/>
  <c r="D2" i="145" s="1"/>
  <c r="D24" i="145" a="1"/>
  <c r="D24" i="145" s="1"/>
  <c r="D28" i="145" a="1"/>
  <c r="D28" i="145" s="1"/>
  <c r="D21" i="145" a="1"/>
  <c r="D21" i="145" s="1"/>
  <c r="D26" i="145" a="1"/>
  <c r="D26" i="145" s="1"/>
  <c r="G10" i="516"/>
  <c r="G4" i="514"/>
  <c r="G4" i="515"/>
  <c r="G11" i="516"/>
  <c r="G12" i="516"/>
  <c r="G4" i="516"/>
  <c r="G4" i="512"/>
  <c r="G4" i="509"/>
  <c r="G4" i="510"/>
  <c r="G4" i="508"/>
  <c r="G4" i="513"/>
  <c r="G4" i="511"/>
  <c r="G5" i="516"/>
  <c r="G13" i="516"/>
  <c r="G6" i="516"/>
  <c r="G14" i="516"/>
  <c r="G7" i="516"/>
  <c r="G15" i="516"/>
  <c r="G8" i="516"/>
  <c r="G9" i="516"/>
  <c r="D6" i="375"/>
  <c r="L11" i="371"/>
  <c r="F35" i="61"/>
  <c r="F12" i="64"/>
  <c r="L12" i="371"/>
  <c r="F9" i="70"/>
  <c r="F9" i="404"/>
  <c r="F25" i="378"/>
  <c r="F12" i="66"/>
  <c r="F38" i="78"/>
  <c r="F38" i="73"/>
  <c r="F12" i="114"/>
  <c r="F12" i="47"/>
  <c r="C13" i="98"/>
  <c r="J7" i="98" s="1"/>
  <c r="C13" i="70"/>
  <c r="J7" i="70" s="1"/>
  <c r="L2" i="375"/>
  <c r="L5" i="371"/>
  <c r="C13" i="47"/>
  <c r="J7" i="47" s="1"/>
  <c r="F9" i="437"/>
  <c r="F38" i="460"/>
  <c r="C13" i="449"/>
  <c r="J7" i="449" s="1"/>
  <c r="F9" i="423"/>
  <c r="F25" i="401"/>
  <c r="F35" i="77"/>
  <c r="F22" i="53"/>
  <c r="F35" i="48"/>
  <c r="F9" i="119"/>
  <c r="F35" i="52"/>
  <c r="F35" i="72"/>
  <c r="F25" i="56"/>
  <c r="F25" i="119"/>
  <c r="F38" i="59"/>
  <c r="F8" i="378"/>
  <c r="C13" i="58"/>
  <c r="J7" i="58" s="1"/>
  <c r="C13" i="431"/>
  <c r="J7" i="431" s="1"/>
  <c r="F25" i="71"/>
  <c r="L13" i="371"/>
  <c r="F12" i="112"/>
  <c r="F9" i="451"/>
  <c r="J18" i="451" s="1"/>
  <c r="F12" i="476"/>
  <c r="J12" i="476" s="1"/>
  <c r="F35" i="484"/>
  <c r="F25" i="444"/>
  <c r="F25" i="73"/>
  <c r="F9" i="386"/>
  <c r="F35" i="378"/>
  <c r="F25" i="87"/>
  <c r="F38" i="74"/>
  <c r="F21" i="112"/>
  <c r="C13" i="55"/>
  <c r="J7" i="55" s="1"/>
  <c r="F25" i="452"/>
  <c r="F35" i="451"/>
  <c r="F25" i="457"/>
  <c r="F22" i="394"/>
  <c r="F8" i="460"/>
  <c r="F21" i="431"/>
  <c r="F34" i="52"/>
  <c r="F8" i="90"/>
  <c r="F8" i="50"/>
  <c r="F8" i="106"/>
  <c r="F21" i="60"/>
  <c r="F21" i="59"/>
  <c r="J17" i="59" s="1"/>
  <c r="F8" i="48"/>
  <c r="F38" i="471"/>
  <c r="F35" i="106"/>
  <c r="F12" i="477"/>
  <c r="C13" i="477"/>
  <c r="J7" i="477" s="1"/>
  <c r="F22" i="486"/>
  <c r="F8" i="486"/>
  <c r="F38" i="449"/>
  <c r="F38" i="444"/>
  <c r="C13" i="443"/>
  <c r="J7" i="443" s="1"/>
  <c r="F22" i="436"/>
  <c r="F12" i="56"/>
  <c r="F38" i="401"/>
  <c r="F22" i="390"/>
  <c r="F35" i="60"/>
  <c r="F35" i="91"/>
  <c r="F35" i="90"/>
  <c r="F9" i="78"/>
  <c r="F22" i="379"/>
  <c r="F22" i="50"/>
  <c r="F22" i="391"/>
  <c r="F9" i="87"/>
  <c r="J18" i="87" s="1"/>
  <c r="F12" i="408"/>
  <c r="J12" i="408" s="1"/>
  <c r="F38" i="61"/>
  <c r="F12" i="53"/>
  <c r="F12" i="72"/>
  <c r="F25" i="50"/>
  <c r="F12" i="71"/>
  <c r="F8" i="64"/>
  <c r="F21" i="77"/>
  <c r="F34" i="70"/>
  <c r="C13" i="61"/>
  <c r="J7" i="61" s="1"/>
  <c r="C13" i="62"/>
  <c r="J7" i="62" s="1"/>
  <c r="C13" i="387"/>
  <c r="J7" i="387" s="1"/>
  <c r="F25" i="436"/>
  <c r="D9" i="375"/>
  <c r="L14" i="371"/>
  <c r="L15" i="371"/>
  <c r="F35" i="461"/>
  <c r="F25" i="471"/>
  <c r="F9" i="484"/>
  <c r="F12" i="449"/>
  <c r="F22" i="443"/>
  <c r="J18" i="443" s="1"/>
  <c r="C13" i="401"/>
  <c r="J7" i="401" s="1"/>
  <c r="F25" i="90"/>
  <c r="F25" i="59"/>
  <c r="F22" i="90"/>
  <c r="L8" i="375"/>
  <c r="L7" i="371"/>
  <c r="F22" i="87"/>
  <c r="F9" i="394"/>
  <c r="F9" i="55"/>
  <c r="F9" i="65"/>
  <c r="F9" i="390"/>
  <c r="F22" i="66"/>
  <c r="F12" i="391"/>
  <c r="F25" i="77"/>
  <c r="F12" i="390"/>
  <c r="F25" i="51"/>
  <c r="F25" i="360"/>
  <c r="F25" i="64"/>
  <c r="F25" i="53"/>
  <c r="F12" i="378"/>
  <c r="C13" i="59"/>
  <c r="J7" i="59" s="1"/>
  <c r="C13" i="74"/>
  <c r="J7" i="74" s="1"/>
  <c r="F12" i="436"/>
  <c r="L16" i="371"/>
  <c r="F21" i="506"/>
  <c r="F34" i="507"/>
  <c r="F21" i="505"/>
  <c r="F34" i="506"/>
  <c r="F34" i="505"/>
  <c r="F8" i="507"/>
  <c r="F8" i="506"/>
  <c r="F8" i="505"/>
  <c r="F21" i="507"/>
  <c r="F12" i="460"/>
  <c r="F35" i="460"/>
  <c r="F9" i="446"/>
  <c r="F35" i="444"/>
  <c r="F35" i="432"/>
  <c r="F22" i="423"/>
  <c r="F12" i="68"/>
  <c r="F38" i="98"/>
  <c r="F35" i="53"/>
  <c r="F35" i="126"/>
  <c r="J18" i="126" s="1"/>
  <c r="F9" i="74"/>
  <c r="J18" i="74" s="1"/>
  <c r="F22" i="55"/>
  <c r="F35" i="49"/>
  <c r="F22" i="52"/>
  <c r="F12" i="402"/>
  <c r="F22" i="131"/>
  <c r="F9" i="71"/>
  <c r="F25" i="404"/>
  <c r="F9" i="408"/>
  <c r="C13" i="406"/>
  <c r="J7" i="406" s="1"/>
  <c r="F38" i="105"/>
  <c r="F38" i="71"/>
  <c r="F12" i="54"/>
  <c r="F25" i="362"/>
  <c r="F12" i="90"/>
  <c r="F38" i="114"/>
  <c r="F38" i="57"/>
  <c r="F38" i="119"/>
  <c r="F21" i="386"/>
  <c r="F35" i="386"/>
  <c r="F21" i="67"/>
  <c r="C13" i="390"/>
  <c r="J7" i="390" s="1"/>
  <c r="F34" i="131"/>
  <c r="J17" i="131" s="1"/>
  <c r="F21" i="71"/>
  <c r="C13" i="360"/>
  <c r="J7" i="360" s="1"/>
  <c r="F22" i="398"/>
  <c r="F38" i="436"/>
  <c r="F13" i="407"/>
  <c r="F13" i="506"/>
  <c r="F39" i="505"/>
  <c r="F26" i="507"/>
  <c r="F13" i="505"/>
  <c r="F26" i="506"/>
  <c r="F39" i="507"/>
  <c r="F26" i="505"/>
  <c r="F13" i="507"/>
  <c r="F39" i="506"/>
  <c r="C13" i="76"/>
  <c r="J7" i="76" s="1"/>
  <c r="L17" i="371"/>
  <c r="F25" i="485"/>
  <c r="F35" i="423"/>
  <c r="F38" i="53"/>
  <c r="F38" i="93"/>
  <c r="F21" i="402"/>
  <c r="F22" i="125"/>
  <c r="J18" i="125" s="1"/>
  <c r="F22" i="51"/>
  <c r="F22" i="62"/>
  <c r="F35" i="395"/>
  <c r="F35" i="112"/>
  <c r="C13" i="402"/>
  <c r="J7" i="402" s="1"/>
  <c r="F9" i="125"/>
  <c r="F9" i="92"/>
  <c r="F35" i="51"/>
  <c r="F9" i="407"/>
  <c r="F38" i="408"/>
  <c r="F12" i="126"/>
  <c r="F38" i="90"/>
  <c r="F12" i="58"/>
  <c r="F25" i="125"/>
  <c r="F25" i="131"/>
  <c r="F38" i="83"/>
  <c r="F22" i="362"/>
  <c r="F38" i="131"/>
  <c r="F21" i="98"/>
  <c r="F21" i="91"/>
  <c r="F8" i="125"/>
  <c r="J17" i="125" s="1"/>
  <c r="F21" i="395"/>
  <c r="J17" i="395" s="1"/>
  <c r="C13" i="91"/>
  <c r="J7" i="91" s="1"/>
  <c r="F8" i="59"/>
  <c r="C13" i="88"/>
  <c r="J7" i="88" s="1"/>
  <c r="C13" i="377"/>
  <c r="J7" i="377" s="1"/>
  <c r="F22" i="406"/>
  <c r="F25" i="432"/>
  <c r="F25" i="446"/>
  <c r="F20" i="406"/>
  <c r="F20" i="507"/>
  <c r="F20" i="506"/>
  <c r="F33" i="507"/>
  <c r="F20" i="505"/>
  <c r="F33" i="506"/>
  <c r="F33" i="505"/>
  <c r="F7" i="507"/>
  <c r="F7" i="506"/>
  <c r="F7" i="505"/>
  <c r="J16" i="505" s="1"/>
  <c r="C19" i="502"/>
  <c r="C19" i="507"/>
  <c r="C19" i="506"/>
  <c r="J13" i="506" s="1"/>
  <c r="C19" i="505"/>
  <c r="J13" i="505" s="1"/>
  <c r="F22" i="457"/>
  <c r="F22" i="460"/>
  <c r="F9" i="459"/>
  <c r="F22" i="72"/>
  <c r="F25" i="484"/>
  <c r="F25" i="449"/>
  <c r="F9" i="431"/>
  <c r="F12" i="401"/>
  <c r="F25" i="114"/>
  <c r="F9" i="83"/>
  <c r="F22" i="69"/>
  <c r="F9" i="76"/>
  <c r="F35" i="391"/>
  <c r="F35" i="98"/>
  <c r="F38" i="378"/>
  <c r="F12" i="60"/>
  <c r="C13" i="92"/>
  <c r="J7" i="92" s="1"/>
  <c r="C13" i="114"/>
  <c r="J7" i="114" s="1"/>
  <c r="C13" i="73"/>
  <c r="J7" i="73" s="1"/>
  <c r="C13" i="51"/>
  <c r="J7" i="51" s="1"/>
  <c r="F35" i="402"/>
  <c r="J18" i="402" s="1"/>
  <c r="F38" i="446"/>
  <c r="F12" i="119"/>
  <c r="J12" i="119" s="1"/>
  <c r="F12" i="398"/>
  <c r="F35" i="394"/>
  <c r="F35" i="47"/>
  <c r="F9" i="98"/>
  <c r="F35" i="397"/>
  <c r="F35" i="111"/>
  <c r="F22" i="377"/>
  <c r="F22" i="68"/>
  <c r="F22" i="71"/>
  <c r="F38" i="387"/>
  <c r="C13" i="407"/>
  <c r="J7" i="407" s="1"/>
  <c r="F9" i="360"/>
  <c r="F25" i="61"/>
  <c r="F35" i="408"/>
  <c r="F9" i="361"/>
  <c r="J18" i="361" s="1"/>
  <c r="F9" i="86"/>
  <c r="F12" i="78"/>
  <c r="F34" i="47"/>
  <c r="F34" i="68"/>
  <c r="C13" i="395"/>
  <c r="J7" i="395" s="1"/>
  <c r="C13" i="83"/>
  <c r="J7" i="83" s="1"/>
  <c r="C13" i="86"/>
  <c r="J7" i="86" s="1"/>
  <c r="C13" i="386"/>
  <c r="J7" i="386" s="1"/>
  <c r="C13" i="379"/>
  <c r="J7" i="379" s="1"/>
  <c r="F25" i="407"/>
  <c r="F38" i="432"/>
  <c r="F38" i="484"/>
  <c r="F6" i="505"/>
  <c r="F19" i="507"/>
  <c r="F32" i="507"/>
  <c r="F19" i="506"/>
  <c r="F19" i="505"/>
  <c r="F6" i="507"/>
  <c r="J15" i="507" s="1"/>
  <c r="F32" i="506"/>
  <c r="F32" i="505"/>
  <c r="F6" i="506"/>
  <c r="C21" i="502"/>
  <c r="C21" i="507"/>
  <c r="C21" i="506"/>
  <c r="C21" i="505"/>
  <c r="L18" i="371"/>
  <c r="C13" i="57"/>
  <c r="J7" i="57" s="1"/>
  <c r="C13" i="404"/>
  <c r="J7" i="404" s="1"/>
  <c r="F38" i="407"/>
  <c r="J12" i="407" s="1"/>
  <c r="F22" i="78"/>
  <c r="F38" i="362"/>
  <c r="F12" i="63"/>
  <c r="F38" i="379"/>
  <c r="F25" i="58"/>
  <c r="F12" i="432"/>
  <c r="F9" i="489"/>
  <c r="C13" i="452"/>
  <c r="J7" i="452" s="1"/>
  <c r="F38" i="451"/>
  <c r="F35" i="75"/>
  <c r="F21" i="360"/>
  <c r="F34" i="111"/>
  <c r="F21" i="76"/>
  <c r="F8" i="77"/>
  <c r="F21" i="114"/>
  <c r="F34" i="58"/>
  <c r="F9" i="75"/>
  <c r="F22" i="477"/>
  <c r="F8" i="477"/>
  <c r="F12" i="486"/>
  <c r="F9" i="449"/>
  <c r="J18" i="449" s="1"/>
  <c r="F34" i="443"/>
  <c r="J17" i="443" s="1"/>
  <c r="F12" i="423"/>
  <c r="F22" i="489"/>
  <c r="F21" i="451"/>
  <c r="F22" i="446"/>
  <c r="F34" i="457"/>
  <c r="F35" i="83"/>
  <c r="F38" i="459"/>
  <c r="F21" i="461"/>
  <c r="F8" i="112"/>
  <c r="F21" i="423"/>
  <c r="F8" i="131"/>
  <c r="F8" i="394"/>
  <c r="F34" i="49"/>
  <c r="F34" i="77"/>
  <c r="F22" i="70"/>
  <c r="J18" i="70" s="1"/>
  <c r="F22" i="476"/>
  <c r="F34" i="476"/>
  <c r="F38" i="486"/>
  <c r="F21" i="444"/>
  <c r="F35" i="436"/>
  <c r="J18" i="436" s="1"/>
  <c r="F38" i="51"/>
  <c r="F12" i="65"/>
  <c r="F9" i="66"/>
  <c r="F22" i="56"/>
  <c r="F22" i="60"/>
  <c r="F22" i="395"/>
  <c r="F9" i="54"/>
  <c r="F22" i="74"/>
  <c r="F38" i="406"/>
  <c r="F12" i="362"/>
  <c r="F22" i="360"/>
  <c r="F25" i="57"/>
  <c r="F25" i="52"/>
  <c r="F12" i="52"/>
  <c r="F38" i="70"/>
  <c r="F35" i="406"/>
  <c r="F21" i="50"/>
  <c r="F21" i="377"/>
  <c r="F34" i="63"/>
  <c r="F8" i="362"/>
  <c r="F34" i="75"/>
  <c r="C13" i="398"/>
  <c r="J7" i="398" s="1"/>
  <c r="F12" i="422"/>
  <c r="J12" i="422" s="1"/>
  <c r="B7" i="502"/>
  <c r="B7" i="505"/>
  <c r="J5" i="505" s="1"/>
  <c r="B7" i="507"/>
  <c r="J5" i="507" s="1"/>
  <c r="B7" i="506"/>
  <c r="F9" i="477"/>
  <c r="F21" i="476"/>
  <c r="F12" i="485"/>
  <c r="F35" i="449"/>
  <c r="F34" i="444"/>
  <c r="F22" i="397"/>
  <c r="F25" i="126"/>
  <c r="F25" i="62"/>
  <c r="F22" i="119"/>
  <c r="F35" i="125"/>
  <c r="F22" i="83"/>
  <c r="F9" i="48"/>
  <c r="F34" i="404"/>
  <c r="F25" i="361"/>
  <c r="F25" i="67"/>
  <c r="F12" i="98"/>
  <c r="F38" i="92"/>
  <c r="J12" i="92" s="1"/>
  <c r="F8" i="88"/>
  <c r="J17" i="88" s="1"/>
  <c r="F34" i="56"/>
  <c r="C13" i="65"/>
  <c r="J7" i="65" s="1"/>
  <c r="C13" i="66"/>
  <c r="J7" i="66" s="1"/>
  <c r="C13" i="48"/>
  <c r="J7" i="48" s="1"/>
  <c r="F25" i="423"/>
  <c r="F9" i="395"/>
  <c r="F9" i="126"/>
  <c r="F9" i="58"/>
  <c r="F35" i="114"/>
  <c r="F22" i="387"/>
  <c r="F9" i="51"/>
  <c r="F9" i="88"/>
  <c r="F22" i="402"/>
  <c r="F35" i="398"/>
  <c r="C13" i="408"/>
  <c r="J7" i="408" s="1"/>
  <c r="F12" i="61"/>
  <c r="J12" i="61" s="1"/>
  <c r="F38" i="386"/>
  <c r="F38" i="65"/>
  <c r="F25" i="63"/>
  <c r="F38" i="47"/>
  <c r="F12" i="51"/>
  <c r="J12" i="51" s="1"/>
  <c r="C13" i="106"/>
  <c r="J7" i="106" s="1"/>
  <c r="F21" i="74"/>
  <c r="J17" i="74" s="1"/>
  <c r="F8" i="49"/>
  <c r="F8" i="69"/>
  <c r="F8" i="78"/>
  <c r="C13" i="125"/>
  <c r="J7" i="125" s="1"/>
  <c r="C13" i="397"/>
  <c r="J7" i="397" s="1"/>
  <c r="F8" i="484"/>
  <c r="C12" i="502"/>
  <c r="J6" i="502" s="1"/>
  <c r="C12" i="507"/>
  <c r="J6" i="507" s="1"/>
  <c r="C12" i="506"/>
  <c r="J6" i="506" s="1"/>
  <c r="C12" i="505"/>
  <c r="J6" i="505" s="1"/>
  <c r="L4" i="371"/>
  <c r="F22" i="506"/>
  <c r="F35" i="507"/>
  <c r="F22" i="505"/>
  <c r="F35" i="506"/>
  <c r="F35" i="505"/>
  <c r="F9" i="507"/>
  <c r="F9" i="506"/>
  <c r="F9" i="505"/>
  <c r="J18" i="505" s="1"/>
  <c r="F22" i="507"/>
  <c r="C13" i="502"/>
  <c r="J7" i="502" s="1"/>
  <c r="C13" i="507"/>
  <c r="J7" i="507" s="1"/>
  <c r="C13" i="506"/>
  <c r="J7" i="506" s="1"/>
  <c r="C13" i="505"/>
  <c r="J7" i="505" s="1"/>
  <c r="F38" i="506"/>
  <c r="F12" i="507"/>
  <c r="F38" i="505"/>
  <c r="F12" i="506"/>
  <c r="F12" i="505"/>
  <c r="F25" i="506"/>
  <c r="F25" i="507"/>
  <c r="F38" i="507"/>
  <c r="F25" i="505"/>
  <c r="F12" i="457"/>
  <c r="F38" i="461"/>
  <c r="F34" i="73"/>
  <c r="F22" i="61"/>
  <c r="F35" i="437"/>
  <c r="F9" i="422"/>
  <c r="F21" i="446"/>
  <c r="F8" i="387"/>
  <c r="F35" i="401"/>
  <c r="F12" i="67"/>
  <c r="J12" i="67" s="1"/>
  <c r="F25" i="74"/>
  <c r="J12" i="74" s="1"/>
  <c r="F9" i="90"/>
  <c r="F35" i="88"/>
  <c r="F35" i="105"/>
  <c r="F22" i="75"/>
  <c r="F35" i="387"/>
  <c r="F35" i="404"/>
  <c r="F12" i="406"/>
  <c r="F25" i="76"/>
  <c r="F25" i="111"/>
  <c r="F12" i="386"/>
  <c r="F12" i="74"/>
  <c r="F12" i="70"/>
  <c r="F9" i="60"/>
  <c r="F38" i="60"/>
  <c r="F38" i="52"/>
  <c r="F8" i="68"/>
  <c r="F8" i="386"/>
  <c r="C13" i="361"/>
  <c r="J7" i="361" s="1"/>
  <c r="F34" i="67"/>
  <c r="C13" i="54"/>
  <c r="J7" i="54" s="1"/>
  <c r="F21" i="362"/>
  <c r="J17" i="362" s="1"/>
  <c r="C13" i="72"/>
  <c r="J7" i="72" s="1"/>
  <c r="F25" i="408"/>
  <c r="C13" i="432"/>
  <c r="J7" i="432" s="1"/>
  <c r="F25" i="92"/>
  <c r="F23" i="408"/>
  <c r="F36" i="507"/>
  <c r="F23" i="505"/>
  <c r="F36" i="505"/>
  <c r="F10" i="507"/>
  <c r="J19" i="507" s="1"/>
  <c r="F10" i="506"/>
  <c r="F10" i="505"/>
  <c r="F36" i="506"/>
  <c r="F23" i="507"/>
  <c r="F23" i="506"/>
  <c r="C14" i="502"/>
  <c r="J8" i="502" s="1"/>
  <c r="C14" i="506"/>
  <c r="J8" i="506" s="1"/>
  <c r="C14" i="505"/>
  <c r="J8" i="505" s="1"/>
  <c r="C14" i="507"/>
  <c r="J8" i="507" s="1"/>
  <c r="C18" i="502"/>
  <c r="C18" i="507"/>
  <c r="J12" i="507" s="1"/>
  <c r="C18" i="506"/>
  <c r="J12" i="506" s="1"/>
  <c r="C18" i="505"/>
  <c r="J12" i="505" s="1"/>
  <c r="F35" i="407"/>
  <c r="J18" i="407" s="1"/>
  <c r="C13" i="111"/>
  <c r="J7" i="111" s="1"/>
  <c r="C13" i="60"/>
  <c r="J7" i="60" s="1"/>
  <c r="F25" i="398"/>
  <c r="F25" i="431"/>
  <c r="F25" i="68"/>
  <c r="C15" i="432"/>
  <c r="J9" i="432" s="1"/>
  <c r="C15" i="505"/>
  <c r="J9" i="505" s="1"/>
  <c r="C15" i="507"/>
  <c r="J9" i="507" s="1"/>
  <c r="C15" i="506"/>
  <c r="J9" i="506" s="1"/>
  <c r="F27" i="406"/>
  <c r="F40" i="505"/>
  <c r="F14" i="505"/>
  <c r="F27" i="505"/>
  <c r="F27" i="507"/>
  <c r="F27" i="506"/>
  <c r="F40" i="507"/>
  <c r="F14" i="507"/>
  <c r="F40" i="506"/>
  <c r="F14" i="506"/>
  <c r="F37" i="68"/>
  <c r="F37" i="507"/>
  <c r="F24" i="505"/>
  <c r="F37" i="506"/>
  <c r="F37" i="505"/>
  <c r="F11" i="506"/>
  <c r="F11" i="505"/>
  <c r="F11" i="507"/>
  <c r="F24" i="507"/>
  <c r="F24" i="506"/>
  <c r="L8" i="371"/>
  <c r="F35" i="57"/>
  <c r="F25" i="66"/>
  <c r="F12" i="75"/>
  <c r="F25" i="47"/>
  <c r="F12" i="397"/>
  <c r="F38" i="391"/>
  <c r="J12" i="391" s="1"/>
  <c r="F12" i="87"/>
  <c r="C13" i="63"/>
  <c r="J7" i="63" s="1"/>
  <c r="C13" i="105"/>
  <c r="J7" i="105" s="1"/>
  <c r="C13" i="90"/>
  <c r="J7" i="90" s="1"/>
  <c r="F38" i="402"/>
  <c r="F12" i="431"/>
  <c r="J12" i="431" s="1"/>
  <c r="F12" i="446"/>
  <c r="J12" i="446" s="1"/>
  <c r="F25" i="459"/>
  <c r="F34" i="48"/>
  <c r="F34" i="119"/>
  <c r="F34" i="87"/>
  <c r="F34" i="88"/>
  <c r="F8" i="51"/>
  <c r="F34" i="66"/>
  <c r="F9" i="471"/>
  <c r="F21" i="407"/>
  <c r="F9" i="391"/>
  <c r="F35" i="362"/>
  <c r="F38" i="477"/>
  <c r="F9" i="486"/>
  <c r="J18" i="486" s="1"/>
  <c r="C13" i="485"/>
  <c r="J7" i="485" s="1"/>
  <c r="F12" i="395"/>
  <c r="J12" i="395" s="1"/>
  <c r="F35" i="390"/>
  <c r="F25" i="391"/>
  <c r="F12" i="73"/>
  <c r="F25" i="65"/>
  <c r="F22" i="65"/>
  <c r="J18" i="65" s="1"/>
  <c r="F22" i="112"/>
  <c r="J18" i="112" s="1"/>
  <c r="F9" i="61"/>
  <c r="F22" i="105"/>
  <c r="F35" i="360"/>
  <c r="F35" i="54"/>
  <c r="F35" i="69"/>
  <c r="F12" i="404"/>
  <c r="F38" i="76"/>
  <c r="F25" i="377"/>
  <c r="F12" i="83"/>
  <c r="F38" i="390"/>
  <c r="F25" i="105"/>
  <c r="F12" i="88"/>
  <c r="F25" i="54"/>
  <c r="F38" i="66"/>
  <c r="F34" i="53"/>
  <c r="F35" i="76"/>
  <c r="J18" i="76" s="1"/>
  <c r="F34" i="92"/>
  <c r="F35" i="377"/>
  <c r="C13" i="131"/>
  <c r="J7" i="131" s="1"/>
  <c r="C13" i="49"/>
  <c r="J7" i="49" s="1"/>
  <c r="F38" i="431"/>
  <c r="C16" i="502"/>
  <c r="J10" i="502" s="1"/>
  <c r="C16" i="506"/>
  <c r="J10" i="506" s="1"/>
  <c r="C16" i="507"/>
  <c r="J10" i="507" s="1"/>
  <c r="C16" i="505"/>
  <c r="J10" i="505" s="1"/>
  <c r="C17" i="502"/>
  <c r="C17" i="505"/>
  <c r="C17" i="507"/>
  <c r="C17" i="506"/>
  <c r="P27" i="375"/>
  <c r="L9" i="371"/>
  <c r="C20" i="502"/>
  <c r="J14" i="502" s="1"/>
  <c r="C20" i="507"/>
  <c r="J14" i="507" s="1"/>
  <c r="C20" i="505"/>
  <c r="J14" i="505" s="1"/>
  <c r="C20" i="506"/>
  <c r="J14" i="506" s="1"/>
  <c r="B6" i="502"/>
  <c r="J4" i="502" s="1"/>
  <c r="B6" i="506"/>
  <c r="J4" i="506" s="1"/>
  <c r="B6" i="505"/>
  <c r="J4" i="505" s="1"/>
  <c r="B6" i="507"/>
  <c r="J4" i="507" s="1"/>
  <c r="L10" i="371"/>
  <c r="P7" i="375"/>
  <c r="P25" i="375"/>
  <c r="P19" i="375"/>
  <c r="F4" i="375"/>
  <c r="L3" i="375"/>
  <c r="J2" i="375" s="1"/>
  <c r="F6" i="375"/>
  <c r="F7" i="375"/>
  <c r="L9" i="375"/>
  <c r="J8" i="375" s="1"/>
  <c r="F5" i="375"/>
  <c r="E9" i="375"/>
  <c r="E10" i="375"/>
  <c r="E11" i="375"/>
  <c r="F3" i="375"/>
  <c r="P13" i="375"/>
  <c r="G9" i="515"/>
  <c r="G5" i="515"/>
  <c r="G14" i="515"/>
  <c r="G10" i="515"/>
  <c r="G13" i="515"/>
  <c r="G12" i="515"/>
  <c r="G6" i="515"/>
  <c r="G11" i="515"/>
  <c r="G7" i="515"/>
  <c r="G15" i="515"/>
  <c r="G8" i="515"/>
  <c r="E62" i="146" a="1"/>
  <c r="E62" i="146" s="1"/>
  <c r="F24" i="460"/>
  <c r="J11" i="460" s="1"/>
  <c r="F24" i="453"/>
  <c r="F24" i="484"/>
  <c r="F40" i="485"/>
  <c r="F27" i="444"/>
  <c r="F37" i="443"/>
  <c r="F40" i="75"/>
  <c r="F27" i="73"/>
  <c r="C15" i="395"/>
  <c r="J9" i="395" s="1"/>
  <c r="C15" i="361"/>
  <c r="J9" i="361" s="1"/>
  <c r="F37" i="52"/>
  <c r="F11" i="75"/>
  <c r="F37" i="61"/>
  <c r="F11" i="57"/>
  <c r="F37" i="71"/>
  <c r="F37" i="63"/>
  <c r="F11" i="98"/>
  <c r="F11" i="70"/>
  <c r="F11" i="68"/>
  <c r="F14" i="112"/>
  <c r="C17" i="377"/>
  <c r="F37" i="360"/>
  <c r="F14" i="57"/>
  <c r="F40" i="379"/>
  <c r="F27" i="98"/>
  <c r="F40" i="78"/>
  <c r="C16" i="377"/>
  <c r="J10" i="377" s="1"/>
  <c r="F40" i="484"/>
  <c r="F37" i="476"/>
  <c r="F11" i="486"/>
  <c r="F14" i="486"/>
  <c r="F40" i="444"/>
  <c r="F24" i="444"/>
  <c r="F27" i="68"/>
  <c r="C15" i="70"/>
  <c r="J9" i="70" s="1"/>
  <c r="C17" i="112"/>
  <c r="J11" i="112" s="1"/>
  <c r="C17" i="86"/>
  <c r="F24" i="54"/>
  <c r="F11" i="379"/>
  <c r="F37" i="54"/>
  <c r="F11" i="64"/>
  <c r="F24" i="49"/>
  <c r="C15" i="408"/>
  <c r="J9" i="408" s="1"/>
  <c r="F40" i="105"/>
  <c r="F11" i="114"/>
  <c r="F40" i="55"/>
  <c r="F14" i="50"/>
  <c r="F27" i="76"/>
  <c r="F14" i="131"/>
  <c r="C17" i="77"/>
  <c r="F40" i="58"/>
  <c r="C16" i="390"/>
  <c r="J10" i="390" s="1"/>
  <c r="F40" i="459"/>
  <c r="F24" i="461"/>
  <c r="E76" i="146" a="1"/>
  <c r="E76" i="146" s="1"/>
  <c r="F24" i="476"/>
  <c r="F40" i="477"/>
  <c r="F37" i="486"/>
  <c r="J11" i="486" s="1"/>
  <c r="F37" i="444"/>
  <c r="F14" i="432"/>
  <c r="F27" i="391"/>
  <c r="C15" i="111"/>
  <c r="J9" i="111" s="1"/>
  <c r="C17" i="59"/>
  <c r="J11" i="59" s="1"/>
  <c r="C17" i="60"/>
  <c r="C17" i="66"/>
  <c r="F24" i="66"/>
  <c r="F24" i="72"/>
  <c r="J11" i="72" s="1"/>
  <c r="F11" i="88"/>
  <c r="F37" i="60"/>
  <c r="F37" i="66"/>
  <c r="F11" i="72"/>
  <c r="F14" i="402"/>
  <c r="F11" i="55"/>
  <c r="F27" i="379"/>
  <c r="F27" i="54"/>
  <c r="F40" i="126"/>
  <c r="F40" i="54"/>
  <c r="F14" i="52"/>
  <c r="C16" i="370"/>
  <c r="G10" i="370" s="1"/>
  <c r="C17" i="74"/>
  <c r="J11" i="74" s="1"/>
  <c r="C16" i="63"/>
  <c r="J10" i="63" s="1"/>
  <c r="C15" i="59"/>
  <c r="J9" i="59" s="1"/>
  <c r="C17" i="58"/>
  <c r="F37" i="398"/>
  <c r="F14" i="88"/>
  <c r="F37" i="125"/>
  <c r="F14" i="48"/>
  <c r="F14" i="51"/>
  <c r="F27" i="377"/>
  <c r="F40" i="71"/>
  <c r="F37" i="408"/>
  <c r="C15" i="73"/>
  <c r="J9" i="73" s="1"/>
  <c r="C15" i="379"/>
  <c r="J9" i="379" s="1"/>
  <c r="F11" i="362"/>
  <c r="F37" i="93"/>
  <c r="F24" i="83"/>
  <c r="F37" i="53"/>
  <c r="F24" i="75"/>
  <c r="F40" i="362"/>
  <c r="F27" i="378"/>
  <c r="F40" i="86"/>
  <c r="F40" i="49"/>
  <c r="F40" i="377"/>
  <c r="F14" i="62"/>
  <c r="F40" i="387"/>
  <c r="F37" i="407"/>
  <c r="C16" i="436"/>
  <c r="J10" i="436" s="1"/>
  <c r="F11" i="446"/>
  <c r="F11" i="437"/>
  <c r="J11" i="437" s="1"/>
  <c r="F11" i="476"/>
  <c r="F27" i="476"/>
  <c r="F24" i="486"/>
  <c r="F11" i="449"/>
  <c r="F40" i="74"/>
  <c r="F14" i="71"/>
  <c r="F11" i="391"/>
  <c r="C17" i="72"/>
  <c r="C15" i="56"/>
  <c r="J9" i="56" s="1"/>
  <c r="C15" i="74"/>
  <c r="J9" i="74" s="1"/>
  <c r="C17" i="49"/>
  <c r="F11" i="86"/>
  <c r="F11" i="76"/>
  <c r="F11" i="73"/>
  <c r="F11" i="71"/>
  <c r="F14" i="406"/>
  <c r="F40" i="360"/>
  <c r="F14" i="378"/>
  <c r="F14" i="47"/>
  <c r="F37" i="361"/>
  <c r="F24" i="71"/>
  <c r="F14" i="111"/>
  <c r="F27" i="105"/>
  <c r="F14" i="87"/>
  <c r="C16" i="131"/>
  <c r="J10" i="131" s="1"/>
  <c r="C16" i="90"/>
  <c r="J10" i="90" s="1"/>
  <c r="F37" i="423"/>
  <c r="C16" i="91"/>
  <c r="J10" i="91" s="1"/>
  <c r="F37" i="451"/>
  <c r="C16" i="87"/>
  <c r="J10" i="87" s="1"/>
  <c r="F24" i="59"/>
  <c r="F11" i="63"/>
  <c r="F37" i="131"/>
  <c r="F24" i="386"/>
  <c r="F14" i="64"/>
  <c r="F14" i="49"/>
  <c r="F27" i="66"/>
  <c r="F40" i="73"/>
  <c r="F27" i="91"/>
  <c r="F27" i="362"/>
  <c r="F27" i="48"/>
  <c r="C15" i="64"/>
  <c r="J9" i="64" s="1"/>
  <c r="C16" i="105"/>
  <c r="J10" i="105" s="1"/>
  <c r="F11" i="422"/>
  <c r="J11" i="422" s="1"/>
  <c r="F27" i="394"/>
  <c r="C16" i="61"/>
  <c r="J10" i="61" s="1"/>
  <c r="C16" i="114"/>
  <c r="J10" i="114" s="1"/>
  <c r="F11" i="406"/>
  <c r="F37" i="395"/>
  <c r="F24" i="395"/>
  <c r="C17" i="360"/>
  <c r="C15" i="60"/>
  <c r="J9" i="60" s="1"/>
  <c r="C17" i="51"/>
  <c r="F27" i="452"/>
  <c r="F37" i="453"/>
  <c r="C16" i="111"/>
  <c r="J10" i="111" s="1"/>
  <c r="C16" i="106"/>
  <c r="J10" i="106" s="1"/>
  <c r="C16" i="74"/>
  <c r="J10" i="74" s="1"/>
  <c r="C16" i="362"/>
  <c r="J10" i="362" s="1"/>
  <c r="F37" i="394"/>
  <c r="F27" i="437"/>
  <c r="F27" i="398"/>
  <c r="C16" i="486"/>
  <c r="J10" i="486" s="1"/>
  <c r="F40" i="76"/>
  <c r="F14" i="63"/>
  <c r="C17" i="53"/>
  <c r="J11" i="53" s="1"/>
  <c r="C15" i="67"/>
  <c r="J9" i="67" s="1"/>
  <c r="C15" i="362"/>
  <c r="J9" i="362" s="1"/>
  <c r="C15" i="53"/>
  <c r="J9" i="53" s="1"/>
  <c r="C15" i="93"/>
  <c r="J9" i="93" s="1"/>
  <c r="F11" i="402"/>
  <c r="F24" i="126"/>
  <c r="F24" i="397"/>
  <c r="F11" i="111"/>
  <c r="F37" i="47"/>
  <c r="F24" i="70"/>
  <c r="F24" i="69"/>
  <c r="F14" i="408"/>
  <c r="F40" i="47"/>
  <c r="F37" i="98"/>
  <c r="C17" i="114"/>
  <c r="J11" i="114" s="1"/>
  <c r="F27" i="65"/>
  <c r="F40" i="91"/>
  <c r="F40" i="67"/>
  <c r="F11" i="65"/>
  <c r="F27" i="126"/>
  <c r="C15" i="75"/>
  <c r="J9" i="75" s="1"/>
  <c r="C15" i="125"/>
  <c r="J9" i="125" s="1"/>
  <c r="C17" i="87"/>
  <c r="F27" i="71"/>
  <c r="F11" i="408"/>
  <c r="F27" i="407"/>
  <c r="C15" i="51"/>
  <c r="J9" i="51" s="1"/>
  <c r="F27" i="477"/>
  <c r="F14" i="86"/>
  <c r="F24" i="53"/>
  <c r="F40" i="489"/>
  <c r="F37" i="401"/>
  <c r="F27" i="461"/>
  <c r="C16" i="70"/>
  <c r="J10" i="70" s="1"/>
  <c r="C16" i="62"/>
  <c r="J10" i="62" s="1"/>
  <c r="C16" i="72"/>
  <c r="J10" i="72" s="1"/>
  <c r="C16" i="437"/>
  <c r="J10" i="437" s="1"/>
  <c r="F27" i="471"/>
  <c r="F27" i="432"/>
  <c r="C17" i="486"/>
  <c r="C16" i="484"/>
  <c r="J10" i="484" s="1"/>
  <c r="F27" i="449"/>
  <c r="F14" i="56"/>
  <c r="F40" i="98"/>
  <c r="F37" i="390"/>
  <c r="C17" i="125"/>
  <c r="C15" i="77"/>
  <c r="J9" i="77" s="1"/>
  <c r="C15" i="377"/>
  <c r="J9" i="377" s="1"/>
  <c r="C15" i="83"/>
  <c r="J9" i="83" s="1"/>
  <c r="C15" i="57"/>
  <c r="J9" i="57" s="1"/>
  <c r="F14" i="397"/>
  <c r="F37" i="111"/>
  <c r="F37" i="119"/>
  <c r="F24" i="131"/>
  <c r="F11" i="49"/>
  <c r="F11" i="77"/>
  <c r="F11" i="386"/>
  <c r="J11" i="386" s="1"/>
  <c r="F11" i="58"/>
  <c r="F37" i="58"/>
  <c r="J11" i="58" s="1"/>
  <c r="F40" i="408"/>
  <c r="F14" i="78"/>
  <c r="F40" i="70"/>
  <c r="F40" i="57"/>
  <c r="F27" i="92"/>
  <c r="F27" i="125"/>
  <c r="F14" i="60"/>
  <c r="F14" i="125"/>
  <c r="C16" i="50"/>
  <c r="J10" i="50" s="1"/>
  <c r="C17" i="69"/>
  <c r="F14" i="66"/>
  <c r="F24" i="423"/>
  <c r="F40" i="422"/>
  <c r="F14" i="437"/>
  <c r="C15" i="402"/>
  <c r="J9" i="402" s="1"/>
  <c r="F14" i="451"/>
  <c r="C16" i="75"/>
  <c r="J10" i="75" s="1"/>
  <c r="F14" i="489"/>
  <c r="F11" i="452"/>
  <c r="C16" i="47"/>
  <c r="J10" i="47" s="1"/>
  <c r="F11" i="457"/>
  <c r="F40" i="457"/>
  <c r="C16" i="49"/>
  <c r="J10" i="49" s="1"/>
  <c r="C16" i="386"/>
  <c r="J10" i="386" s="1"/>
  <c r="F40" i="471"/>
  <c r="F37" i="56"/>
  <c r="F11" i="91"/>
  <c r="C17" i="485"/>
  <c r="J11" i="485" s="1"/>
  <c r="C16" i="485"/>
  <c r="J10" i="485" s="1"/>
  <c r="C17" i="446"/>
  <c r="F27" i="436"/>
  <c r="F40" i="119"/>
  <c r="F40" i="395"/>
  <c r="F37" i="391"/>
  <c r="C17" i="75"/>
  <c r="C15" i="105"/>
  <c r="J9" i="105" s="1"/>
  <c r="C17" i="105"/>
  <c r="C15" i="386"/>
  <c r="J9" i="386" s="1"/>
  <c r="C17" i="68"/>
  <c r="C17" i="50"/>
  <c r="C15" i="360"/>
  <c r="J9" i="360" s="1"/>
  <c r="F40" i="404"/>
  <c r="F11" i="106"/>
  <c r="F24" i="62"/>
  <c r="J11" i="62" s="1"/>
  <c r="F11" i="112"/>
  <c r="F24" i="87"/>
  <c r="F37" i="76"/>
  <c r="F14" i="105"/>
  <c r="F14" i="391"/>
  <c r="F40" i="65"/>
  <c r="F27" i="49"/>
  <c r="F14" i="93"/>
  <c r="F27" i="53"/>
  <c r="F14" i="77"/>
  <c r="F37" i="114"/>
  <c r="C16" i="126"/>
  <c r="J10" i="126" s="1"/>
  <c r="F27" i="114"/>
  <c r="F24" i="394"/>
  <c r="C17" i="422"/>
  <c r="F40" i="437"/>
  <c r="F27" i="489"/>
  <c r="C17" i="484"/>
  <c r="F37" i="449"/>
  <c r="F14" i="70"/>
  <c r="C17" i="61"/>
  <c r="C15" i="65"/>
  <c r="J9" i="65" s="1"/>
  <c r="C17" i="70"/>
  <c r="C17" i="131"/>
  <c r="F27" i="404"/>
  <c r="F24" i="125"/>
  <c r="F11" i="78"/>
  <c r="F11" i="51"/>
  <c r="F40" i="407"/>
  <c r="F40" i="88"/>
  <c r="F27" i="55"/>
  <c r="F40" i="90"/>
  <c r="F40" i="131"/>
  <c r="F14" i="75"/>
  <c r="F40" i="93"/>
  <c r="F27" i="77"/>
  <c r="C15" i="387"/>
  <c r="J9" i="387" s="1"/>
  <c r="F40" i="59"/>
  <c r="F24" i="407"/>
  <c r="C17" i="406"/>
  <c r="C17" i="437"/>
  <c r="F14" i="436"/>
  <c r="C17" i="451"/>
  <c r="C17" i="453"/>
  <c r="J11" i="453" s="1"/>
  <c r="F24" i="451"/>
  <c r="F40" i="111"/>
  <c r="E70" i="146" a="1"/>
  <c r="E70" i="146" s="1"/>
  <c r="C15" i="460"/>
  <c r="J9" i="460" s="1"/>
  <c r="C16" i="404"/>
  <c r="J10" i="404" s="1"/>
  <c r="C16" i="64"/>
  <c r="J10" i="64" s="1"/>
  <c r="C16" i="119"/>
  <c r="J10" i="119" s="1"/>
  <c r="C16" i="398"/>
  <c r="J10" i="398" s="1"/>
  <c r="F14" i="471"/>
  <c r="F27" i="87"/>
  <c r="C17" i="92"/>
  <c r="C17" i="78"/>
  <c r="C15" i="47"/>
  <c r="J9" i="47" s="1"/>
  <c r="F11" i="90"/>
  <c r="F37" i="65"/>
  <c r="F11" i="59"/>
  <c r="F24" i="360"/>
  <c r="C17" i="489"/>
  <c r="F11" i="484"/>
  <c r="E68" i="146" a="1"/>
  <c r="E68" i="146" s="1"/>
  <c r="C16" i="449"/>
  <c r="J10" i="449" s="1"/>
  <c r="C16" i="59"/>
  <c r="J10" i="59" s="1"/>
  <c r="C16" i="53"/>
  <c r="J10" i="53" s="1"/>
  <c r="C16" i="55"/>
  <c r="J10" i="55" s="1"/>
  <c r="F27" i="453"/>
  <c r="F40" i="431"/>
  <c r="F14" i="431"/>
  <c r="F27" i="90"/>
  <c r="F14" i="98"/>
  <c r="C15" i="394"/>
  <c r="J9" i="394" s="1"/>
  <c r="C15" i="106"/>
  <c r="J9" i="106" s="1"/>
  <c r="C17" i="88"/>
  <c r="C17" i="76"/>
  <c r="C17" i="111"/>
  <c r="C17" i="52"/>
  <c r="F11" i="66"/>
  <c r="F37" i="83"/>
  <c r="F11" i="47"/>
  <c r="F37" i="86"/>
  <c r="F37" i="51"/>
  <c r="F24" i="378"/>
  <c r="F24" i="50"/>
  <c r="F24" i="65"/>
  <c r="F40" i="406"/>
  <c r="F14" i="106"/>
  <c r="C17" i="391"/>
  <c r="C17" i="54"/>
  <c r="F40" i="386"/>
  <c r="F14" i="83"/>
  <c r="F40" i="361"/>
  <c r="F14" i="126"/>
  <c r="F27" i="75"/>
  <c r="F11" i="398"/>
  <c r="J11" i="398" s="1"/>
  <c r="C17" i="423"/>
  <c r="F24" i="437"/>
  <c r="F14" i="423"/>
  <c r="F14" i="453"/>
  <c r="C16" i="446"/>
  <c r="J10" i="446" s="1"/>
  <c r="C16" i="78"/>
  <c r="J10" i="78" s="1"/>
  <c r="E59" i="146" a="1"/>
  <c r="E59" i="146" s="1"/>
  <c r="C16" i="76"/>
  <c r="J10" i="76" s="1"/>
  <c r="C15" i="461"/>
  <c r="J9" i="461" s="1"/>
  <c r="C16" i="65"/>
  <c r="J10" i="65" s="1"/>
  <c r="C17" i="452"/>
  <c r="C16" i="451"/>
  <c r="J10" i="451" s="1"/>
  <c r="C15" i="476"/>
  <c r="J9" i="476" s="1"/>
  <c r="C15" i="449"/>
  <c r="J9" i="449" s="1"/>
  <c r="F14" i="394"/>
  <c r="F14" i="68"/>
  <c r="C15" i="52"/>
  <c r="J9" i="52" s="1"/>
  <c r="C15" i="49"/>
  <c r="J9" i="49" s="1"/>
  <c r="C17" i="395"/>
  <c r="C15" i="61"/>
  <c r="J9" i="61" s="1"/>
  <c r="C15" i="66"/>
  <c r="J9" i="66" s="1"/>
  <c r="F11" i="93"/>
  <c r="J11" i="93" s="1"/>
  <c r="F37" i="92"/>
  <c r="F24" i="68"/>
  <c r="F37" i="404"/>
  <c r="F11" i="105"/>
  <c r="F11" i="74"/>
  <c r="F11" i="50"/>
  <c r="F37" i="57"/>
  <c r="F24" i="105"/>
  <c r="F27" i="93"/>
  <c r="F24" i="57"/>
  <c r="F27" i="62"/>
  <c r="F14" i="114"/>
  <c r="F14" i="90"/>
  <c r="F27" i="131"/>
  <c r="F14" i="390"/>
  <c r="F14" i="360"/>
  <c r="F11" i="407"/>
  <c r="C17" i="394"/>
  <c r="J11" i="394" s="1"/>
  <c r="C17" i="432"/>
  <c r="J11" i="432" s="1"/>
  <c r="F37" i="437"/>
  <c r="C56" i="146"/>
  <c r="E56" i="146" s="1" a="1"/>
  <c r="E56" i="146" s="1"/>
  <c r="E71" i="146" a="1"/>
  <c r="E71" i="146" s="1"/>
  <c r="F27" i="460"/>
  <c r="F27" i="69"/>
  <c r="F24" i="449"/>
  <c r="F14" i="446"/>
  <c r="F27" i="390"/>
  <c r="F40" i="56"/>
  <c r="F24" i="379"/>
  <c r="F40" i="402"/>
  <c r="C15" i="58"/>
  <c r="J9" i="58" s="1"/>
  <c r="C15" i="112"/>
  <c r="J9" i="112" s="1"/>
  <c r="C15" i="86"/>
  <c r="J9" i="86" s="1"/>
  <c r="C15" i="391"/>
  <c r="J9" i="391" s="1"/>
  <c r="C17" i="387"/>
  <c r="J11" i="387" s="1"/>
  <c r="F11" i="54"/>
  <c r="F24" i="60"/>
  <c r="F24" i="106"/>
  <c r="F37" i="87"/>
  <c r="F24" i="361"/>
  <c r="J11" i="361" s="1"/>
  <c r="F24" i="92"/>
  <c r="J11" i="92" s="1"/>
  <c r="F24" i="404"/>
  <c r="J11" i="404" s="1"/>
  <c r="F37" i="67"/>
  <c r="J11" i="67" s="1"/>
  <c r="F24" i="77"/>
  <c r="J11" i="77" s="1"/>
  <c r="F11" i="404"/>
  <c r="F37" i="91"/>
  <c r="F24" i="47"/>
  <c r="F14" i="69"/>
  <c r="F37" i="106"/>
  <c r="F14" i="55"/>
  <c r="F40" i="397"/>
  <c r="F14" i="377"/>
  <c r="F14" i="61"/>
  <c r="F27" i="51"/>
  <c r="C16" i="395"/>
  <c r="J10" i="395" s="1"/>
  <c r="F40" i="61"/>
  <c r="F11" i="394"/>
  <c r="C17" i="398"/>
  <c r="C17" i="431"/>
  <c r="F24" i="436"/>
  <c r="C15" i="451"/>
  <c r="J9" i="451" s="1"/>
  <c r="F27" i="451"/>
  <c r="C15" i="446"/>
  <c r="J9" i="446" s="1"/>
  <c r="C16" i="431"/>
  <c r="J10" i="431" s="1"/>
  <c r="C16" i="394"/>
  <c r="J10" i="394" s="1"/>
  <c r="F11" i="461"/>
  <c r="J11" i="461" s="1"/>
  <c r="F27" i="459"/>
  <c r="F14" i="452"/>
  <c r="E74" i="146" a="1"/>
  <c r="E74" i="146" s="1"/>
  <c r="F11" i="460"/>
  <c r="C16" i="48"/>
  <c r="J10" i="48" s="1"/>
  <c r="F14" i="67"/>
  <c r="C17" i="476"/>
  <c r="F14" i="449"/>
  <c r="C15" i="443"/>
  <c r="J9" i="443" s="1"/>
  <c r="F27" i="446"/>
  <c r="F40" i="64"/>
  <c r="F27" i="83"/>
  <c r="F24" i="391"/>
  <c r="F27" i="402"/>
  <c r="F37" i="402"/>
  <c r="F37" i="387"/>
  <c r="C15" i="90"/>
  <c r="J9" i="90" s="1"/>
  <c r="C17" i="362"/>
  <c r="C15" i="55"/>
  <c r="J9" i="55" s="1"/>
  <c r="C15" i="68"/>
  <c r="J9" i="68" s="1"/>
  <c r="C15" i="92"/>
  <c r="J9" i="92" s="1"/>
  <c r="C17" i="379"/>
  <c r="J11" i="379" s="1"/>
  <c r="F24" i="119"/>
  <c r="F37" i="90"/>
  <c r="F24" i="51"/>
  <c r="F24" i="64"/>
  <c r="F37" i="112"/>
  <c r="F24" i="112"/>
  <c r="F24" i="93"/>
  <c r="F24" i="63"/>
  <c r="F14" i="92"/>
  <c r="F27" i="361"/>
  <c r="F27" i="74"/>
  <c r="F27" i="59"/>
  <c r="F37" i="78"/>
  <c r="F37" i="62"/>
  <c r="F40" i="62"/>
  <c r="C16" i="83"/>
  <c r="J10" i="83" s="1"/>
  <c r="C16" i="73"/>
  <c r="J10" i="73" s="1"/>
  <c r="C16" i="68"/>
  <c r="J10" i="68" s="1"/>
  <c r="F14" i="54"/>
  <c r="F24" i="408"/>
  <c r="J11" i="408" s="1"/>
  <c r="C17" i="407"/>
  <c r="F11" i="432"/>
  <c r="C15" i="444"/>
  <c r="J9" i="444" s="1"/>
  <c r="F40" i="423"/>
  <c r="F14" i="65"/>
  <c r="F14" i="73"/>
  <c r="F40" i="394"/>
  <c r="F24" i="402"/>
  <c r="C15" i="50"/>
  <c r="J9" i="50" s="1"/>
  <c r="C17" i="83"/>
  <c r="C17" i="402"/>
  <c r="C15" i="404"/>
  <c r="J9" i="404" s="1"/>
  <c r="F24" i="52"/>
  <c r="J11" i="52" s="1"/>
  <c r="F11" i="48"/>
  <c r="F24" i="111"/>
  <c r="J11" i="111" s="1"/>
  <c r="F11" i="60"/>
  <c r="F24" i="86"/>
  <c r="F11" i="69"/>
  <c r="F15" i="375"/>
  <c r="C17" i="57"/>
  <c r="J11" i="57" s="1"/>
  <c r="F27" i="386"/>
  <c r="F14" i="59"/>
  <c r="C17" i="73"/>
  <c r="F27" i="50"/>
  <c r="F40" i="391"/>
  <c r="F40" i="63"/>
  <c r="F14" i="119"/>
  <c r="C17" i="91"/>
  <c r="C15" i="423"/>
  <c r="J9" i="423" s="1"/>
  <c r="F24" i="422"/>
  <c r="C17" i="401"/>
  <c r="F37" i="432"/>
  <c r="F14" i="395"/>
  <c r="F37" i="379"/>
  <c r="F37" i="397"/>
  <c r="J11" i="397" s="1"/>
  <c r="C15" i="91"/>
  <c r="J9" i="91" s="1"/>
  <c r="C17" i="64"/>
  <c r="J11" i="64" s="1"/>
  <c r="C15" i="87"/>
  <c r="J9" i="87" s="1"/>
  <c r="C15" i="88"/>
  <c r="J9" i="88" s="1"/>
  <c r="C15" i="114"/>
  <c r="J9" i="114" s="1"/>
  <c r="C17" i="386"/>
  <c r="F24" i="362"/>
  <c r="F24" i="90"/>
  <c r="J11" i="90" s="1"/>
  <c r="F24" i="377"/>
  <c r="F37" i="64"/>
  <c r="F11" i="360"/>
  <c r="J11" i="360" s="1"/>
  <c r="F11" i="61"/>
  <c r="F11" i="83"/>
  <c r="F24" i="98"/>
  <c r="J11" i="98" s="1"/>
  <c r="F37" i="362"/>
  <c r="F37" i="74"/>
  <c r="F14" i="72"/>
  <c r="F37" i="126"/>
  <c r="F27" i="70"/>
  <c r="F27" i="72"/>
  <c r="F37" i="378"/>
  <c r="F27" i="78"/>
  <c r="F27" i="60"/>
  <c r="F27" i="88"/>
  <c r="C15" i="62"/>
  <c r="J9" i="62" s="1"/>
  <c r="C16" i="360"/>
  <c r="J10" i="360" s="1"/>
  <c r="F11" i="119"/>
  <c r="F24" i="406"/>
  <c r="F27" i="431"/>
  <c r="C15" i="452"/>
  <c r="J9" i="452" s="1"/>
  <c r="C16" i="361"/>
  <c r="J10" i="361" s="1"/>
  <c r="E66" i="146" a="1"/>
  <c r="E66" i="146" s="1"/>
  <c r="F27" i="457"/>
  <c r="C16" i="69"/>
  <c r="J10" i="69" s="1"/>
  <c r="F40" i="461"/>
  <c r="F11" i="459"/>
  <c r="C16" i="402"/>
  <c r="J10" i="402" s="1"/>
  <c r="F24" i="471"/>
  <c r="F24" i="485"/>
  <c r="C15" i="486"/>
  <c r="J9" i="486" s="1"/>
  <c r="F40" i="486"/>
  <c r="F14" i="444"/>
  <c r="F24" i="443"/>
  <c r="F27" i="423"/>
  <c r="F24" i="401"/>
  <c r="F40" i="68"/>
  <c r="F40" i="401"/>
  <c r="C15" i="126"/>
  <c r="J9" i="126" s="1"/>
  <c r="C17" i="90"/>
  <c r="F24" i="73"/>
  <c r="F24" i="78"/>
  <c r="J11" i="78" s="1"/>
  <c r="F37" i="88"/>
  <c r="F37" i="73"/>
  <c r="J11" i="73" s="1"/>
  <c r="F24" i="390"/>
  <c r="F11" i="377"/>
  <c r="J11" i="377" s="1"/>
  <c r="F11" i="126"/>
  <c r="F37" i="70"/>
  <c r="F11" i="92"/>
  <c r="F27" i="47"/>
  <c r="F27" i="58"/>
  <c r="F14" i="91"/>
  <c r="F14" i="76"/>
  <c r="F27" i="67"/>
  <c r="F40" i="69"/>
  <c r="C17" i="126"/>
  <c r="F40" i="446"/>
  <c r="G9" i="514"/>
  <c r="G5" i="514"/>
  <c r="G14" i="514"/>
  <c r="G10" i="514"/>
  <c r="G13" i="514"/>
  <c r="G12" i="514"/>
  <c r="G6" i="514"/>
  <c r="G11" i="514"/>
  <c r="G7" i="514"/>
  <c r="G15" i="514"/>
  <c r="G8" i="514"/>
  <c r="G10" i="513"/>
  <c r="G6" i="513"/>
  <c r="G11" i="513"/>
  <c r="G7" i="513"/>
  <c r="G12" i="513"/>
  <c r="G13" i="513"/>
  <c r="G14" i="513"/>
  <c r="G15" i="513"/>
  <c r="G8" i="513"/>
  <c r="G5" i="513"/>
  <c r="G9" i="513"/>
  <c r="C15" i="431"/>
  <c r="J9" i="431" s="1"/>
  <c r="G10" i="512"/>
  <c r="G6" i="512"/>
  <c r="G11" i="512"/>
  <c r="G7" i="512"/>
  <c r="G12" i="512"/>
  <c r="G13" i="512"/>
  <c r="G14" i="512"/>
  <c r="G15" i="512"/>
  <c r="G8" i="512"/>
  <c r="G5" i="512"/>
  <c r="G9" i="512"/>
  <c r="G10" i="511"/>
  <c r="G6" i="511"/>
  <c r="G11" i="511"/>
  <c r="G7" i="511"/>
  <c r="G12" i="511"/>
  <c r="G13" i="511"/>
  <c r="G14" i="511"/>
  <c r="G15" i="511"/>
  <c r="G8" i="511"/>
  <c r="G5" i="511"/>
  <c r="G9" i="511"/>
  <c r="B18" i="373"/>
  <c r="L23" i="375" s="1"/>
  <c r="H18" i="374"/>
  <c r="L34" i="375" s="1"/>
  <c r="D11" i="145" a="1"/>
  <c r="D11" i="145" s="1"/>
  <c r="E18" i="372"/>
  <c r="L15" i="375" s="1"/>
  <c r="E18" i="371"/>
  <c r="B18" i="374"/>
  <c r="L32" i="375" s="1"/>
  <c r="D13" i="145" a="1"/>
  <c r="D13" i="145" s="1"/>
  <c r="G10" i="510"/>
  <c r="G6" i="510"/>
  <c r="G11" i="510"/>
  <c r="G7" i="510"/>
  <c r="G12" i="510"/>
  <c r="G13" i="510"/>
  <c r="G14" i="510"/>
  <c r="G15" i="510"/>
  <c r="G8" i="510"/>
  <c r="G5" i="510"/>
  <c r="G9" i="510"/>
  <c r="C15" i="436"/>
  <c r="J9" i="436" s="1"/>
  <c r="G10" i="509"/>
  <c r="G6" i="509"/>
  <c r="G11" i="509"/>
  <c r="G7" i="509"/>
  <c r="G12" i="509"/>
  <c r="G13" i="509"/>
  <c r="G14" i="509"/>
  <c r="G15" i="509"/>
  <c r="G8" i="509"/>
  <c r="G5" i="509"/>
  <c r="G9" i="509"/>
  <c r="E18" i="373"/>
  <c r="L24" i="375" s="1"/>
  <c r="G10" i="508"/>
  <c r="G6" i="508"/>
  <c r="G11" i="508"/>
  <c r="G7" i="508"/>
  <c r="G12" i="508"/>
  <c r="G13" i="508"/>
  <c r="G14" i="508"/>
  <c r="G15" i="508"/>
  <c r="G8" i="508"/>
  <c r="G5" i="508"/>
  <c r="G9" i="508"/>
  <c r="J11" i="40"/>
  <c r="J15" i="68"/>
  <c r="E89" i="146" a="1"/>
  <c r="E89" i="146" s="1"/>
  <c r="E90" i="146" a="1"/>
  <c r="E90" i="146" s="1"/>
  <c r="E91" i="146" a="1"/>
  <c r="E91" i="146" s="1"/>
  <c r="E86" i="146" a="1"/>
  <c r="E86" i="146" s="1"/>
  <c r="E93" i="146" a="1"/>
  <c r="E93" i="146" s="1"/>
  <c r="E98" i="146" a="1"/>
  <c r="E98" i="146" s="1"/>
  <c r="E101" i="146" a="1"/>
  <c r="E101" i="146" s="1"/>
  <c r="E99" i="146" a="1"/>
  <c r="E99" i="146" s="1"/>
  <c r="J11" i="423"/>
  <c r="E94" i="146" a="1"/>
  <c r="E94" i="146" s="1"/>
  <c r="E104" i="146" a="1"/>
  <c r="E104" i="146" s="1"/>
  <c r="E92" i="146" a="1"/>
  <c r="E92" i="146" s="1"/>
  <c r="E95" i="146" a="1"/>
  <c r="E95" i="146" s="1"/>
  <c r="E84" i="146" a="1"/>
  <c r="E84" i="146" s="1"/>
  <c r="J18" i="59"/>
  <c r="J16" i="408"/>
  <c r="F20" i="93"/>
  <c r="J16" i="93" s="1"/>
  <c r="F33" i="362"/>
  <c r="J16" i="362" s="1"/>
  <c r="C19" i="407"/>
  <c r="F7" i="58"/>
  <c r="J16" i="58" s="1"/>
  <c r="R14" i="375"/>
  <c r="P14" i="375" s="1"/>
  <c r="H18" i="373"/>
  <c r="L25" i="375" s="1"/>
  <c r="C19" i="60"/>
  <c r="J13" i="60" s="1"/>
  <c r="F33" i="484"/>
  <c r="J16" i="484" s="1"/>
  <c r="J16" i="394"/>
  <c r="F7" i="50"/>
  <c r="F7" i="98"/>
  <c r="F7" i="360"/>
  <c r="J16" i="360" s="1"/>
  <c r="F33" i="53"/>
  <c r="J16" i="53" s="1"/>
  <c r="H16" i="374"/>
  <c r="C19" i="422"/>
  <c r="H18" i="372"/>
  <c r="L16" i="375" s="1"/>
  <c r="H19" i="409"/>
  <c r="L46" i="375" s="1"/>
  <c r="E18" i="409"/>
  <c r="L42" i="375" s="1"/>
  <c r="B18" i="371"/>
  <c r="C14" i="353"/>
  <c r="C62" i="353"/>
  <c r="C98" i="353"/>
  <c r="D96" i="353"/>
  <c r="B21" i="353"/>
  <c r="D98" i="353"/>
  <c r="C96" i="353"/>
  <c r="B64" i="353"/>
  <c r="D45" i="353"/>
  <c r="D94" i="353"/>
  <c r="C19" i="353"/>
  <c r="D74" i="353"/>
  <c r="D63" i="353"/>
  <c r="B55" i="353"/>
  <c r="C33" i="353"/>
  <c r="D31" i="353"/>
  <c r="D38" i="353"/>
  <c r="C78" i="353"/>
  <c r="C100" i="353"/>
  <c r="C36" i="353"/>
  <c r="B100" i="353"/>
  <c r="D86" i="353"/>
  <c r="B48" i="353"/>
  <c r="C66" i="353"/>
  <c r="B41" i="353"/>
  <c r="C52" i="353"/>
  <c r="C13" i="353"/>
  <c r="D89" i="353"/>
  <c r="D58" i="353"/>
  <c r="B23" i="353"/>
  <c r="D77" i="353"/>
  <c r="C53" i="353"/>
  <c r="J18" i="40"/>
  <c r="J13" i="57"/>
  <c r="J18" i="360"/>
  <c r="J5" i="40"/>
  <c r="J15" i="47"/>
  <c r="J15" i="62"/>
  <c r="J16" i="486"/>
  <c r="J15" i="40"/>
  <c r="J12" i="88"/>
  <c r="J15" i="61"/>
  <c r="J12" i="48"/>
  <c r="G11" i="504"/>
  <c r="G12" i="504"/>
  <c r="G13" i="504"/>
  <c r="G4" i="504"/>
  <c r="G5" i="504"/>
  <c r="G14" i="504"/>
  <c r="G4" i="503"/>
  <c r="G6" i="504"/>
  <c r="G7" i="504"/>
  <c r="G15" i="504"/>
  <c r="Y110" i="353"/>
  <c r="AI110" i="353"/>
  <c r="K110" i="353"/>
  <c r="AG110" i="353"/>
  <c r="I110" i="353"/>
  <c r="AK110" i="353"/>
  <c r="AU110" i="353"/>
  <c r="AQ110" i="353"/>
  <c r="N110" i="353"/>
  <c r="X110" i="353"/>
  <c r="AL110" i="353"/>
  <c r="W110" i="353"/>
  <c r="AB110" i="353"/>
  <c r="AN110" i="353"/>
  <c r="E110" i="353"/>
  <c r="Q110" i="353"/>
  <c r="T110" i="353"/>
  <c r="F110" i="353"/>
  <c r="AJ110" i="353"/>
  <c r="AS110" i="353"/>
  <c r="AP110" i="353"/>
  <c r="H110" i="353"/>
  <c r="O110" i="353"/>
  <c r="V110" i="353"/>
  <c r="U110" i="353"/>
  <c r="AV110" i="353"/>
  <c r="R110" i="353"/>
  <c r="AT110" i="353"/>
  <c r="J110" i="353"/>
  <c r="AO110" i="353"/>
  <c r="M110" i="353"/>
  <c r="G110" i="353"/>
  <c r="P110" i="353"/>
  <c r="AE110" i="353"/>
  <c r="AA110" i="353"/>
  <c r="AH110" i="353"/>
  <c r="AR110" i="353"/>
  <c r="Z110" i="353"/>
  <c r="AD110" i="353"/>
  <c r="AF110" i="353"/>
  <c r="G8" i="504"/>
  <c r="G9" i="504"/>
  <c r="G10" i="504"/>
  <c r="F9" i="77"/>
  <c r="J18" i="77" s="1"/>
  <c r="F9" i="502"/>
  <c r="F22" i="502"/>
  <c r="F35" i="502"/>
  <c r="F24" i="502"/>
  <c r="F37" i="502"/>
  <c r="F11" i="502"/>
  <c r="J15" i="431"/>
  <c r="F23" i="502"/>
  <c r="F10" i="502"/>
  <c r="F36" i="502"/>
  <c r="F27" i="502"/>
  <c r="F14" i="502"/>
  <c r="F40" i="502"/>
  <c r="J15" i="406"/>
  <c r="B19" i="409"/>
  <c r="L44" i="375" s="1"/>
  <c r="J17" i="387"/>
  <c r="J19" i="105"/>
  <c r="J15" i="93"/>
  <c r="F39" i="502"/>
  <c r="F13" i="502"/>
  <c r="F26" i="502"/>
  <c r="C64" i="353"/>
  <c r="C110" i="353"/>
  <c r="B110" i="353"/>
  <c r="D110" i="353"/>
  <c r="F8" i="502"/>
  <c r="F34" i="502"/>
  <c r="F21" i="502"/>
  <c r="F33" i="502"/>
  <c r="F7" i="502"/>
  <c r="F20" i="502"/>
  <c r="C15" i="437"/>
  <c r="J9" i="437" s="1"/>
  <c r="C15" i="502"/>
  <c r="J9" i="502" s="1"/>
  <c r="F19" i="432"/>
  <c r="F32" i="502"/>
  <c r="F6" i="502"/>
  <c r="F19" i="502"/>
  <c r="F25" i="502"/>
  <c r="F38" i="502"/>
  <c r="F12" i="502"/>
  <c r="L212" i="351"/>
  <c r="R212" i="351"/>
  <c r="T212" i="351"/>
  <c r="H211" i="351"/>
  <c r="P212" i="351"/>
  <c r="M212" i="351"/>
  <c r="Q211" i="351"/>
  <c r="K212" i="351"/>
  <c r="T211" i="351"/>
  <c r="G211" i="351"/>
  <c r="J212" i="351"/>
  <c r="O212" i="351"/>
  <c r="R211" i="351"/>
  <c r="J211" i="351"/>
  <c r="O211" i="351"/>
  <c r="Q212" i="351"/>
  <c r="S211" i="351"/>
  <c r="S212" i="351"/>
  <c r="H212" i="351"/>
  <c r="P211" i="351"/>
  <c r="M211" i="351"/>
  <c r="K211" i="351"/>
  <c r="I211" i="351"/>
  <c r="L211" i="351"/>
  <c r="G212" i="351"/>
  <c r="I212" i="351"/>
  <c r="D19" i="351" a="1"/>
  <c r="D19" i="351" s="1"/>
  <c r="B212" i="351" a="1"/>
  <c r="B212" i="351" s="1"/>
  <c r="C212" i="351" a="1"/>
  <c r="C212" i="351" s="1"/>
  <c r="D212" i="351" a="1"/>
  <c r="D212" i="351" s="1"/>
  <c r="E212" i="351" a="1"/>
  <c r="E212" i="351" s="1"/>
  <c r="F212" i="351" a="1"/>
  <c r="F212" i="351" s="1"/>
  <c r="B211" i="351" a="1"/>
  <c r="B211" i="351" s="1"/>
  <c r="C211" i="351" a="1"/>
  <c r="C211" i="351" s="1"/>
  <c r="D211" i="351" a="1"/>
  <c r="D211" i="351" s="1"/>
  <c r="E211" i="351" a="1"/>
  <c r="E211" i="351" s="1"/>
  <c r="F211" i="351" a="1"/>
  <c r="F211" i="351" s="1"/>
  <c r="C94" i="353"/>
  <c r="B18" i="353"/>
  <c r="C25" i="353"/>
  <c r="B57" i="353"/>
  <c r="C60" i="353"/>
  <c r="B61" i="353"/>
  <c r="D43" i="353"/>
  <c r="D42" i="353"/>
  <c r="D54" i="353"/>
  <c r="B43" i="353"/>
  <c r="D66" i="353"/>
  <c r="C57" i="353"/>
  <c r="B95" i="353"/>
  <c r="B68" i="353"/>
  <c r="B47" i="353"/>
  <c r="D84" i="353"/>
  <c r="B98" i="353"/>
  <c r="D75" i="353"/>
  <c r="D61" i="353"/>
  <c r="B24" i="353"/>
  <c r="B19" i="353"/>
  <c r="C11" i="353"/>
  <c r="C89" i="353"/>
  <c r="B29" i="353"/>
  <c r="B103" i="353"/>
  <c r="C95" i="353"/>
  <c r="C87" i="353"/>
  <c r="D97" i="353"/>
  <c r="D99" i="353"/>
  <c r="B80" i="353"/>
  <c r="C44" i="353"/>
  <c r="B62" i="353"/>
  <c r="D49" i="353"/>
  <c r="B89" i="353"/>
  <c r="D103" i="353"/>
  <c r="D95" i="353"/>
  <c r="B67" i="353"/>
  <c r="D76" i="353"/>
  <c r="C68" i="353"/>
  <c r="C97" i="353"/>
  <c r="C99" i="353"/>
  <c r="B76" i="353"/>
  <c r="B73" i="353"/>
  <c r="C39" i="353"/>
  <c r="B16" i="353"/>
  <c r="C82" i="353"/>
  <c r="C103" i="353"/>
  <c r="B96" i="353"/>
  <c r="B65" i="353"/>
  <c r="B22" i="353"/>
  <c r="D34" i="353"/>
  <c r="B97" i="353"/>
  <c r="B99" i="353"/>
  <c r="D26" i="353"/>
  <c r="B44" i="353"/>
  <c r="D82" i="353"/>
  <c r="B51" i="353"/>
  <c r="D80" i="353"/>
  <c r="B91" i="353"/>
  <c r="D100" i="353"/>
  <c r="B70" i="353"/>
  <c r="C93" i="353"/>
  <c r="D30" i="353"/>
  <c r="D53" i="353"/>
  <c r="D28" i="353"/>
  <c r="B101" i="353"/>
  <c r="D88" i="353"/>
  <c r="C29" i="353"/>
  <c r="B32" i="353"/>
  <c r="D11" i="353"/>
  <c r="B85" i="353"/>
  <c r="B75" i="353"/>
  <c r="B35" i="353"/>
  <c r="C30" i="353"/>
  <c r="D72" i="353"/>
  <c r="D93" i="353"/>
  <c r="D22" i="353"/>
  <c r="B15" i="353"/>
  <c r="C63" i="353"/>
  <c r="B46" i="353"/>
  <c r="C101" i="353"/>
  <c r="C88" i="353"/>
  <c r="B58" i="353"/>
  <c r="B17" i="353"/>
  <c r="D47" i="353"/>
  <c r="C79" i="353"/>
  <c r="D40" i="353"/>
  <c r="B93" i="353"/>
  <c r="D20" i="353"/>
  <c r="C18" i="353"/>
  <c r="D17" i="353"/>
  <c r="C38" i="353"/>
  <c r="D101" i="353"/>
  <c r="B88" i="353"/>
  <c r="B56" i="353"/>
  <c r="C74" i="353"/>
  <c r="D29" i="353"/>
  <c r="D65" i="353"/>
  <c r="D48" i="353"/>
  <c r="C90" i="353"/>
  <c r="D25" i="353"/>
  <c r="D79" i="353"/>
  <c r="D14" i="353"/>
  <c r="D19" i="353"/>
  <c r="B83" i="353"/>
  <c r="D87" i="353"/>
  <c r="D13" i="353"/>
  <c r="B81" i="353"/>
  <c r="C47" i="353"/>
  <c r="B53" i="353"/>
  <c r="D39" i="353"/>
  <c r="C91" i="353"/>
  <c r="D21" i="353"/>
  <c r="D81" i="353"/>
  <c r="C32" i="353"/>
  <c r="B59" i="353"/>
  <c r="C102" i="353"/>
  <c r="C65" i="353"/>
  <c r="B86" i="353"/>
  <c r="C59" i="353"/>
  <c r="B12" i="353"/>
  <c r="C26" i="353"/>
  <c r="C86" i="353"/>
  <c r="D35" i="353"/>
  <c r="C75" i="353"/>
  <c r="C21" i="353"/>
  <c r="C71" i="353"/>
  <c r="D12" i="353"/>
  <c r="C61" i="353"/>
  <c r="B11" i="353"/>
  <c r="C42" i="353"/>
  <c r="D52" i="353"/>
  <c r="C12" i="353"/>
  <c r="B38" i="353"/>
  <c r="C20" i="353"/>
  <c r="D102" i="353"/>
  <c r="B30" i="353"/>
  <c r="C55" i="353"/>
  <c r="C43" i="353"/>
  <c r="B79" i="353"/>
  <c r="B13" i="353"/>
  <c r="D83" i="353"/>
  <c r="D32" i="353"/>
  <c r="B34" i="353"/>
  <c r="B66" i="353"/>
  <c r="C41" i="353"/>
  <c r="D41" i="353"/>
  <c r="C85" i="353"/>
  <c r="D50" i="353"/>
  <c r="C31" i="353"/>
  <c r="B102" i="353"/>
  <c r="C17" i="353"/>
  <c r="B90" i="353"/>
  <c r="D59" i="353"/>
  <c r="B60" i="353"/>
  <c r="D78" i="353"/>
  <c r="D15" i="353"/>
  <c r="D60" i="353"/>
  <c r="D37" i="353"/>
  <c r="D44" i="353"/>
  <c r="C81" i="353"/>
  <c r="D51" i="353"/>
  <c r="B49" i="353"/>
  <c r="C22" i="353"/>
  <c r="C45" i="353"/>
  <c r="D69" i="353"/>
  <c r="B28" i="353"/>
  <c r="B40" i="353"/>
  <c r="B37" i="353"/>
  <c r="B42" i="353"/>
  <c r="B20" i="353"/>
  <c r="C83" i="353"/>
  <c r="C80" i="353"/>
  <c r="B78" i="353"/>
  <c r="D91" i="353"/>
  <c r="B25" i="353"/>
  <c r="C24" i="353"/>
  <c r="B54" i="353"/>
  <c r="D23" i="353"/>
  <c r="B87" i="353"/>
  <c r="B63" i="353"/>
  <c r="B31" i="353"/>
  <c r="D56" i="353"/>
  <c r="C40" i="353"/>
  <c r="B27" i="353"/>
  <c r="C77" i="353"/>
  <c r="C84" i="353"/>
  <c r="D46" i="353"/>
  <c r="B92" i="353"/>
  <c r="B52" i="353"/>
  <c r="D33" i="353"/>
  <c r="C27" i="353"/>
  <c r="B39" i="353"/>
  <c r="D36" i="353"/>
  <c r="D57" i="353"/>
  <c r="B36" i="353"/>
  <c r="D67" i="353"/>
  <c r="B82" i="353"/>
  <c r="C15" i="353"/>
  <c r="C76" i="353"/>
  <c r="C16" i="353"/>
  <c r="C48" i="353"/>
  <c r="D90" i="353"/>
  <c r="C92" i="353"/>
  <c r="B84" i="353"/>
  <c r="C50" i="353"/>
  <c r="B33" i="353"/>
  <c r="D27" i="353"/>
  <c r="C56" i="353"/>
  <c r="B74" i="353"/>
  <c r="C69" i="353"/>
  <c r="D68" i="353"/>
  <c r="B77" i="353"/>
  <c r="D16" i="353"/>
  <c r="C37" i="353"/>
  <c r="C72" i="353"/>
  <c r="D92" i="353"/>
  <c r="D85" i="353"/>
  <c r="B26" i="353"/>
  <c r="B45" i="353"/>
  <c r="C49" i="353"/>
  <c r="C70" i="353"/>
  <c r="C46" i="353"/>
  <c r="B72" i="353"/>
  <c r="D64" i="353"/>
  <c r="D18" i="353"/>
  <c r="C34" i="353"/>
  <c r="C67" i="353"/>
  <c r="B50" i="353"/>
  <c r="B94" i="353"/>
  <c r="D55" i="353"/>
  <c r="D70" i="353"/>
  <c r="C51" i="353"/>
  <c r="C28" i="353"/>
  <c r="D24" i="353"/>
  <c r="C23" i="353"/>
  <c r="D71" i="353"/>
  <c r="C54" i="353"/>
  <c r="B71" i="353"/>
  <c r="B69" i="353"/>
  <c r="G10" i="503"/>
  <c r="G13" i="503"/>
  <c r="G15" i="503"/>
  <c r="G12" i="503"/>
  <c r="G6" i="503"/>
  <c r="G7" i="503"/>
  <c r="G5" i="503"/>
  <c r="G8" i="503"/>
  <c r="G11" i="503"/>
  <c r="G9" i="503"/>
  <c r="G14" i="503"/>
  <c r="J18" i="91"/>
  <c r="J16" i="126"/>
  <c r="J19" i="66"/>
  <c r="J19" i="119"/>
  <c r="J15" i="76"/>
  <c r="J17" i="386"/>
  <c r="J11" i="71"/>
  <c r="C15" i="406"/>
  <c r="J9" i="406" s="1"/>
  <c r="F32" i="51"/>
  <c r="J15" i="51" s="1"/>
  <c r="C15" i="370"/>
  <c r="G9" i="370" s="1"/>
  <c r="F32" i="57"/>
  <c r="J15" i="57" s="1"/>
  <c r="F6" i="386"/>
  <c r="J15" i="386" s="1"/>
  <c r="F32" i="53"/>
  <c r="J15" i="53" s="1"/>
  <c r="F32" i="91"/>
  <c r="J15" i="91" s="1"/>
  <c r="F19" i="377"/>
  <c r="F6" i="66"/>
  <c r="J15" i="66" s="1"/>
  <c r="F32" i="105"/>
  <c r="F32" i="446"/>
  <c r="C15" i="54"/>
  <c r="J9" i="54" s="1"/>
  <c r="C15" i="390"/>
  <c r="J9" i="390" s="1"/>
  <c r="C15" i="407"/>
  <c r="J9" i="407" s="1"/>
  <c r="B20" i="409"/>
  <c r="F19" i="71"/>
  <c r="J15" i="71" s="1"/>
  <c r="F19" i="361"/>
  <c r="J15" i="361" s="1"/>
  <c r="F32" i="73"/>
  <c r="F19" i="73"/>
  <c r="F19" i="112"/>
  <c r="J15" i="112" s="1"/>
  <c r="F6" i="54"/>
  <c r="J15" i="54" s="1"/>
  <c r="F19" i="126"/>
  <c r="J15" i="126" s="1"/>
  <c r="F19" i="105"/>
  <c r="E20" i="372"/>
  <c r="F6" i="446"/>
  <c r="F32" i="69"/>
  <c r="J15" i="69" s="1"/>
  <c r="F6" i="63"/>
  <c r="J15" i="63" s="1"/>
  <c r="F6" i="391"/>
  <c r="J15" i="391" s="1"/>
  <c r="F32" i="65"/>
  <c r="J15" i="65" s="1"/>
  <c r="F6" i="70"/>
  <c r="J15" i="70" s="1"/>
  <c r="C15" i="422"/>
  <c r="J9" i="422" s="1"/>
  <c r="F19" i="394"/>
  <c r="J15" i="394" s="1"/>
  <c r="F22" i="98"/>
  <c r="J18" i="98" s="1"/>
  <c r="F19" i="86"/>
  <c r="J15" i="86" s="1"/>
  <c r="F32" i="377"/>
  <c r="F32" i="77"/>
  <c r="J15" i="77" s="1"/>
  <c r="F6" i="377"/>
  <c r="F6" i="73"/>
  <c r="F32" i="78"/>
  <c r="F19" i="83"/>
  <c r="J15" i="83" s="1"/>
  <c r="F6" i="432"/>
  <c r="F32" i="408"/>
  <c r="J15" i="408" s="1"/>
  <c r="F32" i="59"/>
  <c r="J15" i="59" s="1"/>
  <c r="F19" i="92"/>
  <c r="J15" i="92" s="1"/>
  <c r="F19" i="58"/>
  <c r="J15" i="58" s="1"/>
  <c r="F9" i="378"/>
  <c r="J18" i="378" s="1"/>
  <c r="F19" i="74"/>
  <c r="J15" i="74" s="1"/>
  <c r="F19" i="78"/>
  <c r="F6" i="87"/>
  <c r="J15" i="87" s="1"/>
  <c r="F63" i="351" a="1"/>
  <c r="F63" i="351" s="1"/>
  <c r="C31" i="351" a="1"/>
  <c r="C31" i="351" s="1"/>
  <c r="D195" i="351" a="1"/>
  <c r="D195" i="351" s="1"/>
  <c r="B102" i="351" a="1"/>
  <c r="B102" i="351" s="1"/>
  <c r="C20" i="351" a="1"/>
  <c r="C20" i="351" s="1"/>
  <c r="E157" i="351" a="1"/>
  <c r="E157" i="351" s="1"/>
  <c r="D86" i="351" a="1"/>
  <c r="D86" i="351" s="1"/>
  <c r="C4" i="351" a="1"/>
  <c r="C4" i="351" s="1"/>
  <c r="B51" i="351" a="1"/>
  <c r="B51" i="351" s="1"/>
  <c r="F55" i="351" a="1"/>
  <c r="F55" i="351" s="1"/>
  <c r="B201" i="351" a="1"/>
  <c r="B201" i="351" s="1"/>
  <c r="B59" i="351" a="1"/>
  <c r="B59" i="351" s="1"/>
  <c r="E49" i="351" a="1"/>
  <c r="E49" i="351" s="1"/>
  <c r="E130" i="351" a="1"/>
  <c r="E130" i="351" s="1"/>
  <c r="B194" i="351" a="1"/>
  <c r="B194" i="351" s="1"/>
  <c r="C18" i="351" a="1"/>
  <c r="C18" i="351" s="1"/>
  <c r="E147" i="351" a="1"/>
  <c r="E147" i="351" s="1"/>
  <c r="F157" i="351" a="1"/>
  <c r="F157" i="351" s="1"/>
  <c r="F155" i="351" a="1"/>
  <c r="F155" i="351" s="1"/>
  <c r="E175" i="351" a="1"/>
  <c r="E175" i="351" s="1"/>
  <c r="F170" i="351" a="1"/>
  <c r="F170" i="351" s="1"/>
  <c r="D41" i="351" a="1"/>
  <c r="D41" i="351" s="1"/>
  <c r="D175" i="351" a="1"/>
  <c r="D175" i="351" s="1"/>
  <c r="E132" i="351" a="1"/>
  <c r="E132" i="351" s="1"/>
  <c r="D105" i="351" a="1"/>
  <c r="D105" i="351" s="1"/>
  <c r="B64" i="351" a="1"/>
  <c r="B64" i="351" s="1"/>
  <c r="D153" i="351" a="1"/>
  <c r="D153" i="351" s="1"/>
  <c r="D101" i="351" a="1"/>
  <c r="D101" i="351" s="1"/>
  <c r="D45" i="351" a="1"/>
  <c r="D45" i="351" s="1"/>
  <c r="C167" i="351" a="1"/>
  <c r="C167" i="351" s="1"/>
  <c r="C16" i="351" a="1"/>
  <c r="C16" i="351" s="1"/>
  <c r="D138" i="351" a="1"/>
  <c r="D138" i="351" s="1"/>
  <c r="C15" i="351" a="1"/>
  <c r="C15" i="351" s="1"/>
  <c r="F138" i="351" a="1"/>
  <c r="F138" i="351" s="1"/>
  <c r="D161" i="351" a="1"/>
  <c r="D161" i="351" s="1"/>
  <c r="B203" i="351" a="1"/>
  <c r="B203" i="351" s="1"/>
  <c r="B204" i="351" a="1"/>
  <c r="B204" i="351" s="1"/>
  <c r="B189" i="351" a="1"/>
  <c r="B189" i="351" s="1"/>
  <c r="F130" i="351" a="1"/>
  <c r="F130" i="351" s="1"/>
  <c r="E171" i="351" a="1"/>
  <c r="E171" i="351" s="1"/>
  <c r="B26" i="351" a="1"/>
  <c r="B26" i="351" s="1"/>
  <c r="F134" i="351" a="1"/>
  <c r="F134" i="351" s="1"/>
  <c r="E169" i="351" a="1"/>
  <c r="E169" i="351" s="1"/>
  <c r="C99" i="351" a="1"/>
  <c r="C99" i="351" s="1"/>
  <c r="C92" i="351" a="1"/>
  <c r="C92" i="351" s="1"/>
  <c r="B85" i="351" a="1"/>
  <c r="B85" i="351" s="1"/>
  <c r="C74" i="351" a="1"/>
  <c r="C74" i="351" s="1"/>
  <c r="B92" i="351" a="1"/>
  <c r="B92" i="351" s="1"/>
  <c r="B104" i="351" a="1"/>
  <c r="B104" i="351" s="1"/>
  <c r="F84" i="351" a="1"/>
  <c r="F84" i="351" s="1"/>
  <c r="F119" i="351" a="1"/>
  <c r="F119" i="351" s="1"/>
  <c r="E63" i="351" a="1"/>
  <c r="E63" i="351" s="1"/>
  <c r="E50" i="351" a="1"/>
  <c r="E50" i="351" s="1"/>
  <c r="B47" i="351" a="1"/>
  <c r="B47" i="351" s="1"/>
  <c r="B20" i="351" a="1"/>
  <c r="B20" i="351" s="1"/>
  <c r="F24" i="351" a="1"/>
  <c r="F24" i="351" s="1"/>
  <c r="C7" i="351" a="1"/>
  <c r="C7" i="351" s="1"/>
  <c r="C137" i="351" a="1"/>
  <c r="C137" i="351" s="1"/>
  <c r="D37" i="351" a="1"/>
  <c r="D37" i="351" s="1"/>
  <c r="F45" i="351" a="1"/>
  <c r="F45" i="351" s="1"/>
  <c r="F62" i="351" a="1"/>
  <c r="F62" i="351" s="1"/>
  <c r="C56" i="351" a="1"/>
  <c r="C56" i="351" s="1"/>
  <c r="D88" i="351" a="1"/>
  <c r="D88" i="351" s="1"/>
  <c r="F159" i="351" a="1"/>
  <c r="F159" i="351" s="1"/>
  <c r="E168" i="351" a="1"/>
  <c r="E168" i="351" s="1"/>
  <c r="D48" i="351" a="1"/>
  <c r="D48" i="351" s="1"/>
  <c r="C156" i="351" a="1"/>
  <c r="C156" i="351" s="1"/>
  <c r="E9" i="351" a="1"/>
  <c r="E9" i="351" s="1"/>
  <c r="E105" i="351" a="1"/>
  <c r="E105" i="351" s="1"/>
  <c r="F194" i="351" a="1"/>
  <c r="F194" i="351" s="1"/>
  <c r="D137" i="351" a="1"/>
  <c r="D137" i="351" s="1"/>
  <c r="F9" i="351" a="1"/>
  <c r="F9" i="351" s="1"/>
  <c r="F98" i="351" a="1"/>
  <c r="F98" i="351" s="1"/>
  <c r="E6" i="351" a="1"/>
  <c r="E6" i="351" s="1"/>
  <c r="D184" i="351" a="1"/>
  <c r="D184" i="351" s="1"/>
  <c r="C195" i="351" a="1"/>
  <c r="C195" i="351" s="1"/>
  <c r="C83" i="351" a="1"/>
  <c r="C83" i="351" s="1"/>
  <c r="C102" i="351" a="1"/>
  <c r="C102" i="351" s="1"/>
  <c r="E154" i="351" a="1"/>
  <c r="E154" i="351" s="1"/>
  <c r="E90" i="351" a="1"/>
  <c r="E90" i="351" s="1"/>
  <c r="C51" i="351" a="1"/>
  <c r="C51" i="351" s="1"/>
  <c r="D174" i="351" a="1"/>
  <c r="D174" i="351" s="1"/>
  <c r="B55" i="351" a="1"/>
  <c r="B55" i="351" s="1"/>
  <c r="E45" i="351" a="1"/>
  <c r="E45" i="351" s="1"/>
  <c r="F186" i="351" a="1"/>
  <c r="F186" i="351" s="1"/>
  <c r="C46" i="351" a="1"/>
  <c r="C46" i="351" s="1"/>
  <c r="F90" i="351" a="1"/>
  <c r="F90" i="351" s="1"/>
  <c r="B199" i="351" a="1"/>
  <c r="B199" i="351" s="1"/>
  <c r="C200" i="351" a="1"/>
  <c r="C200" i="351" s="1"/>
  <c r="E202" i="351" a="1"/>
  <c r="E202" i="351" s="1"/>
  <c r="D204" i="351" a="1"/>
  <c r="D204" i="351" s="1"/>
  <c r="E99" i="351" a="1"/>
  <c r="E99" i="351" s="1"/>
  <c r="E58" i="351" a="1"/>
  <c r="E58" i="351" s="1"/>
  <c r="B112" i="351" a="1"/>
  <c r="B112" i="351" s="1"/>
  <c r="D109" i="351" a="1"/>
  <c r="D109" i="351" s="1"/>
  <c r="E161" i="351" a="1"/>
  <c r="E161" i="351" s="1"/>
  <c r="C9" i="351" a="1"/>
  <c r="C9" i="351" s="1"/>
  <c r="D5" i="351" a="1"/>
  <c r="D5" i="351" s="1"/>
  <c r="F64" i="351" a="1"/>
  <c r="F64" i="351" s="1"/>
  <c r="E122" i="351" a="1"/>
  <c r="E122" i="351" s="1"/>
  <c r="F88" i="351" a="1"/>
  <c r="F88" i="351" s="1"/>
  <c r="B119" i="351" a="1"/>
  <c r="B119" i="351" s="1"/>
  <c r="F56" i="351" a="1"/>
  <c r="F56" i="351" s="1"/>
  <c r="C180" i="351" a="1"/>
  <c r="C180" i="351" s="1"/>
  <c r="E155" i="351" a="1"/>
  <c r="E155" i="351" s="1"/>
  <c r="B44" i="351" a="1"/>
  <c r="B44" i="351" s="1"/>
  <c r="B45" i="351" a="1"/>
  <c r="B45" i="351" s="1"/>
  <c r="B143" i="351" a="1"/>
  <c r="B143" i="351" s="1"/>
  <c r="B100" i="351" a="1"/>
  <c r="B100" i="351" s="1"/>
  <c r="C136" i="351" a="1"/>
  <c r="C136" i="351" s="1"/>
  <c r="C121" i="351" a="1"/>
  <c r="C121" i="351" s="1"/>
  <c r="B12" i="351" a="1"/>
  <c r="B12" i="351" s="1"/>
  <c r="C50" i="351" a="1"/>
  <c r="C50" i="351" s="1"/>
  <c r="C182" i="351" a="1"/>
  <c r="C182" i="351" s="1"/>
  <c r="B171" i="351" a="1"/>
  <c r="B171" i="351" s="1"/>
  <c r="C88" i="351" a="1"/>
  <c r="C88" i="351" s="1"/>
  <c r="C115" i="351" a="1"/>
  <c r="C115" i="351" s="1"/>
  <c r="C117" i="351" a="1"/>
  <c r="C117" i="351" s="1"/>
  <c r="E170" i="351" a="1"/>
  <c r="E170" i="351" s="1"/>
  <c r="F173" i="351" a="1"/>
  <c r="F173" i="351" s="1"/>
  <c r="D63" i="351" a="1"/>
  <c r="D63" i="351" s="1"/>
  <c r="B31" i="351" a="1"/>
  <c r="B31" i="351" s="1"/>
  <c r="D89" i="351" a="1"/>
  <c r="D89" i="351" s="1"/>
  <c r="B152" i="351" a="1"/>
  <c r="B152" i="351" s="1"/>
  <c r="B84" i="351" a="1"/>
  <c r="B84" i="351" s="1"/>
  <c r="C207" i="351" a="1"/>
  <c r="C207" i="351" s="1"/>
  <c r="C24" i="351" a="1"/>
  <c r="C24" i="351" s="1"/>
  <c r="C188" i="351" a="1"/>
  <c r="C188" i="351" s="1"/>
  <c r="C202" i="351" a="1"/>
  <c r="C202" i="351" s="1"/>
  <c r="F145" i="351" a="1"/>
  <c r="F145" i="351" s="1"/>
  <c r="D122" i="351" a="1"/>
  <c r="D122" i="351" s="1"/>
  <c r="F111" i="351" a="1"/>
  <c r="F111" i="351" s="1"/>
  <c r="C175" i="351" a="1"/>
  <c r="C175" i="351" s="1"/>
  <c r="B9" i="351" a="1"/>
  <c r="B9" i="351" s="1"/>
  <c r="F103" i="351" a="1"/>
  <c r="F103" i="351" s="1"/>
  <c r="B180" i="351" a="1"/>
  <c r="B180" i="351" s="1"/>
  <c r="C174" i="351" a="1"/>
  <c r="C174" i="351" s="1"/>
  <c r="B173" i="351" a="1"/>
  <c r="B173" i="351" s="1"/>
  <c r="E56" i="351" a="1"/>
  <c r="E56" i="351" s="1"/>
  <c r="F58" i="351" a="1"/>
  <c r="F58" i="351" s="1"/>
  <c r="D166" i="351" a="1"/>
  <c r="D166" i="351" s="1"/>
  <c r="B137" i="351" a="1"/>
  <c r="B137" i="351" s="1"/>
  <c r="F17" i="351" a="1"/>
  <c r="F17" i="351" s="1"/>
  <c r="D82" i="351" a="1"/>
  <c r="D82" i="351" s="1"/>
  <c r="D9" i="351" a="1"/>
  <c r="D9" i="351" s="1"/>
  <c r="B68" i="351" a="1"/>
  <c r="B68" i="351" s="1"/>
  <c r="C32" i="351" a="1"/>
  <c r="C32" i="351" s="1"/>
  <c r="B75" i="351" a="1"/>
  <c r="B75" i="351" s="1"/>
  <c r="D18" i="351" a="1"/>
  <c r="D18" i="351" s="1"/>
  <c r="C14" i="351" a="1"/>
  <c r="C14" i="351" s="1"/>
  <c r="C64" i="351" a="1"/>
  <c r="C64" i="351" s="1"/>
  <c r="E127" i="351" a="1"/>
  <c r="E127" i="351" s="1"/>
  <c r="B200" i="351" a="1"/>
  <c r="B200" i="351" s="1"/>
  <c r="E31" i="351" a="1"/>
  <c r="E31" i="351" s="1"/>
  <c r="F199" i="351" a="1"/>
  <c r="F199" i="351" s="1"/>
  <c r="D83" i="351" a="1"/>
  <c r="D83" i="351" s="1"/>
  <c r="C97" i="351" a="1"/>
  <c r="C97" i="351" s="1"/>
  <c r="F187" i="351" a="1"/>
  <c r="F187" i="351" s="1"/>
  <c r="D72" i="351" a="1"/>
  <c r="D72" i="351" s="1"/>
  <c r="B129" i="351" a="1"/>
  <c r="B129" i="351" s="1"/>
  <c r="C41" i="351" a="1"/>
  <c r="C41" i="351" s="1"/>
  <c r="C114" i="351" a="1"/>
  <c r="C114" i="351" s="1"/>
  <c r="D31" i="351" a="1"/>
  <c r="D31" i="351" s="1"/>
  <c r="D92" i="351" a="1"/>
  <c r="D92" i="351" s="1"/>
  <c r="E106" i="351" a="1"/>
  <c r="E106" i="351" s="1"/>
  <c r="D196" i="351" a="1"/>
  <c r="D196" i="351" s="1"/>
  <c r="E203" i="351" a="1"/>
  <c r="E203" i="351" s="1"/>
  <c r="F101" i="351" a="1"/>
  <c r="F101" i="351" s="1"/>
  <c r="B124" i="351" a="1"/>
  <c r="B124" i="351" s="1"/>
  <c r="E185" i="351" a="1"/>
  <c r="E185" i="351" s="1"/>
  <c r="F7" i="351" a="1"/>
  <c r="F7" i="351" s="1"/>
  <c r="B42" i="351" a="1"/>
  <c r="B42" i="351" s="1"/>
  <c r="F179" i="351" a="1"/>
  <c r="F179" i="351" s="1"/>
  <c r="F156" i="351" a="1"/>
  <c r="F156" i="351" s="1"/>
  <c r="D116" i="351" a="1"/>
  <c r="D116" i="351" s="1"/>
  <c r="B11" i="351" a="1"/>
  <c r="B11" i="351" s="1"/>
  <c r="D26" i="351" a="1"/>
  <c r="D26" i="351" s="1"/>
  <c r="C155" i="351" a="1"/>
  <c r="C155" i="351" s="1"/>
  <c r="B117" i="351" a="1"/>
  <c r="B117" i="351" s="1"/>
  <c r="B87" i="351" a="1"/>
  <c r="B87" i="351" s="1"/>
  <c r="E182" i="351" a="1"/>
  <c r="E182" i="351" s="1"/>
  <c r="F52" i="351" a="1"/>
  <c r="F52" i="351" s="1"/>
  <c r="F195" i="351" a="1"/>
  <c r="F195" i="351" s="1"/>
  <c r="B15" i="351" a="1"/>
  <c r="B15" i="351" s="1"/>
  <c r="F71" i="351" a="1"/>
  <c r="F71" i="351" s="1"/>
  <c r="B191" i="351" a="1"/>
  <c r="B191" i="351" s="1"/>
  <c r="D144" i="351" a="1"/>
  <c r="D144" i="351" s="1"/>
  <c r="B74" i="351" a="1"/>
  <c r="B74" i="351" s="1"/>
  <c r="E97" i="351" a="1"/>
  <c r="E97" i="351" s="1"/>
  <c r="C62" i="351" a="1"/>
  <c r="C62" i="351" s="1"/>
  <c r="C157" i="351" a="1"/>
  <c r="C157" i="351" s="1"/>
  <c r="E165" i="351" a="1"/>
  <c r="E165" i="351" s="1"/>
  <c r="C193" i="351" a="1"/>
  <c r="C193" i="351" s="1"/>
  <c r="F15" i="351" a="1"/>
  <c r="F15" i="351" s="1"/>
  <c r="F94" i="351" a="1"/>
  <c r="F94" i="351" s="1"/>
  <c r="B131" i="351" a="1"/>
  <c r="B131" i="351" s="1"/>
  <c r="E156" i="351" a="1"/>
  <c r="E156" i="351" s="1"/>
  <c r="C172" i="351" a="1"/>
  <c r="C172" i="351" s="1"/>
  <c r="C63" i="351" a="1"/>
  <c r="C63" i="351" s="1"/>
  <c r="B98" i="351" a="1"/>
  <c r="B98" i="351" s="1"/>
  <c r="F16" i="351" a="1"/>
  <c r="F16" i="351" s="1"/>
  <c r="D6" i="351" a="1"/>
  <c r="D6" i="351" s="1"/>
  <c r="F65" i="351" a="1"/>
  <c r="F65" i="351" s="1"/>
  <c r="B19" i="351" a="1"/>
  <c r="B19" i="351" s="1"/>
  <c r="C128" i="351" a="1"/>
  <c r="C128" i="351" s="1"/>
  <c r="F93" i="351" a="1"/>
  <c r="F93" i="351" s="1"/>
  <c r="B138" i="351" a="1"/>
  <c r="B138" i="351" s="1"/>
  <c r="F166" i="351" a="1"/>
  <c r="F166" i="351" s="1"/>
  <c r="F113" i="351" a="1"/>
  <c r="F113" i="351" s="1"/>
  <c r="B132" i="351" a="1"/>
  <c r="B132" i="351" s="1"/>
  <c r="E86" i="351" a="1"/>
  <c r="E86" i="351" s="1"/>
  <c r="E166" i="351" a="1"/>
  <c r="E166" i="351" s="1"/>
  <c r="B54" i="351" a="1"/>
  <c r="B54" i="351" s="1"/>
  <c r="B88" i="351" a="1"/>
  <c r="B88" i="351" s="1"/>
  <c r="E67" i="351" a="1"/>
  <c r="E67" i="351" s="1"/>
  <c r="C75" i="351" a="1"/>
  <c r="C75" i="351" s="1"/>
  <c r="B73" i="351" a="1"/>
  <c r="B73" i="351" s="1"/>
  <c r="C110" i="351" a="1"/>
  <c r="C110" i="351" s="1"/>
  <c r="D173" i="351" a="1"/>
  <c r="D173" i="351" s="1"/>
  <c r="C131" i="351" a="1"/>
  <c r="C131" i="351" s="1"/>
  <c r="B95" i="351" a="1"/>
  <c r="B95" i="351" s="1"/>
  <c r="F105" i="351" a="1"/>
  <c r="F105" i="351" s="1"/>
  <c r="E148" i="351" a="1"/>
  <c r="E148" i="351" s="1"/>
  <c r="E193" i="351" a="1"/>
  <c r="E193" i="351" s="1"/>
  <c r="B169" i="351" a="1"/>
  <c r="B169" i="351" s="1"/>
  <c r="F191" i="351" a="1"/>
  <c r="F191" i="351" s="1"/>
  <c r="C189" i="351" a="1"/>
  <c r="C189" i="351" s="1"/>
  <c r="E206" i="351" a="1"/>
  <c r="E206" i="351" s="1"/>
  <c r="E27" i="351" a="1"/>
  <c r="E27" i="351" s="1"/>
  <c r="F46" i="351" a="1"/>
  <c r="F46" i="351" s="1"/>
  <c r="F61" i="351" a="1"/>
  <c r="F61" i="351" s="1"/>
  <c r="F48" i="351" a="1"/>
  <c r="F48" i="351" s="1"/>
  <c r="D47" i="351" a="1"/>
  <c r="D47" i="351" s="1"/>
  <c r="E121" i="351" a="1"/>
  <c r="E121" i="351" s="1"/>
  <c r="C116" i="351" a="1"/>
  <c r="C116" i="351" s="1"/>
  <c r="D4" i="351" a="1"/>
  <c r="D4" i="351" s="1"/>
  <c r="F182" i="351" a="1"/>
  <c r="F182" i="351" s="1"/>
  <c r="C122" i="351" a="1"/>
  <c r="C122" i="351" s="1"/>
  <c r="E149" i="351" a="1"/>
  <c r="E149" i="351" s="1"/>
  <c r="D58" i="351" a="1"/>
  <c r="D58" i="351" s="1"/>
  <c r="F87" i="351" a="1"/>
  <c r="F87" i="351" s="1"/>
  <c r="B123" i="351" a="1"/>
  <c r="B123" i="351" s="1"/>
  <c r="B166" i="351" a="1"/>
  <c r="B166" i="351" s="1"/>
  <c r="B161" i="351" a="1"/>
  <c r="B161" i="351" s="1"/>
  <c r="B181" i="351" a="1"/>
  <c r="B181" i="351" s="1"/>
  <c r="D24" i="351" a="1"/>
  <c r="D24" i="351" s="1"/>
  <c r="D151" i="351" a="1"/>
  <c r="D151" i="351" s="1"/>
  <c r="C196" i="351" a="1"/>
  <c r="C196" i="351" s="1"/>
  <c r="E120" i="351" a="1"/>
  <c r="E120" i="351" s="1"/>
  <c r="E57" i="351" a="1"/>
  <c r="E57" i="351" s="1"/>
  <c r="B97" i="351" a="1"/>
  <c r="B97" i="351" s="1"/>
  <c r="C22" i="351" a="1"/>
  <c r="C22" i="351" s="1"/>
  <c r="B63" i="351" a="1"/>
  <c r="B63" i="351" s="1"/>
  <c r="C65" i="351" a="1"/>
  <c r="C65" i="351" s="1"/>
  <c r="E140" i="351" a="1"/>
  <c r="E140" i="351" s="1"/>
  <c r="C151" i="351" a="1"/>
  <c r="C151" i="351" s="1"/>
  <c r="F169" i="351" a="1"/>
  <c r="F169" i="351" s="1"/>
  <c r="C54" i="351" a="1"/>
  <c r="C54" i="351" s="1"/>
  <c r="E194" i="351" a="1"/>
  <c r="E194" i="351" s="1"/>
  <c r="E142" i="351" a="1"/>
  <c r="E142" i="351" s="1"/>
  <c r="C40" i="351" a="1"/>
  <c r="C40" i="351" s="1"/>
  <c r="D120" i="351" a="1"/>
  <c r="D120" i="351" s="1"/>
  <c r="B13" i="351" a="1"/>
  <c r="B13" i="351" s="1"/>
  <c r="F165" i="351" a="1"/>
  <c r="F165" i="351" s="1"/>
  <c r="B27" i="351" a="1"/>
  <c r="B27" i="351" s="1"/>
  <c r="F154" i="351" a="1"/>
  <c r="F154" i="351" s="1"/>
  <c r="E192" i="351" a="1"/>
  <c r="E192" i="351" s="1"/>
  <c r="C130" i="351" a="1"/>
  <c r="C130" i="351" s="1"/>
  <c r="B70" i="351" a="1"/>
  <c r="B70" i="351" s="1"/>
  <c r="E196" i="351" a="1"/>
  <c r="E196" i="351" s="1"/>
  <c r="F190" i="351" a="1"/>
  <c r="F190" i="351" s="1"/>
  <c r="C206" i="351" a="1"/>
  <c r="C206" i="351" s="1"/>
  <c r="E66" i="351" a="1"/>
  <c r="E66" i="351" s="1"/>
  <c r="E109" i="351" a="1"/>
  <c r="E109" i="351" s="1"/>
  <c r="F160" i="351" a="1"/>
  <c r="F160" i="351" s="1"/>
  <c r="D145" i="351" a="1"/>
  <c r="D145" i="351" s="1"/>
  <c r="F163" i="351" a="1"/>
  <c r="F163" i="351" s="1"/>
  <c r="E26" i="351" a="1"/>
  <c r="E26" i="351" s="1"/>
  <c r="F92" i="351" a="1"/>
  <c r="F92" i="351" s="1"/>
  <c r="B174" i="351" a="1"/>
  <c r="B174" i="351" s="1"/>
  <c r="B79" i="351" a="1"/>
  <c r="B79" i="351" s="1"/>
  <c r="F144" i="351" a="1"/>
  <c r="F144" i="351" s="1"/>
  <c r="F70" i="351" a="1"/>
  <c r="F70" i="351" s="1"/>
  <c r="C198" i="351" a="1"/>
  <c r="C198" i="351" s="1"/>
  <c r="D44" i="351" a="1"/>
  <c r="D44" i="351" s="1"/>
  <c r="F30" i="351" a="1"/>
  <c r="F30" i="351" s="1"/>
  <c r="F150" i="351" a="1"/>
  <c r="F150" i="351" s="1"/>
  <c r="B128" i="351" a="1"/>
  <c r="B128" i="351" s="1"/>
  <c r="B168" i="351" a="1"/>
  <c r="B168" i="351" s="1"/>
  <c r="C165" i="351" a="1"/>
  <c r="C165" i="351" s="1"/>
  <c r="C13" i="351" a="1"/>
  <c r="C13" i="351" s="1"/>
  <c r="D188" i="351" a="1"/>
  <c r="D188" i="351" s="1"/>
  <c r="D46" i="351" a="1"/>
  <c r="D46" i="351" s="1"/>
  <c r="F147" i="351" a="1"/>
  <c r="F147" i="351" s="1"/>
  <c r="F149" i="351" a="1"/>
  <c r="F149" i="351" s="1"/>
  <c r="F57" i="351" a="1"/>
  <c r="F57" i="351" s="1"/>
  <c r="D200" i="351" a="1"/>
  <c r="D200" i="351" s="1"/>
  <c r="D172" i="351" a="1"/>
  <c r="D172" i="351" s="1"/>
  <c r="C125" i="351" a="1"/>
  <c r="C125" i="351" s="1"/>
  <c r="B83" i="351" a="1"/>
  <c r="B83" i="351" s="1"/>
  <c r="D30" i="351" a="1"/>
  <c r="D30" i="351" s="1"/>
  <c r="F8" i="351" a="1"/>
  <c r="F8" i="351" s="1"/>
  <c r="C199" i="351" a="1"/>
  <c r="C199" i="351" s="1"/>
  <c r="B61" i="351" a="1"/>
  <c r="B61" i="351" s="1"/>
  <c r="F20" i="351" a="1"/>
  <c r="F20" i="351" s="1"/>
  <c r="D65" i="351" a="1"/>
  <c r="D65" i="351" s="1"/>
  <c r="F81" i="351" a="1"/>
  <c r="F81" i="351" s="1"/>
  <c r="B28" i="351" a="1"/>
  <c r="B28" i="351" s="1"/>
  <c r="C145" i="351" a="1"/>
  <c r="C145" i="351" s="1"/>
  <c r="D25" i="351" a="1"/>
  <c r="D25" i="351" s="1"/>
  <c r="F40" i="351" a="1"/>
  <c r="F40" i="351" s="1"/>
  <c r="E75" i="351" a="1"/>
  <c r="E75" i="351" s="1"/>
  <c r="D193" i="351" a="1"/>
  <c r="D193" i="351" s="1"/>
  <c r="D180" i="351" a="1"/>
  <c r="D180" i="351" s="1"/>
  <c r="E107" i="351" a="1"/>
  <c r="E107" i="351" s="1"/>
  <c r="F18" i="351" a="1"/>
  <c r="F18" i="351" s="1"/>
  <c r="D39" i="351" a="1"/>
  <c r="D39" i="351" s="1"/>
  <c r="F97" i="351" a="1"/>
  <c r="F97" i="351" s="1"/>
  <c r="D141" i="351" a="1"/>
  <c r="D141" i="351" s="1"/>
  <c r="E113" i="351" a="1"/>
  <c r="E113" i="351" s="1"/>
  <c r="B21" i="351" a="1"/>
  <c r="B21" i="351" s="1"/>
  <c r="B163" i="351" a="1"/>
  <c r="B163" i="351" s="1"/>
  <c r="E46" i="351" a="1"/>
  <c r="E46" i="351" s="1"/>
  <c r="D59" i="351" a="1"/>
  <c r="D59" i="351" s="1"/>
  <c r="D126" i="351" a="1"/>
  <c r="D126" i="351" s="1"/>
  <c r="D186" i="351" a="1"/>
  <c r="D186" i="351" s="1"/>
  <c r="C78" i="351" a="1"/>
  <c r="C78" i="351" s="1"/>
  <c r="D32" i="351" a="1"/>
  <c r="D32" i="351" s="1"/>
  <c r="F13" i="351" a="1"/>
  <c r="F13" i="351" s="1"/>
  <c r="F51" i="351" a="1"/>
  <c r="F51" i="351" s="1"/>
  <c r="B57" i="351" a="1"/>
  <c r="B57" i="351" s="1"/>
  <c r="D79" i="351" a="1"/>
  <c r="D79" i="351" s="1"/>
  <c r="F185" i="351" a="1"/>
  <c r="F185" i="351" s="1"/>
  <c r="E112" i="351" a="1"/>
  <c r="E112" i="351" s="1"/>
  <c r="E94" i="351" a="1"/>
  <c r="E94" i="351" s="1"/>
  <c r="E201" i="351" a="1"/>
  <c r="E201" i="351" s="1"/>
  <c r="B120" i="351" a="1"/>
  <c r="B120" i="351" s="1"/>
  <c r="E68" i="351" a="1"/>
  <c r="E68" i="351" s="1"/>
  <c r="D12" i="351" a="1"/>
  <c r="D12" i="351" s="1"/>
  <c r="E7" i="351" a="1"/>
  <c r="E7" i="351" s="1"/>
  <c r="D179" i="351" a="1"/>
  <c r="D179" i="351" s="1"/>
  <c r="C146" i="351" a="1"/>
  <c r="C146" i="351" s="1"/>
  <c r="D70" i="351" a="1"/>
  <c r="D70" i="351" s="1"/>
  <c r="F146" i="351" a="1"/>
  <c r="F146" i="351" s="1"/>
  <c r="C67" i="351" a="1"/>
  <c r="C67" i="351" s="1"/>
  <c r="C93" i="351" a="1"/>
  <c r="C93" i="351" s="1"/>
  <c r="D106" i="351" a="1"/>
  <c r="D106" i="351" s="1"/>
  <c r="C10" i="351" a="1"/>
  <c r="C10" i="351" s="1"/>
  <c r="D16" i="351" a="1"/>
  <c r="D16" i="351" s="1"/>
  <c r="D90" i="351" a="1"/>
  <c r="D90" i="351" s="1"/>
  <c r="F140" i="351" a="1"/>
  <c r="F140" i="351" s="1"/>
  <c r="B118" i="351" a="1"/>
  <c r="B118" i="351" s="1"/>
  <c r="C159" i="351" a="1"/>
  <c r="C159" i="351" s="1"/>
  <c r="C113" i="351" a="1"/>
  <c r="C113" i="351" s="1"/>
  <c r="D56" i="351" a="1"/>
  <c r="D56" i="351" s="1"/>
  <c r="F117" i="351" a="1"/>
  <c r="F117" i="351" s="1"/>
  <c r="E119" i="351" a="1"/>
  <c r="E119" i="351" s="1"/>
  <c r="E8" i="351" a="1"/>
  <c r="E8" i="351" s="1"/>
  <c r="C106" i="351" a="1"/>
  <c r="C106" i="351" s="1"/>
  <c r="E137" i="351" a="1"/>
  <c r="E137" i="351" s="1"/>
  <c r="C12" i="351" a="1"/>
  <c r="C12" i="351" s="1"/>
  <c r="F172" i="351" a="1"/>
  <c r="F172" i="351" s="1"/>
  <c r="B49" i="351" a="1"/>
  <c r="B49" i="351" s="1"/>
  <c r="D206" i="351" a="1"/>
  <c r="D206" i="351" s="1"/>
  <c r="B90" i="351" a="1"/>
  <c r="B90" i="351" s="1"/>
  <c r="C147" i="351" a="1"/>
  <c r="C147" i="351" s="1"/>
  <c r="D157" i="351" a="1"/>
  <c r="D157" i="351" s="1"/>
  <c r="F174" i="351" a="1"/>
  <c r="F174" i="351" s="1"/>
  <c r="F164" i="351" a="1"/>
  <c r="F164" i="351" s="1"/>
  <c r="D194" i="351" a="1"/>
  <c r="D194" i="351" s="1"/>
  <c r="E117" i="351" a="1"/>
  <c r="E117" i="351" s="1"/>
  <c r="B187" i="351" a="1"/>
  <c r="B187" i="351" s="1"/>
  <c r="B167" i="351" a="1"/>
  <c r="B167" i="351" s="1"/>
  <c r="F201" i="351" a="1"/>
  <c r="F201" i="351" s="1"/>
  <c r="F206" i="351" a="1"/>
  <c r="F206" i="351" s="1"/>
  <c r="D114" i="351" a="1"/>
  <c r="D114" i="351" s="1"/>
  <c r="C30" i="351" a="1"/>
  <c r="C30" i="351" s="1"/>
  <c r="D107" i="351" a="1"/>
  <c r="D107" i="351" s="1"/>
  <c r="C166" i="351" a="1"/>
  <c r="C166" i="351" s="1"/>
  <c r="B60" i="351" a="1"/>
  <c r="B60" i="351" s="1"/>
  <c r="F116" i="351" a="1"/>
  <c r="F116" i="351" s="1"/>
  <c r="C201" i="351" a="1"/>
  <c r="C201" i="351" s="1"/>
  <c r="B195" i="351" a="1"/>
  <c r="B195" i="351" s="1"/>
  <c r="F205" i="351" a="1"/>
  <c r="F205" i="351" s="1"/>
  <c r="C178" i="351" a="1"/>
  <c r="C178" i="351" s="1"/>
  <c r="D132" i="351" a="1"/>
  <c r="D132" i="351" s="1"/>
  <c r="E53" i="351" a="1"/>
  <c r="E53" i="351" s="1"/>
  <c r="E183" i="351" a="1"/>
  <c r="E183" i="351" s="1"/>
  <c r="B113" i="351" a="1"/>
  <c r="B113" i="351" s="1"/>
  <c r="B62" i="351" a="1"/>
  <c r="B62" i="351" s="1"/>
  <c r="D178" i="351" a="1"/>
  <c r="D178" i="351" s="1"/>
  <c r="D8" i="351" a="1"/>
  <c r="D8" i="351" s="1"/>
  <c r="D64" i="351" a="1"/>
  <c r="D64" i="351" s="1"/>
  <c r="B86" i="351" a="1"/>
  <c r="B86" i="351" s="1"/>
  <c r="E24" i="351" a="1"/>
  <c r="E24" i="351" s="1"/>
  <c r="B126" i="351" a="1"/>
  <c r="B126" i="351" s="1"/>
  <c r="E159" i="351" a="1"/>
  <c r="E159" i="351" s="1"/>
  <c r="B17" i="351" a="1"/>
  <c r="B17" i="351" s="1"/>
  <c r="C107" i="351" a="1"/>
  <c r="C107" i="351" s="1"/>
  <c r="D55" i="351" a="1"/>
  <c r="D55" i="351" s="1"/>
  <c r="F21" i="351" a="1"/>
  <c r="F21" i="351" s="1"/>
  <c r="F91" i="351" a="1"/>
  <c r="F91" i="351" s="1"/>
  <c r="F110" i="351" a="1"/>
  <c r="F110" i="351" s="1"/>
  <c r="D34" i="351" a="1"/>
  <c r="D34" i="351" s="1"/>
  <c r="F75" i="351" a="1"/>
  <c r="F75" i="351" s="1"/>
  <c r="C140" i="351" a="1"/>
  <c r="C140" i="351" s="1"/>
  <c r="B34" i="351" a="1"/>
  <c r="B34" i="351" s="1"/>
  <c r="C163" i="351" a="1"/>
  <c r="C163" i="351" s="1"/>
  <c r="D183" i="351" a="1"/>
  <c r="D183" i="351" s="1"/>
  <c r="E145" i="351" a="1"/>
  <c r="E145" i="351" s="1"/>
  <c r="E163" i="351" a="1"/>
  <c r="E163" i="351" s="1"/>
  <c r="B99" i="351" a="1"/>
  <c r="B99" i="351" s="1"/>
  <c r="D125" i="351" a="1"/>
  <c r="D125" i="351" s="1"/>
  <c r="F5" i="351" a="1"/>
  <c r="F5" i="351" s="1"/>
  <c r="C173" i="351" a="1"/>
  <c r="C173" i="351" s="1"/>
  <c r="C42" i="351" a="1"/>
  <c r="C42" i="351" s="1"/>
  <c r="E91" i="351" a="1"/>
  <c r="E91" i="351" s="1"/>
  <c r="E69" i="351" a="1"/>
  <c r="E69" i="351" s="1"/>
  <c r="C70" i="351" a="1"/>
  <c r="C70" i="351" s="1"/>
  <c r="F29" i="351" a="1"/>
  <c r="F29" i="351" s="1"/>
  <c r="C158" i="351" a="1"/>
  <c r="C158" i="351" s="1"/>
  <c r="F132" i="351" a="1"/>
  <c r="F132" i="351" s="1"/>
  <c r="C203" i="351" a="1"/>
  <c r="C203" i="351" s="1"/>
  <c r="D75" i="351" a="1"/>
  <c r="D75" i="351" s="1"/>
  <c r="C169" i="351" a="1"/>
  <c r="C169" i="351" s="1"/>
  <c r="E14" i="351" a="1"/>
  <c r="E14" i="351" s="1"/>
  <c r="D164" i="351" a="1"/>
  <c r="D164" i="351" s="1"/>
  <c r="F151" i="351" a="1"/>
  <c r="F151" i="351" s="1"/>
  <c r="F73" i="351" a="1"/>
  <c r="F73" i="351" s="1"/>
  <c r="B162" i="351" a="1"/>
  <c r="B162" i="351" s="1"/>
  <c r="E39" i="351" a="1"/>
  <c r="E39" i="351" s="1"/>
  <c r="B50" i="351" a="1"/>
  <c r="B50" i="351" s="1"/>
  <c r="D197" i="351" a="1"/>
  <c r="D197" i="351" s="1"/>
  <c r="C192" i="351" a="1"/>
  <c r="C192" i="351" s="1"/>
  <c r="E205" i="351" a="1"/>
  <c r="E205" i="351" s="1"/>
  <c r="E144" i="351" a="1"/>
  <c r="E144" i="351" s="1"/>
  <c r="B22" i="351" a="1"/>
  <c r="B22" i="351" s="1"/>
  <c r="C90" i="351" a="1"/>
  <c r="C90" i="351" s="1"/>
  <c r="D113" i="351" a="1"/>
  <c r="D113" i="351" s="1"/>
  <c r="F120" i="351" a="1"/>
  <c r="F120" i="351" s="1"/>
  <c r="E135" i="351" a="1"/>
  <c r="E135" i="351" s="1"/>
  <c r="E76" i="351" a="1"/>
  <c r="E76" i="351" s="1"/>
  <c r="C162" i="351" a="1"/>
  <c r="C162" i="351" s="1"/>
  <c r="E197" i="351" a="1"/>
  <c r="E197" i="351" s="1"/>
  <c r="C105" i="351" a="1"/>
  <c r="C105" i="351" s="1"/>
  <c r="B150" i="351" a="1"/>
  <c r="B150" i="351" s="1"/>
  <c r="D76" i="351" a="1"/>
  <c r="D76" i="351" s="1"/>
  <c r="F102" i="351" a="1"/>
  <c r="F102" i="351" s="1"/>
  <c r="B35" i="351" a="1"/>
  <c r="B35" i="351" s="1"/>
  <c r="C197" i="351" a="1"/>
  <c r="C197" i="351" s="1"/>
  <c r="B151" i="351" a="1"/>
  <c r="B151" i="351" s="1"/>
  <c r="D129" i="351" a="1"/>
  <c r="D129" i="351" s="1"/>
  <c r="D135" i="351" a="1"/>
  <c r="D135" i="351" s="1"/>
  <c r="E37" i="351" a="1"/>
  <c r="E37" i="351" s="1"/>
  <c r="C66" i="351" a="1"/>
  <c r="C66" i="351" s="1"/>
  <c r="F59" i="351" a="1"/>
  <c r="F59" i="351" s="1"/>
  <c r="F19" i="351" a="1"/>
  <c r="F19" i="351" s="1"/>
  <c r="E36" i="351" a="1"/>
  <c r="E36" i="351" s="1"/>
  <c r="F114" i="351" a="1"/>
  <c r="F114" i="351" s="1"/>
  <c r="E40" i="351" a="1"/>
  <c r="E40" i="351" s="1"/>
  <c r="D124" i="351" a="1"/>
  <c r="D124" i="351" s="1"/>
  <c r="D181" i="351" a="1"/>
  <c r="D181" i="351" s="1"/>
  <c r="B94" i="351" a="1"/>
  <c r="B94" i="351" s="1"/>
  <c r="B146" i="351" a="1"/>
  <c r="B146" i="351" s="1"/>
  <c r="E73" i="351" a="1"/>
  <c r="E73" i="351" s="1"/>
  <c r="D51" i="351" a="1"/>
  <c r="D51" i="351" s="1"/>
  <c r="D28" i="351" a="1"/>
  <c r="D28" i="351" s="1"/>
  <c r="B40" i="351" a="1"/>
  <c r="B40" i="351" s="1"/>
  <c r="D127" i="351" a="1"/>
  <c r="D127" i="351" s="1"/>
  <c r="B5" i="351" a="1"/>
  <c r="B5" i="351" s="1"/>
  <c r="F10" i="351" a="1"/>
  <c r="F10" i="351" s="1"/>
  <c r="E29" i="351" a="1"/>
  <c r="E29" i="351" s="1"/>
  <c r="B71" i="351" a="1"/>
  <c r="B71" i="351" s="1"/>
  <c r="B206" i="351" a="1"/>
  <c r="B206" i="351" s="1"/>
  <c r="B153" i="351" a="1"/>
  <c r="B153" i="351" s="1"/>
  <c r="E179" i="351" a="1"/>
  <c r="E179" i="351" s="1"/>
  <c r="E84" i="351" a="1"/>
  <c r="E84" i="351" s="1"/>
  <c r="F178" i="351" a="1"/>
  <c r="F178" i="351" s="1"/>
  <c r="E19" i="351" a="1"/>
  <c r="E19" i="351" s="1"/>
  <c r="E146" i="351" a="1"/>
  <c r="E146" i="351" s="1"/>
  <c r="C23" i="351" a="1"/>
  <c r="C23" i="351" s="1"/>
  <c r="D192" i="351" a="1"/>
  <c r="D192" i="351" s="1"/>
  <c r="D134" i="351" a="1"/>
  <c r="D134" i="351" s="1"/>
  <c r="E187" i="351" a="1"/>
  <c r="E187" i="351" s="1"/>
  <c r="F192" i="351" a="1"/>
  <c r="F192" i="351" s="1"/>
  <c r="D205" i="351" a="1"/>
  <c r="D205" i="351" s="1"/>
  <c r="E180" i="351" a="1"/>
  <c r="E180" i="351" s="1"/>
  <c r="B10" i="351" a="1"/>
  <c r="B10" i="351" s="1"/>
  <c r="F162" i="351" a="1"/>
  <c r="F162" i="351" s="1"/>
  <c r="E136" i="351" a="1"/>
  <c r="E136" i="351" s="1"/>
  <c r="E17" i="351" a="1"/>
  <c r="E17" i="351" s="1"/>
  <c r="B72" i="351" a="1"/>
  <c r="B72" i="351" s="1"/>
  <c r="E62" i="351" a="1"/>
  <c r="E62" i="351" s="1"/>
  <c r="C82" i="351" a="1"/>
  <c r="C82" i="351" s="1"/>
  <c r="E191" i="351" a="1"/>
  <c r="E191" i="351" s="1"/>
  <c r="E82" i="351" a="1"/>
  <c r="E82" i="351" s="1"/>
  <c r="C118" i="351" a="1"/>
  <c r="C118" i="351" s="1"/>
  <c r="B179" i="351" a="1"/>
  <c r="B179" i="351" s="1"/>
  <c r="E164" i="351" a="1"/>
  <c r="E164" i="351" s="1"/>
  <c r="D68" i="351" a="1"/>
  <c r="D68" i="351" s="1"/>
  <c r="C190" i="351" a="1"/>
  <c r="C190" i="351" s="1"/>
  <c r="B170" i="351" a="1"/>
  <c r="B170" i="351" s="1"/>
  <c r="E141" i="351" a="1"/>
  <c r="E141" i="351" s="1"/>
  <c r="B175" i="351" a="1"/>
  <c r="B175" i="351" s="1"/>
  <c r="F77" i="351" a="1"/>
  <c r="F77" i="351" s="1"/>
  <c r="D61" i="351" a="1"/>
  <c r="D61" i="351" s="1"/>
  <c r="E186" i="351" a="1"/>
  <c r="E186" i="351" s="1"/>
  <c r="B125" i="351" a="1"/>
  <c r="B125" i="351" s="1"/>
  <c r="E139" i="351" a="1"/>
  <c r="E139" i="351" s="1"/>
  <c r="E162" i="351" a="1"/>
  <c r="E162" i="351" s="1"/>
  <c r="B48" i="351" a="1"/>
  <c r="B48" i="351" s="1"/>
  <c r="B105" i="351" a="1"/>
  <c r="B105" i="351" s="1"/>
  <c r="D40" i="351" a="1"/>
  <c r="D40" i="351" s="1"/>
  <c r="C39" i="351" a="1"/>
  <c r="C39" i="351" s="1"/>
  <c r="E167" i="351" a="1"/>
  <c r="E167" i="351" s="1"/>
  <c r="F181" i="351" a="1"/>
  <c r="F181" i="351" s="1"/>
  <c r="E150" i="351" a="1"/>
  <c r="E150" i="351" s="1"/>
  <c r="B65" i="351" a="1"/>
  <c r="B65" i="351" s="1"/>
  <c r="B38" i="351" a="1"/>
  <c r="B38" i="351" s="1"/>
  <c r="E20" i="351" a="1"/>
  <c r="E20" i="351" s="1"/>
  <c r="E77" i="351" a="1"/>
  <c r="E77" i="351" s="1"/>
  <c r="E44" i="351" a="1"/>
  <c r="E44" i="351" s="1"/>
  <c r="E88" i="351" a="1"/>
  <c r="E88" i="351" s="1"/>
  <c r="C104" i="351" a="1"/>
  <c r="C104" i="351" s="1"/>
  <c r="D85" i="351" a="1"/>
  <c r="D85" i="351" s="1"/>
  <c r="B30" i="351" a="1"/>
  <c r="B30" i="351" s="1"/>
  <c r="D162" i="351" a="1"/>
  <c r="D162" i="351" s="1"/>
  <c r="C48" i="351" a="1"/>
  <c r="C48" i="351" s="1"/>
  <c r="D67" i="351" a="1"/>
  <c r="D67" i="351" s="1"/>
  <c r="D60" i="351" a="1"/>
  <c r="D60" i="351" s="1"/>
  <c r="C6" i="351" a="1"/>
  <c r="C6" i="351" s="1"/>
  <c r="B157" i="351" a="1"/>
  <c r="B157" i="351" s="1"/>
  <c r="E74" i="351" a="1"/>
  <c r="E74" i="351" s="1"/>
  <c r="D71" i="351" a="1"/>
  <c r="D71" i="351" s="1"/>
  <c r="C35" i="351" a="1"/>
  <c r="C35" i="351" s="1"/>
  <c r="C49" i="351" a="1"/>
  <c r="C49" i="351" s="1"/>
  <c r="C87" i="351" a="1"/>
  <c r="C87" i="351" s="1"/>
  <c r="D143" i="351" a="1"/>
  <c r="D143" i="351" s="1"/>
  <c r="C77" i="351" a="1"/>
  <c r="C77" i="351" s="1"/>
  <c r="D17" i="351" a="1"/>
  <c r="D17" i="351" s="1"/>
  <c r="F72" i="351" a="1"/>
  <c r="F72" i="351" s="1"/>
  <c r="D94" i="351" a="1"/>
  <c r="D94" i="351" s="1"/>
  <c r="D176" i="351" a="1"/>
  <c r="D176" i="351" s="1"/>
  <c r="C183" i="351" a="1"/>
  <c r="C183" i="351" s="1"/>
  <c r="E100" i="351" a="1"/>
  <c r="E100" i="351" s="1"/>
  <c r="C152" i="351" a="1"/>
  <c r="C152" i="351" s="1"/>
  <c r="B186" i="351" a="1"/>
  <c r="B186" i="351" s="1"/>
  <c r="C181" i="351" a="1"/>
  <c r="C181" i="351" s="1"/>
  <c r="D57" i="351" a="1"/>
  <c r="D57" i="351" s="1"/>
  <c r="C161" i="351" a="1"/>
  <c r="C161" i="351" s="1"/>
  <c r="F129" i="351" a="1"/>
  <c r="F129" i="351" s="1"/>
  <c r="D148" i="351" a="1"/>
  <c r="D148" i="351" s="1"/>
  <c r="F50" i="351" a="1"/>
  <c r="F50" i="351" s="1"/>
  <c r="B109" i="351" a="1"/>
  <c r="B109" i="351" s="1"/>
  <c r="B67" i="351" a="1"/>
  <c r="B67" i="351" s="1"/>
  <c r="E28" i="351" a="1"/>
  <c r="E28" i="351" s="1"/>
  <c r="E79" i="351" a="1"/>
  <c r="E79" i="351" s="1"/>
  <c r="B133" i="351" a="1"/>
  <c r="B133" i="351" s="1"/>
  <c r="C150" i="351" a="1"/>
  <c r="C150" i="351" s="1"/>
  <c r="B4" i="351" a="1"/>
  <c r="B4" i="351" s="1"/>
  <c r="D62" i="351" a="1"/>
  <c r="D62" i="351" s="1"/>
  <c r="D130" i="351" a="1"/>
  <c r="D130" i="351" s="1"/>
  <c r="C45" i="351" a="1"/>
  <c r="C45" i="351" s="1"/>
  <c r="B164" i="351" a="1"/>
  <c r="B164" i="351" s="1"/>
  <c r="D171" i="351" a="1"/>
  <c r="D171" i="351" s="1"/>
  <c r="F148" i="351" a="1"/>
  <c r="F148" i="351" s="1"/>
  <c r="D21" i="351" a="1"/>
  <c r="D21" i="351" s="1"/>
  <c r="E70" i="351" a="1"/>
  <c r="E70" i="351" s="1"/>
  <c r="D110" i="351" a="1"/>
  <c r="D110" i="351" s="1"/>
  <c r="E95" i="351" a="1"/>
  <c r="E95" i="351" s="1"/>
  <c r="E71" i="351" a="1"/>
  <c r="E71" i="351" s="1"/>
  <c r="F95" i="351" a="1"/>
  <c r="F95" i="351" s="1"/>
  <c r="B115" i="351" a="1"/>
  <c r="B115" i="351" s="1"/>
  <c r="F41" i="351" a="1"/>
  <c r="F41" i="351" s="1"/>
  <c r="D111" i="351" a="1"/>
  <c r="D111" i="351" s="1"/>
  <c r="C8" i="351" a="1"/>
  <c r="C8" i="351" s="1"/>
  <c r="F152" i="351" a="1"/>
  <c r="F152" i="351" s="1"/>
  <c r="B158" i="351" a="1"/>
  <c r="B158" i="351" s="1"/>
  <c r="D123" i="351" a="1"/>
  <c r="D123" i="351" s="1"/>
  <c r="B183" i="351" a="1"/>
  <c r="B183" i="351" s="1"/>
  <c r="D35" i="351" a="1"/>
  <c r="D35" i="351" s="1"/>
  <c r="F180" i="351" a="1"/>
  <c r="F180" i="351" s="1"/>
  <c r="D80" i="351" a="1"/>
  <c r="D80" i="351" s="1"/>
  <c r="F39" i="351" a="1"/>
  <c r="F39" i="351" s="1"/>
  <c r="F167" i="351" a="1"/>
  <c r="F167" i="351" s="1"/>
  <c r="F27" i="351" a="1"/>
  <c r="F27" i="351" s="1"/>
  <c r="C154" i="351" a="1"/>
  <c r="C154" i="351" s="1"/>
  <c r="C73" i="351" a="1"/>
  <c r="C73" i="351" s="1"/>
  <c r="C29" i="351" a="1"/>
  <c r="C29" i="351" s="1"/>
  <c r="C36" i="351" a="1"/>
  <c r="C36" i="351" s="1"/>
  <c r="B190" i="351" a="1"/>
  <c r="B190" i="351" s="1"/>
  <c r="C81" i="351" a="1"/>
  <c r="C81" i="351" s="1"/>
  <c r="F69" i="351" a="1"/>
  <c r="F69" i="351" s="1"/>
  <c r="B148" i="351" a="1"/>
  <c r="B148" i="351" s="1"/>
  <c r="B8" i="351" a="1"/>
  <c r="B8" i="351" s="1"/>
  <c r="C120" i="351" a="1"/>
  <c r="C120" i="351" s="1"/>
  <c r="E143" i="351" a="1"/>
  <c r="E143" i="351" s="1"/>
  <c r="B107" i="351" a="1"/>
  <c r="B107" i="351" s="1"/>
  <c r="D43" i="351" a="1"/>
  <c r="D43" i="351" s="1"/>
  <c r="F161" i="351" a="1"/>
  <c r="F161" i="351" s="1"/>
  <c r="B91" i="351" a="1"/>
  <c r="B91" i="351" s="1"/>
  <c r="E83" i="351" a="1"/>
  <c r="E83" i="351" s="1"/>
  <c r="D7" i="351" a="1"/>
  <c r="D7" i="351" s="1"/>
  <c r="B58" i="351" a="1"/>
  <c r="B58" i="351" s="1"/>
  <c r="F38" i="351" a="1"/>
  <c r="F38" i="351" s="1"/>
  <c r="B114" i="351" a="1"/>
  <c r="B114" i="351" s="1"/>
  <c r="F60" i="351" a="1"/>
  <c r="F60" i="351" s="1"/>
  <c r="D201" i="351" a="1"/>
  <c r="D201" i="351" s="1"/>
  <c r="F141" i="351" a="1"/>
  <c r="F141" i="351" s="1"/>
  <c r="E177" i="351" a="1"/>
  <c r="E177" i="351" s="1"/>
  <c r="C148" i="351" a="1"/>
  <c r="C148" i="351" s="1"/>
  <c r="F78" i="351" a="1"/>
  <c r="F78" i="351" s="1"/>
  <c r="D185" i="351" a="1"/>
  <c r="D185" i="351" s="1"/>
  <c r="C149" i="351" a="1"/>
  <c r="C149" i="351" s="1"/>
  <c r="B23" i="351" a="1"/>
  <c r="B23" i="351" s="1"/>
  <c r="B24" i="351" a="1"/>
  <c r="B24" i="351" s="1"/>
  <c r="E89" i="351" a="1"/>
  <c r="E89" i="351" s="1"/>
  <c r="F6" i="351" a="1"/>
  <c r="F6" i="351" s="1"/>
  <c r="F109" i="351" a="1"/>
  <c r="F109" i="351" s="1"/>
  <c r="B37" i="351" a="1"/>
  <c r="B37" i="351" s="1"/>
  <c r="C11" i="351" a="1"/>
  <c r="C11" i="351" s="1"/>
  <c r="D103" i="351" a="1"/>
  <c r="D103" i="351" s="1"/>
  <c r="F32" i="351" a="1"/>
  <c r="F32" i="351" s="1"/>
  <c r="D169" i="351" a="1"/>
  <c r="D169" i="351" s="1"/>
  <c r="D87" i="351" a="1"/>
  <c r="D87" i="351" s="1"/>
  <c r="D119" i="351" a="1"/>
  <c r="D119" i="351" s="1"/>
  <c r="D49" i="351" a="1"/>
  <c r="D49" i="351" s="1"/>
  <c r="E199" i="351" a="1"/>
  <c r="E199" i="351" s="1"/>
  <c r="D36" i="351" a="1"/>
  <c r="D36" i="351" s="1"/>
  <c r="F25" i="351" a="1"/>
  <c r="F25" i="351" s="1"/>
  <c r="C52" i="351" a="1"/>
  <c r="C52" i="351" s="1"/>
  <c r="E64" i="351" a="1"/>
  <c r="E64" i="351" s="1"/>
  <c r="E108" i="351" a="1"/>
  <c r="E108" i="351" s="1"/>
  <c r="D98" i="351" a="1"/>
  <c r="D98" i="351" s="1"/>
  <c r="E47" i="351" a="1"/>
  <c r="E47" i="351" s="1"/>
  <c r="D202" i="351" a="1"/>
  <c r="D202" i="351" s="1"/>
  <c r="E116" i="351" a="1"/>
  <c r="E116" i="351" s="1"/>
  <c r="E188" i="351" a="1"/>
  <c r="E188" i="351" s="1"/>
  <c r="F68" i="351" a="1"/>
  <c r="F68" i="351" s="1"/>
  <c r="F136" i="351" a="1"/>
  <c r="F136" i="351" s="1"/>
  <c r="D190" i="351" a="1"/>
  <c r="D190" i="351" s="1"/>
  <c r="D73" i="351" a="1"/>
  <c r="D73" i="351" s="1"/>
  <c r="F158" i="351" a="1"/>
  <c r="F158" i="351" s="1"/>
  <c r="C141" i="351" a="1"/>
  <c r="C141" i="351" s="1"/>
  <c r="C79" i="351" a="1"/>
  <c r="C79" i="351" s="1"/>
  <c r="B33" i="351" a="1"/>
  <c r="B33" i="351" s="1"/>
  <c r="F131" i="351" a="1"/>
  <c r="F131" i="351" s="1"/>
  <c r="C33" i="351" a="1"/>
  <c r="C33" i="351" s="1"/>
  <c r="C91" i="351" a="1"/>
  <c r="C91" i="351" s="1"/>
  <c r="B147" i="351" a="1"/>
  <c r="B147" i="351" s="1"/>
  <c r="C124" i="351" a="1"/>
  <c r="C124" i="351" s="1"/>
  <c r="F28" i="351" a="1"/>
  <c r="F28" i="351" s="1"/>
  <c r="E13" i="351" a="1"/>
  <c r="E13" i="351" s="1"/>
  <c r="E190" i="351" a="1"/>
  <c r="E190" i="351" s="1"/>
  <c r="C53" i="351" a="1"/>
  <c r="C53" i="351" s="1"/>
  <c r="B46" i="351" a="1"/>
  <c r="B46" i="351" s="1"/>
  <c r="B188" i="351" a="1"/>
  <c r="B188" i="351" s="1"/>
  <c r="F203" i="351" a="1"/>
  <c r="F203" i="351" s="1"/>
  <c r="F31" i="351" a="1"/>
  <c r="F31" i="351" s="1"/>
  <c r="E103" i="351" a="1"/>
  <c r="E103" i="351" s="1"/>
  <c r="E38" i="351" a="1"/>
  <c r="E38" i="351" s="1"/>
  <c r="E32" i="351" a="1"/>
  <c r="E32" i="351" s="1"/>
  <c r="F35" i="351" a="1"/>
  <c r="F35" i="351" s="1"/>
  <c r="B156" i="351" a="1"/>
  <c r="B156" i="351" s="1"/>
  <c r="D108" i="351" a="1"/>
  <c r="D108" i="351" s="1"/>
  <c r="E33" i="351" a="1"/>
  <c r="E33" i="351" s="1"/>
  <c r="B135" i="351" a="1"/>
  <c r="B135" i="351" s="1"/>
  <c r="C71" i="351" a="1"/>
  <c r="C71" i="351" s="1"/>
  <c r="C139" i="351" a="1"/>
  <c r="C139" i="351" s="1"/>
  <c r="B39" i="351" a="1"/>
  <c r="B39" i="351" s="1"/>
  <c r="F124" i="351" a="1"/>
  <c r="F124" i="351" s="1"/>
  <c r="E41" i="351" a="1"/>
  <c r="E41" i="351" s="1"/>
  <c r="D136" i="351" a="1"/>
  <c r="D136" i="351" s="1"/>
  <c r="E81" i="351" a="1"/>
  <c r="E81" i="351" s="1"/>
  <c r="B66" i="351" a="1"/>
  <c r="B66" i="351" s="1"/>
  <c r="F188" i="351" a="1"/>
  <c r="F188" i="351" s="1"/>
  <c r="B36" i="351" a="1"/>
  <c r="B36" i="351" s="1"/>
  <c r="B127" i="351" a="1"/>
  <c r="B127" i="351" s="1"/>
  <c r="E51" i="351" a="1"/>
  <c r="E51" i="351" s="1"/>
  <c r="D177" i="351" a="1"/>
  <c r="D177" i="351" s="1"/>
  <c r="C95" i="351" a="1"/>
  <c r="C95" i="351" s="1"/>
  <c r="F128" i="351" a="1"/>
  <c r="F128" i="351" s="1"/>
  <c r="F44" i="351" a="1"/>
  <c r="F44" i="351" s="1"/>
  <c r="E96" i="351" a="1"/>
  <c r="E96" i="351" s="1"/>
  <c r="D170" i="351" a="1"/>
  <c r="D170" i="351" s="1"/>
  <c r="B193" i="351" a="1"/>
  <c r="B193" i="351" s="1"/>
  <c r="B103" i="351" a="1"/>
  <c r="B103" i="351" s="1"/>
  <c r="C26" i="351" a="1"/>
  <c r="C26" i="351" s="1"/>
  <c r="C153" i="351" a="1"/>
  <c r="C153" i="351" s="1"/>
  <c r="B96" i="351" a="1"/>
  <c r="B96" i="351" s="1"/>
  <c r="B93" i="351" a="1"/>
  <c r="B93" i="351" s="1"/>
  <c r="D155" i="351" a="1"/>
  <c r="D155" i="351" s="1"/>
  <c r="C98" i="351" a="1"/>
  <c r="C98" i="351" s="1"/>
  <c r="F122" i="351" a="1"/>
  <c r="F122" i="351" s="1"/>
  <c r="B198" i="351" a="1"/>
  <c r="B198" i="351" s="1"/>
  <c r="C171" i="351" a="1"/>
  <c r="C171" i="351" s="1"/>
  <c r="F54" i="351" a="1"/>
  <c r="F54" i="351" s="1"/>
  <c r="B141" i="351" a="1"/>
  <c r="B141" i="351" s="1"/>
  <c r="B78" i="351" a="1"/>
  <c r="B78" i="351" s="1"/>
  <c r="E160" i="351" a="1"/>
  <c r="E160" i="351" s="1"/>
  <c r="D158" i="351" a="1"/>
  <c r="D158" i="351" s="1"/>
  <c r="F34" i="351" a="1"/>
  <c r="F34" i="351" s="1"/>
  <c r="C160" i="351" a="1"/>
  <c r="C160" i="351" s="1"/>
  <c r="C59" i="351" a="1"/>
  <c r="C59" i="351" s="1"/>
  <c r="D29" i="351" a="1"/>
  <c r="D29" i="351" s="1"/>
  <c r="D54" i="351" a="1"/>
  <c r="D54" i="351" s="1"/>
  <c r="D27" i="351" a="1"/>
  <c r="D27" i="351" s="1"/>
  <c r="E115" i="351" a="1"/>
  <c r="E115" i="351" s="1"/>
  <c r="C126" i="351" a="1"/>
  <c r="C126" i="351" s="1"/>
  <c r="F135" i="351" a="1"/>
  <c r="F135" i="351" s="1"/>
  <c r="E22" i="351" a="1"/>
  <c r="E22" i="351" s="1"/>
  <c r="B43" i="351" a="1"/>
  <c r="B43" i="351" s="1"/>
  <c r="E48" i="351" a="1"/>
  <c r="E48" i="351" s="1"/>
  <c r="F177" i="351" a="1"/>
  <c r="F177" i="351" s="1"/>
  <c r="D156" i="351" a="1"/>
  <c r="D156" i="351" s="1"/>
  <c r="C38" i="351" a="1"/>
  <c r="C38" i="351" s="1"/>
  <c r="D121" i="351" a="1"/>
  <c r="D121" i="351" s="1"/>
  <c r="C108" i="351" a="1"/>
  <c r="C108" i="351" s="1"/>
  <c r="E124" i="351" a="1"/>
  <c r="E124" i="351" s="1"/>
  <c r="B205" i="351" a="1"/>
  <c r="B205" i="351" s="1"/>
  <c r="D139" i="351" a="1"/>
  <c r="D139" i="351" s="1"/>
  <c r="D81" i="351" a="1"/>
  <c r="D81" i="351" s="1"/>
  <c r="F198" i="351" a="1"/>
  <c r="F198" i="351" s="1"/>
  <c r="E198" i="351" a="1"/>
  <c r="E198" i="351" s="1"/>
  <c r="D22" i="351" a="1"/>
  <c r="D22" i="351" s="1"/>
  <c r="B165" i="351" a="1"/>
  <c r="B165" i="351" s="1"/>
  <c r="C37" i="351" a="1"/>
  <c r="C37" i="351" s="1"/>
  <c r="D189" i="351" a="1"/>
  <c r="D189" i="351" s="1"/>
  <c r="F104" i="351" a="1"/>
  <c r="F104" i="351" s="1"/>
  <c r="D96" i="351" a="1"/>
  <c r="D96" i="351" s="1"/>
  <c r="B159" i="351" a="1"/>
  <c r="B159" i="351" s="1"/>
  <c r="B29" i="351" a="1"/>
  <c r="B29" i="351" s="1"/>
  <c r="F83" i="351" a="1"/>
  <c r="F83" i="351" s="1"/>
  <c r="C187" i="351" a="1"/>
  <c r="C187" i="351" s="1"/>
  <c r="C103" i="351" a="1"/>
  <c r="C103" i="351" s="1"/>
  <c r="F112" i="351" a="1"/>
  <c r="F112" i="351" s="1"/>
  <c r="C25" i="351" a="1"/>
  <c r="C25" i="351" s="1"/>
  <c r="E72" i="351" a="1"/>
  <c r="E72" i="351" s="1"/>
  <c r="D23" i="351" a="1"/>
  <c r="D23" i="351" s="1"/>
  <c r="D182" i="351" a="1"/>
  <c r="D182" i="351" s="1"/>
  <c r="B82" i="351" a="1"/>
  <c r="B82" i="351" s="1"/>
  <c r="C76" i="351" a="1"/>
  <c r="C76" i="351" s="1"/>
  <c r="B6" i="351" a="1"/>
  <c r="B6" i="351" s="1"/>
  <c r="C170" i="351" a="1"/>
  <c r="C170" i="351" s="1"/>
  <c r="D160" i="351" a="1"/>
  <c r="D160" i="351" s="1"/>
  <c r="B130" i="351" a="1"/>
  <c r="B130" i="351" s="1"/>
  <c r="F66" i="351" a="1"/>
  <c r="F66" i="351" s="1"/>
  <c r="F121" i="351" a="1"/>
  <c r="F121" i="351" s="1"/>
  <c r="E59" i="351" a="1"/>
  <c r="E59" i="351" s="1"/>
  <c r="B111" i="351" a="1"/>
  <c r="B111" i="351" s="1"/>
  <c r="F86" i="351" a="1"/>
  <c r="F86" i="351" s="1"/>
  <c r="F80" i="351" a="1"/>
  <c r="F80" i="351" s="1"/>
  <c r="C123" i="351" a="1"/>
  <c r="C123" i="351" s="1"/>
  <c r="E129" i="351" a="1"/>
  <c r="E129" i="351" s="1"/>
  <c r="F126" i="351" a="1"/>
  <c r="F126" i="351" s="1"/>
  <c r="F133" i="351" a="1"/>
  <c r="F133" i="351" s="1"/>
  <c r="F139" i="351" a="1"/>
  <c r="F139" i="351" s="1"/>
  <c r="D168" i="351" a="1"/>
  <c r="D168" i="351" s="1"/>
  <c r="C28" i="351" a="1"/>
  <c r="C28" i="351" s="1"/>
  <c r="E173" i="351" a="1"/>
  <c r="E173" i="351" s="1"/>
  <c r="E204" i="351" a="1"/>
  <c r="E204" i="351" s="1"/>
  <c r="E98" i="351" a="1"/>
  <c r="E98" i="351" s="1"/>
  <c r="B155" i="351" a="1"/>
  <c r="B155" i="351" s="1"/>
  <c r="E61" i="351" a="1"/>
  <c r="E61" i="351" s="1"/>
  <c r="C204" i="351" a="1"/>
  <c r="C204" i="351" s="1"/>
  <c r="B202" i="351" a="1"/>
  <c r="B202" i="351" s="1"/>
  <c r="E101" i="351" a="1"/>
  <c r="E101" i="351" s="1"/>
  <c r="B197" i="351" a="1"/>
  <c r="B197" i="351" s="1"/>
  <c r="B122" i="351" a="1"/>
  <c r="B122" i="351" s="1"/>
  <c r="C44" i="351" a="1"/>
  <c r="C44" i="351" s="1"/>
  <c r="D191" i="351" a="1"/>
  <c r="D191" i="351" s="1"/>
  <c r="E110" i="351" a="1"/>
  <c r="E110" i="351" s="1"/>
  <c r="E102" i="351" a="1"/>
  <c r="E102" i="351" s="1"/>
  <c r="C19" i="351" a="1"/>
  <c r="C19" i="351" s="1"/>
  <c r="D199" i="351" a="1"/>
  <c r="D199" i="351" s="1"/>
  <c r="D77" i="351" a="1"/>
  <c r="D77" i="351" s="1"/>
  <c r="E133" i="351" a="1"/>
  <c r="E133" i="351" s="1"/>
  <c r="F171" i="351" a="1"/>
  <c r="F171" i="351" s="1"/>
  <c r="E181" i="351" a="1"/>
  <c r="E181" i="351" s="1"/>
  <c r="D118" i="351" a="1"/>
  <c r="D118" i="351" s="1"/>
  <c r="F143" i="351" a="1"/>
  <c r="F143" i="351" s="1"/>
  <c r="E126" i="351" a="1"/>
  <c r="E126" i="351" s="1"/>
  <c r="C194" i="351" a="1"/>
  <c r="C194" i="351" s="1"/>
  <c r="F193" i="351" a="1"/>
  <c r="F193" i="351" s="1"/>
  <c r="E178" i="351" a="1"/>
  <c r="E178" i="351" s="1"/>
  <c r="D97" i="351" a="1"/>
  <c r="D97" i="351" s="1"/>
  <c r="B41" i="351" a="1"/>
  <c r="B41" i="351" s="1"/>
  <c r="E16" i="351" a="1"/>
  <c r="E16" i="351" s="1"/>
  <c r="D14" i="351" a="1"/>
  <c r="D14" i="351" s="1"/>
  <c r="F67" i="351" a="1"/>
  <c r="F67" i="351" s="1"/>
  <c r="D142" i="351" a="1"/>
  <c r="D142" i="351" s="1"/>
  <c r="B77" i="351" a="1"/>
  <c r="B77" i="351" s="1"/>
  <c r="B25" i="351" a="1"/>
  <c r="B25" i="351" s="1"/>
  <c r="E92" i="351" a="1"/>
  <c r="E92" i="351" s="1"/>
  <c r="E65" i="351" a="1"/>
  <c r="E65" i="351" s="1"/>
  <c r="E5" i="351" a="1"/>
  <c r="E5" i="351" s="1"/>
  <c r="E195" i="351" a="1"/>
  <c r="E195" i="351" s="1"/>
  <c r="E125" i="351" a="1"/>
  <c r="E125" i="351" s="1"/>
  <c r="F23" i="351" a="1"/>
  <c r="F23" i="351" s="1"/>
  <c r="D146" i="351" a="1"/>
  <c r="D146" i="351" s="1"/>
  <c r="C179" i="351" a="1"/>
  <c r="C179" i="351" s="1"/>
  <c r="E54" i="351" a="1"/>
  <c r="E54" i="351" s="1"/>
  <c r="E23" i="351" a="1"/>
  <c r="E23" i="351" s="1"/>
  <c r="C43" i="351" a="1"/>
  <c r="C43" i="351" s="1"/>
  <c r="F196" i="351" a="1"/>
  <c r="F196" i="351" s="1"/>
  <c r="F85" i="351" a="1"/>
  <c r="F85" i="351" s="1"/>
  <c r="D154" i="351" a="1"/>
  <c r="D154" i="351" s="1"/>
  <c r="C186" i="351" a="1"/>
  <c r="C186" i="351" s="1"/>
  <c r="F33" i="351" a="1"/>
  <c r="F33" i="351" s="1"/>
  <c r="D165" i="351" a="1"/>
  <c r="D165" i="351" s="1"/>
  <c r="D15" i="351" a="1"/>
  <c r="D15" i="351" s="1"/>
  <c r="F14" i="351" a="1"/>
  <c r="F14" i="351" s="1"/>
  <c r="C34" i="351" a="1"/>
  <c r="C34" i="351" s="1"/>
  <c r="C58" i="351" a="1"/>
  <c r="C58" i="351" s="1"/>
  <c r="C142" i="351" a="1"/>
  <c r="C142" i="351" s="1"/>
  <c r="C185" i="351" a="1"/>
  <c r="C185" i="351" s="1"/>
  <c r="B160" i="351" a="1"/>
  <c r="B160" i="351" s="1"/>
  <c r="F123" i="351" a="1"/>
  <c r="F123" i="351" s="1"/>
  <c r="C89" i="351" a="1"/>
  <c r="C89" i="351" s="1"/>
  <c r="E134" i="351" a="1"/>
  <c r="E134" i="351" s="1"/>
  <c r="F74" i="351" a="1"/>
  <c r="F74" i="351" s="1"/>
  <c r="B140" i="351" a="1"/>
  <c r="B140" i="351" s="1"/>
  <c r="B106" i="351" a="1"/>
  <c r="B106" i="351" s="1"/>
  <c r="B110" i="351" a="1"/>
  <c r="B110" i="351" s="1"/>
  <c r="F183" i="351" a="1"/>
  <c r="F183" i="351" s="1"/>
  <c r="B145" i="351" a="1"/>
  <c r="B145" i="351" s="1"/>
  <c r="B182" i="351" a="1"/>
  <c r="B182" i="351" s="1"/>
  <c r="D163" i="351" a="1"/>
  <c r="D163" i="351" s="1"/>
  <c r="F118" i="351" a="1"/>
  <c r="F118" i="351" s="1"/>
  <c r="E153" i="351" a="1"/>
  <c r="E153" i="351" s="1"/>
  <c r="F202" i="351" a="1"/>
  <c r="F202" i="351" s="1"/>
  <c r="C101" i="351" a="1"/>
  <c r="C101" i="351" s="1"/>
  <c r="E114" i="351" a="1"/>
  <c r="E114" i="351" s="1"/>
  <c r="D69" i="351" a="1"/>
  <c r="D69" i="351" s="1"/>
  <c r="B108" i="351" a="1"/>
  <c r="B108" i="351" s="1"/>
  <c r="B192" i="351" a="1"/>
  <c r="B192" i="351" s="1"/>
  <c r="D203" i="351" a="1"/>
  <c r="D203" i="351" s="1"/>
  <c r="D150" i="351" a="1"/>
  <c r="D150" i="351" s="1"/>
  <c r="E60" i="351" a="1"/>
  <c r="E60" i="351" s="1"/>
  <c r="C127" i="351" a="1"/>
  <c r="C127" i="351" s="1"/>
  <c r="C109" i="351" a="1"/>
  <c r="C109" i="351" s="1"/>
  <c r="D152" i="351" a="1"/>
  <c r="D152" i="351" s="1"/>
  <c r="C176" i="351" a="1"/>
  <c r="C176" i="351" s="1"/>
  <c r="E15" i="351" a="1"/>
  <c r="E15" i="351" s="1"/>
  <c r="D10" i="351" a="1"/>
  <c r="D10" i="351" s="1"/>
  <c r="E55" i="351" a="1"/>
  <c r="E55" i="351" s="1"/>
  <c r="F153" i="351" a="1"/>
  <c r="F153" i="351" s="1"/>
  <c r="D42" i="351" a="1"/>
  <c r="D42" i="351" s="1"/>
  <c r="C96" i="351" a="1"/>
  <c r="C96" i="351" s="1"/>
  <c r="C191" i="351" a="1"/>
  <c r="C191" i="351" s="1"/>
  <c r="E118" i="351" a="1"/>
  <c r="E118" i="351" s="1"/>
  <c r="D84" i="351" a="1"/>
  <c r="D84" i="351" s="1"/>
  <c r="B89" i="351" a="1"/>
  <c r="B89" i="351" s="1"/>
  <c r="B81" i="351" a="1"/>
  <c r="B81" i="351" s="1"/>
  <c r="C57" i="351" a="1"/>
  <c r="C57" i="351" s="1"/>
  <c r="B149" i="351" a="1"/>
  <c r="B149" i="351" s="1"/>
  <c r="B16" i="351" a="1"/>
  <c r="B16" i="351" s="1"/>
  <c r="D187" i="351" a="1"/>
  <c r="D187" i="351" s="1"/>
  <c r="B172" i="351" a="1"/>
  <c r="B172" i="351" s="1"/>
  <c r="F37" i="351" a="1"/>
  <c r="F37" i="351" s="1"/>
  <c r="C119" i="351" a="1"/>
  <c r="C119" i="351" s="1"/>
  <c r="D78" i="351" a="1"/>
  <c r="D78" i="351" s="1"/>
  <c r="F106" i="351" a="1"/>
  <c r="F106" i="351" s="1"/>
  <c r="D149" i="351" a="1"/>
  <c r="D149" i="351" s="1"/>
  <c r="F176" i="351" a="1"/>
  <c r="F176" i="351" s="1"/>
  <c r="E4" i="351" a="1"/>
  <c r="E4" i="351" s="1"/>
  <c r="E10" i="351" a="1"/>
  <c r="E10" i="351" s="1"/>
  <c r="B134" i="351" a="1"/>
  <c r="B134" i="351" s="1"/>
  <c r="C21" i="351" a="1"/>
  <c r="C21" i="351" s="1"/>
  <c r="E30" i="351" a="1"/>
  <c r="E30" i="351" s="1"/>
  <c r="F22" i="351" a="1"/>
  <c r="F22" i="351" s="1"/>
  <c r="C72" i="351" a="1"/>
  <c r="C72" i="351" s="1"/>
  <c r="D117" i="351" a="1"/>
  <c r="D117" i="351" s="1"/>
  <c r="F96" i="351" a="1"/>
  <c r="F96" i="351" s="1"/>
  <c r="C134" i="351" a="1"/>
  <c r="C134" i="351" s="1"/>
  <c r="F36" i="351" a="1"/>
  <c r="F36" i="351" s="1"/>
  <c r="E128" i="351" a="1"/>
  <c r="E128" i="351" s="1"/>
  <c r="C205" i="351" a="1"/>
  <c r="C205" i="351" s="1"/>
  <c r="F200" i="351" a="1"/>
  <c r="F200" i="351" s="1"/>
  <c r="D198" i="351" a="1"/>
  <c r="D198" i="351" s="1"/>
  <c r="E189" i="351" a="1"/>
  <c r="E189" i="351" s="1"/>
  <c r="C112" i="351" a="1"/>
  <c r="C112" i="351" s="1"/>
  <c r="F127" i="351" a="1"/>
  <c r="F127" i="351" s="1"/>
  <c r="E138" i="351" a="1"/>
  <c r="E138" i="351" s="1"/>
  <c r="C132" i="351" a="1"/>
  <c r="C132" i="351" s="1"/>
  <c r="F204" i="351" a="1"/>
  <c r="F204" i="351" s="1"/>
  <c r="E200" i="351" a="1"/>
  <c r="E200" i="351" s="1"/>
  <c r="C68" i="351" a="1"/>
  <c r="C68" i="351" s="1"/>
  <c r="B56" i="351" a="1"/>
  <c r="B56" i="351" s="1"/>
  <c r="E152" i="351" a="1"/>
  <c r="E152" i="351" s="1"/>
  <c r="C47" i="351" a="1"/>
  <c r="C47" i="351" s="1"/>
  <c r="E80" i="351" a="1"/>
  <c r="E80" i="351" s="1"/>
  <c r="C80" i="351" a="1"/>
  <c r="C80" i="351" s="1"/>
  <c r="F197" i="351" a="1"/>
  <c r="F197" i="351" s="1"/>
  <c r="B177" i="351" a="1"/>
  <c r="B177" i="351" s="1"/>
  <c r="F100" i="351" a="1"/>
  <c r="F100" i="351" s="1"/>
  <c r="F4" i="351" a="1"/>
  <c r="F4" i="351" s="1"/>
  <c r="C27" i="351" a="1"/>
  <c r="C27" i="351" s="1"/>
  <c r="F49" i="351" a="1"/>
  <c r="F49" i="351" s="1"/>
  <c r="E18" i="351" a="1"/>
  <c r="E18" i="351" s="1"/>
  <c r="D159" i="351" a="1"/>
  <c r="D159" i="351" s="1"/>
  <c r="F76" i="351" a="1"/>
  <c r="F76" i="351" s="1"/>
  <c r="D128" i="351" a="1"/>
  <c r="D128" i="351" s="1"/>
  <c r="D95" i="351" a="1"/>
  <c r="D95" i="351" s="1"/>
  <c r="C55" i="351" a="1"/>
  <c r="C55" i="351" s="1"/>
  <c r="F53" i="351" a="1"/>
  <c r="F53" i="351" s="1"/>
  <c r="B144" i="351" a="1"/>
  <c r="B144" i="351" s="1"/>
  <c r="E34" i="351" a="1"/>
  <c r="E34" i="351" s="1"/>
  <c r="C60" i="351" a="1"/>
  <c r="C60" i="351" s="1"/>
  <c r="F11" i="351" a="1"/>
  <c r="F11" i="351" s="1"/>
  <c r="D93" i="351" a="1"/>
  <c r="D93" i="351" s="1"/>
  <c r="F26" i="351" a="1"/>
  <c r="F26" i="351" s="1"/>
  <c r="D91" i="351" a="1"/>
  <c r="D91" i="351" s="1"/>
  <c r="D11" i="351" a="1"/>
  <c r="D11" i="351" s="1"/>
  <c r="D133" i="351" a="1"/>
  <c r="D133" i="351" s="1"/>
  <c r="B116" i="351" a="1"/>
  <c r="B116" i="351" s="1"/>
  <c r="E52" i="351" a="1"/>
  <c r="E52" i="351" s="1"/>
  <c r="E42" i="351" a="1"/>
  <c r="E42" i="351" s="1"/>
  <c r="D20" i="351" a="1"/>
  <c r="D20" i="351" s="1"/>
  <c r="B178" i="351" a="1"/>
  <c r="B178" i="351" s="1"/>
  <c r="E35" i="351" a="1"/>
  <c r="E35" i="351" s="1"/>
  <c r="C138" i="351" a="1"/>
  <c r="C138" i="351" s="1"/>
  <c r="J17" i="78"/>
  <c r="J17" i="63"/>
  <c r="J15" i="106"/>
  <c r="J16" i="387"/>
  <c r="J12" i="49"/>
  <c r="J15" i="90"/>
  <c r="J13" i="75"/>
  <c r="J17" i="55"/>
  <c r="J11" i="76"/>
  <c r="J16" i="67"/>
  <c r="J16" i="92"/>
  <c r="J17" i="83"/>
  <c r="J12" i="54"/>
  <c r="J13" i="378"/>
  <c r="J18" i="422"/>
  <c r="J17" i="58"/>
  <c r="J15" i="119"/>
  <c r="J19" i="402"/>
  <c r="J18" i="404"/>
  <c r="J17" i="106"/>
  <c r="J12" i="93"/>
  <c r="J16" i="401"/>
  <c r="J19" i="69"/>
  <c r="J15" i="437"/>
  <c r="J16" i="71"/>
  <c r="J19" i="48"/>
  <c r="J17" i="404"/>
  <c r="J15" i="407"/>
  <c r="J18" i="67"/>
  <c r="J13" i="72"/>
  <c r="J12" i="377"/>
  <c r="J17" i="52"/>
  <c r="J16" i="423"/>
  <c r="J11" i="378"/>
  <c r="J15" i="387"/>
  <c r="J15" i="444"/>
  <c r="J17" i="56"/>
  <c r="J17" i="119"/>
  <c r="J15" i="48"/>
  <c r="J17" i="394"/>
  <c r="J19" i="436"/>
  <c r="J18" i="51"/>
  <c r="J18" i="446"/>
  <c r="J15" i="55"/>
  <c r="J12" i="449"/>
  <c r="J18" i="111"/>
  <c r="J12" i="40"/>
  <c r="J19" i="98"/>
  <c r="J17" i="93"/>
  <c r="J12" i="437"/>
  <c r="J12" i="56"/>
  <c r="J19" i="72"/>
  <c r="J19" i="408"/>
  <c r="J16" i="90"/>
  <c r="J18" i="485"/>
  <c r="J16" i="65"/>
  <c r="J17" i="408"/>
  <c r="J13" i="59"/>
  <c r="J19" i="56"/>
  <c r="J19" i="78"/>
  <c r="J12" i="386"/>
  <c r="J19" i="486"/>
  <c r="J17" i="423"/>
  <c r="J12" i="63"/>
  <c r="J16" i="83"/>
  <c r="J15" i="64"/>
  <c r="J18" i="386"/>
  <c r="J19" i="40"/>
  <c r="J18" i="395"/>
  <c r="J15" i="114"/>
  <c r="J13" i="69"/>
  <c r="C15" i="98"/>
  <c r="J9" i="98" s="1"/>
  <c r="C15" i="397"/>
  <c r="J9" i="397" s="1"/>
  <c r="C15" i="401"/>
  <c r="J9" i="401" s="1"/>
  <c r="J18" i="401"/>
  <c r="H20" i="373"/>
  <c r="J17" i="126"/>
  <c r="J12" i="436"/>
  <c r="J17" i="449"/>
  <c r="J17" i="57"/>
  <c r="J15" i="449"/>
  <c r="J13" i="71"/>
  <c r="J13" i="92"/>
  <c r="J13" i="402"/>
  <c r="J11" i="131"/>
  <c r="J15" i="360"/>
  <c r="J13" i="423"/>
  <c r="J12" i="65"/>
  <c r="J18" i="93"/>
  <c r="J19" i="360"/>
  <c r="J19" i="64"/>
  <c r="J11" i="51"/>
  <c r="J12" i="60"/>
  <c r="J18" i="60"/>
  <c r="J11" i="391"/>
  <c r="J16" i="91"/>
  <c r="J15" i="131"/>
  <c r="G10" i="501"/>
  <c r="G13" i="501"/>
  <c r="G6" i="501"/>
  <c r="G7" i="501"/>
  <c r="G15" i="501"/>
  <c r="G8" i="501"/>
  <c r="G5" i="501"/>
  <c r="G11" i="501"/>
  <c r="G9" i="501"/>
  <c r="G14" i="501"/>
  <c r="G12" i="501"/>
  <c r="G4" i="501"/>
  <c r="J17" i="377"/>
  <c r="F26" i="499"/>
  <c r="F26" i="500"/>
  <c r="F13" i="499"/>
  <c r="F39" i="499"/>
  <c r="F13" i="500"/>
  <c r="F39" i="500"/>
  <c r="J17" i="378"/>
  <c r="C19" i="500"/>
  <c r="C19" i="499"/>
  <c r="C12" i="499"/>
  <c r="J6" i="499" s="1"/>
  <c r="C12" i="500"/>
  <c r="J6" i="500" s="1"/>
  <c r="F8" i="500"/>
  <c r="F8" i="499"/>
  <c r="F34" i="500"/>
  <c r="F21" i="499"/>
  <c r="F21" i="500"/>
  <c r="F34" i="499"/>
  <c r="C21" i="499"/>
  <c r="C21" i="500"/>
  <c r="J19" i="423"/>
  <c r="J12" i="73"/>
  <c r="C13" i="499"/>
  <c r="J7" i="499" s="1"/>
  <c r="C13" i="500"/>
  <c r="J7" i="500" s="1"/>
  <c r="B7" i="499"/>
  <c r="B7" i="500"/>
  <c r="J16" i="444"/>
  <c r="J15" i="390"/>
  <c r="J12" i="83"/>
  <c r="J16" i="73"/>
  <c r="J16" i="47"/>
  <c r="C14" i="499"/>
  <c r="J8" i="499" s="1"/>
  <c r="C14" i="500"/>
  <c r="J8" i="500" s="1"/>
  <c r="F7" i="499"/>
  <c r="F7" i="500"/>
  <c r="F33" i="499"/>
  <c r="F20" i="499"/>
  <c r="F20" i="500"/>
  <c r="F33" i="500"/>
  <c r="J16" i="407"/>
  <c r="J16" i="69"/>
  <c r="J18" i="50"/>
  <c r="J16" i="111"/>
  <c r="J16" i="61"/>
  <c r="J18" i="460"/>
  <c r="J18" i="461"/>
  <c r="J17" i="91"/>
  <c r="J17" i="77"/>
  <c r="J17" i="397"/>
  <c r="J18" i="58"/>
  <c r="J16" i="87"/>
  <c r="J12" i="59"/>
  <c r="C15" i="499"/>
  <c r="J9" i="499" s="1"/>
  <c r="C15" i="500"/>
  <c r="J9" i="500" s="1"/>
  <c r="F32" i="500"/>
  <c r="F6" i="499"/>
  <c r="F6" i="500"/>
  <c r="F19" i="499"/>
  <c r="F19" i="500"/>
  <c r="F32" i="499"/>
  <c r="J13" i="398"/>
  <c r="J12" i="390"/>
  <c r="J12" i="98"/>
  <c r="J18" i="88"/>
  <c r="J19" i="395"/>
  <c r="J13" i="131"/>
  <c r="J18" i="66"/>
  <c r="J12" i="402"/>
  <c r="J11" i="395"/>
  <c r="C16" i="499"/>
  <c r="J10" i="499" s="1"/>
  <c r="C16" i="500"/>
  <c r="J10" i="500" s="1"/>
  <c r="J17" i="446"/>
  <c r="J18" i="423"/>
  <c r="J17" i="453"/>
  <c r="J17" i="457"/>
  <c r="J18" i="432"/>
  <c r="J18" i="78"/>
  <c r="J19" i="52"/>
  <c r="J19" i="361"/>
  <c r="C20" i="499"/>
  <c r="J14" i="499" s="1"/>
  <c r="C20" i="500"/>
  <c r="J14" i="500" s="1"/>
  <c r="J11" i="401"/>
  <c r="J12" i="459"/>
  <c r="J17" i="75"/>
  <c r="J13" i="484"/>
  <c r="J19" i="443"/>
  <c r="J18" i="377"/>
  <c r="J18" i="55"/>
  <c r="J11" i="125"/>
  <c r="J11" i="88"/>
  <c r="J16" i="390"/>
  <c r="F25" i="499"/>
  <c r="F25" i="500"/>
  <c r="F38" i="499"/>
  <c r="F12" i="499"/>
  <c r="F38" i="500"/>
  <c r="F12" i="500"/>
  <c r="J17" i="111"/>
  <c r="J17" i="86"/>
  <c r="J17" i="47"/>
  <c r="J11" i="446"/>
  <c r="J15" i="49"/>
  <c r="C18" i="500"/>
  <c r="C18" i="499"/>
  <c r="J16" i="402"/>
  <c r="F22" i="499"/>
  <c r="F22" i="500"/>
  <c r="F9" i="500"/>
  <c r="F9" i="499"/>
  <c r="F35" i="499"/>
  <c r="F35" i="500"/>
  <c r="F24" i="499"/>
  <c r="F24" i="500"/>
  <c r="F37" i="499"/>
  <c r="F37" i="500"/>
  <c r="F11" i="499"/>
  <c r="F11" i="500"/>
  <c r="J16" i="49"/>
  <c r="J17" i="360"/>
  <c r="J17" i="66"/>
  <c r="J17" i="114"/>
  <c r="F23" i="499"/>
  <c r="F23" i="500"/>
  <c r="F36" i="499"/>
  <c r="F36" i="500"/>
  <c r="F10" i="499"/>
  <c r="F10" i="500"/>
  <c r="C17" i="499"/>
  <c r="C17" i="500"/>
  <c r="F27" i="499"/>
  <c r="F27" i="500"/>
  <c r="F14" i="499"/>
  <c r="F14" i="500"/>
  <c r="F40" i="499"/>
  <c r="F40" i="500"/>
  <c r="B6" i="499"/>
  <c r="J4" i="499" s="1"/>
  <c r="B6" i="500"/>
  <c r="J4" i="500" s="1"/>
  <c r="T210" i="351"/>
  <c r="M210" i="351"/>
  <c r="I210" i="351"/>
  <c r="L210" i="351"/>
  <c r="K210" i="351"/>
  <c r="P210" i="351"/>
  <c r="G210" i="351"/>
  <c r="O210" i="351"/>
  <c r="H210" i="351"/>
  <c r="Q210" i="351"/>
  <c r="S210" i="351"/>
  <c r="J210" i="351"/>
  <c r="R210" i="351"/>
  <c r="C86" i="351" a="1"/>
  <c r="C86" i="351" s="1"/>
  <c r="C210" i="351" a="1"/>
  <c r="C210" i="351" s="1"/>
  <c r="B210" i="351" a="1"/>
  <c r="B210" i="351" s="1"/>
  <c r="D210" i="351" a="1"/>
  <c r="D210" i="351" s="1"/>
  <c r="F210" i="351" a="1"/>
  <c r="F210" i="351" s="1"/>
  <c r="E210" i="351" a="1"/>
  <c r="E210" i="351" s="1"/>
  <c r="M108" i="353"/>
  <c r="T109" i="353"/>
  <c r="Y108" i="353"/>
  <c r="AE108" i="353"/>
  <c r="AV109" i="353"/>
  <c r="Z109" i="353"/>
  <c r="W108" i="353"/>
  <c r="R109" i="353"/>
  <c r="U109" i="353"/>
  <c r="AA109" i="353"/>
  <c r="AO109" i="353"/>
  <c r="T108" i="353"/>
  <c r="G108" i="353"/>
  <c r="J109" i="353"/>
  <c r="K108" i="353"/>
  <c r="N108" i="353"/>
  <c r="I109" i="353"/>
  <c r="X109" i="353"/>
  <c r="V108" i="353"/>
  <c r="AD109" i="353"/>
  <c r="AF109" i="353"/>
  <c r="AB109" i="353"/>
  <c r="AF108" i="353"/>
  <c r="AR108" i="353"/>
  <c r="AS108" i="353"/>
  <c r="AU109" i="353"/>
  <c r="AT108" i="353"/>
  <c r="AJ108" i="353"/>
  <c r="AV108" i="353"/>
  <c r="AI109" i="353"/>
  <c r="O108" i="353"/>
  <c r="N109" i="353"/>
  <c r="V109" i="353"/>
  <c r="AL109" i="353"/>
  <c r="AN108" i="353"/>
  <c r="AB108" i="353"/>
  <c r="F108" i="353"/>
  <c r="AG109" i="353"/>
  <c r="H108" i="353"/>
  <c r="AD108" i="353"/>
  <c r="AO108" i="353"/>
  <c r="E108" i="353"/>
  <c r="AS109" i="353"/>
  <c r="M109" i="353"/>
  <c r="Q109" i="353"/>
  <c r="AQ108" i="353"/>
  <c r="AK108" i="353"/>
  <c r="AN109" i="353"/>
  <c r="W109" i="353"/>
  <c r="AT109" i="353"/>
  <c r="G109" i="353"/>
  <c r="P109" i="353"/>
  <c r="J108" i="353"/>
  <c r="AQ109" i="353"/>
  <c r="U108" i="353"/>
  <c r="AI108" i="353"/>
  <c r="Z108" i="353"/>
  <c r="I108" i="353"/>
  <c r="AE109" i="353"/>
  <c r="Y109" i="353"/>
  <c r="F109" i="353"/>
  <c r="AP109" i="353"/>
  <c r="AA108" i="353"/>
  <c r="X108" i="353"/>
  <c r="AP108" i="353"/>
  <c r="AR109" i="353"/>
  <c r="AJ109" i="353"/>
  <c r="K109" i="353"/>
  <c r="P108" i="353"/>
  <c r="Q108" i="353"/>
  <c r="AG108" i="353"/>
  <c r="AK109" i="353"/>
  <c r="O109" i="353"/>
  <c r="AH108" i="353"/>
  <c r="AH109" i="353"/>
  <c r="AL108" i="353"/>
  <c r="H109" i="353"/>
  <c r="R108" i="353"/>
  <c r="E109" i="353"/>
  <c r="AU108" i="353"/>
  <c r="B108" i="353"/>
  <c r="C108" i="353"/>
  <c r="B109" i="353"/>
  <c r="C109" i="353"/>
  <c r="D108" i="353"/>
  <c r="D109" i="353"/>
  <c r="B207" i="351" a="1"/>
  <c r="B207" i="351" s="1"/>
  <c r="F189" i="351" a="1"/>
  <c r="F189" i="351" s="1"/>
  <c r="B185" i="351" a="1"/>
  <c r="B185" i="351" s="1"/>
  <c r="E151" i="351" a="1"/>
  <c r="E151" i="351" s="1"/>
  <c r="C133" i="351" a="1"/>
  <c r="C133" i="351" s="1"/>
  <c r="B184" i="351" a="1"/>
  <c r="B184" i="351" s="1"/>
  <c r="D112" i="351" a="1"/>
  <c r="D112" i="351" s="1"/>
  <c r="E184" i="351" a="1"/>
  <c r="E184" i="351" s="1"/>
  <c r="C184" i="351" a="1"/>
  <c r="C184" i="351" s="1"/>
  <c r="B142" i="351" a="1"/>
  <c r="B142" i="351" s="1"/>
  <c r="D104" i="351" a="1"/>
  <c r="D104" i="351" s="1"/>
  <c r="F207" i="351" a="1"/>
  <c r="F207" i="351" s="1"/>
  <c r="E207" i="351" a="1"/>
  <c r="E207" i="351" s="1"/>
  <c r="D167" i="351" a="1"/>
  <c r="D167" i="351" s="1"/>
  <c r="F99" i="351" a="1"/>
  <c r="F99" i="351" s="1"/>
  <c r="D207" i="351" a="1"/>
  <c r="D207" i="351" s="1"/>
  <c r="J17" i="73"/>
  <c r="J18" i="49"/>
  <c r="J17" i="484"/>
  <c r="J15" i="111"/>
  <c r="J16" i="106"/>
  <c r="J17" i="64"/>
  <c r="J16" i="114"/>
  <c r="J19" i="394"/>
  <c r="J17" i="90"/>
  <c r="J19" i="53"/>
  <c r="J19" i="444"/>
  <c r="J11" i="87"/>
  <c r="J12" i="76"/>
  <c r="J12" i="71"/>
  <c r="J11" i="47"/>
  <c r="J15" i="72"/>
  <c r="J15" i="60"/>
  <c r="J15" i="56"/>
  <c r="J15" i="379"/>
  <c r="J18" i="457"/>
  <c r="J13" i="422"/>
  <c r="J12" i="387"/>
  <c r="J13" i="52"/>
  <c r="J13" i="93"/>
  <c r="J13" i="55"/>
  <c r="J12" i="86"/>
  <c r="J16" i="119"/>
  <c r="J18" i="391"/>
  <c r="J12" i="443"/>
  <c r="J18" i="68"/>
  <c r="J11" i="55"/>
  <c r="J16" i="125"/>
  <c r="J12" i="126"/>
  <c r="J15" i="378"/>
  <c r="J15" i="362"/>
  <c r="J17" i="431"/>
  <c r="J17" i="407"/>
  <c r="J11" i="65"/>
  <c r="J17" i="437"/>
  <c r="J13" i="83"/>
  <c r="J13" i="65"/>
  <c r="J11" i="436"/>
  <c r="J13" i="111"/>
  <c r="J15" i="457"/>
  <c r="J16" i="391"/>
  <c r="J18" i="459"/>
  <c r="J17" i="444"/>
  <c r="J13" i="47"/>
  <c r="J16" i="62"/>
  <c r="J13" i="106"/>
  <c r="J17" i="54"/>
  <c r="J18" i="362"/>
  <c r="J11" i="444"/>
  <c r="J16" i="436"/>
  <c r="J13" i="105"/>
  <c r="J19" i="390"/>
  <c r="J16" i="74"/>
  <c r="J16" i="98"/>
  <c r="J17" i="87"/>
  <c r="J15" i="398"/>
  <c r="J18" i="106"/>
  <c r="J17" i="401"/>
  <c r="J13" i="86"/>
  <c r="J12" i="78"/>
  <c r="J15" i="404"/>
  <c r="J12" i="70"/>
  <c r="J19" i="377"/>
  <c r="J16" i="72"/>
  <c r="J16" i="105"/>
  <c r="J18" i="477"/>
  <c r="J15" i="422"/>
  <c r="J12" i="72"/>
  <c r="J18" i="387"/>
  <c r="J18" i="452"/>
  <c r="J16" i="64"/>
  <c r="J16" i="489"/>
  <c r="J18" i="453"/>
  <c r="J16" i="422"/>
  <c r="J12" i="77"/>
  <c r="J15" i="98"/>
  <c r="J18" i="62"/>
  <c r="J18" i="397"/>
  <c r="J13" i="446"/>
  <c r="J15" i="75"/>
  <c r="J17" i="477"/>
  <c r="J12" i="112"/>
  <c r="J15" i="443"/>
  <c r="J18" i="390"/>
  <c r="J17" i="112"/>
  <c r="J19" i="452"/>
  <c r="J19" i="76"/>
  <c r="J18" i="119"/>
  <c r="J13" i="67"/>
  <c r="J13" i="362"/>
  <c r="J15" i="125"/>
  <c r="J18" i="61"/>
  <c r="J13" i="436"/>
  <c r="J17" i="65"/>
  <c r="J17" i="72"/>
  <c r="J11" i="91"/>
  <c r="J19" i="401"/>
  <c r="J18" i="92"/>
  <c r="J11" i="49"/>
  <c r="J16" i="377"/>
  <c r="G10" i="498"/>
  <c r="G11" i="498"/>
  <c r="G12" i="498"/>
  <c r="G13" i="498"/>
  <c r="G4" i="497"/>
  <c r="G4" i="498"/>
  <c r="G5" i="498"/>
  <c r="B13" i="355"/>
  <c r="C13" i="355"/>
  <c r="D13" i="355"/>
  <c r="E13" i="355"/>
  <c r="G14" i="498"/>
  <c r="G6" i="498"/>
  <c r="G7" i="498"/>
  <c r="G15" i="498"/>
  <c r="G8" i="498"/>
  <c r="G9" i="498"/>
  <c r="J19" i="484"/>
  <c r="J18" i="48"/>
  <c r="J15" i="453"/>
  <c r="J16" i="112"/>
  <c r="J12" i="453"/>
  <c r="J16" i="60"/>
  <c r="J17" i="70"/>
  <c r="F22" i="408"/>
  <c r="J18" i="408" s="1"/>
  <c r="F35" i="495"/>
  <c r="F9" i="495"/>
  <c r="F35" i="496"/>
  <c r="F9" i="496"/>
  <c r="F22" i="495"/>
  <c r="F22" i="496"/>
  <c r="F12" i="495"/>
  <c r="F38" i="496"/>
  <c r="F12" i="496"/>
  <c r="F38" i="495"/>
  <c r="F25" i="495"/>
  <c r="F25" i="496"/>
  <c r="F36" i="437"/>
  <c r="J19" i="437" s="1"/>
  <c r="F10" i="495"/>
  <c r="F36" i="495"/>
  <c r="F36" i="496"/>
  <c r="F23" i="496"/>
  <c r="F10" i="496"/>
  <c r="F23" i="495"/>
  <c r="C18" i="489"/>
  <c r="J12" i="489" s="1"/>
  <c r="C18" i="495"/>
  <c r="C18" i="496"/>
  <c r="J13" i="391"/>
  <c r="J11" i="471"/>
  <c r="J16" i="406"/>
  <c r="J16" i="131"/>
  <c r="J17" i="459"/>
  <c r="J17" i="461"/>
  <c r="J16" i="40"/>
  <c r="F37" i="495"/>
  <c r="F37" i="496"/>
  <c r="F11" i="495"/>
  <c r="F11" i="496"/>
  <c r="F24" i="495"/>
  <c r="F24" i="496"/>
  <c r="J19" i="431"/>
  <c r="J15" i="436"/>
  <c r="J16" i="56"/>
  <c r="J16" i="476"/>
  <c r="J13" i="444"/>
  <c r="J13" i="54"/>
  <c r="J12" i="378"/>
  <c r="J19" i="75"/>
  <c r="C17" i="495"/>
  <c r="C17" i="496"/>
  <c r="J16" i="86"/>
  <c r="J16" i="386"/>
  <c r="J17" i="460"/>
  <c r="J16" i="449"/>
  <c r="J16" i="88"/>
  <c r="J19" i="457"/>
  <c r="J18" i="75"/>
  <c r="J16" i="443"/>
  <c r="F14" i="496"/>
  <c r="F40" i="495"/>
  <c r="F14" i="495"/>
  <c r="F27" i="495"/>
  <c r="F27" i="496"/>
  <c r="F40" i="496"/>
  <c r="J16" i="66"/>
  <c r="J12" i="131"/>
  <c r="J16" i="55"/>
  <c r="J13" i="461"/>
  <c r="B6" i="496"/>
  <c r="J4" i="496" s="1"/>
  <c r="B6" i="495"/>
  <c r="J4" i="495" s="1"/>
  <c r="J16" i="397"/>
  <c r="J13" i="76"/>
  <c r="J13" i="395"/>
  <c r="J13" i="58"/>
  <c r="J13" i="360"/>
  <c r="J18" i="56"/>
  <c r="J13" i="73"/>
  <c r="J11" i="50"/>
  <c r="J18" i="431"/>
  <c r="J13" i="114"/>
  <c r="J19" i="49"/>
  <c r="A2" i="355"/>
  <c r="J17" i="406"/>
  <c r="J18" i="471"/>
  <c r="J12" i="111"/>
  <c r="J12" i="125"/>
  <c r="J19" i="397"/>
  <c r="J13" i="404"/>
  <c r="J17" i="379"/>
  <c r="J13" i="485"/>
  <c r="J15" i="397"/>
  <c r="J12" i="90"/>
  <c r="J12" i="50"/>
  <c r="J13" i="379"/>
  <c r="J16" i="68"/>
  <c r="J17" i="476"/>
  <c r="F39" i="496"/>
  <c r="F26" i="495"/>
  <c r="F26" i="496"/>
  <c r="F39" i="495"/>
  <c r="F13" i="496"/>
  <c r="F13" i="495"/>
  <c r="J15" i="485"/>
  <c r="J13" i="49"/>
  <c r="C12" i="489"/>
  <c r="J6" i="489" s="1"/>
  <c r="C12" i="495"/>
  <c r="J6" i="495" s="1"/>
  <c r="C12" i="496"/>
  <c r="J6" i="496" s="1"/>
  <c r="C19" i="495"/>
  <c r="C19" i="496"/>
  <c r="J11" i="459"/>
  <c r="J12" i="68"/>
  <c r="J17" i="67"/>
  <c r="C13" i="496"/>
  <c r="J7" i="496" s="1"/>
  <c r="C13" i="495"/>
  <c r="J7" i="495" s="1"/>
  <c r="C14" i="489"/>
  <c r="J8" i="489" s="1"/>
  <c r="C14" i="496"/>
  <c r="J8" i="496" s="1"/>
  <c r="C14" i="495"/>
  <c r="J8" i="495" s="1"/>
  <c r="F21" i="496"/>
  <c r="F8" i="495"/>
  <c r="F34" i="495"/>
  <c r="F34" i="496"/>
  <c r="F8" i="496"/>
  <c r="F21" i="495"/>
  <c r="C21" i="378"/>
  <c r="C21" i="495"/>
  <c r="C21" i="496"/>
  <c r="J16" i="459"/>
  <c r="J15" i="484"/>
  <c r="B7" i="495"/>
  <c r="B7" i="496"/>
  <c r="J15" i="395"/>
  <c r="C15" i="489"/>
  <c r="J9" i="489" s="1"/>
  <c r="C15" i="495"/>
  <c r="J9" i="495" s="1"/>
  <c r="C15" i="496"/>
  <c r="J9" i="496" s="1"/>
  <c r="F20" i="495"/>
  <c r="F7" i="495"/>
  <c r="F20" i="496"/>
  <c r="F33" i="495"/>
  <c r="F33" i="496"/>
  <c r="F7" i="496"/>
  <c r="C16" i="495"/>
  <c r="J10" i="495" s="1"/>
  <c r="C16" i="496"/>
  <c r="J10" i="496" s="1"/>
  <c r="C20" i="495"/>
  <c r="J14" i="495" s="1"/>
  <c r="C20" i="496"/>
  <c r="J14" i="496" s="1"/>
  <c r="F19" i="495"/>
  <c r="F6" i="495"/>
  <c r="F19" i="496"/>
  <c r="F32" i="495"/>
  <c r="F32" i="496"/>
  <c r="F6" i="496"/>
  <c r="J18" i="476"/>
  <c r="J12" i="64"/>
  <c r="J13" i="476"/>
  <c r="J12" i="401"/>
  <c r="J12" i="485"/>
  <c r="J12" i="105"/>
  <c r="J13" i="91"/>
  <c r="AS106" i="353"/>
  <c r="AU106" i="353"/>
  <c r="AR107" i="353"/>
  <c r="G106" i="353"/>
  <c r="N106" i="353"/>
  <c r="AS107" i="353"/>
  <c r="P107" i="353"/>
  <c r="AR106" i="353"/>
  <c r="AB107" i="353"/>
  <c r="G107" i="353"/>
  <c r="AF106" i="353"/>
  <c r="F106" i="353"/>
  <c r="AG107" i="353"/>
  <c r="E106" i="353"/>
  <c r="AP107" i="353"/>
  <c r="AO107" i="353"/>
  <c r="AE106" i="353"/>
  <c r="O107" i="353"/>
  <c r="AI106" i="353"/>
  <c r="J106" i="353"/>
  <c r="F107" i="353"/>
  <c r="Y106" i="353"/>
  <c r="AL107" i="353"/>
  <c r="E107" i="353"/>
  <c r="O106" i="353"/>
  <c r="T106" i="353"/>
  <c r="U107" i="353"/>
  <c r="AL106" i="353"/>
  <c r="J107" i="353"/>
  <c r="K106" i="353"/>
  <c r="AD107" i="353"/>
  <c r="AP106" i="353"/>
  <c r="AI107" i="353"/>
  <c r="AJ106" i="353"/>
  <c r="Q107" i="353"/>
  <c r="R107" i="353"/>
  <c r="P106" i="353"/>
  <c r="Q106" i="353"/>
  <c r="AO106" i="353"/>
  <c r="X107" i="353"/>
  <c r="AN106" i="353"/>
  <c r="AV106" i="353"/>
  <c r="AD106" i="353"/>
  <c r="AG106" i="353"/>
  <c r="V106" i="353"/>
  <c r="AE107" i="353"/>
  <c r="AH107" i="353"/>
  <c r="V107" i="353"/>
  <c r="I106" i="353"/>
  <c r="AH106" i="353"/>
  <c r="AA107" i="353"/>
  <c r="W106" i="353"/>
  <c r="AQ107" i="353"/>
  <c r="AK106" i="353"/>
  <c r="H106" i="353"/>
  <c r="T107" i="353"/>
  <c r="AT107" i="353"/>
  <c r="M106" i="353"/>
  <c r="AK107" i="353"/>
  <c r="I107" i="353"/>
  <c r="R106" i="353"/>
  <c r="Z106" i="353"/>
  <c r="AB106" i="353"/>
  <c r="AT106" i="353"/>
  <c r="M107" i="353"/>
  <c r="AF107" i="353"/>
  <c r="X106" i="353"/>
  <c r="AA106" i="353"/>
  <c r="AU107" i="353"/>
  <c r="AQ106" i="353"/>
  <c r="K107" i="353"/>
  <c r="U106" i="353"/>
  <c r="H107" i="353"/>
  <c r="AJ107" i="353"/>
  <c r="W107" i="353"/>
  <c r="Y107" i="353"/>
  <c r="N107" i="353"/>
  <c r="AV107" i="353"/>
  <c r="AN107" i="353"/>
  <c r="Z107" i="353"/>
  <c r="B106" i="353"/>
  <c r="C107" i="353"/>
  <c r="C106" i="353"/>
  <c r="D107" i="353"/>
  <c r="D106" i="353"/>
  <c r="B107" i="353"/>
  <c r="J209" i="351"/>
  <c r="J208" i="351"/>
  <c r="K209" i="351"/>
  <c r="P209" i="351"/>
  <c r="K208" i="351"/>
  <c r="T208" i="351"/>
  <c r="G208" i="351"/>
  <c r="R208" i="351"/>
  <c r="P208" i="351"/>
  <c r="H208" i="351"/>
  <c r="Q208" i="351"/>
  <c r="L208" i="351"/>
  <c r="R209" i="351"/>
  <c r="H209" i="351"/>
  <c r="M209" i="351"/>
  <c r="O208" i="351"/>
  <c r="S209" i="351"/>
  <c r="T209" i="351"/>
  <c r="I209" i="351"/>
  <c r="O209" i="351"/>
  <c r="G209" i="351"/>
  <c r="S208" i="351"/>
  <c r="M208" i="351"/>
  <c r="I208" i="351"/>
  <c r="L209" i="351"/>
  <c r="Q209" i="351"/>
  <c r="E174" i="351" a="1"/>
  <c r="E174" i="351" s="1"/>
  <c r="E78" i="351" a="1"/>
  <c r="E78" i="351" s="1"/>
  <c r="E176" i="351" a="1"/>
  <c r="E176" i="351" s="1"/>
  <c r="E21" i="351" a="1"/>
  <c r="E21" i="351" s="1"/>
  <c r="E131" i="351" a="1"/>
  <c r="E131" i="351" s="1"/>
  <c r="F115" i="351" a="1"/>
  <c r="F115" i="351" s="1"/>
  <c r="C61" i="351" a="1"/>
  <c r="C61" i="351" s="1"/>
  <c r="C69" i="351" a="1"/>
  <c r="C69" i="351" s="1"/>
  <c r="D99" i="351" a="1"/>
  <c r="D99" i="351" s="1"/>
  <c r="B139" i="351" a="1"/>
  <c r="B139" i="351" s="1"/>
  <c r="B53" i="351" a="1"/>
  <c r="B53" i="351" s="1"/>
  <c r="B80" i="351" a="1"/>
  <c r="B80" i="351" s="1"/>
  <c r="C84" i="351" a="1"/>
  <c r="C84" i="351" s="1"/>
  <c r="D33" i="351" a="1"/>
  <c r="D33" i="351" s="1"/>
  <c r="E158" i="351" a="1"/>
  <c r="E158" i="351" s="1"/>
  <c r="E85" i="351" a="1"/>
  <c r="E85" i="351" s="1"/>
  <c r="F47" i="351" a="1"/>
  <c r="F47" i="351" s="1"/>
  <c r="E111" i="351" a="1"/>
  <c r="E111" i="351" s="1"/>
  <c r="D38" i="351" a="1"/>
  <c r="D38" i="351" s="1"/>
  <c r="B14" i="351" a="1"/>
  <c r="B14" i="351" s="1"/>
  <c r="C5" i="351" a="1"/>
  <c r="C5" i="351" s="1"/>
  <c r="D52" i="351" a="1"/>
  <c r="D52" i="351" s="1"/>
  <c r="F108" i="351" a="1"/>
  <c r="F108" i="351" s="1"/>
  <c r="B52" i="351" a="1"/>
  <c r="B52" i="351" s="1"/>
  <c r="B136" i="351" a="1"/>
  <c r="B136" i="351" s="1"/>
  <c r="E25" i="351" a="1"/>
  <c r="E25" i="351" s="1"/>
  <c r="F42" i="351" a="1"/>
  <c r="F42" i="351" s="1"/>
  <c r="D74" i="351" a="1"/>
  <c r="D74" i="351" s="1"/>
  <c r="B7" i="351" a="1"/>
  <c r="B7" i="351" s="1"/>
  <c r="C168" i="351" a="1"/>
  <c r="C168" i="351" s="1"/>
  <c r="F89" i="351" a="1"/>
  <c r="F89" i="351" s="1"/>
  <c r="E43" i="351" a="1"/>
  <c r="E43" i="351" s="1"/>
  <c r="C94" i="351" a="1"/>
  <c r="C94" i="351" s="1"/>
  <c r="C85" i="351" a="1"/>
  <c r="C85" i="351" s="1"/>
  <c r="B154" i="351" a="1"/>
  <c r="B154" i="351" s="1"/>
  <c r="E87" i="351" a="1"/>
  <c r="E87" i="351" s="1"/>
  <c r="E93" i="351" a="1"/>
  <c r="E93" i="351" s="1"/>
  <c r="F79" i="351" a="1"/>
  <c r="F79" i="351" s="1"/>
  <c r="D115" i="351" a="1"/>
  <c r="D115" i="351" s="1"/>
  <c r="C129" i="351" a="1"/>
  <c r="C129" i="351" s="1"/>
  <c r="C135" i="351" a="1"/>
  <c r="C135" i="351" s="1"/>
  <c r="A3" i="351"/>
  <c r="D3" i="351" s="1" a="1"/>
  <c r="D3" i="351" s="1"/>
  <c r="B208" i="351" a="1"/>
  <c r="B208" i="351" s="1"/>
  <c r="C208" i="351" a="1"/>
  <c r="C208" i="351" s="1"/>
  <c r="D208" i="351" a="1"/>
  <c r="D208" i="351" s="1"/>
  <c r="E208" i="351" a="1"/>
  <c r="E208" i="351" s="1"/>
  <c r="D209" i="351" a="1"/>
  <c r="D209" i="351" s="1"/>
  <c r="E209" i="351" a="1"/>
  <c r="E209" i="351" s="1"/>
  <c r="F208" i="351" a="1"/>
  <c r="F208" i="351" s="1"/>
  <c r="B209" i="351" a="1"/>
  <c r="B209" i="351" s="1"/>
  <c r="C209" i="351" a="1"/>
  <c r="C209" i="351" s="1"/>
  <c r="F209" i="351" a="1"/>
  <c r="F209" i="351" s="1"/>
  <c r="B101" i="351" a="1"/>
  <c r="B101" i="351" s="1"/>
  <c r="F168" i="351" a="1"/>
  <c r="F168" i="351" s="1"/>
  <c r="F82" i="351" a="1"/>
  <c r="F82" i="351" s="1"/>
  <c r="C144" i="351" a="1"/>
  <c r="C144" i="351" s="1"/>
  <c r="F142" i="351" a="1"/>
  <c r="F142" i="351" s="1"/>
  <c r="F137" i="351" a="1"/>
  <c r="F137" i="351" s="1"/>
  <c r="F175" i="351" a="1"/>
  <c r="F175" i="351" s="1"/>
  <c r="B76" i="351" a="1"/>
  <c r="B76" i="351" s="1"/>
  <c r="C164" i="351" a="1"/>
  <c r="C164" i="351" s="1"/>
  <c r="D147" i="351" a="1"/>
  <c r="D147" i="351" s="1"/>
  <c r="D100" i="351" a="1"/>
  <c r="D100" i="351" s="1"/>
  <c r="D140" i="351" a="1"/>
  <c r="D140" i="351" s="1"/>
  <c r="D66" i="351" a="1"/>
  <c r="D66" i="351" s="1"/>
  <c r="F125" i="351" a="1"/>
  <c r="F125" i="351" s="1"/>
  <c r="F12" i="351" a="1"/>
  <c r="F12" i="351" s="1"/>
  <c r="B121" i="351" a="1"/>
  <c r="B121" i="351" s="1"/>
  <c r="E123" i="351" a="1"/>
  <c r="E123" i="351" s="1"/>
  <c r="B196" i="351" a="1"/>
  <c r="B196" i="351" s="1"/>
  <c r="C143" i="351" a="1"/>
  <c r="C143" i="351" s="1"/>
  <c r="D102" i="351" a="1"/>
  <c r="D102" i="351" s="1"/>
  <c r="D50" i="351" a="1"/>
  <c r="D50" i="351" s="1"/>
  <c r="E12" i="351" a="1"/>
  <c r="E12" i="351" s="1"/>
  <c r="D53" i="351" a="1"/>
  <c r="D53" i="351" s="1"/>
  <c r="E104" i="351" a="1"/>
  <c r="E104" i="351" s="1"/>
  <c r="F184" i="351" a="1"/>
  <c r="F184" i="351" s="1"/>
  <c r="B32" i="351" a="1"/>
  <c r="B32" i="351" s="1"/>
  <c r="B18" i="351" a="1"/>
  <c r="B18" i="351" s="1"/>
  <c r="C17" i="351" a="1"/>
  <c r="C17" i="351" s="1"/>
  <c r="E11" i="351" a="1"/>
  <c r="E11" i="351" s="1"/>
  <c r="D131" i="351" a="1"/>
  <c r="D131" i="351" s="1"/>
  <c r="E172" i="351" a="1"/>
  <c r="E172" i="351" s="1"/>
  <c r="D13" i="351" a="1"/>
  <c r="D13" i="351" s="1"/>
  <c r="C177" i="351" a="1"/>
  <c r="C177" i="351" s="1"/>
  <c r="C100" i="351" a="1"/>
  <c r="C100" i="351" s="1"/>
  <c r="B176" i="351" a="1"/>
  <c r="B176" i="351" s="1"/>
  <c r="C111" i="351" a="1"/>
  <c r="C111" i="351" s="1"/>
  <c r="F43" i="351" a="1"/>
  <c r="F43" i="351" s="1"/>
  <c r="B69" i="351" a="1"/>
  <c r="B69" i="351" s="1"/>
  <c r="F107" i="351" a="1"/>
  <c r="F107" i="351" s="1"/>
  <c r="AS4" i="6"/>
  <c r="G10" i="497"/>
  <c r="G15" i="497"/>
  <c r="G6" i="497"/>
  <c r="G7" i="497"/>
  <c r="G5" i="497"/>
  <c r="G8" i="497"/>
  <c r="G9" i="497"/>
  <c r="G14" i="497"/>
  <c r="G12" i="497"/>
  <c r="G11" i="497"/>
  <c r="G13" i="497"/>
  <c r="B7" i="379"/>
  <c r="J5" i="379" s="1"/>
  <c r="B7" i="476"/>
  <c r="B7" i="408"/>
  <c r="J5" i="408" s="1"/>
  <c r="B7" i="66"/>
  <c r="J5" i="66" s="1"/>
  <c r="B7" i="47"/>
  <c r="J5" i="47" s="1"/>
  <c r="B7" i="88"/>
  <c r="B7" i="114"/>
  <c r="J5" i="114" s="1"/>
  <c r="B7" i="52"/>
  <c r="J5" i="52" s="1"/>
  <c r="B7" i="431"/>
  <c r="J5" i="431" s="1"/>
  <c r="B7" i="401"/>
  <c r="J5" i="401" s="1"/>
  <c r="B7" i="77"/>
  <c r="J5" i="77" s="1"/>
  <c r="B7" i="390"/>
  <c r="J5" i="390" s="1"/>
  <c r="B7" i="105"/>
  <c r="J5" i="105" s="1"/>
  <c r="B7" i="394"/>
  <c r="J5" i="394" s="1"/>
  <c r="B7" i="58"/>
  <c r="J5" i="58" s="1"/>
  <c r="B7" i="484"/>
  <c r="J5" i="484" s="1"/>
  <c r="B7" i="386"/>
  <c r="B7" i="60"/>
  <c r="B7" i="131"/>
  <c r="J5" i="131" s="1"/>
  <c r="B7" i="57"/>
  <c r="B7" i="457"/>
  <c r="B7" i="459"/>
  <c r="J5" i="459" s="1"/>
  <c r="B7" i="460"/>
  <c r="J5" i="460" s="1"/>
  <c r="B7" i="49"/>
  <c r="B7" i="436"/>
  <c r="B7" i="395"/>
  <c r="J5" i="395" s="1"/>
  <c r="B7" i="75"/>
  <c r="J5" i="75" s="1"/>
  <c r="B7" i="111"/>
  <c r="B7" i="471"/>
  <c r="J13" i="74"/>
  <c r="J15" i="471"/>
  <c r="J17" i="485"/>
  <c r="J11" i="61"/>
  <c r="J12" i="69"/>
  <c r="J12" i="114"/>
  <c r="F22" i="437"/>
  <c r="J18" i="437" s="1"/>
  <c r="J17" i="451"/>
  <c r="J16" i="77"/>
  <c r="J13" i="408"/>
  <c r="J16" i="477"/>
  <c r="J19" i="485"/>
  <c r="J16" i="431"/>
  <c r="J19" i="50"/>
  <c r="J19" i="60"/>
  <c r="J19" i="461"/>
  <c r="J13" i="406"/>
  <c r="J13" i="471"/>
  <c r="J12" i="477"/>
  <c r="J18" i="90"/>
  <c r="F9" i="52"/>
  <c r="J18" i="52" s="1"/>
  <c r="F35" i="73"/>
  <c r="J18" i="73" s="1"/>
  <c r="J18" i="131"/>
  <c r="J18" i="57"/>
  <c r="J16" i="57"/>
  <c r="J13" i="40"/>
  <c r="J18" i="83"/>
  <c r="J17" i="92"/>
  <c r="J13" i="457"/>
  <c r="J16" i="361"/>
  <c r="J16" i="437"/>
  <c r="J19" i="449"/>
  <c r="J13" i="431"/>
  <c r="J19" i="477"/>
  <c r="J16" i="378"/>
  <c r="J17" i="398"/>
  <c r="J17" i="432"/>
  <c r="J13" i="61"/>
  <c r="J18" i="69"/>
  <c r="J11" i="402"/>
  <c r="J19" i="114"/>
  <c r="J16" i="457"/>
  <c r="J18" i="63"/>
  <c r="J19" i="404"/>
  <c r="J15" i="452"/>
  <c r="J18" i="114"/>
  <c r="J18" i="86"/>
  <c r="J16" i="78"/>
  <c r="J18" i="72"/>
  <c r="J12" i="75"/>
  <c r="J13" i="386"/>
  <c r="J35" i="375"/>
  <c r="J12" i="362"/>
  <c r="J13" i="407"/>
  <c r="J18" i="406"/>
  <c r="J38" i="375"/>
  <c r="J13" i="70"/>
  <c r="J18" i="64"/>
  <c r="J16" i="70"/>
  <c r="J16" i="452"/>
  <c r="J16" i="453"/>
  <c r="J15" i="451"/>
  <c r="J13" i="443"/>
  <c r="J16" i="398"/>
  <c r="J19" i="71"/>
  <c r="J16" i="59"/>
  <c r="J17" i="71"/>
  <c r="J15" i="50"/>
  <c r="J19" i="67"/>
  <c r="J12" i="394"/>
  <c r="J13" i="390"/>
  <c r="J12" i="62"/>
  <c r="J12" i="87"/>
  <c r="J13" i="56"/>
  <c r="J18" i="394"/>
  <c r="J11" i="48"/>
  <c r="J12" i="451"/>
  <c r="J16" i="432"/>
  <c r="J16" i="51"/>
  <c r="J19" i="459"/>
  <c r="J17" i="76"/>
  <c r="J17" i="402"/>
  <c r="J17" i="436"/>
  <c r="J11" i="477"/>
  <c r="J15" i="476"/>
  <c r="J15" i="486"/>
  <c r="J12" i="397"/>
  <c r="J11" i="119"/>
  <c r="J19" i="131"/>
  <c r="J19" i="111"/>
  <c r="J16" i="50"/>
  <c r="J15" i="88"/>
  <c r="J18" i="484"/>
  <c r="J13" i="112"/>
  <c r="J13" i="87"/>
  <c r="J18" i="105"/>
  <c r="J19" i="391"/>
  <c r="J13" i="78"/>
  <c r="J12" i="406"/>
  <c r="J12" i="361"/>
  <c r="J11" i="54"/>
  <c r="J13" i="437"/>
  <c r="J13" i="77"/>
  <c r="J11" i="56"/>
  <c r="J13" i="401"/>
  <c r="J15" i="52"/>
  <c r="J15" i="402"/>
  <c r="J18" i="379"/>
  <c r="J18" i="71"/>
  <c r="J12" i="460"/>
  <c r="J17" i="68"/>
  <c r="J17" i="486"/>
  <c r="J12" i="53"/>
  <c r="J13" i="90"/>
  <c r="J13" i="51"/>
  <c r="J19" i="379"/>
  <c r="J17" i="40"/>
  <c r="J11" i="63"/>
  <c r="J17" i="390"/>
  <c r="J17" i="69"/>
  <c r="J13" i="460"/>
  <c r="J17" i="50"/>
  <c r="J13" i="477"/>
  <c r="J12" i="484"/>
  <c r="J15" i="67"/>
  <c r="J12" i="457"/>
  <c r="J12" i="58"/>
  <c r="J18" i="53"/>
  <c r="J17" i="49"/>
  <c r="J15" i="461"/>
  <c r="J11" i="457"/>
  <c r="J18" i="444"/>
  <c r="J16" i="52"/>
  <c r="J11" i="106"/>
  <c r="F23" i="422"/>
  <c r="J16" i="451"/>
  <c r="J11" i="431"/>
  <c r="J16" i="395"/>
  <c r="J13" i="432"/>
  <c r="J11" i="476"/>
  <c r="J12" i="423"/>
  <c r="F10" i="386"/>
  <c r="F23" i="58"/>
  <c r="H18" i="371"/>
  <c r="L7" i="375" s="1"/>
  <c r="F36" i="88"/>
  <c r="J19" i="88" s="1"/>
  <c r="F36" i="446"/>
  <c r="J19" i="446" s="1"/>
  <c r="P12" i="375"/>
  <c r="J53" i="375"/>
  <c r="J16" i="48"/>
  <c r="J16" i="63"/>
  <c r="J16" i="471"/>
  <c r="F23" i="86"/>
  <c r="J19" i="86" s="1"/>
  <c r="F10" i="92"/>
  <c r="J19" i="92" s="1"/>
  <c r="F36" i="57"/>
  <c r="J19" i="57" s="1"/>
  <c r="F10" i="106"/>
  <c r="F36" i="59"/>
  <c r="J19" i="59" s="1"/>
  <c r="F36" i="62"/>
  <c r="J19" i="62" s="1"/>
  <c r="J19" i="65"/>
  <c r="J17" i="51"/>
  <c r="J17" i="361"/>
  <c r="J17" i="48"/>
  <c r="J16" i="446"/>
  <c r="J19" i="74"/>
  <c r="J11" i="68"/>
  <c r="F36" i="90"/>
  <c r="J19" i="90" s="1"/>
  <c r="F23" i="73"/>
  <c r="J19" i="73" s="1"/>
  <c r="F36" i="406"/>
  <c r="J19" i="406" s="1"/>
  <c r="F23" i="91"/>
  <c r="J19" i="91" s="1"/>
  <c r="J17" i="422"/>
  <c r="J16" i="76"/>
  <c r="J17" i="391"/>
  <c r="F10" i="476"/>
  <c r="J19" i="476" s="1"/>
  <c r="F36" i="422"/>
  <c r="F23" i="387"/>
  <c r="J19" i="387" s="1"/>
  <c r="F36" i="63"/>
  <c r="J19" i="63" s="1"/>
  <c r="F36" i="378"/>
  <c r="C21" i="56"/>
  <c r="F23" i="54"/>
  <c r="J19" i="54" s="1"/>
  <c r="F10" i="70"/>
  <c r="F36" i="83"/>
  <c r="F10" i="51"/>
  <c r="J19" i="51" s="1"/>
  <c r="F36" i="362"/>
  <c r="J19" i="362" s="1"/>
  <c r="F10" i="68"/>
  <c r="J19" i="68" s="1"/>
  <c r="E18" i="374"/>
  <c r="L33" i="375" s="1"/>
  <c r="J32" i="375" s="1"/>
  <c r="J12" i="432"/>
  <c r="J16" i="460"/>
  <c r="J17" i="105"/>
  <c r="J17" i="53"/>
  <c r="J17" i="60"/>
  <c r="J12" i="444"/>
  <c r="J12" i="47"/>
  <c r="J13" i="48"/>
  <c r="J16" i="54"/>
  <c r="J15" i="460"/>
  <c r="J16" i="461"/>
  <c r="J15" i="459"/>
  <c r="J11" i="390"/>
  <c r="J16" i="404"/>
  <c r="F10" i="47"/>
  <c r="J19" i="47" s="1"/>
  <c r="F10" i="55"/>
  <c r="J19" i="55" s="1"/>
  <c r="F23" i="70"/>
  <c r="F10" i="77"/>
  <c r="J19" i="77" s="1"/>
  <c r="F36" i="58"/>
  <c r="F10" i="126"/>
  <c r="J19" i="126" s="1"/>
  <c r="F23" i="112"/>
  <c r="J19" i="112" s="1"/>
  <c r="J12" i="471"/>
  <c r="J18" i="398"/>
  <c r="J11" i="362"/>
  <c r="J12" i="91"/>
  <c r="F23" i="87"/>
  <c r="J19" i="87" s="1"/>
  <c r="F10" i="83"/>
  <c r="F10" i="378"/>
  <c r="F10" i="93"/>
  <c r="J19" i="93" s="1"/>
  <c r="F23" i="125"/>
  <c r="J19" i="125" s="1"/>
  <c r="F23" i="106"/>
  <c r="F36" i="386"/>
  <c r="F10" i="407"/>
  <c r="J19" i="407" s="1"/>
  <c r="H18" i="409"/>
  <c r="L43" i="375" s="1"/>
  <c r="F23" i="61"/>
  <c r="J19" i="61" s="1"/>
  <c r="J19" i="453"/>
  <c r="J17" i="98"/>
  <c r="J13" i="452"/>
  <c r="J17" i="452"/>
  <c r="J13" i="449"/>
  <c r="J19" i="460"/>
  <c r="J17" i="61"/>
  <c r="J17" i="471"/>
  <c r="J29" i="375"/>
  <c r="J13" i="453"/>
  <c r="J11" i="60"/>
  <c r="J12" i="404"/>
  <c r="J18" i="47"/>
  <c r="J13" i="98"/>
  <c r="J16" i="379"/>
  <c r="F23" i="432"/>
  <c r="J19" i="432" s="1"/>
  <c r="J14" i="375"/>
  <c r="J17" i="62"/>
  <c r="J15" i="401"/>
  <c r="J15" i="423"/>
  <c r="F37" i="492"/>
  <c r="J26" i="375"/>
  <c r="J16" i="485"/>
  <c r="C17" i="492"/>
  <c r="C12" i="492"/>
  <c r="J6" i="492" s="1"/>
  <c r="F40" i="492"/>
  <c r="P30" i="375"/>
  <c r="J12" i="379"/>
  <c r="C13" i="492"/>
  <c r="J7" i="492" s="1"/>
  <c r="P20" i="375"/>
  <c r="J19" i="451"/>
  <c r="J12" i="52"/>
  <c r="J11" i="484"/>
  <c r="J13" i="63"/>
  <c r="J13" i="62"/>
  <c r="J15" i="477"/>
  <c r="C16" i="492"/>
  <c r="J10" i="492" s="1"/>
  <c r="J18" i="54"/>
  <c r="F22" i="492"/>
  <c r="C20" i="492"/>
  <c r="J14" i="492" s="1"/>
  <c r="F23" i="493"/>
  <c r="J16" i="75"/>
  <c r="J12" i="461"/>
  <c r="J12" i="452"/>
  <c r="J13" i="451"/>
  <c r="J11" i="452"/>
  <c r="J11" i="75"/>
  <c r="F21" i="492"/>
  <c r="J19" i="471"/>
  <c r="J19" i="398"/>
  <c r="F39" i="492"/>
  <c r="J13" i="126"/>
  <c r="J20" i="375"/>
  <c r="F20" i="492"/>
  <c r="C19" i="492"/>
  <c r="J12" i="106"/>
  <c r="F19" i="492"/>
  <c r="C21" i="492"/>
  <c r="J13" i="397"/>
  <c r="J13" i="64"/>
  <c r="F38" i="492"/>
  <c r="J11" i="83"/>
  <c r="C18" i="492"/>
  <c r="P18" i="375"/>
  <c r="P24" i="375"/>
  <c r="B7" i="404"/>
  <c r="J5" i="404" s="1"/>
  <c r="B7" i="55"/>
  <c r="B7" i="407"/>
  <c r="J5" i="407" s="1"/>
  <c r="B7" i="93"/>
  <c r="J5" i="93" s="1"/>
  <c r="B7" i="59"/>
  <c r="J5" i="59" s="1"/>
  <c r="B7" i="51"/>
  <c r="J5" i="51" s="1"/>
  <c r="B7" i="64"/>
  <c r="J5" i="64" s="1"/>
  <c r="B7" i="361"/>
  <c r="B7" i="402"/>
  <c r="J5" i="402" s="1"/>
  <c r="B7" i="452"/>
  <c r="J5" i="452" s="1"/>
  <c r="B7" i="451"/>
  <c r="B7" i="63"/>
  <c r="B7" i="92"/>
  <c r="B7" i="485"/>
  <c r="J5" i="485" s="1"/>
  <c r="B7" i="48"/>
  <c r="B7" i="387"/>
  <c r="J5" i="387" s="1"/>
  <c r="B7" i="446"/>
  <c r="B7" i="72"/>
  <c r="J5" i="72" s="1"/>
  <c r="B7" i="449"/>
  <c r="B7" i="443"/>
  <c r="J5" i="443" s="1"/>
  <c r="B7" i="406"/>
  <c r="B7" i="106"/>
  <c r="J5" i="106" s="1"/>
  <c r="B7" i="126"/>
  <c r="B7" i="73"/>
  <c r="J5" i="73" s="1"/>
  <c r="B7" i="83"/>
  <c r="J5" i="83" s="1"/>
  <c r="B7" i="112"/>
  <c r="J5" i="112" s="1"/>
  <c r="B7" i="477"/>
  <c r="J5" i="477" s="1"/>
  <c r="B7" i="125"/>
  <c r="J5" i="125" s="1"/>
  <c r="B7" i="98"/>
  <c r="J5" i="98" s="1"/>
  <c r="B7" i="86"/>
  <c r="J5" i="86" s="1"/>
  <c r="B7" i="119"/>
  <c r="J5" i="119" s="1"/>
  <c r="B7" i="50"/>
  <c r="B7" i="489"/>
  <c r="J5" i="489" s="1"/>
  <c r="B7" i="71"/>
  <c r="B7" i="422"/>
  <c r="J5" i="422" s="1"/>
  <c r="B7" i="90"/>
  <c r="B7" i="62"/>
  <c r="B7" i="54"/>
  <c r="B7" i="378"/>
  <c r="B7" i="362"/>
  <c r="J5" i="362" s="1"/>
  <c r="B7" i="398"/>
  <c r="J5" i="398" s="1"/>
  <c r="B7" i="78"/>
  <c r="J5" i="78" s="1"/>
  <c r="B7" i="65"/>
  <c r="B7" i="74"/>
  <c r="B7" i="360"/>
  <c r="J5" i="360" s="1"/>
  <c r="B7" i="87"/>
  <c r="B7" i="492"/>
  <c r="B7" i="76"/>
  <c r="J5" i="76" s="1"/>
  <c r="B7" i="69"/>
  <c r="J5" i="69" s="1"/>
  <c r="B7" i="377"/>
  <c r="J5" i="377" s="1"/>
  <c r="B7" i="493"/>
  <c r="B7" i="70"/>
  <c r="B7" i="397"/>
  <c r="J5" i="397" s="1"/>
  <c r="B7" i="486"/>
  <c r="J5" i="486" s="1"/>
  <c r="B7" i="461"/>
  <c r="J5" i="461" s="1"/>
  <c r="B7" i="91"/>
  <c r="J5" i="91" s="1"/>
  <c r="B7" i="67"/>
  <c r="J5" i="67" s="1"/>
  <c r="B7" i="432"/>
  <c r="J5" i="432" s="1"/>
  <c r="B7" i="391"/>
  <c r="B7" i="453"/>
  <c r="J5" i="453" s="1"/>
  <c r="B7" i="53"/>
  <c r="B7" i="68"/>
  <c r="B7" i="423"/>
  <c r="B7" i="437"/>
  <c r="J5" i="437" s="1"/>
  <c r="B7" i="61"/>
  <c r="J5" i="61" s="1"/>
  <c r="B7" i="444"/>
  <c r="J5" i="444" s="1"/>
  <c r="B7" i="370"/>
  <c r="G5" i="370" s="1"/>
  <c r="B7" i="56"/>
  <c r="J50" i="375"/>
  <c r="B6" i="401"/>
  <c r="J4" i="401" s="1"/>
  <c r="B6" i="78"/>
  <c r="J4" i="78" s="1"/>
  <c r="B6" i="119"/>
  <c r="J4" i="119" s="1"/>
  <c r="B6" i="390"/>
  <c r="J4" i="390" s="1"/>
  <c r="B6" i="451"/>
  <c r="J4" i="451" s="1"/>
  <c r="B6" i="431"/>
  <c r="J4" i="431" s="1"/>
  <c r="B6" i="391"/>
  <c r="J4" i="391" s="1"/>
  <c r="B6" i="74"/>
  <c r="J4" i="74" s="1"/>
  <c r="B6" i="72"/>
  <c r="J4" i="72" s="1"/>
  <c r="B6" i="69"/>
  <c r="J4" i="69" s="1"/>
  <c r="B6" i="443"/>
  <c r="J4" i="443" s="1"/>
  <c r="B6" i="106"/>
  <c r="J4" i="106" s="1"/>
  <c r="B6" i="77"/>
  <c r="J4" i="77" s="1"/>
  <c r="B6" i="449"/>
  <c r="J4" i="449" s="1"/>
  <c r="B6" i="76"/>
  <c r="J4" i="76" s="1"/>
  <c r="B6" i="453"/>
  <c r="J4" i="453" s="1"/>
  <c r="B6" i="51"/>
  <c r="J4" i="51" s="1"/>
  <c r="B6" i="68"/>
  <c r="J4" i="68" s="1"/>
  <c r="B6" i="125"/>
  <c r="J4" i="125" s="1"/>
  <c r="B6" i="86"/>
  <c r="J4" i="86" s="1"/>
  <c r="B6" i="66"/>
  <c r="J4" i="66" s="1"/>
  <c r="B6" i="70"/>
  <c r="J4" i="70" s="1"/>
  <c r="B6" i="485"/>
  <c r="J4" i="485" s="1"/>
  <c r="B6" i="83"/>
  <c r="J4" i="83" s="1"/>
  <c r="B6" i="476"/>
  <c r="J4" i="476" s="1"/>
  <c r="B6" i="59"/>
  <c r="J4" i="59" s="1"/>
  <c r="B6" i="386"/>
  <c r="J4" i="386" s="1"/>
  <c r="B6" i="486"/>
  <c r="J4" i="486" s="1"/>
  <c r="B6" i="131"/>
  <c r="J4" i="131" s="1"/>
  <c r="B6" i="404"/>
  <c r="J4" i="404" s="1"/>
  <c r="B6" i="56"/>
  <c r="J4" i="56" s="1"/>
  <c r="B6" i="114"/>
  <c r="J4" i="114" s="1"/>
  <c r="B6" i="58"/>
  <c r="J4" i="58" s="1"/>
  <c r="B6" i="65"/>
  <c r="J4" i="65" s="1"/>
  <c r="B6" i="55"/>
  <c r="J4" i="55" s="1"/>
  <c r="B6" i="91"/>
  <c r="J4" i="91" s="1"/>
  <c r="B6" i="53"/>
  <c r="J4" i="53" s="1"/>
  <c r="B6" i="90"/>
  <c r="J4" i="90" s="1"/>
  <c r="B6" i="67"/>
  <c r="J4" i="67" s="1"/>
  <c r="B6" i="408"/>
  <c r="J4" i="408" s="1"/>
  <c r="B6" i="105"/>
  <c r="J4" i="105" s="1"/>
  <c r="B6" i="471"/>
  <c r="J4" i="471" s="1"/>
  <c r="B6" i="422"/>
  <c r="J4" i="422" s="1"/>
  <c r="B6" i="489"/>
  <c r="J4" i="489" s="1"/>
  <c r="B6" i="492"/>
  <c r="J4" i="492" s="1"/>
  <c r="B6" i="493"/>
  <c r="J4" i="493" s="1"/>
  <c r="B6" i="93"/>
  <c r="J4" i="93" s="1"/>
  <c r="B6" i="92"/>
  <c r="J4" i="92" s="1"/>
  <c r="B6" i="460"/>
  <c r="J4" i="460" s="1"/>
  <c r="B6" i="126"/>
  <c r="J4" i="126" s="1"/>
  <c r="C14" i="492"/>
  <c r="J8" i="492" s="1"/>
  <c r="F23" i="492"/>
  <c r="C14" i="493"/>
  <c r="J8" i="493" s="1"/>
  <c r="F14" i="492"/>
  <c r="F14" i="493"/>
  <c r="F24" i="493"/>
  <c r="F24" i="492"/>
  <c r="J13" i="377"/>
  <c r="J13" i="125"/>
  <c r="F6" i="493"/>
  <c r="C15" i="493"/>
  <c r="J9" i="493" s="1"/>
  <c r="F25" i="493"/>
  <c r="J19" i="489"/>
  <c r="J15" i="489"/>
  <c r="J13" i="459"/>
  <c r="C19" i="489"/>
  <c r="J13" i="489" s="1"/>
  <c r="F6" i="492"/>
  <c r="C15" i="492"/>
  <c r="J9" i="492" s="1"/>
  <c r="F25" i="492"/>
  <c r="J13" i="486"/>
  <c r="C16" i="493"/>
  <c r="J10" i="493" s="1"/>
  <c r="F26" i="493"/>
  <c r="J13" i="394"/>
  <c r="C13" i="489"/>
  <c r="J7" i="489" s="1"/>
  <c r="F26" i="492"/>
  <c r="F7" i="493"/>
  <c r="F27" i="493"/>
  <c r="J13" i="88"/>
  <c r="J11" i="69"/>
  <c r="F7" i="492"/>
  <c r="F27" i="492"/>
  <c r="C17" i="493"/>
  <c r="J47" i="375"/>
  <c r="J11" i="489"/>
  <c r="J11" i="443"/>
  <c r="J13" i="387"/>
  <c r="F8" i="493"/>
  <c r="F32" i="493"/>
  <c r="F8" i="492"/>
  <c r="F32" i="492"/>
  <c r="C18" i="493"/>
  <c r="J17" i="489"/>
  <c r="F9" i="493"/>
  <c r="F33" i="493"/>
  <c r="F9" i="492"/>
  <c r="F33" i="492"/>
  <c r="F10" i="493"/>
  <c r="C19" i="493"/>
  <c r="J18" i="489"/>
  <c r="J13" i="119"/>
  <c r="J13" i="50"/>
  <c r="J12" i="360"/>
  <c r="F10" i="492"/>
  <c r="F34" i="493"/>
  <c r="J13" i="68"/>
  <c r="J13" i="361"/>
  <c r="J12" i="66"/>
  <c r="J11" i="86"/>
  <c r="F34" i="492"/>
  <c r="F11" i="493"/>
  <c r="F19" i="493"/>
  <c r="F11" i="492"/>
  <c r="F35" i="493"/>
  <c r="F35" i="492"/>
  <c r="C12" i="493"/>
  <c r="J6" i="493" s="1"/>
  <c r="C20" i="493"/>
  <c r="J14" i="493" s="1"/>
  <c r="F36" i="493"/>
  <c r="J13" i="53"/>
  <c r="C20" i="489"/>
  <c r="J14" i="489" s="1"/>
  <c r="F36" i="492"/>
  <c r="F12" i="493"/>
  <c r="F20" i="493"/>
  <c r="F37" i="493"/>
  <c r="J11" i="449"/>
  <c r="J11" i="105"/>
  <c r="J12" i="55"/>
  <c r="F12" i="492"/>
  <c r="C21" i="493"/>
  <c r="J11" i="70"/>
  <c r="J11" i="66"/>
  <c r="C13" i="493"/>
  <c r="J7" i="493" s="1"/>
  <c r="F38" i="493"/>
  <c r="J11" i="451"/>
  <c r="J12" i="57"/>
  <c r="J13" i="66"/>
  <c r="J11" i="406"/>
  <c r="F21" i="493"/>
  <c r="F13" i="493"/>
  <c r="F39" i="493"/>
  <c r="J12" i="398"/>
  <c r="F13" i="492"/>
  <c r="F22" i="493"/>
  <c r="F40" i="493"/>
  <c r="E67" i="146" a="1"/>
  <c r="E67" i="146" s="1"/>
  <c r="E57" i="146" a="1"/>
  <c r="E57" i="146" s="1"/>
  <c r="E87" i="146" a="1"/>
  <c r="E87" i="146" s="1"/>
  <c r="E64" i="146" a="1"/>
  <c r="E64" i="146" s="1"/>
  <c r="E65" i="146" a="1"/>
  <c r="E65" i="146" s="1"/>
  <c r="E69" i="146" a="1"/>
  <c r="E69" i="146" s="1"/>
  <c r="E61" i="146" a="1"/>
  <c r="E61" i="146" s="1"/>
  <c r="B105" i="353"/>
  <c r="A10" i="353"/>
  <c r="D10" i="353" s="1"/>
  <c r="J12" i="486"/>
  <c r="D104" i="353"/>
  <c r="C104" i="353"/>
  <c r="B104" i="353"/>
  <c r="D105" i="353"/>
  <c r="C105" i="353"/>
  <c r="E8" i="389"/>
  <c r="H8" i="389"/>
  <c r="I8" i="389" s="1"/>
  <c r="AO40" i="6" a="1"/>
  <c r="C6" i="6" a="1"/>
  <c r="C6" i="6" l="1"/>
  <c r="J11" i="505"/>
  <c r="J5" i="50"/>
  <c r="J5" i="70"/>
  <c r="J5" i="361"/>
  <c r="J5" i="506"/>
  <c r="J11" i="407"/>
  <c r="J13" i="507"/>
  <c r="J5" i="87"/>
  <c r="J5" i="55"/>
  <c r="J5" i="126"/>
  <c r="J18" i="506"/>
  <c r="J5" i="471"/>
  <c r="J5" i="74"/>
  <c r="J5" i="111"/>
  <c r="J5" i="88"/>
  <c r="J18" i="507"/>
  <c r="J5" i="65"/>
  <c r="J5" i="406"/>
  <c r="J16" i="506"/>
  <c r="J16" i="507"/>
  <c r="J5" i="423"/>
  <c r="J5" i="449"/>
  <c r="J5" i="436"/>
  <c r="J15" i="506"/>
  <c r="J5" i="476"/>
  <c r="J5" i="53"/>
  <c r="J5" i="446"/>
  <c r="J11" i="126"/>
  <c r="J5" i="54"/>
  <c r="J5" i="391"/>
  <c r="J5" i="62"/>
  <c r="J5" i="48"/>
  <c r="J5" i="457"/>
  <c r="J19" i="505"/>
  <c r="J17" i="505"/>
  <c r="J5" i="68"/>
  <c r="J5" i="49"/>
  <c r="J5" i="90"/>
  <c r="J5" i="57"/>
  <c r="J19" i="506"/>
  <c r="J17" i="506"/>
  <c r="J17" i="507"/>
  <c r="J5" i="71"/>
  <c r="J5" i="63"/>
  <c r="J5" i="60"/>
  <c r="L5" i="375"/>
  <c r="L6" i="371"/>
  <c r="J5" i="92"/>
  <c r="J5" i="451"/>
  <c r="J11" i="506"/>
  <c r="J15" i="505"/>
  <c r="J11" i="507"/>
  <c r="L6" i="375"/>
  <c r="J5" i="375" s="1"/>
  <c r="J5" i="386"/>
  <c r="J23" i="375"/>
  <c r="J15" i="377"/>
  <c r="J15" i="446"/>
  <c r="J44" i="375"/>
  <c r="J11" i="502"/>
  <c r="J15" i="432"/>
  <c r="J41" i="375"/>
  <c r="J13" i="502"/>
  <c r="J15" i="502"/>
  <c r="J5" i="502"/>
  <c r="J12" i="502"/>
  <c r="J16" i="502"/>
  <c r="J19" i="502"/>
  <c r="J17" i="502"/>
  <c r="J18" i="502"/>
  <c r="J15" i="105"/>
  <c r="J15" i="73"/>
  <c r="J15" i="78"/>
  <c r="J17" i="500"/>
  <c r="J16" i="500"/>
  <c r="J5" i="378"/>
  <c r="J16" i="499"/>
  <c r="J13" i="499"/>
  <c r="J13" i="500"/>
  <c r="J5" i="56"/>
  <c r="J15" i="493"/>
  <c r="J16" i="493"/>
  <c r="J5" i="500"/>
  <c r="J18" i="499"/>
  <c r="J5" i="499"/>
  <c r="J18" i="500"/>
  <c r="J11" i="500"/>
  <c r="J11" i="499"/>
  <c r="J19" i="500"/>
  <c r="J19" i="499"/>
  <c r="J12" i="499"/>
  <c r="J12" i="500"/>
  <c r="J15" i="500"/>
  <c r="J17" i="499"/>
  <c r="J15" i="499"/>
  <c r="J15" i="495"/>
  <c r="J12" i="493"/>
  <c r="J18" i="493"/>
  <c r="J13" i="496"/>
  <c r="J5" i="496"/>
  <c r="J13" i="493"/>
  <c r="J11" i="493"/>
  <c r="J11" i="495"/>
  <c r="J12" i="495"/>
  <c r="AO40" i="6"/>
  <c r="AQ40" i="6" s="1"/>
  <c r="J16" i="495"/>
  <c r="J12" i="496"/>
  <c r="J13" i="495"/>
  <c r="J19" i="496"/>
  <c r="J5" i="495"/>
  <c r="J19" i="495"/>
  <c r="J15" i="496"/>
  <c r="AW15" i="6"/>
  <c r="J17" i="496"/>
  <c r="AV15" i="6"/>
  <c r="AU15" i="6"/>
  <c r="AT15" i="6"/>
  <c r="J17" i="495"/>
  <c r="J18" i="496"/>
  <c r="J19" i="378"/>
  <c r="J16" i="496"/>
  <c r="J18" i="495"/>
  <c r="J11" i="496"/>
  <c r="C10" i="353"/>
  <c r="E3" i="351" a="1"/>
  <c r="E3" i="351" s="1"/>
  <c r="B3" i="351" a="1"/>
  <c r="B3" i="351" s="1"/>
  <c r="C3" i="351" a="1"/>
  <c r="C3" i="351" s="1"/>
  <c r="F3" i="351" a="1"/>
  <c r="F3" i="351" s="1"/>
  <c r="J13" i="492"/>
  <c r="J18" i="492"/>
  <c r="J5" i="492"/>
  <c r="J12" i="492"/>
  <c r="J11" i="492"/>
  <c r="J16" i="492"/>
  <c r="B10" i="353"/>
  <c r="J19" i="70"/>
  <c r="J19" i="422"/>
  <c r="J19" i="106"/>
  <c r="J19" i="83"/>
  <c r="J19" i="58"/>
  <c r="J19" i="386"/>
  <c r="J19" i="493"/>
  <c r="J17" i="492"/>
  <c r="J15" i="492"/>
  <c r="J17" i="493"/>
  <c r="J5" i="493"/>
  <c r="J19" i="492"/>
  <c r="AX15" i="6" l="1"/>
  <c r="BC15" i="6"/>
  <c r="BD15" i="6" s="1"/>
  <c r="BE15" i="6" s="1"/>
  <c r="BF15" i="6" l="1"/>
  <c r="C12" i="6" l="1"/>
  <c r="J34" i="6"/>
  <c r="J55" i="6"/>
  <c r="J43" i="6"/>
  <c r="J28" i="6"/>
  <c r="I3" i="6"/>
  <c r="I4" i="6" s="1"/>
  <c r="I5" i="6" s="1"/>
  <c r="J3" i="6"/>
  <c r="J25" i="6"/>
  <c r="J24" i="6"/>
  <c r="I24" i="6"/>
  <c r="I25" i="6" s="1"/>
  <c r="I26" i="6" s="1"/>
  <c r="I45" i="6"/>
  <c r="I46" i="6" s="1"/>
  <c r="I47" i="6" s="1"/>
  <c r="J45" i="6"/>
  <c r="I33" i="6"/>
  <c r="I34" i="6" s="1"/>
  <c r="I35" i="6" s="1"/>
  <c r="J33" i="6"/>
  <c r="J27" i="6"/>
  <c r="I27" i="6"/>
  <c r="I28" i="6" s="1"/>
  <c r="I29" i="6" s="1"/>
  <c r="J40" i="6"/>
  <c r="J49" i="6"/>
  <c r="I15" i="6"/>
  <c r="I16" i="6" s="1"/>
  <c r="I17" i="6" s="1"/>
  <c r="J15" i="6"/>
  <c r="I42" i="6"/>
  <c r="I43" i="6" s="1"/>
  <c r="I44" i="6" s="1"/>
  <c r="J42" i="6"/>
  <c r="J9" i="6"/>
  <c r="I9" i="6"/>
  <c r="I10" i="6" s="1"/>
  <c r="I11" i="6" s="1"/>
  <c r="J7" i="6"/>
  <c r="J4" i="6"/>
  <c r="I39" i="6"/>
  <c r="I40" i="6" s="1"/>
  <c r="I41" i="6" s="1"/>
  <c r="J39" i="6"/>
  <c r="J16" i="6"/>
  <c r="J37" i="6"/>
  <c r="I6" i="6"/>
  <c r="I7" i="6" s="1"/>
  <c r="I8" i="6" s="1"/>
  <c r="J6" i="6"/>
  <c r="J21" i="6"/>
  <c r="I21" i="6"/>
  <c r="I22" i="6" s="1"/>
  <c r="I23" i="6" s="1"/>
  <c r="J48" i="6"/>
  <c r="I48" i="6"/>
  <c r="I49" i="6" s="1"/>
  <c r="I50" i="6" s="1"/>
  <c r="J51" i="6"/>
  <c r="I51" i="6"/>
  <c r="I52" i="6" s="1"/>
  <c r="I53" i="6" s="1"/>
  <c r="J46" i="6"/>
  <c r="J19" i="6"/>
  <c r="I30" i="6"/>
  <c r="I31" i="6" s="1"/>
  <c r="I32" i="6" s="1"/>
  <c r="J30" i="6"/>
  <c r="J36" i="6"/>
  <c r="I36" i="6"/>
  <c r="I37" i="6" s="1"/>
  <c r="I38" i="6" s="1"/>
  <c r="J18" i="6"/>
  <c r="I18" i="6"/>
  <c r="I19" i="6" s="1"/>
  <c r="I20" i="6" s="1"/>
  <c r="J12" i="6"/>
  <c r="I12" i="6"/>
  <c r="I13" i="6" s="1"/>
  <c r="I14" i="6" s="1"/>
  <c r="J31" i="6"/>
  <c r="I54" i="6"/>
  <c r="I55" i="6" s="1"/>
  <c r="I56" i="6" s="1"/>
  <c r="J54" i="6"/>
  <c r="AJ84" i="353" a="1"/>
  <c r="AR50" i="353" a="1"/>
  <c r="M28" i="351" a="1"/>
  <c r="AG81" i="353" a="1"/>
  <c r="C13" i="456"/>
  <c r="C13" i="400"/>
  <c r="C17" i="483"/>
  <c r="C17" i="121"/>
  <c r="U10" i="353" a="1"/>
  <c r="AG58" i="353" a="1"/>
  <c r="C19" i="323"/>
  <c r="P34" i="353" a="1"/>
  <c r="S100" i="351" a="1"/>
  <c r="B6" i="122"/>
  <c r="K5" i="351" a="1"/>
  <c r="Q169" i="351" a="1"/>
  <c r="AO71" i="353" a="1"/>
  <c r="AQ10" i="353" a="1"/>
  <c r="X7" i="353" a="1"/>
  <c r="K79" i="353" a="1"/>
  <c r="G132" i="351" a="1"/>
  <c r="C23" i="145" a="1"/>
  <c r="P85" i="353" a="1"/>
  <c r="AN62" i="353" a="1"/>
  <c r="C18" i="420"/>
  <c r="C17" i="117"/>
  <c r="C16" i="426"/>
  <c r="AK12" i="353" a="1"/>
  <c r="X75" i="353" a="1"/>
  <c r="B7" i="440"/>
  <c r="F95" i="353" a="1"/>
  <c r="O93" i="351" a="1"/>
  <c r="AS15" i="353" a="1"/>
  <c r="AR54" i="353" a="1"/>
  <c r="P205" i="351" a="1"/>
  <c r="W25" i="353" a="1"/>
  <c r="AK99" i="353" a="1"/>
  <c r="C13" i="467"/>
  <c r="AK26" i="353" a="1"/>
  <c r="B7" i="144" a="1"/>
  <c r="AJ23" i="353" a="1"/>
  <c r="I199" i="351" a="1"/>
  <c r="C20" i="107"/>
  <c r="AS27" i="353" a="1"/>
  <c r="P40" i="353" a="1"/>
  <c r="C17" i="490"/>
  <c r="R91" i="353" a="1"/>
  <c r="C18" i="327"/>
  <c r="W40" i="353" a="1"/>
  <c r="T66" i="353" a="1"/>
  <c r="Q29" i="351" a="1"/>
  <c r="AH79" i="353" a="1"/>
  <c r="Q22" i="351" a="1"/>
  <c r="AI25" i="353" a="1"/>
  <c r="K37" i="351" a="1"/>
  <c r="B7" i="101"/>
  <c r="C13" i="278"/>
  <c r="H47" i="353" a="1"/>
  <c r="R131" i="351" a="1"/>
  <c r="Z14" i="353" a="1"/>
  <c r="C22" i="254"/>
  <c r="C19" i="467"/>
  <c r="C19" i="326"/>
  <c r="AO23" i="353" a="1"/>
  <c r="C14" i="120"/>
  <c r="R171" i="351" a="1"/>
  <c r="B6" i="410"/>
  <c r="AI91" i="353" a="1"/>
  <c r="P100" i="353" a="1"/>
  <c r="Q23" i="351" a="1"/>
  <c r="C22" i="293"/>
  <c r="B6" i="284"/>
  <c r="C15" i="310"/>
  <c r="AH18" i="353" a="1"/>
  <c r="Z84" i="353" a="1"/>
  <c r="J97" i="351" a="1"/>
  <c r="G150" i="351" a="1"/>
  <c r="Q39" i="353" a="1"/>
  <c r="AF32" i="353" a="1"/>
  <c r="AF103" i="353" a="1"/>
  <c r="C12" i="462"/>
  <c r="AT52" i="353" a="1"/>
  <c r="B7" i="340"/>
  <c r="I185" i="351" a="1"/>
  <c r="C19" i="318"/>
  <c r="F86" i="353" a="1"/>
  <c r="AK36" i="353" a="1"/>
  <c r="C21" i="271"/>
  <c r="C13" i="101"/>
  <c r="AU80" i="353" a="1"/>
  <c r="I169" i="351" a="1"/>
  <c r="M78" i="353" a="1"/>
  <c r="C15" i="491"/>
  <c r="E53" i="353" a="1"/>
  <c r="C19" i="426"/>
  <c r="V19" i="353" a="1"/>
  <c r="AJ16" i="353" a="1"/>
  <c r="P98" i="351" a="1"/>
  <c r="T37" i="353" a="1"/>
  <c r="J103" i="353" a="1"/>
  <c r="R89" i="353" a="1"/>
  <c r="C12" i="94"/>
  <c r="P19" i="353" a="1"/>
  <c r="B6" i="303"/>
  <c r="C17" i="326"/>
  <c r="C19" i="346"/>
  <c r="AL102" i="353" a="1"/>
  <c r="AN70" i="353" a="1"/>
  <c r="AI4" i="6" a="1"/>
  <c r="T193" i="351" a="1"/>
  <c r="AU58" i="353" a="1"/>
  <c r="V61" i="353" a="1"/>
  <c r="W80" i="353" a="1"/>
  <c r="X59" i="353" a="1"/>
  <c r="E97" i="353" a="1"/>
  <c r="AG71" i="353" a="1"/>
  <c r="N54" i="353" a="1"/>
  <c r="G135" i="351" a="1"/>
  <c r="AD48" i="353" a="1"/>
  <c r="O77" i="351" a="1"/>
  <c r="H196" i="351" a="1"/>
  <c r="M129" i="351" a="1"/>
  <c r="AD57" i="353" a="1"/>
  <c r="C18" i="385"/>
  <c r="AT65" i="353" a="1"/>
  <c r="AJ19" i="353" a="1"/>
  <c r="Q204" i="351" a="1"/>
  <c r="C22" i="339"/>
  <c r="C54" i="145" a="1"/>
  <c r="C19" i="474"/>
  <c r="R89" i="351" a="1"/>
  <c r="N53" i="353" a="1"/>
  <c r="AV39" i="353" a="1"/>
  <c r="K206" i="351" a="1"/>
  <c r="C17" i="440"/>
  <c r="L103" i="351" a="1"/>
  <c r="Z86" i="353" a="1"/>
  <c r="R74" i="351" a="1"/>
  <c r="X24" i="353" a="1"/>
  <c r="C14" i="472"/>
  <c r="C19" i="367"/>
  <c r="C16" i="288"/>
  <c r="B6" i="100"/>
  <c r="C12" i="324"/>
  <c r="T141" i="351" a="1"/>
  <c r="I57" i="353" a="1"/>
  <c r="S82" i="351" a="1"/>
  <c r="C16" i="278"/>
  <c r="G91" i="353" a="1"/>
  <c r="Q135" i="351" a="1"/>
  <c r="F105" i="353" a="1"/>
  <c r="AR33" i="353" a="1"/>
  <c r="K82" i="353" a="1"/>
  <c r="G34" i="353" a="1"/>
  <c r="C20" i="316"/>
  <c r="U76" i="353" a="1"/>
  <c r="K58" i="353" a="1"/>
  <c r="Q48" i="351" a="1"/>
  <c r="C14" i="318"/>
  <c r="R206" i="351" a="1"/>
  <c r="C17" i="385"/>
  <c r="AE20" i="353" a="1"/>
  <c r="AE14" i="353" a="1"/>
  <c r="B6" i="319"/>
  <c r="L183" i="351" a="1"/>
  <c r="C34" i="145" a="1"/>
  <c r="L152" i="351" a="1"/>
  <c r="C18" i="410"/>
  <c r="C21" i="400"/>
  <c r="C15" i="274"/>
  <c r="M13" i="351" a="1"/>
  <c r="E84" i="353" a="1"/>
  <c r="O85" i="351" a="1"/>
  <c r="C14" i="304"/>
  <c r="C15" i="445"/>
  <c r="R195" i="351" a="1"/>
  <c r="AP8" i="353" a="1"/>
  <c r="C20" i="330"/>
  <c r="W54" i="353" a="1"/>
  <c r="K135" i="351" a="1"/>
  <c r="AQ46" i="353" a="1"/>
  <c r="AE52" i="353" a="1"/>
  <c r="F99" i="353" a="1"/>
  <c r="S117" i="351" a="1"/>
  <c r="Y13" i="353" a="1"/>
  <c r="AD98" i="353" a="1"/>
  <c r="F74" i="353" a="1"/>
  <c r="AO24" i="6" a="1"/>
  <c r="C18" i="434"/>
  <c r="AN94" i="353" a="1"/>
  <c r="G111" i="351" a="1"/>
  <c r="AL43" i="353" a="1"/>
  <c r="B7" i="14"/>
  <c r="AR98" i="353" a="1"/>
  <c r="C19" i="494"/>
  <c r="B28" i="144" a="1"/>
  <c r="AP95" i="353" a="1"/>
  <c r="AI43" i="353" a="1"/>
  <c r="C16" i="342"/>
  <c r="G169" i="351" a="1"/>
  <c r="AH50" i="353" a="1"/>
  <c r="Q69" i="353" a="1"/>
  <c r="G59" i="351" a="1"/>
  <c r="C16" i="482"/>
  <c r="AG35" i="353" a="1"/>
  <c r="C18" i="95"/>
  <c r="AD84" i="353" a="1"/>
  <c r="C21" i="308"/>
  <c r="O125" i="351" a="1"/>
  <c r="K185" i="351" a="1"/>
  <c r="C17" i="413"/>
  <c r="H28" i="353" a="1"/>
  <c r="T57" i="353" a="1"/>
  <c r="AF89" i="353" a="1"/>
  <c r="AL26" i="353" a="1"/>
  <c r="C18" i="359"/>
  <c r="AG27" i="353" a="1"/>
  <c r="O69" i="351" a="1"/>
  <c r="AP25" i="353" a="1"/>
  <c r="AB31" i="353" a="1"/>
  <c r="C14" i="343"/>
  <c r="B6" i="307"/>
  <c r="C13" i="376"/>
  <c r="M128" i="351" a="1"/>
  <c r="G68" i="351" a="1"/>
  <c r="J57" i="351" a="1"/>
  <c r="B41" i="144" a="1"/>
  <c r="AI29" i="6" a="1"/>
  <c r="P68" i="351" a="1"/>
  <c r="B7" i="262"/>
  <c r="K75" i="351" a="1"/>
  <c r="AB27" i="353" a="1"/>
  <c r="B7" i="349"/>
  <c r="C18" i="284"/>
  <c r="B13" i="144" a="1"/>
  <c r="T99" i="353" a="1"/>
  <c r="AE55" i="353" a="1"/>
  <c r="Q201" i="351" a="1"/>
  <c r="C14" i="253"/>
  <c r="M74" i="351" a="1"/>
  <c r="W88" i="353" a="1"/>
  <c r="C20" i="110"/>
  <c r="B7" i="256"/>
  <c r="M67" i="351" a="1"/>
  <c r="B7" i="290"/>
  <c r="N32" i="353" a="1"/>
  <c r="C21" i="463"/>
  <c r="AF76" i="353" a="1"/>
  <c r="C17" i="403"/>
  <c r="K160" i="351" a="1"/>
  <c r="I51" i="353" a="1"/>
  <c r="B6" i="272"/>
  <c r="N26" i="353" a="1"/>
  <c r="K98" i="353" a="1"/>
  <c r="F33" i="353" a="1"/>
  <c r="W67" i="353" a="1"/>
  <c r="S25" i="351" a="1"/>
  <c r="C16" i="341"/>
  <c r="C20" i="403"/>
  <c r="C20" i="269"/>
  <c r="B2" i="355" a="1"/>
  <c r="Q12" i="351" a="1"/>
  <c r="C18" i="363"/>
  <c r="Q10" i="351" a="1"/>
  <c r="T104" i="353" a="1"/>
  <c r="G118" i="351" a="1"/>
  <c r="X67" i="353" a="1"/>
  <c r="R59" i="351" a="1"/>
  <c r="C22" i="130"/>
  <c r="C21" i="335"/>
  <c r="C18" i="433"/>
  <c r="O201" i="351" a="1"/>
  <c r="AE39" i="353" a="1"/>
  <c r="I22" i="353" a="1"/>
  <c r="C21" i="380"/>
  <c r="J26" i="351" a="1"/>
  <c r="AB22" i="353" a="1"/>
  <c r="C21" i="467"/>
  <c r="AP16" i="353" a="1"/>
  <c r="C12" i="301"/>
  <c r="H144" i="351" a="1"/>
  <c r="C20" i="430"/>
  <c r="C22" i="494"/>
  <c r="E60" i="353" a="1"/>
  <c r="L136" i="351" a="1"/>
  <c r="C17" i="315"/>
  <c r="R201" i="351" a="1"/>
  <c r="AT79" i="353" a="1"/>
  <c r="Q14" i="351" a="1"/>
  <c r="I68" i="353" a="1"/>
  <c r="B26" i="144" a="1"/>
  <c r="C17" i="280"/>
  <c r="R64" i="351" a="1"/>
  <c r="Q166" i="351" a="1"/>
  <c r="AL93" i="353" a="1"/>
  <c r="Q159" i="351" a="1"/>
  <c r="H83" i="351" a="1"/>
  <c r="AK24" i="353" a="1"/>
  <c r="L78" i="351" a="1"/>
  <c r="C12" i="416"/>
  <c r="AV34" i="353" a="1"/>
  <c r="AT100" i="353" a="1"/>
  <c r="C20" i="275"/>
  <c r="C14" i="107"/>
  <c r="AH85" i="353" a="1"/>
  <c r="C12" i="338"/>
  <c r="R76" i="353" a="1"/>
  <c r="B7" i="383"/>
  <c r="AA95" i="353" a="1"/>
  <c r="C18" i="293"/>
  <c r="I128" i="351" a="1"/>
  <c r="C22" i="287"/>
  <c r="AV26" i="353" a="1"/>
  <c r="C21" i="412"/>
  <c r="AA100" i="353" a="1"/>
  <c r="C22" i="128"/>
  <c r="AV30" i="353" a="1"/>
  <c r="AF16" i="353" a="1"/>
  <c r="Q78" i="353" a="1"/>
  <c r="C13" i="396"/>
  <c r="C20" i="260"/>
  <c r="G43" i="353" a="1"/>
  <c r="C14" i="281"/>
  <c r="I51" i="351" a="1"/>
  <c r="B7" i="400"/>
  <c r="AF64" i="353" a="1"/>
  <c r="L163" i="351" a="1"/>
  <c r="B6" i="442"/>
  <c r="P103" i="351" a="1"/>
  <c r="Q21" i="353" a="1"/>
  <c r="AG46" i="353" a="1"/>
  <c r="Q60" i="353" a="1"/>
  <c r="J186" i="351" a="1"/>
  <c r="AO14" i="6" a="1"/>
  <c r="C17" i="324"/>
  <c r="E21" i="353" a="1"/>
  <c r="AU20" i="353" a="1"/>
  <c r="S81" i="351" a="1"/>
  <c r="R126" i="351" a="1"/>
  <c r="R55" i="353" a="1"/>
  <c r="K104" i="351" a="1"/>
  <c r="T121" i="351" a="1"/>
  <c r="I54" i="353" a="1"/>
  <c r="AR65" i="353" a="1"/>
  <c r="B7" i="475"/>
  <c r="B7" i="313"/>
  <c r="K73" i="351" a="1"/>
  <c r="C22" i="129"/>
  <c r="G112" i="351" a="1"/>
  <c r="B7" i="381"/>
  <c r="C12" i="331"/>
  <c r="R173" i="351" a="1"/>
  <c r="AS25" i="353" a="1"/>
  <c r="O10" i="351" a="1"/>
  <c r="V85" i="353" a="1"/>
  <c r="AG43" i="353" a="1"/>
  <c r="AV8" i="353" a="1"/>
  <c r="AK42" i="353" a="1"/>
  <c r="T92" i="353" a="1"/>
  <c r="B7" i="434"/>
  <c r="AT98" i="353" a="1"/>
  <c r="K66" i="351" a="1"/>
  <c r="AP102" i="353" a="1"/>
  <c r="Z20" i="353" a="1"/>
  <c r="K33" i="353" a="1"/>
  <c r="C15" i="325"/>
  <c r="C13" i="115"/>
  <c r="C16" i="249"/>
  <c r="O135" i="351" a="1"/>
  <c r="AH102" i="353" a="1"/>
  <c r="J77" i="351" a="1"/>
  <c r="C18" i="334"/>
  <c r="C22" i="488"/>
  <c r="C16" i="340"/>
  <c r="M66" i="351" a="1"/>
  <c r="H199" i="351" a="1"/>
  <c r="AR104" i="353" a="1"/>
  <c r="J3" i="351" a="1"/>
  <c r="F35" i="353" a="1"/>
  <c r="C16" i="467"/>
  <c r="C17" i="259"/>
  <c r="G69" i="353" a="1"/>
  <c r="C21" i="108"/>
  <c r="AB82" i="353" a="1"/>
  <c r="C20" i="487"/>
  <c r="C22" i="473"/>
  <c r="AP79" i="353" a="1"/>
  <c r="G162" i="351" a="1"/>
  <c r="O184" i="351" a="1"/>
  <c r="H158" i="351" a="1"/>
  <c r="Y91" i="353" a="1"/>
  <c r="AI77" i="353" a="1"/>
  <c r="AQ8" i="353" a="1"/>
  <c r="O120" i="351" a="1"/>
  <c r="C12" i="271"/>
  <c r="I205" i="351" a="1"/>
  <c r="I94" i="353" a="1"/>
  <c r="C12" i="100"/>
  <c r="C14" i="399"/>
  <c r="C20" i="122"/>
  <c r="AH93" i="353" a="1"/>
  <c r="C18" i="344"/>
  <c r="AU50" i="353" a="1"/>
  <c r="C14" i="96"/>
  <c r="T199" i="351" a="1"/>
  <c r="M149" i="351" a="1"/>
  <c r="O62" i="351" a="1"/>
  <c r="G39" i="353" a="1"/>
  <c r="Q37" i="353" a="1"/>
  <c r="R63" i="351" a="1"/>
  <c r="U86" i="353" a="1"/>
  <c r="B7" i="487"/>
  <c r="C14" i="271"/>
  <c r="AK90" i="353" a="1"/>
  <c r="AD25" i="353" a="1"/>
  <c r="C17" i="384"/>
  <c r="P197" i="351" a="1"/>
  <c r="AK103" i="353" a="1"/>
  <c r="AJ5" i="353" a="1"/>
  <c r="AB72" i="353" a="1"/>
  <c r="C22" i="246"/>
  <c r="R186" i="351" a="1"/>
  <c r="S60" i="351" a="1"/>
  <c r="AD15" i="353" a="1"/>
  <c r="U61" i="353" a="1"/>
  <c r="Y79" i="353" a="1"/>
  <c r="M94" i="351" a="1"/>
  <c r="R101" i="353" a="1"/>
  <c r="R122" i="351" a="1"/>
  <c r="AL94" i="353" a="1"/>
  <c r="AG37" i="353" a="1"/>
  <c r="AR85" i="353" a="1"/>
  <c r="G196" i="351" a="1"/>
  <c r="H102" i="353" a="1"/>
  <c r="G154" i="351" a="1"/>
  <c r="AG56" i="353" a="1"/>
  <c r="AA39" i="353" a="1"/>
  <c r="P106" i="351" a="1"/>
  <c r="AK98" i="353" a="1"/>
  <c r="H181" i="351" a="1"/>
  <c r="K169" i="351" a="1"/>
  <c r="AF73" i="353" a="1"/>
  <c r="C20" i="288"/>
  <c r="E36" i="353" a="1"/>
  <c r="Q93" i="353" a="1"/>
  <c r="H72" i="351" a="1"/>
  <c r="AJ41" i="353" a="1"/>
  <c r="C19" i="264"/>
  <c r="AE36" i="353" a="1"/>
  <c r="AI32" i="353" a="1"/>
  <c r="C12" i="445"/>
  <c r="C44" i="145" a="1"/>
  <c r="C19" i="330"/>
  <c r="S153" i="351" a="1"/>
  <c r="E96" i="353" a="1"/>
  <c r="R108" i="351" a="1"/>
  <c r="J13" i="353" a="1"/>
  <c r="J98" i="351" a="1"/>
  <c r="J19" i="351" a="1"/>
  <c r="J47" i="351" a="1"/>
  <c r="C13" i="257"/>
  <c r="O52" i="353" a="1"/>
  <c r="AA10" i="353" a="1"/>
  <c r="I75" i="351" a="1"/>
  <c r="O19" i="351" a="1"/>
  <c r="AD49" i="353" a="1"/>
  <c r="AS75" i="353" a="1"/>
  <c r="AQ99" i="353" a="1"/>
  <c r="AA64" i="353" a="1"/>
  <c r="AL58" i="353" a="1"/>
  <c r="Q4" i="351" a="1"/>
  <c r="C16" i="306"/>
  <c r="C13" i="344"/>
  <c r="C17" i="340"/>
  <c r="C12" i="463"/>
  <c r="H159" i="351" a="1"/>
  <c r="G98" i="351" a="1"/>
  <c r="E68" i="353" a="1"/>
  <c r="C17" i="487"/>
  <c r="AV46" i="353" a="1"/>
  <c r="AK54" i="353" a="1"/>
  <c r="O153" i="351" a="1"/>
  <c r="M51" i="353" a="1"/>
  <c r="L10" i="351" a="1"/>
  <c r="G170" i="351" a="1"/>
  <c r="X71" i="353" a="1"/>
  <c r="K42" i="351" a="1"/>
  <c r="AV7" i="353" a="1"/>
  <c r="C18" i="269"/>
  <c r="AI66" i="353" a="1"/>
  <c r="R123" i="351" a="1"/>
  <c r="AR59" i="353" a="1"/>
  <c r="V99" i="353" a="1"/>
  <c r="R168" i="351" a="1"/>
  <c r="K201" i="351" a="1"/>
  <c r="J162" i="351" a="1"/>
  <c r="C21" i="455"/>
  <c r="AG7" i="353" a="1"/>
  <c r="C12" i="405"/>
  <c r="AG96" i="353" a="1"/>
  <c r="AB85" i="353" a="1"/>
  <c r="C13" i="110"/>
  <c r="AT83" i="353" a="1"/>
  <c r="AS93" i="353" a="1"/>
  <c r="W97" i="353" a="1"/>
  <c r="AN12" i="353" a="1"/>
  <c r="Z57" i="353" a="1"/>
  <c r="AP34" i="353" a="1"/>
  <c r="C18" i="380"/>
  <c r="C12" i="342"/>
  <c r="Z64" i="353" a="1"/>
  <c r="Y94" i="353" a="1"/>
  <c r="B7" i="344"/>
  <c r="S199" i="351" a="1"/>
  <c r="E65" i="353" a="1"/>
  <c r="G26" i="353" a="1"/>
  <c r="C16" i="326"/>
  <c r="AU98" i="353" a="1"/>
  <c r="E74" i="353" a="1"/>
  <c r="Y49" i="353" a="1"/>
  <c r="AI12" i="353" a="1"/>
  <c r="C14" i="262"/>
  <c r="C14" i="108"/>
  <c r="B7" i="278"/>
  <c r="AE67" i="353" a="1"/>
  <c r="P140" i="351" a="1"/>
  <c r="AU46" i="353" a="1"/>
  <c r="AL105" i="353" a="1"/>
  <c r="C16" i="403"/>
  <c r="R75" i="353" a="1"/>
  <c r="T151" i="351" a="1"/>
  <c r="H35" i="351" a="1"/>
  <c r="Q141" i="351" a="1"/>
  <c r="P125" i="351" a="1"/>
  <c r="C19" i="366"/>
  <c r="O100" i="353" a="1"/>
  <c r="C20" i="400"/>
  <c r="O180" i="351" a="1"/>
  <c r="U97" i="353" a="1"/>
  <c r="G100" i="351" a="1"/>
  <c r="C22" i="336"/>
  <c r="B7" i="107"/>
  <c r="O107" i="351" a="1"/>
  <c r="H160" i="351" a="1"/>
  <c r="AU75" i="353" a="1"/>
  <c r="N101" i="353" a="1"/>
  <c r="V86" i="353" a="1"/>
  <c r="P159" i="351" a="1"/>
  <c r="C18" i="270"/>
  <c r="W36" i="353" a="1"/>
  <c r="AG57" i="353" a="1"/>
  <c r="C14" i="14"/>
  <c r="P148" i="351" a="1"/>
  <c r="O99" i="351" a="1"/>
  <c r="B7" i="347"/>
  <c r="C19" i="246"/>
  <c r="K173" i="351" a="1"/>
  <c r="H39" i="353" a="1"/>
  <c r="K114" i="351" a="1"/>
  <c r="C19" i="468"/>
  <c r="H73" i="351" a="1"/>
  <c r="C13" i="277"/>
  <c r="C13" i="288"/>
  <c r="AQ92" i="353" a="1"/>
  <c r="AH26" i="353" a="1"/>
  <c r="C21" i="322"/>
  <c r="C21" i="280"/>
  <c r="Q136" i="351" a="1"/>
  <c r="K152" i="351" a="1"/>
  <c r="V100" i="353" a="1"/>
  <c r="N38" i="353" a="1"/>
  <c r="B7" i="305"/>
  <c r="AF34" i="353" a="1"/>
  <c r="AJ54" i="353" a="1"/>
  <c r="J95" i="353" a="1"/>
  <c r="M87" i="353" a="1"/>
  <c r="AJ94" i="353" a="1"/>
  <c r="Q75" i="351" a="1"/>
  <c r="AA82" i="353" a="1"/>
  <c r="AA45" i="353" a="1"/>
  <c r="M10" i="353" a="1"/>
  <c r="G103" i="353" a="1"/>
  <c r="C14" i="288"/>
  <c r="B7" i="345"/>
  <c r="G96" i="353" a="1"/>
  <c r="H41" i="353" a="1"/>
  <c r="K126" i="351" a="1"/>
  <c r="T18" i="351" a="1"/>
  <c r="I38" i="353" a="1"/>
  <c r="AJ56" i="353" a="1"/>
  <c r="Q202" i="351" a="1"/>
  <c r="F22" i="353" a="1"/>
  <c r="J29" i="353" a="1"/>
  <c r="J11" i="351" a="1"/>
  <c r="Y8" i="353" a="1"/>
  <c r="AS47" i="353" a="1"/>
  <c r="P35" i="353" a="1"/>
  <c r="AB49" i="353" a="1"/>
  <c r="B7" i="328"/>
  <c r="AO22" i="353" a="1"/>
  <c r="P68" i="353" a="1"/>
  <c r="C18" i="96"/>
  <c r="AF23" i="353" a="1"/>
  <c r="AH47" i="353" a="1"/>
  <c r="C19" i="343"/>
  <c r="C22" i="421"/>
  <c r="D12" i="355" a="1"/>
  <c r="N11" i="353" a="1"/>
  <c r="C17" i="321"/>
  <c r="AV45" i="353" a="1"/>
  <c r="AN71" i="353" a="1"/>
  <c r="B7" i="245"/>
  <c r="N36" i="353" a="1"/>
  <c r="AQ114" i="353" a="1"/>
  <c r="AI82" i="353" a="1"/>
  <c r="H108" i="351" a="1"/>
  <c r="M204" i="351" a="1"/>
  <c r="L54" i="351" a="1"/>
  <c r="C15" i="275"/>
  <c r="R63" i="353" a="1"/>
  <c r="P192" i="351" a="1"/>
  <c r="H115" i="351" a="1"/>
  <c r="P92" i="353" a="1"/>
  <c r="C21" i="425"/>
  <c r="AD96" i="353" a="1"/>
  <c r="C21" i="246"/>
  <c r="AD34" i="353" a="1"/>
  <c r="S85" i="351" a="1"/>
  <c r="O164" i="351" a="1"/>
  <c r="C21" i="110"/>
  <c r="C22" i="466"/>
  <c r="C20" i="333"/>
  <c r="C22" i="450"/>
  <c r="I29" i="351" a="1"/>
  <c r="C18" i="481"/>
  <c r="C19" i="282"/>
  <c r="AS11" i="353" a="1"/>
  <c r="AO99" i="353" a="1"/>
  <c r="V58" i="353" a="1"/>
  <c r="Q195" i="351" a="1"/>
  <c r="J129" i="351" a="1"/>
  <c r="C19" i="292"/>
  <c r="G80" i="353" a="1"/>
  <c r="M150" i="351" a="1"/>
  <c r="AI78" i="353" a="1"/>
  <c r="C16" i="359"/>
  <c r="E55" i="353" a="1"/>
  <c r="R5" i="351" a="1"/>
  <c r="C12" i="277"/>
  <c r="M118" i="351" a="1"/>
  <c r="R45" i="353" a="1"/>
  <c r="V14" i="353" a="1"/>
  <c r="L36" i="351" a="1"/>
  <c r="Q138" i="351" a="1"/>
  <c r="AG98" i="353" a="1"/>
  <c r="C17" i="278"/>
  <c r="K180" i="351" a="1"/>
  <c r="M126" i="351" a="1"/>
  <c r="C12" i="262"/>
  <c r="S40" i="351" a="1"/>
  <c r="T79" i="351" a="1"/>
  <c r="C12" i="349"/>
  <c r="C22" i="343"/>
  <c r="Y3" i="353" a="1"/>
  <c r="C16" i="469"/>
  <c r="O55" i="351" a="1"/>
  <c r="AI74" i="353" a="1"/>
  <c r="I84" i="353" a="1"/>
  <c r="H81" i="353" a="1"/>
  <c r="T16" i="351" a="1"/>
  <c r="C51" i="145" a="1"/>
  <c r="P172" i="351" a="1"/>
  <c r="C13" i="340"/>
  <c r="B6" i="305"/>
  <c r="H182" i="351" a="1"/>
  <c r="R35" i="351" a="1"/>
  <c r="C20" i="318"/>
  <c r="K52" i="353" a="1"/>
  <c r="B6" i="104"/>
  <c r="M34" i="353" a="1"/>
  <c r="H23" i="353" a="1"/>
  <c r="B6" i="129"/>
  <c r="R142" i="351" a="1"/>
  <c r="M46" i="353" a="1"/>
  <c r="O29" i="353" a="1"/>
  <c r="C19" i="442"/>
  <c r="C15" i="473"/>
  <c r="B6" i="403"/>
  <c r="K203" i="351" a="1"/>
  <c r="O40" i="351" a="1"/>
  <c r="G104" i="353" a="1"/>
  <c r="AI87" i="353" a="1"/>
  <c r="L93" i="351" a="1"/>
  <c r="AQ42" i="353" a="1"/>
  <c r="C15" i="367"/>
  <c r="AH4" i="353" a="1"/>
  <c r="Y18" i="353" a="1"/>
  <c r="AI42" i="353" a="1"/>
  <c r="K145" i="351" a="1"/>
  <c r="AK81" i="353" a="1"/>
  <c r="C12" i="287"/>
  <c r="X31" i="353" a="1"/>
  <c r="V50" i="353" a="1"/>
  <c r="U81" i="353" a="1"/>
  <c r="C21" i="121"/>
  <c r="AT69" i="353" a="1"/>
  <c r="Q91" i="353" a="1"/>
  <c r="E22" i="353" a="1"/>
  <c r="AH51" i="353" a="1"/>
  <c r="AS50" i="353" a="1"/>
  <c r="P123" i="351" a="1"/>
  <c r="I55" i="353" a="1"/>
  <c r="AV59" i="353" a="1"/>
  <c r="C18" i="304"/>
  <c r="J83" i="353" a="1"/>
  <c r="AJ91" i="353" a="1"/>
  <c r="AO18" i="353" a="1"/>
  <c r="AO89" i="353" a="1"/>
  <c r="G193" i="351" a="1"/>
  <c r="S56" i="351" a="1"/>
  <c r="C19" i="253"/>
  <c r="T85" i="351" a="1"/>
  <c r="M78" i="351" a="1"/>
  <c r="Q106" i="351" a="1"/>
  <c r="AQ52" i="353" a="1"/>
  <c r="J10" i="351" a="1"/>
  <c r="AU95" i="353" a="1"/>
  <c r="Q145" i="351" a="1"/>
  <c r="C18" i="275"/>
  <c r="AF17" i="353" a="1"/>
  <c r="L17" i="351" a="1"/>
  <c r="R76" i="351" a="1"/>
  <c r="J70" i="351" a="1"/>
  <c r="AP44" i="353" a="1"/>
  <c r="C15" i="468"/>
  <c r="I145" i="351" a="1"/>
  <c r="C39" i="145" a="1"/>
  <c r="V60" i="353" a="1"/>
  <c r="H61" i="351" a="1"/>
  <c r="R56" i="351" a="1"/>
  <c r="C12" i="442"/>
  <c r="J32" i="353" a="1"/>
  <c r="C13" i="269"/>
  <c r="AE46" i="353" a="1"/>
  <c r="C12" i="258"/>
  <c r="AN43" i="353" a="1"/>
  <c r="P5" i="351" a="1"/>
  <c r="B6" i="115"/>
  <c r="C19" i="304"/>
  <c r="E12" i="353" a="1"/>
  <c r="X38" i="353" a="1"/>
  <c r="C18" i="258"/>
  <c r="AK13" i="353" a="1"/>
  <c r="P52" i="353" a="1"/>
  <c r="C16" i="420"/>
  <c r="B4" i="144" a="1"/>
  <c r="AH37" i="353" a="1"/>
  <c r="R87" i="353" a="1"/>
  <c r="C15" i="292"/>
  <c r="AG25" i="353" a="1"/>
  <c r="Z46" i="353" a="1"/>
  <c r="C17" i="463"/>
  <c r="R83" i="351" a="1"/>
  <c r="I36" i="353" a="1"/>
  <c r="M170" i="351" a="1"/>
  <c r="B7" i="419"/>
  <c r="AL52" i="353" a="1"/>
  <c r="AK37" i="353" a="1"/>
  <c r="I192" i="351" a="1"/>
  <c r="S179" i="351" a="1"/>
  <c r="J68" i="351" a="1"/>
  <c r="AO31" i="6" a="1"/>
  <c r="B6" i="255"/>
  <c r="S13" i="351" a="1"/>
  <c r="H17" i="351" a="1"/>
  <c r="O52" i="351" a="1"/>
  <c r="C17" i="250"/>
  <c r="C21" i="101"/>
  <c r="P175" i="351" a="1"/>
  <c r="C13" i="326"/>
  <c r="G65" i="351" a="1"/>
  <c r="O191" i="351" a="1"/>
  <c r="AB88" i="353" a="1"/>
  <c r="AH57" i="353" a="1"/>
  <c r="C20" i="479"/>
  <c r="L26" i="351" a="1"/>
  <c r="B6" i="427"/>
  <c r="R94" i="353" a="1"/>
  <c r="C13" i="286"/>
  <c r="P167" i="351" a="1"/>
  <c r="T78" i="353" a="1"/>
  <c r="C19" i="440"/>
  <c r="R23" i="353" a="1"/>
  <c r="AI31" i="353" a="1"/>
  <c r="W82" i="353" a="1"/>
  <c r="I34" i="353" a="1"/>
  <c r="J54" i="353" a="1"/>
  <c r="C14" i="110"/>
  <c r="C16" i="299"/>
  <c r="AJ20" i="353" a="1"/>
  <c r="C13" i="96"/>
  <c r="S123" i="351" a="1"/>
  <c r="AH22" i="353" a="1"/>
  <c r="M28" i="353" a="1"/>
  <c r="C14" i="315"/>
  <c r="L125" i="351" a="1"/>
  <c r="AE42" i="353" a="1"/>
  <c r="C12" i="367"/>
  <c r="U15" i="353" a="1"/>
  <c r="M176" i="351" a="1"/>
  <c r="B7" i="430"/>
  <c r="AS78" i="353" a="1"/>
  <c r="K9" i="351" a="1"/>
  <c r="X90" i="353" a="1"/>
  <c r="R143" i="351" a="1"/>
  <c r="P152" i="351" a="1"/>
  <c r="B6" i="265"/>
  <c r="AH69" i="353" a="1"/>
  <c r="M142" i="351" a="1"/>
  <c r="B6" i="261"/>
  <c r="V104" i="353" a="1"/>
  <c r="J143" i="351" a="1"/>
  <c r="M91" i="353" a="1"/>
  <c r="L182" i="351" a="1"/>
  <c r="AH63" i="353" a="1"/>
  <c r="W47" i="353" a="1"/>
  <c r="AK95" i="353" a="1"/>
  <c r="C17" i="282"/>
  <c r="AJ52" i="353" a="1"/>
  <c r="I92" i="351" a="1"/>
  <c r="X16" i="353" a="1"/>
  <c r="AD56" i="353" a="1"/>
  <c r="K48" i="353" a="1"/>
  <c r="AJ3" i="353" a="1"/>
  <c r="T71" i="353" a="1"/>
  <c r="C13" i="285"/>
  <c r="C15" i="483"/>
  <c r="I99" i="351" a="1"/>
  <c r="AK29" i="353" a="1"/>
  <c r="G122" i="351" a="1"/>
  <c r="J93" i="353" a="1"/>
  <c r="R12" i="351" a="1"/>
  <c r="N62" i="353" a="1"/>
  <c r="T109" i="351" a="1"/>
  <c r="AA32" i="353" a="1"/>
  <c r="K89" i="351" a="1"/>
  <c r="AF19" i="353" a="1"/>
  <c r="K150" i="351" a="1"/>
  <c r="T58" i="351" a="1"/>
  <c r="AO38" i="6" a="1"/>
  <c r="C16" i="330"/>
  <c r="C16" i="264"/>
  <c r="M79" i="351" a="1"/>
  <c r="AH5" i="353" a="1"/>
  <c r="C14" i="287"/>
  <c r="P22" i="353" a="1"/>
  <c r="H106" i="351" a="1"/>
  <c r="AL96" i="353" a="1"/>
  <c r="C17" i="302"/>
  <c r="G52" i="351" a="1"/>
  <c r="C17" i="104"/>
  <c r="F47" i="353" a="1"/>
  <c r="Q131" i="351" a="1"/>
  <c r="P69" i="351" a="1"/>
  <c r="M101" i="353" a="1"/>
  <c r="B7" i="454"/>
  <c r="F76" i="353" a="1"/>
  <c r="U29" i="353" a="1"/>
  <c r="AV100" i="353" a="1"/>
  <c r="O43" i="351" a="1"/>
  <c r="Q203" i="351" a="1"/>
  <c r="AI29" i="353" a="1"/>
  <c r="X6" i="353" a="1"/>
  <c r="S78" i="351" a="1"/>
  <c r="S111" i="351" a="1"/>
  <c r="C17" i="445"/>
  <c r="C18" i="287"/>
  <c r="C21" i="348"/>
  <c r="C15" i="261"/>
  <c r="M88" i="351" a="1"/>
  <c r="V57" i="353" a="1"/>
  <c r="C19" i="359"/>
  <c r="M157" i="351" a="1"/>
  <c r="AA54" i="353" a="1"/>
  <c r="Q56" i="351" a="1"/>
  <c r="AE76" i="353" a="1"/>
  <c r="AS101" i="353" a="1"/>
  <c r="AV78" i="353" a="1"/>
  <c r="C18" i="259"/>
  <c r="P206" i="351" a="1"/>
  <c r="AI24" i="6" a="1"/>
  <c r="AF33" i="353" a="1"/>
  <c r="X94" i="353" a="1"/>
  <c r="AK78" i="353" a="1"/>
  <c r="H66" i="353" a="1"/>
  <c r="T134" i="351" a="1"/>
  <c r="N30" i="353" a="1"/>
  <c r="J161" i="351" a="1"/>
  <c r="C14" i="277"/>
  <c r="C21" i="270"/>
  <c r="K21" i="353" a="1"/>
  <c r="Q46" i="351" a="1"/>
  <c r="AJ59" i="353" a="1"/>
  <c r="V93" i="353" a="1"/>
  <c r="T52" i="353" a="1"/>
  <c r="C15" i="414"/>
  <c r="C12" i="315"/>
  <c r="O66" i="351" a="1"/>
  <c r="L138" i="351" a="1"/>
  <c r="C22" i="278"/>
  <c r="C16" i="245"/>
  <c r="M196" i="351" a="1"/>
  <c r="AA23" i="353" a="1"/>
  <c r="X96" i="353" a="1"/>
  <c r="P33" i="351" a="1"/>
  <c r="J42" i="351" a="1"/>
  <c r="S136" i="351" a="1"/>
  <c r="V82" i="353" a="1"/>
  <c r="U30" i="353" a="1"/>
  <c r="H179" i="351" a="1"/>
  <c r="AV57" i="353" a="1"/>
  <c r="C22" i="455"/>
  <c r="R85" i="353" a="1"/>
  <c r="C16" i="108"/>
  <c r="AI28" i="353" a="1"/>
  <c r="AU90" i="353" a="1"/>
  <c r="C16" i="310"/>
  <c r="Y70" i="353" a="1"/>
  <c r="C17" i="365"/>
  <c r="AS97" i="353" a="1"/>
  <c r="AF78" i="353" a="1"/>
  <c r="R93" i="351" a="1"/>
  <c r="AA87" i="353" a="1"/>
  <c r="N64" i="353" a="1"/>
  <c r="T201" i="351" a="1"/>
  <c r="AS96" i="353" a="1"/>
  <c r="C15" i="405"/>
  <c r="C15" i="300"/>
  <c r="F77" i="353" a="1"/>
  <c r="P82" i="353" a="1"/>
  <c r="C14" i="257"/>
  <c r="E14" i="353" a="1"/>
  <c r="M85" i="351" a="1"/>
  <c r="U66" i="353" a="1"/>
  <c r="B6" i="465"/>
  <c r="J164" i="351" a="1"/>
  <c r="C14" i="348"/>
  <c r="I46" i="353" a="1"/>
  <c r="AB24" i="353" a="1"/>
  <c r="H88" i="351" a="1"/>
  <c r="R110" i="351" a="1"/>
  <c r="J79" i="353" a="1"/>
  <c r="C17" i="332"/>
  <c r="J12" i="351" a="1"/>
  <c r="AQ21" i="353" a="1"/>
  <c r="AO6" i="6" a="1"/>
  <c r="AJ66" i="353" a="1"/>
  <c r="I25" i="353" a="1"/>
  <c r="J182" i="351" a="1"/>
  <c r="C21" i="109"/>
  <c r="F79" i="353" a="1"/>
  <c r="P46" i="353" a="1"/>
  <c r="E91" i="353" a="1"/>
  <c r="AH89" i="353" a="1"/>
  <c r="G36" i="353" a="1"/>
  <c r="J51" i="351" a="1"/>
  <c r="C17" i="303"/>
  <c r="M11" i="353" a="1"/>
  <c r="M197" i="351" a="1"/>
  <c r="G4" i="351" a="1"/>
  <c r="B7" i="474"/>
  <c r="M55" i="351" a="1"/>
  <c r="AI92" i="353" a="1"/>
  <c r="AR67" i="353" a="1"/>
  <c r="P88" i="353" a="1"/>
  <c r="C13" i="322"/>
  <c r="Q77" i="351" a="1"/>
  <c r="T186" i="351" a="1"/>
  <c r="C15" i="282"/>
  <c r="AO23" i="6" a="1"/>
  <c r="B7" i="129"/>
  <c r="S172" i="351" a="1"/>
  <c r="Q181" i="351" a="1"/>
  <c r="J196" i="351" a="1"/>
  <c r="AQ48" i="353" a="1"/>
  <c r="J191" i="351" a="1"/>
  <c r="P76" i="353" a="1"/>
  <c r="J122" i="351" a="1"/>
  <c r="B6" i="304"/>
  <c r="C16" i="257"/>
  <c r="W56" i="353" a="1"/>
  <c r="Z27" i="353" a="1"/>
  <c r="J170" i="351" a="1"/>
  <c r="E19" i="353" a="1"/>
  <c r="I146" i="351" a="1"/>
  <c r="AT86" i="353" a="1"/>
  <c r="C12" i="347"/>
  <c r="G95" i="351" a="1"/>
  <c r="G85" i="351" a="1"/>
  <c r="AJ33" i="353" a="1"/>
  <c r="B6" i="294"/>
  <c r="L146" i="351" a="1"/>
  <c r="T95" i="353" a="1"/>
  <c r="T66" i="351" a="1"/>
  <c r="AH101" i="353" a="1"/>
  <c r="U96" i="353" a="1"/>
  <c r="AB30" i="353" a="1"/>
  <c r="O12" i="351" a="1"/>
  <c r="AQ64" i="353" a="1"/>
  <c r="C16" i="442"/>
  <c r="G185" i="351" a="1"/>
  <c r="C17" i="295"/>
  <c r="C16" i="421"/>
  <c r="AS71" i="353" a="1"/>
  <c r="AB36" i="353" a="1"/>
  <c r="J66" i="353" a="1"/>
  <c r="C14" i="344"/>
  <c r="C14" i="330"/>
  <c r="J86" i="351" a="1"/>
  <c r="O167" i="351" a="1"/>
  <c r="I141" i="351" a="1"/>
  <c r="AV66" i="353" a="1"/>
  <c r="AT51" i="353" a="1"/>
  <c r="AN73" i="353" a="1"/>
  <c r="G23" i="353" a="1"/>
  <c r="Q86" i="351" a="1"/>
  <c r="P55" i="351" a="1"/>
  <c r="AT70" i="353" a="1"/>
  <c r="D3" i="355" a="1"/>
  <c r="H55" i="353" a="1"/>
  <c r="R75" i="351" a="1"/>
  <c r="G76" i="351" a="1"/>
  <c r="C13" i="283"/>
  <c r="C18" i="384"/>
  <c r="AB104" i="353" a="1"/>
  <c r="T21" i="353" a="1"/>
  <c r="L71" i="351" a="1"/>
  <c r="C17" i="322"/>
  <c r="X30" i="353" a="1"/>
  <c r="AK93" i="353" a="1"/>
  <c r="B7" i="273"/>
  <c r="C22" i="344"/>
  <c r="C21" i="429"/>
  <c r="Q38" i="353" a="1"/>
  <c r="T41" i="353" a="1"/>
  <c r="I37" i="351" a="1"/>
  <c r="C15" i="253"/>
  <c r="T73" i="353" a="1"/>
  <c r="Q76" i="353" a="1"/>
  <c r="O207" i="351" a="1"/>
  <c r="I80" i="351" a="1"/>
  <c r="AO98" i="353" a="1"/>
  <c r="I168" i="351" a="1"/>
  <c r="X44" i="353" a="1"/>
  <c r="C41" i="145" a="1"/>
  <c r="V38" i="353" a="1"/>
  <c r="L111" i="351" a="1"/>
  <c r="AN30" i="353" a="1"/>
  <c r="Z26" i="353" a="1"/>
  <c r="P120" i="351" a="1"/>
  <c r="C13" i="318"/>
  <c r="AS67" i="353" a="1"/>
  <c r="M102" i="353" a="1"/>
  <c r="M71" i="351" a="1"/>
  <c r="V96" i="353" a="1"/>
  <c r="K184" i="351" a="1"/>
  <c r="C21" i="107"/>
  <c r="C22" i="286"/>
  <c r="AQ17" i="353" a="1"/>
  <c r="I82" i="351" a="1"/>
  <c r="X97" i="353" a="1"/>
  <c r="J13" i="351" a="1"/>
  <c r="C12" i="321"/>
  <c r="P89" i="353" a="1"/>
  <c r="B6" i="310"/>
  <c r="V3" i="353" a="1"/>
  <c r="X98" i="353" a="1"/>
  <c r="C17" i="300"/>
  <c r="C18" i="248"/>
  <c r="C13" i="472"/>
  <c r="F81" i="353" a="1"/>
  <c r="K77" i="353" a="1"/>
  <c r="C18" i="145" a="1"/>
  <c r="T187" i="351" a="1"/>
  <c r="E29" i="353" a="1"/>
  <c r="G14" i="351" a="1"/>
  <c r="C19" i="399"/>
  <c r="T70" i="353" a="1"/>
  <c r="S121" i="351" a="1"/>
  <c r="J59" i="351" a="1"/>
  <c r="P170" i="351" a="1"/>
  <c r="N35" i="353" a="1"/>
  <c r="AI44" i="353" a="1"/>
  <c r="C14" i="123"/>
  <c r="F48" i="353" a="1"/>
  <c r="T171" i="351" a="1"/>
  <c r="AR102" i="353" a="1"/>
  <c r="O188" i="351" a="1"/>
  <c r="AK79" i="353" a="1"/>
  <c r="AI15" i="6" a="1"/>
  <c r="C18" i="399"/>
  <c r="M53" i="351" a="1"/>
  <c r="AF90" i="353" a="1"/>
  <c r="B6" i="306"/>
  <c r="I15" i="353" a="1"/>
  <c r="H183" i="351" a="1"/>
  <c r="C13" i="260"/>
  <c r="AD10" i="353" a="1"/>
  <c r="AK101" i="353" a="1"/>
  <c r="C20" i="294"/>
  <c r="E18" i="353" a="1"/>
  <c r="H190" i="351" a="1"/>
  <c r="AG45" i="353" a="1"/>
  <c r="G19" i="353" a="1"/>
  <c r="C20" i="426"/>
  <c r="S83" i="351" a="1"/>
  <c r="Q82" i="351" a="1"/>
  <c r="O86" i="353" a="1"/>
  <c r="C12" i="421"/>
  <c r="AH38" i="353" a="1"/>
  <c r="AE29" i="353" a="1"/>
  <c r="X102" i="353" a="1"/>
  <c r="Y54" i="353" a="1"/>
  <c r="C14" i="303"/>
  <c r="C18" i="330"/>
  <c r="C17" i="316"/>
  <c r="W27" i="353" a="1"/>
  <c r="P38" i="353" a="1"/>
  <c r="C19" i="117"/>
  <c r="C15" i="463"/>
  <c r="C15" i="116"/>
  <c r="AD3" i="353" a="1"/>
  <c r="H203" i="351" a="1"/>
  <c r="M26" i="353" a="1"/>
  <c r="G70" i="353" a="1"/>
  <c r="O83" i="353" a="1"/>
  <c r="AN59" i="353" a="1"/>
  <c r="T168" i="351" a="1"/>
  <c r="AK104" i="353" a="1"/>
  <c r="W93" i="353" a="1"/>
  <c r="E4" i="355" a="1"/>
  <c r="AI22" i="353" a="1"/>
  <c r="O147" i="351" a="1"/>
  <c r="B7" i="416"/>
  <c r="C17" i="246"/>
  <c r="Y46" i="353" a="1"/>
  <c r="P177" i="351" a="1"/>
  <c r="C16" i="332"/>
  <c r="C17" i="287"/>
  <c r="J38" i="353" a="1"/>
  <c r="C21" i="364"/>
  <c r="M82" i="353" a="1"/>
  <c r="C14" i="433"/>
  <c r="AG33" i="353" a="1"/>
  <c r="K72" i="353" a="1"/>
  <c r="C17" i="291"/>
  <c r="U21" i="353" a="1"/>
  <c r="H73" i="353" a="1"/>
  <c r="W103" i="353" a="1"/>
  <c r="B6" i="381"/>
  <c r="H142" i="351" a="1"/>
  <c r="Q5" i="351" a="1"/>
  <c r="C20" i="278"/>
  <c r="AH75" i="353" a="1"/>
  <c r="C21" i="294"/>
  <c r="C19" i="475"/>
  <c r="R70" i="353" a="1"/>
  <c r="C16" i="380"/>
  <c r="C20" i="262"/>
  <c r="C21" i="487"/>
  <c r="AR96" i="353" a="1"/>
  <c r="O35" i="351" a="1"/>
  <c r="C17" i="458"/>
  <c r="AI46" i="353" a="1"/>
  <c r="AG94" i="353" a="1"/>
  <c r="C40" i="145" a="1"/>
  <c r="C22" i="99"/>
  <c r="Y81" i="353" a="1"/>
  <c r="AQ24" i="353" a="1"/>
  <c r="M55" i="353" a="1"/>
  <c r="R29" i="353" a="1"/>
  <c r="AK5" i="353" a="1"/>
  <c r="J41" i="351" a="1"/>
  <c r="AN39" i="353" a="1"/>
  <c r="O94" i="351" a="1"/>
  <c r="I63" i="351" a="1"/>
  <c r="C22" i="259"/>
  <c r="C21" i="277"/>
  <c r="C22" i="268"/>
  <c r="C12" i="270"/>
  <c r="F93" i="353" a="1"/>
  <c r="C16" i="99"/>
  <c r="C19" i="307"/>
  <c r="S70" i="351" a="1"/>
  <c r="H7" i="351" a="1"/>
  <c r="C18" i="491"/>
  <c r="T100" i="351" a="1"/>
  <c r="C12" i="303"/>
  <c r="AQ31" i="353" a="1"/>
  <c r="J43" i="351" a="1"/>
  <c r="R15" i="351" a="1"/>
  <c r="C22" i="283"/>
  <c r="I31" i="351" a="1"/>
  <c r="K53" i="353" a="1"/>
  <c r="C22" i="382"/>
  <c r="C13" i="463"/>
  <c r="AQ103" i="353" a="1"/>
  <c r="G90" i="353" a="1"/>
  <c r="B7" i="123"/>
  <c r="C19" i="433"/>
  <c r="AF59" i="353" a="1"/>
  <c r="P56" i="353" a="1"/>
  <c r="AH78" i="353" a="1"/>
  <c r="C12" i="475"/>
  <c r="I76" i="353" a="1"/>
  <c r="C16" i="259"/>
  <c r="H9" i="351" a="1"/>
  <c r="AB101" i="353" a="1"/>
  <c r="R11" i="353" a="1"/>
  <c r="K66" i="353" a="1"/>
  <c r="J135" i="351" a="1"/>
  <c r="AQ57" i="353" a="1"/>
  <c r="I162" i="351" a="1"/>
  <c r="AQ101" i="353" a="1"/>
  <c r="F51" i="353" a="1"/>
  <c r="R183" i="351" a="1"/>
  <c r="Z102" i="353" a="1"/>
  <c r="C18" i="302"/>
  <c r="N47" i="353" a="1"/>
  <c r="Z114" i="353" a="1"/>
  <c r="AP49" i="353" a="1"/>
  <c r="AL100" i="353" a="1"/>
  <c r="R99" i="353" a="1"/>
  <c r="C17" i="415"/>
  <c r="H12" i="351" a="1"/>
  <c r="X54" i="353" a="1"/>
  <c r="AH8" i="353" a="1"/>
  <c r="AR11" i="353" a="1"/>
  <c r="C17" i="288"/>
  <c r="E38" i="353" a="1"/>
  <c r="H104" i="351" a="1"/>
  <c r="Q26" i="353" a="1"/>
  <c r="AF88" i="353" a="1"/>
  <c r="I207" i="351" a="1"/>
  <c r="P75" i="351" a="1"/>
  <c r="AV87" i="353" a="1"/>
  <c r="AD94" i="353" a="1"/>
  <c r="Y38" i="353" a="1"/>
  <c r="M101" i="351" a="1"/>
  <c r="T206" i="351" a="1"/>
  <c r="B6" i="302"/>
  <c r="AL49" i="353" a="1"/>
  <c r="L128" i="351" a="1"/>
  <c r="U98" i="353" a="1"/>
  <c r="W102" i="353" a="1"/>
  <c r="AA11" i="353" a="1"/>
  <c r="AI69" i="353" a="1"/>
  <c r="H15" i="351" a="1"/>
  <c r="B6" i="283"/>
  <c r="Y67" i="353" a="1"/>
  <c r="V30" i="353" a="1"/>
  <c r="B7" i="418"/>
  <c r="Z16" i="353" a="1"/>
  <c r="L198" i="351" a="1"/>
  <c r="T111" i="351" a="1"/>
  <c r="C21" i="416"/>
  <c r="C21" i="448"/>
  <c r="O130" i="351" a="1"/>
  <c r="S162" i="351" a="1"/>
  <c r="Q140" i="351" a="1"/>
  <c r="AF91" i="353" a="1"/>
  <c r="AJ38" i="353" a="1"/>
  <c r="AO20" i="353" a="1"/>
  <c r="G82" i="353" a="1"/>
  <c r="M80" i="351" a="1"/>
  <c r="U28" i="353" a="1"/>
  <c r="W8" i="353" a="1"/>
  <c r="AH70" i="353" a="1"/>
  <c r="Q89" i="351" a="1"/>
  <c r="X40" i="353" a="1"/>
  <c r="AI96" i="353" a="1"/>
  <c r="K192" i="351" a="1"/>
  <c r="M96" i="351" a="1"/>
  <c r="F24" i="353" a="1"/>
  <c r="C12" i="479"/>
  <c r="M12" i="353" a="1"/>
  <c r="W83" i="353" a="1"/>
  <c r="C21" i="253"/>
  <c r="K83" i="353" a="1"/>
  <c r="C13" i="309"/>
  <c r="AT10" i="353" a="1"/>
  <c r="I68" i="351" a="1"/>
  <c r="K11" i="353" a="1"/>
  <c r="K95" i="351" a="1"/>
  <c r="T114" i="353" a="1"/>
  <c r="C17" i="276"/>
  <c r="C12" i="252"/>
  <c r="B6" i="455"/>
  <c r="P42" i="351" a="1"/>
  <c r="AS98" i="353" a="1"/>
  <c r="AQ28" i="353" a="1"/>
  <c r="I64" i="353" a="1"/>
  <c r="J19" i="353" a="1"/>
  <c r="O54" i="353" a="1"/>
  <c r="P72" i="353" a="1"/>
  <c r="B7" i="338"/>
  <c r="Y55" i="353" a="1"/>
  <c r="T144" i="351" a="1"/>
  <c r="C12" i="440"/>
  <c r="C20" i="286"/>
  <c r="Q59" i="351" a="1"/>
  <c r="M40" i="353" a="1"/>
  <c r="AN18" i="353" a="1"/>
  <c r="I88" i="351" a="1"/>
  <c r="AR94" i="353" a="1"/>
  <c r="C17" i="336"/>
  <c r="G106" i="351" a="1"/>
  <c r="Z39" i="353" a="1"/>
  <c r="M111" i="351" a="1"/>
  <c r="AK32" i="353" a="1"/>
  <c r="C22" i="305"/>
  <c r="M9" i="351" a="1"/>
  <c r="C20" i="268"/>
  <c r="AU61" i="353" a="1"/>
  <c r="AA15" i="353" a="1"/>
  <c r="J151" i="351" a="1"/>
  <c r="J99" i="353" a="1"/>
  <c r="B7" i="281"/>
  <c r="Q30" i="351" a="1"/>
  <c r="C22" i="359"/>
  <c r="AQ41" i="353" a="1"/>
  <c r="AL78" i="353" a="1"/>
  <c r="AE23" i="353" a="1"/>
  <c r="AD26" i="353" a="1"/>
  <c r="AH60" i="353" a="1"/>
  <c r="N76" i="353" a="1"/>
  <c r="C22" i="368"/>
  <c r="P63" i="353" a="1"/>
  <c r="AH66" i="353" a="1"/>
  <c r="J65" i="351" a="1"/>
  <c r="C17" i="306"/>
  <c r="AV55" i="353" a="1"/>
  <c r="N44" i="353" a="1"/>
  <c r="C21" i="282"/>
  <c r="AQ40" i="353" a="1"/>
  <c r="C20" i="421"/>
  <c r="K112" i="351" a="1"/>
  <c r="M56" i="351" a="1"/>
  <c r="C16" i="14"/>
  <c r="L3" i="351" a="1"/>
  <c r="R72" i="353" a="1"/>
  <c r="AU8" i="353" a="1"/>
  <c r="G167" i="351" a="1"/>
  <c r="O21" i="351" a="1"/>
  <c r="C15" i="272"/>
  <c r="W19" i="353" a="1"/>
  <c r="H167" i="351" a="1"/>
  <c r="L148" i="351" a="1"/>
  <c r="S125" i="351" a="1"/>
  <c r="J187" i="351" a="1"/>
  <c r="AD104" i="353" a="1"/>
  <c r="C13" i="420"/>
  <c r="U78" i="353" a="1"/>
  <c r="C17" i="344"/>
  <c r="AE40" i="353" a="1"/>
  <c r="H96" i="351" a="1"/>
  <c r="T102" i="351" a="1"/>
  <c r="C12" i="306"/>
  <c r="AT7" i="353" a="1"/>
  <c r="T70" i="351" a="1"/>
  <c r="E62" i="353" a="1"/>
  <c r="Z95" i="353" a="1"/>
  <c r="C19" i="388"/>
  <c r="B7" i="393"/>
  <c r="C12" i="269"/>
  <c r="AO75" i="353" a="1"/>
  <c r="C20" i="405"/>
  <c r="B6" i="483"/>
  <c r="K63" i="351" a="1"/>
  <c r="R20" i="353" a="1"/>
  <c r="C20" i="130"/>
  <c r="I78" i="351" a="1"/>
  <c r="AU64" i="353" a="1"/>
  <c r="AT75" i="353" a="1"/>
  <c r="D53" i="146" a="1"/>
  <c r="AK21" i="353" a="1"/>
  <c r="C12" i="464"/>
  <c r="C12" i="254"/>
  <c r="C21" i="273"/>
  <c r="T80" i="351" a="1"/>
  <c r="L202" i="351" a="1"/>
  <c r="T45" i="351" a="1"/>
  <c r="X114" i="353" a="1"/>
  <c r="I123" i="351" a="1"/>
  <c r="I197" i="351" a="1"/>
  <c r="AR93" i="353" a="1"/>
  <c r="C18" i="117"/>
  <c r="AF72" i="353" a="1"/>
  <c r="C18" i="297"/>
  <c r="G142" i="351" a="1"/>
  <c r="Z91" i="353" a="1"/>
  <c r="W69" i="353" a="1"/>
  <c r="O59" i="351" a="1"/>
  <c r="O68" i="351" a="1"/>
  <c r="E61" i="353" a="1"/>
  <c r="R55" i="351" a="1"/>
  <c r="C22" i="104"/>
  <c r="B7" i="268"/>
  <c r="AN13" i="353" a="1"/>
  <c r="C15" i="306"/>
  <c r="O57" i="353" a="1"/>
  <c r="AQ23" i="353" a="1"/>
  <c r="P29" i="351" a="1"/>
  <c r="C14" i="336"/>
  <c r="L27" i="351" a="1"/>
  <c r="B6" i="419"/>
  <c r="K67" i="351" a="1"/>
  <c r="L73" i="351" a="1"/>
  <c r="R150" i="351" a="1"/>
  <c r="C16" i="313"/>
  <c r="J92" i="351" a="1"/>
  <c r="C19" i="263"/>
  <c r="C20" i="303"/>
  <c r="C14" i="380"/>
  <c r="U20" i="353" a="1"/>
  <c r="I206" i="351" a="1"/>
  <c r="K6" i="351" a="1"/>
  <c r="V27" i="353" a="1"/>
  <c r="AD88" i="353" a="1"/>
  <c r="AP86" i="353" a="1"/>
  <c r="AI27" i="353" a="1"/>
  <c r="B35" i="144" a="1"/>
  <c r="K42" i="353" a="1"/>
  <c r="T132" i="351" a="1"/>
  <c r="AU6" i="353" a="1"/>
  <c r="AU16" i="353" a="1"/>
  <c r="B7" i="304"/>
  <c r="C13" i="325"/>
  <c r="K27" i="351" a="1"/>
  <c r="C14" i="251"/>
  <c r="C22" i="396"/>
  <c r="AD6" i="353" a="1"/>
  <c r="C18" i="317"/>
  <c r="AR24" i="353" a="1"/>
  <c r="AQ14" i="353" a="1"/>
  <c r="M43" i="353" a="1"/>
  <c r="C13" i="334"/>
  <c r="C13" i="253"/>
  <c r="AQ20" i="353" a="1"/>
  <c r="AE81" i="353" a="1"/>
  <c r="K26" i="351" a="1"/>
  <c r="J40" i="351" a="1"/>
  <c r="K64" i="351" a="1"/>
  <c r="AT93" i="353" a="1"/>
  <c r="AQ6" i="353" a="1"/>
  <c r="S191" i="351" a="1"/>
  <c r="O202" i="351" a="1"/>
  <c r="F102" i="353" a="1"/>
  <c r="AP62" i="353" a="1"/>
  <c r="P88" i="351" a="1"/>
  <c r="C13" i="282"/>
  <c r="AQ97" i="353" a="1"/>
  <c r="B6" i="273"/>
  <c r="R8" i="351" a="1"/>
  <c r="K138" i="351" a="1"/>
  <c r="C16" i="428"/>
  <c r="B6" i="338"/>
  <c r="J156" i="351" a="1"/>
  <c r="Q165" i="351" a="1"/>
  <c r="P43" i="353" a="1"/>
  <c r="C14" i="337"/>
  <c r="M151" i="351" a="1"/>
  <c r="P54" i="351" a="1"/>
  <c r="B7" i="331"/>
  <c r="V46" i="353" a="1"/>
  <c r="C15" i="295"/>
  <c r="C20" i="127"/>
  <c r="C20" i="272"/>
  <c r="T142" i="351" a="1"/>
  <c r="C19" i="327"/>
  <c r="T11" i="353" a="1"/>
  <c r="K20" i="351" a="1"/>
  <c r="W89" i="353" a="1"/>
  <c r="G195" i="351" a="1"/>
  <c r="H21" i="351" a="1"/>
  <c r="J189" i="351" a="1"/>
  <c r="AR69" i="353" a="1"/>
  <c r="J64" i="353" a="1"/>
  <c r="AT48" i="353" a="1"/>
  <c r="V37" i="353" a="1"/>
  <c r="M185" i="351" a="1"/>
  <c r="AK55" i="353" a="1"/>
  <c r="R28" i="353" a="1"/>
  <c r="AJ62" i="353" a="1"/>
  <c r="C22" i="267"/>
  <c r="Z4" i="353" a="1"/>
  <c r="H197" i="351" a="1"/>
  <c r="AQ98" i="353" a="1"/>
  <c r="L18" i="351" a="1"/>
  <c r="Q71" i="353" a="1"/>
  <c r="M71" i="353" a="1"/>
  <c r="AE64" i="353" a="1"/>
  <c r="I171" i="351" a="1"/>
  <c r="Q133" i="351" a="1"/>
  <c r="AB96" i="353" a="1"/>
  <c r="X48" i="353" a="1"/>
  <c r="C21" i="421"/>
  <c r="C22" i="328"/>
  <c r="L204" i="351" a="1"/>
  <c r="Q172" i="351" a="1"/>
  <c r="Q42" i="353" a="1"/>
  <c r="R192" i="351" a="1"/>
  <c r="AV88" i="353" a="1"/>
  <c r="AV76" i="353" a="1"/>
  <c r="AF92" i="353" a="1"/>
  <c r="AB8" i="353" a="1"/>
  <c r="Q143" i="351" a="1"/>
  <c r="AN103" i="353" a="1"/>
  <c r="C20" i="293"/>
  <c r="V21" i="353" a="1"/>
  <c r="AH82" i="353" a="1"/>
  <c r="J42" i="353" a="1"/>
  <c r="F20" i="353" a="1"/>
  <c r="AS82" i="353" a="1"/>
  <c r="T63" i="351" a="1"/>
  <c r="T39" i="353" a="1"/>
  <c r="Q104" i="353" a="1"/>
  <c r="J68" i="353" a="1"/>
  <c r="L181" i="351" a="1"/>
  <c r="AI13" i="6" a="1"/>
  <c r="C12" i="413"/>
  <c r="AF61" i="353" a="1"/>
  <c r="J116" i="351" a="1"/>
  <c r="R185" i="351" a="1"/>
  <c r="N51" i="353" a="1"/>
  <c r="J95" i="351" a="1"/>
  <c r="X80" i="353" a="1"/>
  <c r="C13" i="145" a="1"/>
  <c r="AO83" i="353" a="1"/>
  <c r="C16" i="103"/>
  <c r="T34" i="353" a="1"/>
  <c r="T91" i="351" a="1"/>
  <c r="C21" i="290"/>
  <c r="AN58" i="353" a="1"/>
  <c r="L74" i="351" a="1"/>
  <c r="P27" i="353" a="1"/>
  <c r="AO80" i="353" a="1"/>
  <c r="C13" i="117"/>
  <c r="AS88" i="353" a="1"/>
  <c r="H13" i="353" a="1"/>
  <c r="AL73" i="353" a="1"/>
  <c r="AF82" i="353" a="1"/>
  <c r="D4" i="355" a="1"/>
  <c r="C16" i="323"/>
  <c r="C12" i="456"/>
  <c r="C18" i="289"/>
  <c r="AP31" i="353" a="1"/>
  <c r="G51" i="353" a="1"/>
  <c r="V45" i="353" a="1"/>
  <c r="AF80" i="353" a="1"/>
  <c r="L191" i="351" a="1"/>
  <c r="C22" i="442"/>
  <c r="M6" i="351" a="1"/>
  <c r="K122" i="351" a="1"/>
  <c r="K29" i="351" a="1"/>
  <c r="P23" i="353" a="1"/>
  <c r="Q96" i="353" a="1"/>
  <c r="H33" i="351" a="1"/>
  <c r="C14" i="363"/>
  <c r="AK69" i="353" a="1"/>
  <c r="C19" i="392"/>
  <c r="U6" i="353" a="1"/>
  <c r="AN88" i="353" a="1"/>
  <c r="C12" i="450"/>
  <c r="AK45" i="353" a="1"/>
  <c r="AV13" i="353" a="1"/>
  <c r="C18" i="278"/>
  <c r="G41" i="351" a="1"/>
  <c r="B7" i="494"/>
  <c r="B6" i="277"/>
  <c r="G79" i="353" a="1"/>
  <c r="AB58" i="353" a="1"/>
  <c r="G79" i="351" a="1"/>
  <c r="U83" i="353" a="1"/>
  <c r="C22" i="279"/>
  <c r="B6" i="332"/>
  <c r="B44" i="144" a="1"/>
  <c r="S126" i="351" a="1"/>
  <c r="B7" i="279"/>
  <c r="C14" i="265"/>
  <c r="C18" i="311"/>
  <c r="P43" i="351" a="1"/>
  <c r="C17" i="307"/>
  <c r="C21" i="483"/>
  <c r="AV72" i="353" a="1"/>
  <c r="C18" i="312"/>
  <c r="M103" i="353" a="1"/>
  <c r="C21" i="318"/>
  <c r="K81" i="351" a="1"/>
  <c r="C22" i="306"/>
  <c r="C20" i="488"/>
  <c r="AQ62" i="353" a="1"/>
  <c r="U7" i="353" a="1"/>
  <c r="C12" i="279"/>
  <c r="T68" i="353" a="1"/>
  <c r="AA60" i="353" a="1"/>
  <c r="C21" i="427"/>
  <c r="AF46" i="353" a="1"/>
  <c r="AT87" i="353" a="1"/>
  <c r="I35" i="353" a="1"/>
  <c r="C15" i="336"/>
  <c r="I93" i="353" a="1"/>
  <c r="B7" i="253"/>
  <c r="C18" i="465"/>
  <c r="AO50" i="353" a="1"/>
  <c r="C15" i="115"/>
  <c r="I94" i="351" a="1"/>
  <c r="AV10" i="353" a="1"/>
  <c r="G45" i="353" a="1"/>
  <c r="D52" i="146" a="1"/>
  <c r="AP59" i="353" a="1"/>
  <c r="M103" i="351" a="1"/>
  <c r="O151" i="351" a="1"/>
  <c r="T108" i="351" a="1"/>
  <c r="S18" i="351" a="1"/>
  <c r="AN64" i="353" a="1"/>
  <c r="C16" i="128"/>
  <c r="I79" i="353" a="1"/>
  <c r="C16" i="455"/>
  <c r="AP12" i="353" a="1"/>
  <c r="L162" i="351" a="1"/>
  <c r="AU52" i="353" a="1"/>
  <c r="C20" i="419"/>
  <c r="U50" i="353" a="1"/>
  <c r="S158" i="351" a="1"/>
  <c r="AH54" i="353" a="1"/>
  <c r="C21" i="388"/>
  <c r="B7" i="301"/>
  <c r="G171" i="351" a="1"/>
  <c r="J145" i="351" a="1"/>
  <c r="C12" i="319"/>
  <c r="Z25" i="353" a="1"/>
  <c r="C18" i="103"/>
  <c r="O8" i="351" a="1"/>
  <c r="K23" i="353" a="1"/>
  <c r="O142" i="351" a="1"/>
  <c r="T17" i="353" a="1"/>
  <c r="C15" i="317"/>
  <c r="AS57" i="353" a="1"/>
  <c r="B6" i="363"/>
  <c r="C16" i="295"/>
  <c r="Z33" i="353" a="1"/>
  <c r="C17" i="323"/>
  <c r="C15" i="120"/>
  <c r="I89" i="353" a="1"/>
  <c r="C21" i="310"/>
  <c r="C12" i="472"/>
  <c r="R82" i="353" a="1"/>
  <c r="P203" i="351" a="1"/>
  <c r="AI95" i="353" a="1"/>
  <c r="O19" i="353" a="1"/>
  <c r="C19" i="338"/>
  <c r="AK22" i="353" a="1"/>
  <c r="M72" i="353" a="1"/>
  <c r="M22" i="351" a="1"/>
  <c r="T101" i="353" a="1"/>
  <c r="T69" i="353" a="1"/>
  <c r="H44" i="351" a="1"/>
  <c r="C19" i="325"/>
  <c r="H137" i="351" a="1"/>
  <c r="C20" i="96"/>
  <c r="AR83" i="353" a="1"/>
  <c r="AB29" i="353" a="1"/>
  <c r="N97" i="353" a="1"/>
  <c r="AQ11" i="353" a="1"/>
  <c r="T86" i="351" a="1"/>
  <c r="M18" i="351" a="1"/>
  <c r="T41" i="351" a="1"/>
  <c r="AP21" i="353" a="1"/>
  <c r="AF114" i="353" a="1"/>
  <c r="AU45" i="353" a="1"/>
  <c r="S49" i="351" a="1"/>
  <c r="C12" i="294"/>
  <c r="C14" i="418"/>
  <c r="M183" i="351" a="1"/>
  <c r="F58" i="353" a="1"/>
  <c r="I40" i="351" a="1"/>
  <c r="H104" i="353" a="1"/>
  <c r="C22" i="281"/>
  <c r="V22" i="353" a="1"/>
  <c r="AF63" i="353" a="1"/>
  <c r="P64" i="351" a="1"/>
  <c r="L171" i="351" a="1"/>
  <c r="K108" i="351" a="1"/>
  <c r="C12" i="281"/>
  <c r="AS36" i="353" a="1"/>
  <c r="AE53" i="353" a="1"/>
  <c r="C15" i="488"/>
  <c r="P92" i="351" a="1"/>
  <c r="C18" i="130"/>
  <c r="C14" i="346"/>
  <c r="Q43" i="353" a="1"/>
  <c r="B6" i="479"/>
  <c r="J184" i="351" a="1"/>
  <c r="C12" i="96"/>
  <c r="K48" i="351" a="1"/>
  <c r="C16" i="113"/>
  <c r="C22" i="400"/>
  <c r="AI24" i="353" a="1"/>
  <c r="C21" i="289"/>
  <c r="C15" i="95"/>
  <c r="H169" i="351" a="1"/>
  <c r="P32" i="353" a="1"/>
  <c r="L124" i="351" a="1"/>
  <c r="J51" i="353" a="1"/>
  <c r="M180" i="351" a="1"/>
  <c r="J75" i="351" a="1"/>
  <c r="Q20" i="353" a="1"/>
  <c r="T165" i="351" a="1"/>
  <c r="AO48" i="353" a="1"/>
  <c r="C12" i="291"/>
  <c r="O65" i="353" a="1"/>
  <c r="AP84" i="353" a="1"/>
  <c r="U69" i="353" a="1"/>
  <c r="O77" i="353" a="1"/>
  <c r="B7" i="405"/>
  <c r="R99" i="351" a="1"/>
  <c r="I90" i="353" a="1"/>
  <c r="AO31" i="353" a="1"/>
  <c r="W65" i="353" a="1"/>
  <c r="I190" i="351" a="1"/>
  <c r="I120" i="351" a="1"/>
  <c r="AV33" i="353" a="1"/>
  <c r="Q36" i="351" a="1"/>
  <c r="AI22" i="6" a="1"/>
  <c r="J87" i="351" a="1"/>
  <c r="G53" i="351" a="1"/>
  <c r="AI15" i="353" a="1"/>
  <c r="C19" i="418"/>
  <c r="AV60" i="353" a="1"/>
  <c r="AE70" i="353" a="1"/>
  <c r="W66" i="353" a="1"/>
  <c r="O32" i="353" a="1"/>
  <c r="O160" i="351" a="1"/>
  <c r="O161" i="351" a="1"/>
  <c r="C12" i="334"/>
  <c r="AL86" i="353" a="1"/>
  <c r="C53" i="145" a="1"/>
  <c r="AG87" i="353" a="1"/>
  <c r="AI35" i="353" a="1"/>
  <c r="AS35" i="353" a="1"/>
  <c r="AJ57" i="353" a="1"/>
  <c r="E80" i="353" a="1"/>
  <c r="G56" i="353" a="1"/>
  <c r="C13" i="99"/>
  <c r="I181" i="351" a="1"/>
  <c r="AA33" i="353" a="1"/>
  <c r="S19" i="351" a="1"/>
  <c r="AF35" i="353" a="1"/>
  <c r="AF53" i="353" a="1"/>
  <c r="T173" i="351" a="1"/>
  <c r="G35" i="351" a="1"/>
  <c r="C19" i="115"/>
  <c r="C19" i="308"/>
  <c r="S33" i="351" a="1"/>
  <c r="AQ66" i="353" a="1"/>
  <c r="C12" i="399"/>
  <c r="R33" i="351" a="1"/>
  <c r="AS16" i="353" a="1"/>
  <c r="C13" i="314"/>
  <c r="G42" i="353" a="1"/>
  <c r="AD43" i="353" a="1"/>
  <c r="Q134" i="351" a="1"/>
  <c r="X95" i="353" a="1"/>
  <c r="C22" i="282"/>
  <c r="AL70" i="353" a="1"/>
  <c r="Q25" i="351" a="1"/>
  <c r="W16" i="353" a="1"/>
  <c r="R118" i="351" a="1"/>
  <c r="AR30" i="353" a="1"/>
  <c r="M112" i="351" a="1"/>
  <c r="T65" i="353" a="1"/>
  <c r="AB40" i="353" a="1"/>
  <c r="L186" i="351" a="1"/>
  <c r="Q50" i="353" a="1"/>
  <c r="AQ47" i="353" a="1"/>
  <c r="H140" i="351" a="1"/>
  <c r="T35" i="351" a="1"/>
  <c r="C15" i="327"/>
  <c r="C18" i="396"/>
  <c r="I114" i="351" a="1"/>
  <c r="AJ82" i="353" a="1"/>
  <c r="H139" i="351" a="1"/>
  <c r="N63" i="353" a="1"/>
  <c r="AH28" i="353" a="1"/>
  <c r="Q26" i="351" a="1"/>
  <c r="P90" i="353" a="1"/>
  <c r="AJ11" i="353" a="1"/>
  <c r="C15" i="335"/>
  <c r="C15" i="450"/>
  <c r="AH56" i="353" a="1"/>
  <c r="B6" i="110"/>
  <c r="O73" i="351" a="1"/>
  <c r="AV98" i="353" a="1"/>
  <c r="R48" i="353" a="1"/>
  <c r="C16" i="464"/>
  <c r="I16" i="351" a="1"/>
  <c r="J148" i="351" a="1"/>
  <c r="O197" i="351" a="1"/>
  <c r="H67" i="351" a="1"/>
  <c r="M61" i="351" a="1"/>
  <c r="C16" i="301"/>
  <c r="C18" i="266"/>
  <c r="O162" i="351" a="1"/>
  <c r="AP94" i="353" a="1"/>
  <c r="V69" i="353" a="1"/>
  <c r="B7" i="403"/>
  <c r="U42" i="353" a="1"/>
  <c r="G31" i="353" a="1"/>
  <c r="AA34" i="353" a="1"/>
  <c r="E11" i="353" a="1"/>
  <c r="AO103" i="353" a="1"/>
  <c r="AD100" i="353" a="1"/>
  <c r="C20" i="338"/>
  <c r="R103" i="351" a="1"/>
  <c r="T198" i="351" a="1"/>
  <c r="J61" i="351" a="1"/>
  <c r="Z31" i="353" a="1"/>
  <c r="AJ13" i="353" a="1"/>
  <c r="I6" i="351" a="1"/>
  <c r="S109" i="351" a="1"/>
  <c r="C13" i="123"/>
  <c r="R68" i="351" a="1"/>
  <c r="N20" i="353" a="1"/>
  <c r="C18" i="257"/>
  <c r="P28" i="353" a="1"/>
  <c r="H68" i="351" a="1"/>
  <c r="H100" i="351" a="1"/>
  <c r="S127" i="351" a="1"/>
  <c r="K96" i="353" a="1"/>
  <c r="N68" i="353" a="1"/>
  <c r="R52" i="353" a="1"/>
  <c r="AL16" i="353" a="1"/>
  <c r="AH32" i="353" a="1"/>
  <c r="AD67" i="353" a="1"/>
  <c r="V94" i="353" a="1"/>
  <c r="H116" i="351" a="1"/>
  <c r="X25" i="353" a="1"/>
  <c r="L63" i="351" a="1"/>
  <c r="B7" i="302"/>
  <c r="L84" i="351" a="1"/>
  <c r="C15" i="118"/>
  <c r="N55" i="353" a="1"/>
  <c r="C19" i="412"/>
  <c r="G10" i="351" a="1"/>
  <c r="E75" i="353" a="1"/>
  <c r="C18" i="442"/>
  <c r="Q177" i="351" a="1"/>
  <c r="B8" i="144" a="1"/>
  <c r="K89" i="353" a="1"/>
  <c r="Z53" i="353" a="1"/>
  <c r="K167" i="351" a="1"/>
  <c r="C12" i="448"/>
  <c r="C18" i="400"/>
  <c r="K77" i="351" a="1"/>
  <c r="I89" i="351" a="1"/>
  <c r="C21" i="316"/>
  <c r="W33" i="353" a="1"/>
  <c r="C20" i="481"/>
  <c r="G139" i="351" a="1"/>
  <c r="Q37" i="351" a="1"/>
  <c r="J160" i="351" a="1"/>
  <c r="AO114" i="353" a="1"/>
  <c r="K91" i="351" a="1"/>
  <c r="M171" i="351" a="1"/>
  <c r="AG72" i="353" a="1"/>
  <c r="C14" i="95"/>
  <c r="O21" i="353" a="1"/>
  <c r="AO19" i="353" a="1"/>
  <c r="X105" i="353" a="1"/>
  <c r="C22" i="310"/>
  <c r="M105" i="351" a="1"/>
  <c r="AG99" i="353" a="1"/>
  <c r="C12" i="381"/>
  <c r="Y92" i="353" a="1"/>
  <c r="AL31" i="353" a="1"/>
  <c r="AN11" i="353" a="1"/>
  <c r="AJ4" i="353" a="1"/>
  <c r="B7" i="274"/>
  <c r="AP81" i="353" a="1"/>
  <c r="R128" i="351" a="1"/>
  <c r="B7" i="469"/>
  <c r="K45" i="351" a="1"/>
  <c r="L180" i="351" a="1"/>
  <c r="AF83" i="353" a="1"/>
  <c r="W12" i="353" a="1"/>
  <c r="C17" i="381"/>
  <c r="Q110" i="351" a="1"/>
  <c r="I101" i="351" a="1"/>
  <c r="F66" i="353" a="1"/>
  <c r="T89" i="353" a="1"/>
  <c r="G144" i="351" a="1"/>
  <c r="T71" i="351" a="1"/>
  <c r="AE11" i="353" a="1"/>
  <c r="Q139" i="351" a="1"/>
  <c r="O80" i="351" a="1"/>
  <c r="C14" i="270"/>
  <c r="Z65" i="353" a="1"/>
  <c r="F12" i="353" a="1"/>
  <c r="C21" i="341"/>
  <c r="R98" i="353" a="1"/>
  <c r="P44" i="353" a="1"/>
  <c r="AI7" i="6" a="1"/>
  <c r="H149" i="351" a="1"/>
  <c r="M40" i="351" a="1"/>
  <c r="V77" i="353" a="1"/>
  <c r="AP58" i="353" a="1"/>
  <c r="I8" i="351" a="1"/>
  <c r="J82" i="353" a="1"/>
  <c r="C20" i="474"/>
  <c r="I165" i="351" a="1"/>
  <c r="N69" i="353" a="1"/>
  <c r="I86" i="351" a="1"/>
  <c r="B7" i="346"/>
  <c r="P38" i="351" a="1"/>
  <c r="AF27" i="353" a="1"/>
  <c r="J30" i="351" a="1"/>
  <c r="O25" i="351" a="1"/>
  <c r="B7" i="121"/>
  <c r="E95" i="353" a="1"/>
  <c r="AV75" i="353" a="1"/>
  <c r="C14" i="300"/>
  <c r="AT3" i="353" a="1"/>
  <c r="I54" i="351" a="1"/>
  <c r="AK60" i="353" a="1"/>
  <c r="F89" i="353" a="1"/>
  <c r="AD70" i="353" a="1"/>
  <c r="O156" i="351" a="1"/>
  <c r="AI50" i="353" a="1"/>
  <c r="Q90" i="353" a="1"/>
  <c r="AB56" i="353" a="1"/>
  <c r="X14" i="353" a="1"/>
  <c r="AH39" i="353" a="1"/>
  <c r="S90" i="351" a="1"/>
  <c r="O102" i="353" a="1"/>
  <c r="C15" i="368"/>
  <c r="N77" i="353" a="1"/>
  <c r="C20" i="254"/>
  <c r="T67" i="351" a="1"/>
  <c r="AB4" i="353" a="1"/>
  <c r="C13" i="380"/>
  <c r="Q87" i="353" a="1"/>
  <c r="O23" i="353" a="1"/>
  <c r="C19" i="130"/>
  <c r="AS44" i="353" a="1"/>
  <c r="C18" i="14"/>
  <c r="C21" i="115"/>
  <c r="B6" i="342"/>
  <c r="C20" i="385"/>
  <c r="B47" i="144" a="1"/>
  <c r="C15" i="305"/>
  <c r="B7" i="421"/>
  <c r="AO84" i="353" a="1"/>
  <c r="C21" i="336"/>
  <c r="R159" i="351" a="1"/>
  <c r="C13" i="339"/>
  <c r="G58" i="351" a="1"/>
  <c r="AA83" i="353" a="1"/>
  <c r="C20" i="466"/>
  <c r="AP18" i="353" a="1"/>
  <c r="AH97" i="353" a="1"/>
  <c r="L64" i="351" a="1"/>
  <c r="J158" i="351" a="1"/>
  <c r="AI34" i="353" a="1"/>
  <c r="AI40" i="353" a="1"/>
  <c r="H110" i="351" a="1"/>
  <c r="S99" i="351" a="1"/>
  <c r="O43" i="353" a="1"/>
  <c r="U75" i="353" a="1"/>
  <c r="C20" i="467"/>
  <c r="S203" i="351" a="1"/>
  <c r="L79" i="351" a="1"/>
  <c r="J70" i="353" a="1"/>
  <c r="R27" i="351" a="1"/>
  <c r="R33" i="353" a="1"/>
  <c r="AG102" i="353" a="1"/>
  <c r="J30" i="353" a="1"/>
  <c r="C20" i="305"/>
  <c r="R167" i="351" a="1"/>
  <c r="C14" i="260"/>
  <c r="I52" i="351" a="1"/>
  <c r="C17" i="247"/>
  <c r="AI17" i="6" a="1"/>
  <c r="W60" i="353" a="1"/>
  <c r="C18" i="323"/>
  <c r="C12" i="293"/>
  <c r="H93" i="353" a="1"/>
  <c r="AH81" i="353" a="1"/>
  <c r="V92" i="353" a="1"/>
  <c r="E102" i="353" a="1"/>
  <c r="O103" i="353" a="1"/>
  <c r="C19" i="410"/>
  <c r="C17" i="427"/>
  <c r="I58" i="351" a="1"/>
  <c r="M165" i="351" a="1"/>
  <c r="H62" i="353" a="1"/>
  <c r="C12" i="298"/>
  <c r="P168" i="351" a="1"/>
  <c r="C13" i="468"/>
  <c r="S89" i="351" a="1"/>
  <c r="Q112" i="351" a="1"/>
  <c r="AL17" i="353" a="1"/>
  <c r="R125" i="351" a="1"/>
  <c r="R34" i="351" a="1"/>
  <c r="O11" i="353" a="1"/>
  <c r="AQ74" i="353" a="1"/>
  <c r="J121" i="351" a="1"/>
  <c r="T120" i="351" a="1"/>
  <c r="B7" i="280"/>
  <c r="AV96" i="353" a="1"/>
  <c r="P48" i="353" a="1"/>
  <c r="C19" i="332"/>
  <c r="P184" i="351" a="1"/>
  <c r="C15" i="286"/>
  <c r="T54" i="353" a="1"/>
  <c r="O63" i="351" a="1"/>
  <c r="E7" i="355" a="1"/>
  <c r="I132" i="351" a="1"/>
  <c r="N59" i="353" a="1"/>
  <c r="C14" i="464"/>
  <c r="AB7" i="353" a="1"/>
  <c r="K168" i="351" a="1"/>
  <c r="AR99" i="353" a="1"/>
  <c r="AH96" i="353" a="1"/>
  <c r="T42" i="351" a="1"/>
  <c r="W51" i="353" a="1"/>
  <c r="O204" i="351" a="1"/>
  <c r="C13" i="300"/>
  <c r="T60" i="351" a="1"/>
  <c r="AH27" i="353" a="1"/>
  <c r="L68" i="351" a="1"/>
  <c r="Q122" i="351" a="1"/>
  <c r="AS69" i="353" a="1"/>
  <c r="R203" i="351" a="1"/>
  <c r="R16" i="353" a="1"/>
  <c r="P122" i="351" a="1"/>
  <c r="AJ45" i="353" a="1"/>
  <c r="H41" i="351" a="1"/>
  <c r="M14" i="351" a="1"/>
  <c r="V35" i="353" a="1"/>
  <c r="C22" i="292"/>
  <c r="Z83" i="353" a="1"/>
  <c r="AN25" i="353" a="1"/>
  <c r="Q85" i="353" a="1"/>
  <c r="C55" i="145" a="1"/>
  <c r="C22" i="116"/>
  <c r="B6" i="121"/>
  <c r="AP54" i="353" a="1"/>
  <c r="AO58" i="353" a="1"/>
  <c r="G13" i="351" a="1"/>
  <c r="B7" i="118"/>
  <c r="C45" i="145" a="1"/>
  <c r="B7" i="384"/>
  <c r="M41" i="353" a="1"/>
  <c r="AU102" i="353" a="1"/>
  <c r="N13" i="353" a="1"/>
  <c r="C12" i="264"/>
  <c r="C15" i="257"/>
  <c r="I69" i="351" a="1"/>
  <c r="C13" i="324"/>
  <c r="C19" i="309"/>
  <c r="K178" i="351" a="1"/>
  <c r="AP52" i="353" a="1"/>
  <c r="AD53" i="353" a="1"/>
  <c r="C20" i="120"/>
  <c r="L39" i="351" a="1"/>
  <c r="J102" i="353" a="1"/>
  <c r="N10" i="353" a="1"/>
  <c r="AS54" i="353" a="1"/>
  <c r="T48" i="351" a="1"/>
  <c r="H177" i="351" a="1"/>
  <c r="U45" i="353" a="1"/>
  <c r="AS6" i="353" a="1"/>
  <c r="K142" i="351" a="1"/>
  <c r="AL60" i="353" a="1"/>
  <c r="C20" i="458"/>
  <c r="AR103" i="353" a="1"/>
  <c r="C20" i="246"/>
  <c r="T58" i="353" a="1"/>
  <c r="Z13" i="353" a="1"/>
  <c r="X58" i="353" a="1"/>
  <c r="H17" i="353" a="1"/>
  <c r="C12" i="364"/>
  <c r="AL74" i="353" a="1"/>
  <c r="O12" i="353" a="1"/>
  <c r="B6" i="263"/>
  <c r="M49" i="353" a="1"/>
  <c r="C21" i="281"/>
  <c r="C14" i="403"/>
  <c r="C16" i="414"/>
  <c r="B7" i="426"/>
  <c r="U23" i="353" a="1"/>
  <c r="H13" i="351" a="1"/>
  <c r="AO32" i="6" a="1"/>
  <c r="K190" i="351" a="1"/>
  <c r="O187" i="351" a="1"/>
  <c r="G30" i="351" a="1"/>
  <c r="L135" i="351" a="1"/>
  <c r="AJ60" i="353" a="1"/>
  <c r="U5" i="353" a="1"/>
  <c r="C15" i="413"/>
  <c r="O17" i="351" a="1"/>
  <c r="C9" i="355" a="1"/>
  <c r="B7" i="263"/>
  <c r="C20" i="95"/>
  <c r="M148" i="351" a="1"/>
  <c r="Q98" i="353" a="1"/>
  <c r="V88" i="353" a="1"/>
  <c r="P187" i="351" a="1"/>
  <c r="Q148" i="351" a="1"/>
  <c r="V65" i="353" a="1"/>
  <c r="X100" i="353" a="1"/>
  <c r="T59" i="353" a="1"/>
  <c r="L51" i="351" a="1"/>
  <c r="L5" i="351" a="1"/>
  <c r="AL35" i="353" a="1"/>
  <c r="C12" i="368"/>
  <c r="B7" i="448"/>
  <c r="G48" i="353" a="1"/>
  <c r="C20" i="434"/>
  <c r="P27" i="351" a="1"/>
  <c r="N66" i="353" a="1"/>
  <c r="AQ45" i="353" a="1"/>
  <c r="AV49" i="353" a="1"/>
  <c r="G60" i="353" a="1"/>
  <c r="AI103" i="353" a="1"/>
  <c r="L164" i="351" a="1"/>
  <c r="I91" i="351" a="1"/>
  <c r="C12" i="109"/>
  <c r="P11" i="351" a="1"/>
  <c r="C14" i="100"/>
  <c r="V95" i="353" a="1"/>
  <c r="C20" i="447"/>
  <c r="C19" i="103"/>
  <c r="T158" i="351" a="1"/>
  <c r="C21" i="263"/>
  <c r="C12" i="296"/>
  <c r="AB66" i="353" a="1"/>
  <c r="AB92" i="353" a="1"/>
  <c r="H97" i="351" a="1"/>
  <c r="AG92" i="353" a="1"/>
  <c r="C22" i="258"/>
  <c r="AI45" i="353" a="1"/>
  <c r="W98" i="353" a="1"/>
  <c r="Q28" i="351" a="1"/>
  <c r="H173" i="351" a="1"/>
  <c r="I56" i="353" a="1"/>
  <c r="R104" i="351" a="1"/>
  <c r="E11" i="355" a="1"/>
  <c r="K116" i="351" a="1"/>
  <c r="O90" i="353" a="1"/>
  <c r="C22" i="301"/>
  <c r="C20" i="428"/>
  <c r="AO13" i="353" a="1"/>
  <c r="T79" i="353" a="1"/>
  <c r="I72" i="353" a="1"/>
  <c r="AF30" i="353" a="1"/>
  <c r="C13" i="281"/>
  <c r="J142" i="351" a="1"/>
  <c r="B6" i="399"/>
  <c r="H93" i="351" a="1"/>
  <c r="AV82" i="353" a="1"/>
  <c r="P47" i="351" a="1"/>
  <c r="AH80" i="353" a="1"/>
  <c r="AJ18" i="353" a="1"/>
  <c r="O81" i="353" a="1"/>
  <c r="AV15" i="353" a="1"/>
  <c r="R88" i="351" a="1"/>
  <c r="AJ65" i="353" a="1"/>
  <c r="W21" i="353" a="1"/>
  <c r="V55" i="353" a="1"/>
  <c r="C15" i="255"/>
  <c r="P86" i="353" a="1"/>
  <c r="C15" i="333"/>
  <c r="B6" i="258"/>
  <c r="C13" i="399"/>
  <c r="C19" i="267"/>
  <c r="I110" i="351" a="1"/>
  <c r="AQ16" i="353" a="1"/>
  <c r="C20" i="113"/>
  <c r="F88" i="353" a="1"/>
  <c r="AJ98" i="353" a="1"/>
  <c r="B6" i="123"/>
  <c r="C13" i="466"/>
  <c r="AP4" i="353" a="1"/>
  <c r="C14" i="291"/>
  <c r="O97" i="351" a="1"/>
  <c r="AE54" i="353" a="1"/>
  <c r="C17" i="383"/>
  <c r="C21" i="309"/>
  <c r="T6" i="353" a="1"/>
  <c r="AL36" i="353" a="1"/>
  <c r="J58" i="351" a="1"/>
  <c r="C20" i="433"/>
  <c r="K195" i="351" a="1"/>
  <c r="AP37" i="353" a="1"/>
  <c r="C21" i="320"/>
  <c r="G80" i="351" a="1"/>
  <c r="C16" i="483"/>
  <c r="H59" i="353" a="1"/>
  <c r="K91" i="353" a="1"/>
  <c r="H45" i="351" a="1"/>
  <c r="AD59" i="353" a="1"/>
  <c r="C12" i="468"/>
  <c r="Q114" i="353" a="1"/>
  <c r="C19" i="269"/>
  <c r="AH23" i="353" a="1"/>
  <c r="C18" i="319"/>
  <c r="C17" i="467"/>
  <c r="AH24" i="353" a="1"/>
  <c r="L40" i="351" a="1"/>
  <c r="C18" i="303"/>
  <c r="Q34" i="351" a="1"/>
  <c r="AJ25" i="353" a="1"/>
  <c r="T75" i="353" a="1"/>
  <c r="R96" i="351" a="1"/>
  <c r="C15" i="313"/>
  <c r="I47" i="351" a="1"/>
  <c r="AV41" i="353" a="1"/>
  <c r="C18" i="340"/>
  <c r="C22" i="321"/>
  <c r="K102" i="353" a="1"/>
  <c r="I83" i="353" a="1"/>
  <c r="J65" i="353" a="1"/>
  <c r="G145" i="351" a="1"/>
  <c r="C12" i="419"/>
  <c r="Q7" i="351" a="1"/>
  <c r="K69" i="353" a="1"/>
  <c r="C15" i="472"/>
  <c r="Q41" i="353" a="1"/>
  <c r="C15" i="419"/>
  <c r="M92" i="353" a="1"/>
  <c r="C17" i="327"/>
  <c r="AP98" i="353" a="1"/>
  <c r="C19" i="427"/>
  <c r="AD11" i="353" a="1"/>
  <c r="Z49" i="353" a="1"/>
  <c r="B7" i="468"/>
  <c r="AS43" i="353" a="1"/>
  <c r="M25" i="353" a="1"/>
  <c r="AF84" i="353" a="1"/>
  <c r="G94" i="351" a="1"/>
  <c r="AA5" i="353" a="1"/>
  <c r="C16" i="308"/>
  <c r="T78" i="351" a="1"/>
  <c r="B6" i="454"/>
  <c r="C14" i="115"/>
  <c r="AG105" i="353" a="1"/>
  <c r="C35" i="145" a="1"/>
  <c r="AH84" i="353" a="1"/>
  <c r="C18" i="318"/>
  <c r="I118" i="351" a="1"/>
  <c r="O154" i="351" a="1"/>
  <c r="AD101" i="353" a="1"/>
  <c r="AD77" i="353" a="1"/>
  <c r="AJ103" i="353" a="1"/>
  <c r="Q32" i="353" a="1"/>
  <c r="C20" i="416"/>
  <c r="L118" i="351" a="1"/>
  <c r="G63" i="353" a="1"/>
  <c r="C15" i="256"/>
  <c r="Y42" i="353" a="1"/>
  <c r="J173" i="351" a="1"/>
  <c r="W14" i="353" a="1"/>
  <c r="C17" i="411"/>
  <c r="C21" i="344"/>
  <c r="C20" i="462"/>
  <c r="H37" i="351" a="1"/>
  <c r="C18" i="298"/>
  <c r="T177" i="351" a="1"/>
  <c r="AU56" i="353" a="1"/>
  <c r="G51" i="351" a="1"/>
  <c r="I50" i="351" a="1"/>
  <c r="Z61" i="353" a="1"/>
  <c r="C22" i="385"/>
  <c r="R30" i="351" a="1"/>
  <c r="AB21" i="353" a="1"/>
  <c r="I44" i="351" a="1"/>
  <c r="G178" i="351" a="1"/>
  <c r="T183" i="351" a="1"/>
  <c r="C15" i="247"/>
  <c r="AU86" i="353" a="1"/>
  <c r="AN40" i="353" a="1"/>
  <c r="AA80" i="353" a="1"/>
  <c r="T62" i="353" a="1"/>
  <c r="R11" i="351" a="1"/>
  <c r="AB17" i="353" a="1"/>
  <c r="E9" i="355" a="1"/>
  <c r="C22" i="454"/>
  <c r="AO5" i="6" a="1"/>
  <c r="O63" i="353" a="1"/>
  <c r="H90" i="353" a="1"/>
  <c r="H107" i="351" a="1"/>
  <c r="C12" i="308"/>
  <c r="E90" i="353" a="1"/>
  <c r="AH3" i="353" a="1"/>
  <c r="B7" i="294"/>
  <c r="C12" i="275"/>
  <c r="L169" i="351" a="1"/>
  <c r="AK44" i="353" a="1"/>
  <c r="K44" i="351" a="1"/>
  <c r="AR73" i="353" a="1"/>
  <c r="P11" i="353" a="1"/>
  <c r="AJ14" i="353" a="1"/>
  <c r="AA63" i="353" a="1"/>
  <c r="C15" i="280"/>
  <c r="AG29" i="353" a="1"/>
  <c r="C16" i="89"/>
  <c r="C19" i="89"/>
  <c r="L92" i="351" a="1"/>
  <c r="M79" i="353" a="1"/>
  <c r="C5" i="145" a="1"/>
  <c r="C19" i="342"/>
  <c r="K32" i="353" a="1"/>
  <c r="AL90" i="353" a="1"/>
  <c r="W42" i="353" a="1"/>
  <c r="AJ8" i="353" a="1"/>
  <c r="AN52" i="353" a="1"/>
  <c r="V12" i="353" a="1"/>
  <c r="AK85" i="353" a="1"/>
  <c r="C21" i="490"/>
  <c r="AE24" i="353" a="1"/>
  <c r="C19" i="341"/>
  <c r="Q89" i="353" a="1"/>
  <c r="L67" i="351" a="1"/>
  <c r="C12" i="299"/>
  <c r="AU3" i="353" a="1"/>
  <c r="C17" i="331"/>
  <c r="Q137" i="351" a="1"/>
  <c r="AN32" i="353" a="1"/>
  <c r="AP100" i="353" a="1"/>
  <c r="C12" i="249"/>
  <c r="AI80" i="353" a="1"/>
  <c r="AV51" i="353" a="1"/>
  <c r="AL7" i="353" a="1"/>
  <c r="AA78" i="353" a="1"/>
  <c r="H94" i="351" a="1"/>
  <c r="C21" i="326"/>
  <c r="M89" i="353" a="1"/>
  <c r="M10" i="351" a="1"/>
  <c r="C14" i="129"/>
  <c r="T148" i="351" a="1"/>
  <c r="X52" i="353" a="1"/>
  <c r="O73" i="353" a="1"/>
  <c r="F28" i="353" a="1"/>
  <c r="C16" i="250"/>
  <c r="I48" i="353" a="1"/>
  <c r="B6" i="365"/>
  <c r="C17" i="329"/>
  <c r="B7" i="385"/>
  <c r="I93" i="351" a="1"/>
  <c r="AQ27" i="353" a="1"/>
  <c r="S120" i="351" a="1"/>
  <c r="L129" i="351" a="1"/>
  <c r="C22" i="309"/>
  <c r="C17" i="127"/>
  <c r="B6" i="472"/>
  <c r="Y30" i="353" a="1"/>
  <c r="Q146" i="351" a="1"/>
  <c r="AE69" i="353" a="1"/>
  <c r="L97" i="351" a="1"/>
  <c r="C17" i="253"/>
  <c r="P183" i="351" a="1"/>
  <c r="N21" i="353" a="1"/>
  <c r="Q77" i="353" a="1"/>
  <c r="V25" i="353" a="1"/>
  <c r="T102" i="353" a="1"/>
  <c r="W15" i="353" a="1"/>
  <c r="C14" i="334"/>
  <c r="P50" i="351" a="1"/>
  <c r="C37" i="145" a="1"/>
  <c r="C20" i="325"/>
  <c r="C15" i="427"/>
  <c r="C19" i="258"/>
  <c r="F31" i="353" a="1"/>
  <c r="T33" i="351" a="1"/>
  <c r="AD81" i="353" a="1"/>
  <c r="I158" i="351" a="1"/>
  <c r="C21" i="482"/>
  <c r="C20" i="253"/>
  <c r="AU21" i="353" a="1"/>
  <c r="AD71" i="353" a="1"/>
  <c r="U65" i="353" a="1"/>
  <c r="K56" i="353" a="1"/>
  <c r="O39" i="351" a="1"/>
  <c r="C16" i="381"/>
  <c r="H43" i="353" a="1"/>
  <c r="C20" i="341"/>
  <c r="B6" i="334"/>
  <c r="AK63" i="353" a="1"/>
  <c r="K59" i="351" a="1"/>
  <c r="O27" i="353" a="1"/>
  <c r="C22" i="118"/>
  <c r="L150" i="351" a="1"/>
  <c r="G98" i="353" a="1"/>
  <c r="I166" i="351" a="1"/>
  <c r="J64" i="351" a="1"/>
  <c r="C18" i="274"/>
  <c r="C20" i="317"/>
  <c r="AI76" i="353" a="1"/>
  <c r="U18" i="353" a="1"/>
  <c r="B6" i="287"/>
  <c r="C18" i="467"/>
  <c r="N61" i="353" a="1"/>
  <c r="I119" i="351" a="1"/>
  <c r="W31" i="353" a="1"/>
  <c r="C12" i="313"/>
  <c r="AD28" i="353" a="1"/>
  <c r="I59" i="351" a="1"/>
  <c r="AU23" i="353" a="1"/>
  <c r="AS20" i="353" a="1"/>
  <c r="Z90" i="353" a="1"/>
  <c r="S29" i="351" a="1"/>
  <c r="C12" i="467"/>
  <c r="C14" i="295"/>
  <c r="Q64" i="351" a="1"/>
  <c r="AH77" i="353" a="1"/>
  <c r="C20" i="348"/>
  <c r="T55" i="353" a="1"/>
  <c r="P33" i="353" a="1"/>
  <c r="G86" i="351" a="1"/>
  <c r="K12" i="353" a="1"/>
  <c r="C14" i="400"/>
  <c r="AD20" i="353" a="1"/>
  <c r="Q150" i="351" a="1"/>
  <c r="J59" i="353" a="1"/>
  <c r="C14" i="462"/>
  <c r="C18" i="267"/>
  <c r="I104" i="351" a="1"/>
  <c r="T98" i="351" a="1"/>
  <c r="O165" i="351" a="1"/>
  <c r="AJ78" i="353" a="1"/>
  <c r="AH7" i="353" a="1"/>
  <c r="C16" i="118"/>
  <c r="T42" i="353" a="1"/>
  <c r="H97" i="353" a="1"/>
  <c r="Y12" i="353" a="1"/>
  <c r="AE25" i="353" a="1"/>
  <c r="C12" i="115"/>
  <c r="S68" i="351" a="1"/>
  <c r="U71" i="353" a="1"/>
  <c r="F90" i="353" a="1"/>
  <c r="AQ26" i="353" a="1"/>
  <c r="G10" i="353" a="1"/>
  <c r="C15" i="273"/>
  <c r="O70" i="351" a="1"/>
  <c r="C15" i="343"/>
  <c r="H28" i="351" a="1"/>
  <c r="N114" i="353" a="1"/>
  <c r="P31" i="351" a="1"/>
  <c r="O37" i="351" a="1"/>
  <c r="Q157" i="351" a="1"/>
  <c r="AR68" i="353" a="1"/>
  <c r="L193" i="351" a="1"/>
  <c r="C21" i="337"/>
  <c r="AN28" i="353" a="1"/>
  <c r="AF79" i="353" a="1"/>
  <c r="C21" i="462"/>
  <c r="C13" i="268"/>
  <c r="Y23" i="353" a="1"/>
  <c r="B6" i="412"/>
  <c r="AB105" i="353" a="1"/>
  <c r="R80" i="351" a="1"/>
  <c r="B7" i="128"/>
  <c r="C13" i="481"/>
  <c r="U94" i="353" a="1"/>
  <c r="F65" i="353" a="1"/>
  <c r="P41" i="353" a="1"/>
  <c r="AA8" i="353" a="1"/>
  <c r="C16" i="282"/>
  <c r="G45" i="351" a="1"/>
  <c r="AG32" i="353" a="1"/>
  <c r="C20" i="440"/>
  <c r="C15" i="481"/>
  <c r="T27" i="353" a="1"/>
  <c r="AV11" i="353" a="1"/>
  <c r="C20" i="359"/>
  <c r="P77" i="353" a="1"/>
  <c r="G155" i="351" a="1"/>
  <c r="AV19" i="353" a="1"/>
  <c r="J205" i="351" a="1"/>
  <c r="AS8" i="353" a="1"/>
  <c r="C13" i="246"/>
  <c r="B7" i="315"/>
  <c r="D7" i="355" a="1"/>
  <c r="C14" i="296"/>
  <c r="B17" i="144" a="1"/>
  <c r="Q192" i="351" a="1"/>
  <c r="C20" i="264"/>
  <c r="N104" i="353" a="1"/>
  <c r="C16" i="458"/>
  <c r="H65" i="353" a="1"/>
  <c r="B7" i="130"/>
  <c r="G38" i="353" a="1"/>
  <c r="C12" i="355" a="1"/>
  <c r="C22" i="296"/>
  <c r="AR5" i="353" a="1"/>
  <c r="N14" i="353" a="1"/>
  <c r="L141" i="351" a="1"/>
  <c r="C14" i="396"/>
  <c r="M13" i="353" a="1"/>
  <c r="S48" i="351" a="1"/>
  <c r="X36" i="353" a="1"/>
  <c r="C15" i="101"/>
  <c r="AE3" i="353" a="1"/>
  <c r="AO78" i="353" a="1"/>
  <c r="C21" i="145" a="1"/>
  <c r="W95" i="353" a="1"/>
  <c r="X93" i="353" a="1"/>
  <c r="N81" i="353" a="1"/>
  <c r="L187" i="351" a="1"/>
  <c r="H135" i="351" a="1"/>
  <c r="Q53" i="353" a="1"/>
  <c r="AU89" i="353" a="1"/>
  <c r="L59" i="351" a="1"/>
  <c r="G27" i="351" a="1"/>
  <c r="L158" i="351" a="1"/>
  <c r="J40" i="353" a="1"/>
  <c r="C14" i="385"/>
  <c r="C13" i="315"/>
  <c r="I74" i="351" a="1"/>
  <c r="Q105" i="353" a="1"/>
  <c r="B6" i="487"/>
  <c r="C17" i="109"/>
  <c r="F72" i="353" a="1"/>
  <c r="T147" i="351" a="1"/>
  <c r="P26" i="351" a="1"/>
  <c r="B7" i="300"/>
  <c r="C14" i="289"/>
  <c r="C12" i="274"/>
  <c r="C18" i="405"/>
  <c r="C19" i="310"/>
  <c r="Q58" i="353" a="1"/>
  <c r="R97" i="353" a="1"/>
  <c r="C21" i="325"/>
  <c r="C19" i="129"/>
  <c r="C16" i="348"/>
  <c r="K96" i="351" a="1"/>
  <c r="C19" i="363"/>
  <c r="C22" i="337"/>
  <c r="R92" i="353" a="1"/>
  <c r="AE19" i="353" a="1"/>
  <c r="AA91" i="353" a="1"/>
  <c r="C20" i="463"/>
  <c r="S15" i="351" a="1"/>
  <c r="S116" i="351" a="1"/>
  <c r="Q18" i="351" a="1"/>
  <c r="C13" i="332"/>
  <c r="V80" i="353" a="1"/>
  <c r="AV69" i="353" a="1"/>
  <c r="M87" i="351" a="1"/>
  <c r="AO22" i="6" a="1"/>
  <c r="AA61" i="353" a="1"/>
  <c r="T76" i="351" a="1"/>
  <c r="AG34" i="353" a="1"/>
  <c r="K183" i="351" a="1"/>
  <c r="W20" i="353" a="1"/>
  <c r="D9" i="355" a="1"/>
  <c r="U34" i="353" a="1"/>
  <c r="H50" i="351" a="1"/>
  <c r="Q84" i="351" a="1"/>
  <c r="O74" i="351" a="1"/>
  <c r="M32" i="351" a="1"/>
  <c r="C20" i="482"/>
  <c r="I188" i="351" a="1"/>
  <c r="R56" i="353" a="1"/>
  <c r="AN67" i="353" a="1"/>
  <c r="T68" i="351" a="1"/>
  <c r="O137" i="351" a="1"/>
  <c r="X69" i="353" a="1"/>
  <c r="J18" i="353" a="1"/>
  <c r="AS89" i="353" a="1"/>
  <c r="K141" i="351" a="1"/>
  <c r="R207" i="351" a="1"/>
  <c r="W61" i="353" a="1"/>
  <c r="P8" i="351" a="1"/>
  <c r="T40" i="353" a="1"/>
  <c r="K98" i="351" a="1"/>
  <c r="AR32" i="353" a="1"/>
  <c r="AT39" i="353" a="1"/>
  <c r="B40" i="144" a="1"/>
  <c r="R83" i="353" a="1"/>
  <c r="B9" i="355" a="1"/>
  <c r="B6" i="108"/>
  <c r="R41" i="353" a="1"/>
  <c r="AB79" i="353" a="1"/>
  <c r="C20" i="345"/>
  <c r="Y59" i="353" a="1"/>
  <c r="AR66" i="353" a="1"/>
  <c r="C12" i="117"/>
  <c r="R24" i="351" a="1"/>
  <c r="C21" i="292"/>
  <c r="AK23" i="353" a="1"/>
  <c r="N96" i="353" a="1"/>
  <c r="M74" i="353" a="1"/>
  <c r="S144" i="351" a="1"/>
  <c r="T162" i="351" a="1"/>
  <c r="O185" i="351" a="1"/>
  <c r="C14" i="259"/>
  <c r="AI11" i="353" a="1"/>
  <c r="T35" i="353" a="1"/>
  <c r="AT84" i="353" a="1"/>
  <c r="W24" i="353" a="1"/>
  <c r="M86" i="353" a="1"/>
  <c r="C16" i="335"/>
  <c r="V33" i="353" a="1"/>
  <c r="AU33" i="353" a="1"/>
  <c r="R78" i="351" a="1"/>
  <c r="AE32" i="353" a="1"/>
  <c r="T38" i="351" a="1"/>
  <c r="K40" i="353" a="1"/>
  <c r="C13" i="121"/>
  <c r="K26" i="353" a="1"/>
  <c r="B6" i="251"/>
  <c r="F11" i="353" a="1"/>
  <c r="C19" i="300"/>
  <c r="C15" i="104"/>
  <c r="M3" i="351" a="1"/>
  <c r="AK38" i="353" a="1"/>
  <c r="B6" i="309"/>
  <c r="C19" i="287"/>
  <c r="AE26" i="353" a="1"/>
  <c r="O103" i="351" a="1"/>
  <c r="S115" i="351" a="1"/>
  <c r="T50" i="353" a="1"/>
  <c r="B7" i="488"/>
  <c r="AI8" i="6" a="1"/>
  <c r="AK34" i="353" a="1"/>
  <c r="V101" i="353" a="1"/>
  <c r="L144" i="351" a="1"/>
  <c r="C17" i="341"/>
  <c r="G44" i="353" a="1"/>
  <c r="AU15" i="353" a="1"/>
  <c r="AQ71" i="353" a="1"/>
  <c r="C13" i="343"/>
  <c r="Y24" i="353" a="1"/>
  <c r="W13" i="353" a="1"/>
  <c r="AA6" i="353" a="1"/>
  <c r="C18" i="337"/>
  <c r="AK94" i="353" a="1"/>
  <c r="C22" i="280"/>
  <c r="C17" i="107"/>
  <c r="C18" i="472"/>
  <c r="C13" i="335"/>
  <c r="M92" i="351" a="1"/>
  <c r="AB3" i="353" a="1"/>
  <c r="C22" i="447"/>
  <c r="R22" i="353" a="1"/>
  <c r="AG75" i="353" a="1"/>
  <c r="M46" i="351" a="1"/>
  <c r="M5" i="351" a="1"/>
  <c r="AH19" i="353" a="1"/>
  <c r="AN92" i="353" a="1"/>
  <c r="Q67" i="351" a="1"/>
  <c r="K51" i="353" a="1"/>
  <c r="Q58" i="351" a="1"/>
  <c r="AT62" i="353" a="1"/>
  <c r="AK77" i="353" a="1"/>
  <c r="B7" i="94"/>
  <c r="R49" i="353" a="1"/>
  <c r="AT63" i="353" a="1"/>
  <c r="Y75" i="353" a="1"/>
  <c r="C16" i="117"/>
  <c r="J44" i="351" a="1"/>
  <c r="C13" i="249"/>
  <c r="AB32" i="353" a="1"/>
  <c r="Z21" i="353" a="1"/>
  <c r="H70" i="351" a="1"/>
  <c r="G114" i="351" a="1"/>
  <c r="H53" i="351" a="1"/>
  <c r="C18" i="342"/>
  <c r="R198" i="351" a="1"/>
  <c r="S187" i="351" a="1"/>
  <c r="R51" i="351" a="1"/>
  <c r="K46" i="351" a="1"/>
  <c r="C19" i="295"/>
  <c r="B6" i="392"/>
  <c r="C18" i="347"/>
  <c r="AO4" i="353" a="1"/>
  <c r="T10" i="353" a="1"/>
  <c r="K50" i="351" a="1"/>
  <c r="P46" i="351" a="1"/>
  <c r="Z54" i="353" a="1"/>
  <c r="C22" i="412"/>
  <c r="AG8" i="353" a="1"/>
  <c r="M60" i="351" a="1"/>
  <c r="AU28" i="353" a="1"/>
  <c r="M63" i="351" a="1"/>
  <c r="B19" i="144" a="1"/>
  <c r="U16" i="353" a="1"/>
  <c r="M85" i="353" a="1"/>
  <c r="AT12" i="353" a="1"/>
  <c r="S161" i="351" a="1"/>
  <c r="B7" i="335"/>
  <c r="T30" i="351" a="1"/>
  <c r="AA98" i="353" a="1"/>
  <c r="AI12" i="6" a="1"/>
  <c r="G46" i="351" a="1"/>
  <c r="AG62" i="353" a="1"/>
  <c r="C21" i="363"/>
  <c r="T125" i="351" a="1"/>
  <c r="C20" i="494"/>
  <c r="C16" i="433"/>
  <c r="E5" i="355" a="1"/>
  <c r="K109" i="351" a="1"/>
  <c r="G159" i="351" a="1"/>
  <c r="B6" i="415"/>
  <c r="Q86" i="353" a="1"/>
  <c r="AF67" i="353" a="1"/>
  <c r="Q45" i="353" a="1"/>
  <c r="G199" i="351" a="1"/>
  <c r="J34" i="353" a="1"/>
  <c r="Q151" i="351" a="1"/>
  <c r="Q87" i="351" a="1"/>
  <c r="Y102" i="353" a="1"/>
  <c r="C14" i="290"/>
  <c r="C16" i="447"/>
  <c r="O105" i="351" a="1"/>
  <c r="C16" i="109"/>
  <c r="K36" i="353" a="1"/>
  <c r="H37" i="353" a="1"/>
  <c r="B6" i="430"/>
  <c r="O60" i="351" a="1"/>
  <c r="AJ79" i="353" a="1"/>
  <c r="C19" i="465"/>
  <c r="C20" i="302"/>
  <c r="C22" i="414"/>
  <c r="C19" i="259"/>
  <c r="V76" i="353" a="1"/>
  <c r="AE83" i="353" a="1"/>
  <c r="T34" i="351" a="1"/>
  <c r="C14" i="445"/>
  <c r="S148" i="351" a="1"/>
  <c r="C21" i="488"/>
  <c r="T8" i="353" a="1"/>
  <c r="AD16" i="353" a="1"/>
  <c r="AU76" i="353" a="1"/>
  <c r="J96" i="351" a="1"/>
  <c r="L23" i="351" a="1"/>
  <c r="AD73" i="353" a="1"/>
  <c r="E64" i="353" a="1"/>
  <c r="X70" i="353" a="1"/>
  <c r="C18" i="89"/>
  <c r="AB76" i="353" a="1"/>
  <c r="C19" i="277"/>
  <c r="I60" i="353" a="1"/>
  <c r="B14" i="144" a="1"/>
  <c r="D10" i="355" a="1"/>
  <c r="H123" i="351" a="1"/>
  <c r="C16" i="293"/>
  <c r="I191" i="351" a="1"/>
  <c r="AR41" i="353" a="1"/>
  <c r="B42" i="144" a="1"/>
  <c r="B7" i="412"/>
  <c r="O163" i="351" a="1"/>
  <c r="H22" i="353" a="1"/>
  <c r="AT57" i="353" a="1"/>
  <c r="M109" i="351" a="1"/>
  <c r="G96" i="351" a="1"/>
  <c r="C16" i="424"/>
  <c r="P82" i="351" a="1"/>
  <c r="Q31" i="351" a="1"/>
  <c r="AT91" i="353" a="1"/>
  <c r="C12" i="418"/>
  <c r="AU41" i="353" a="1"/>
  <c r="C17" i="392"/>
  <c r="C17" i="272"/>
  <c r="H95" i="351" a="1"/>
  <c r="AN75" i="353" a="1"/>
  <c r="C19" i="299"/>
  <c r="AU97" i="353" a="1"/>
  <c r="C13" i="275"/>
  <c r="B7" i="462"/>
  <c r="AA44" i="353" a="1"/>
  <c r="S76" i="351" a="1"/>
  <c r="C20" i="121"/>
  <c r="Q63" i="353" a="1"/>
  <c r="O32" i="351" a="1"/>
  <c r="B6" i="275"/>
  <c r="R17" i="351" a="1"/>
  <c r="C15" i="128"/>
  <c r="C17" i="335"/>
  <c r="C17" i="293"/>
  <c r="W22" i="353" a="1"/>
  <c r="AV93" i="353" a="1"/>
  <c r="M156" i="351" a="1"/>
  <c r="B7" i="425"/>
  <c r="B7" i="342"/>
  <c r="C17" i="284"/>
  <c r="T53" i="353" a="1"/>
  <c r="C21" i="332"/>
  <c r="C15" i="364"/>
  <c r="S38" i="351" a="1"/>
  <c r="G16" i="351" a="1"/>
  <c r="H143" i="351" a="1"/>
  <c r="G67" i="351" a="1"/>
  <c r="AU22" i="353" a="1"/>
  <c r="T4" i="353" a="1"/>
  <c r="AO67" i="353" a="1"/>
  <c r="P78" i="353" a="1"/>
  <c r="AG79" i="353" a="1"/>
  <c r="X86" i="353" a="1"/>
  <c r="H64" i="353" a="1"/>
  <c r="N39" i="353" a="1"/>
  <c r="S196" i="351" a="1"/>
  <c r="F32" i="353" a="1"/>
  <c r="H105" i="351" a="1"/>
  <c r="G134" i="351" a="1"/>
  <c r="I17" i="353" a="1"/>
  <c r="P146" i="351" a="1"/>
  <c r="J16" i="351" a="1"/>
  <c r="B54" i="144" a="1"/>
  <c r="C14" i="247"/>
  <c r="C14" i="292"/>
  <c r="Y93" i="353" a="1"/>
  <c r="C15" i="127"/>
  <c r="Y31" i="353" a="1"/>
  <c r="H83" i="353" a="1"/>
  <c r="Y51" i="353" a="1"/>
  <c r="H60" i="351" a="1"/>
  <c r="AV91" i="353" a="1"/>
  <c r="AR49" i="353" a="1"/>
  <c r="C19" i="280"/>
  <c r="AS24" i="353" a="1"/>
  <c r="AJ40" i="353" a="1"/>
  <c r="Z43" i="353" a="1"/>
  <c r="H71" i="353" a="1"/>
  <c r="S112" i="351" a="1"/>
  <c r="AS7" i="353" a="1"/>
  <c r="J111" i="351" a="1"/>
  <c r="H76" i="351" a="1"/>
  <c r="C12" i="455"/>
  <c r="AL37" i="353" a="1"/>
  <c r="C17" i="273"/>
  <c r="C20" i="273"/>
  <c r="R137" i="351" a="1"/>
  <c r="AN47" i="353" a="1"/>
  <c r="C18" i="261"/>
  <c r="C12" i="420"/>
  <c r="N73" i="353" a="1"/>
  <c r="C21" i="469"/>
  <c r="H184" i="351" a="1"/>
  <c r="R25" i="353" a="1"/>
  <c r="K200" i="351" a="1"/>
  <c r="P135" i="351" a="1"/>
  <c r="C17" i="473"/>
  <c r="AS95" i="353" a="1"/>
  <c r="B46" i="144" a="1"/>
  <c r="L41" i="351" a="1"/>
  <c r="I26" i="353" a="1"/>
  <c r="P4" i="375" a="1"/>
  <c r="U84" i="353" a="1"/>
  <c r="C17" i="364"/>
  <c r="Q184" i="351" a="1"/>
  <c r="C19" i="479"/>
  <c r="L85" i="351" a="1"/>
  <c r="M17" i="353" a="1"/>
  <c r="C14" i="340"/>
  <c r="C21" i="129"/>
  <c r="R65" i="351" a="1"/>
  <c r="G97" i="351" a="1"/>
  <c r="C17" i="430"/>
  <c r="AJ36" i="353" a="1"/>
  <c r="C12" i="403"/>
  <c r="G127" i="351" a="1"/>
  <c r="AL99" i="353" a="1"/>
  <c r="AG26" i="353" a="1"/>
  <c r="K87" i="351" a="1"/>
  <c r="W85" i="353" a="1"/>
  <c r="C15" i="393"/>
  <c r="AT23" i="353" a="1"/>
  <c r="Y65" i="353" a="1"/>
  <c r="AJ24" i="353" a="1"/>
  <c r="C22" i="333"/>
  <c r="Q99" i="353" a="1"/>
  <c r="B6" i="380"/>
  <c r="T44" i="351" a="1"/>
  <c r="AP24" i="353" a="1"/>
  <c r="C16" i="494"/>
  <c r="J92" i="353" a="1"/>
  <c r="C12" i="469"/>
  <c r="M49" i="351" a="1"/>
  <c r="AE44" i="353" a="1"/>
  <c r="F30" i="353" a="1"/>
  <c r="T96" i="351" a="1"/>
  <c r="R112" i="351" a="1"/>
  <c r="K35" i="351" a="1"/>
  <c r="AD82" i="353" a="1"/>
  <c r="C14" i="275"/>
  <c r="AD89" i="353" a="1"/>
  <c r="Q101" i="351" a="1"/>
  <c r="K25" i="353" a="1"/>
  <c r="AH103" i="353" a="1"/>
  <c r="C22" i="113"/>
  <c r="AN27" i="353" a="1"/>
  <c r="C14" i="268"/>
  <c r="J49" i="351" a="1"/>
  <c r="L184" i="351" a="1"/>
  <c r="G131" i="351" a="1"/>
  <c r="AL80" i="353" a="1"/>
  <c r="T136" i="351" a="1"/>
  <c r="C19" i="298"/>
  <c r="C13" i="411"/>
  <c r="I76" i="351" a="1"/>
  <c r="C22" i="266"/>
  <c r="AP23" i="353" a="1"/>
  <c r="AP85" i="353" a="1"/>
  <c r="AD50" i="353" a="1"/>
  <c r="K4" i="351" a="1"/>
  <c r="T159" i="351" a="1"/>
  <c r="C14" i="326"/>
  <c r="L154" i="351" a="1"/>
  <c r="C14" i="299"/>
  <c r="P12" i="353" a="1"/>
  <c r="R43" i="353" a="1"/>
  <c r="C18" i="316"/>
  <c r="AN44" i="353" a="1"/>
  <c r="R77" i="351" a="1"/>
  <c r="W59" i="353" a="1"/>
  <c r="K54" i="353" a="1"/>
  <c r="AJ99" i="353" a="1"/>
  <c r="C22" i="250"/>
  <c r="AU55" i="353" a="1"/>
  <c r="T191" i="351" a="1"/>
  <c r="C22" i="430"/>
  <c r="C15" i="121"/>
  <c r="P81" i="351" a="1"/>
  <c r="X34" i="353" a="1"/>
  <c r="N87" i="353" a="1"/>
  <c r="R86" i="351" a="1"/>
  <c r="AR52" i="353" a="1"/>
  <c r="R73" i="351" a="1"/>
  <c r="C21" i="321"/>
  <c r="C12" i="265"/>
  <c r="AR45" i="353" a="1"/>
  <c r="F94" i="353" a="1"/>
  <c r="P181" i="351" a="1"/>
  <c r="K44" i="353" a="1"/>
  <c r="C21" i="324"/>
  <c r="S104" i="351" a="1"/>
  <c r="C16" i="382"/>
  <c r="E88" i="353" a="1"/>
  <c r="T82" i="351" a="1"/>
  <c r="T25" i="353" a="1"/>
  <c r="C20" i="306"/>
  <c r="S95" i="351" a="1"/>
  <c r="Q51" i="351" a="1"/>
  <c r="AS83" i="353" a="1"/>
  <c r="AG93" i="353" a="1"/>
  <c r="C21" i="248"/>
  <c r="H189" i="351" a="1"/>
  <c r="AN55" i="353" a="1"/>
  <c r="C22" i="312"/>
  <c r="C18" i="494"/>
  <c r="C17" i="376"/>
  <c r="G29" i="351" a="1"/>
  <c r="J36" i="351" a="1"/>
  <c r="AV56" i="353" a="1"/>
  <c r="Y89" i="353" a="1"/>
  <c r="C12" i="297"/>
  <c r="M67" i="353" a="1"/>
  <c r="W43" i="353" a="1"/>
  <c r="I125" i="351" a="1"/>
  <c r="J163" i="351" a="1"/>
  <c r="AP89" i="353" a="1"/>
  <c r="AF42" i="353" a="1"/>
  <c r="AB46" i="353" a="1"/>
  <c r="AA52" i="353" a="1"/>
  <c r="G88" i="353" a="1"/>
  <c r="K65" i="351" a="1"/>
  <c r="G87" i="351" a="1"/>
  <c r="AP56" i="353" a="1"/>
  <c r="J33" i="351" a="1"/>
  <c r="F82" i="353" a="1"/>
  <c r="C15" i="328"/>
  <c r="C20" i="274"/>
  <c r="M24" i="351" a="1"/>
  <c r="M173" i="351" a="1"/>
  <c r="H58" i="351" a="1"/>
  <c r="M108" i="351" a="1"/>
  <c r="AS114" i="353" a="1"/>
  <c r="AH35" i="353" a="1"/>
  <c r="AT28" i="353" a="1"/>
  <c r="T135" i="351" a="1"/>
  <c r="AH61" i="353" a="1"/>
  <c r="M191" i="351" a="1"/>
  <c r="C14" i="434"/>
  <c r="T19" i="351" a="1"/>
  <c r="C20" i="420"/>
  <c r="K202" i="351" a="1"/>
  <c r="C12" i="332"/>
  <c r="G23" i="351" a="1"/>
  <c r="O126" i="351" a="1"/>
  <c r="C19" i="382"/>
  <c r="X11" i="353" a="1"/>
  <c r="AI8" i="353" a="1"/>
  <c r="B32" i="144" a="1"/>
  <c r="AR78" i="353" a="1"/>
  <c r="J45" i="351" a="1"/>
  <c r="Y28" i="353" a="1"/>
  <c r="M36" i="351" a="1"/>
  <c r="C15" i="287"/>
  <c r="Y44" i="353" a="1"/>
  <c r="C21" i="130"/>
  <c r="V4" i="353" a="1"/>
  <c r="AF93" i="353" a="1"/>
  <c r="T47" i="351" a="1"/>
  <c r="C20" i="468"/>
  <c r="H198" i="351" a="1"/>
  <c r="C17" i="393"/>
  <c r="C16" i="322"/>
  <c r="S146" i="351" a="1"/>
  <c r="W91" i="353" a="1"/>
  <c r="O82" i="353" a="1"/>
  <c r="J153" i="351" a="1"/>
  <c r="C22" i="346"/>
  <c r="AJ7" i="353" a="1"/>
  <c r="AS86" i="353" a="1"/>
  <c r="P21" i="353" a="1"/>
  <c r="G84" i="353" a="1"/>
  <c r="P93" i="353" a="1"/>
  <c r="AH62" i="353" a="1"/>
  <c r="C21" i="329"/>
  <c r="C21" i="424"/>
  <c r="Y14" i="353" a="1"/>
  <c r="K149" i="351" a="1"/>
  <c r="P104" i="353" a="1"/>
  <c r="M69" i="353" a="1"/>
  <c r="H24" i="351" a="1"/>
  <c r="T64" i="351" a="1"/>
  <c r="C13" i="271"/>
  <c r="AB68" i="353" a="1"/>
  <c r="X60" i="353" a="1"/>
  <c r="AR91" i="353" a="1"/>
  <c r="C18" i="448"/>
  <c r="C16" i="430"/>
  <c r="I173" i="351" a="1"/>
  <c r="AN7" i="353" a="1"/>
  <c r="C14" i="248"/>
  <c r="L170" i="351" a="1"/>
  <c r="C13" i="454"/>
  <c r="C19" i="482"/>
  <c r="S204" i="351" a="1"/>
  <c r="J188" i="351" a="1"/>
  <c r="I196" i="351" a="1"/>
  <c r="AV50" i="353" a="1"/>
  <c r="O172" i="351" a="1"/>
  <c r="C21" i="313"/>
  <c r="B7" i="276"/>
  <c r="S93" i="351" a="1"/>
  <c r="T62" i="351" a="1"/>
  <c r="AV64" i="353" a="1"/>
  <c r="B6" i="440"/>
  <c r="C13" i="410"/>
  <c r="AN65" i="353" a="1"/>
  <c r="S17" i="351" a="1"/>
  <c r="J155" i="351" a="1"/>
  <c r="AD79" i="353" a="1"/>
  <c r="C15" i="420"/>
  <c r="C20" i="259"/>
  <c r="P7" i="351" a="1"/>
  <c r="C14" i="440"/>
  <c r="J33" i="353" a="1"/>
  <c r="AT42" i="353" a="1"/>
  <c r="G73" i="353" a="1"/>
  <c r="K49" i="353" a="1"/>
  <c r="O96" i="353" a="1"/>
  <c r="N49" i="353" a="1"/>
  <c r="C13" i="317"/>
  <c r="E32" i="353" a="1"/>
  <c r="G47" i="351" a="1"/>
  <c r="C21" i="264"/>
  <c r="S190" i="351" a="1"/>
  <c r="AU24" i="353" a="1"/>
  <c r="I65" i="351" a="1"/>
  <c r="AE33" i="353" a="1"/>
  <c r="C14" i="383"/>
  <c r="C12" i="101"/>
  <c r="C22" i="491"/>
  <c r="J53" i="353" a="1"/>
  <c r="Z98" i="353" a="1"/>
  <c r="T164" i="351" a="1"/>
  <c r="K23" i="351" a="1"/>
  <c r="AD61" i="353" a="1"/>
  <c r="C18" i="255"/>
  <c r="F43" i="353" a="1"/>
  <c r="C13" i="365"/>
  <c r="Q105" i="351" a="1"/>
  <c r="C18" i="464"/>
  <c r="O23" i="351" a="1"/>
  <c r="C19" i="303"/>
  <c r="J157" i="351" a="1"/>
  <c r="X99" i="353" a="1"/>
  <c r="C21" i="260"/>
  <c r="T49" i="353" a="1"/>
  <c r="F17" i="353" a="1"/>
  <c r="H126" i="351" a="1"/>
  <c r="M93" i="351" a="1"/>
  <c r="Z12" i="353" a="1"/>
  <c r="AK87" i="353" a="1"/>
  <c r="AU59" i="353" a="1"/>
  <c r="Q119" i="351" a="1"/>
  <c r="C20" i="321"/>
  <c r="AJ48" i="353" a="1"/>
  <c r="C15" i="334"/>
  <c r="I65" i="353" a="1"/>
  <c r="AH44" i="353" a="1"/>
  <c r="C20" i="101"/>
  <c r="G164" i="351" a="1"/>
  <c r="J32" i="351" a="1"/>
  <c r="C19" i="334"/>
  <c r="AP19" i="353" a="1"/>
  <c r="L205" i="351" a="1"/>
  <c r="C12" i="382"/>
  <c r="Z44" i="353" a="1"/>
  <c r="AU36" i="353" a="1"/>
  <c r="C14" i="491"/>
  <c r="Z48" i="353" a="1"/>
  <c r="L151" i="351" a="1"/>
  <c r="C15" i="103"/>
  <c r="P16" i="353" a="1"/>
  <c r="I69" i="353" a="1"/>
  <c r="AA62" i="353" a="1"/>
  <c r="C21" i="262"/>
  <c r="O33" i="353" a="1"/>
  <c r="C15" i="323"/>
  <c r="C17" i="400"/>
  <c r="I148" i="351" a="1"/>
  <c r="P104" i="351" a="1"/>
  <c r="K51" i="351" a="1"/>
  <c r="C14" i="250"/>
  <c r="K7" i="351" a="1"/>
  <c r="G175" i="351" a="1"/>
  <c r="AK80" i="353" a="1"/>
  <c r="C20" i="266"/>
  <c r="R114" i="353" a="1"/>
  <c r="U54" i="353" a="1"/>
  <c r="W70" i="353" a="1"/>
  <c r="I109" i="351" a="1"/>
  <c r="C15" i="469"/>
  <c r="M20" i="351" a="1"/>
  <c r="X10" i="353" a="1"/>
  <c r="G189" i="351" a="1"/>
  <c r="M21" i="351" a="1"/>
  <c r="T72" i="353" a="1"/>
  <c r="R31" i="351" a="1"/>
  <c r="R25" i="351" a="1"/>
  <c r="T175" i="351" a="1"/>
  <c r="B7" i="267"/>
  <c r="B6" i="450"/>
  <c r="C12" i="121"/>
  <c r="K19" i="351" a="1"/>
  <c r="C13" i="247"/>
  <c r="O16" i="353" a="1"/>
  <c r="C14" i="384"/>
  <c r="AO20" i="6" a="1"/>
  <c r="J24" i="353" a="1"/>
  <c r="K139" i="351" a="1"/>
  <c r="X79" i="353" a="1"/>
  <c r="AE30" i="353" a="1"/>
  <c r="AK61" i="353" a="1"/>
  <c r="S96" i="351" a="1"/>
  <c r="AQ80" i="353" a="1"/>
  <c r="K103" i="351" a="1"/>
  <c r="AL67" i="353" a="1"/>
  <c r="AI88" i="353" a="1"/>
  <c r="C21" i="100"/>
  <c r="C15" i="117"/>
  <c r="B6" i="281"/>
  <c r="C17" i="254"/>
  <c r="AV61" i="353" a="1"/>
  <c r="G22" i="351" a="1"/>
  <c r="X81" i="353" a="1"/>
  <c r="J23" i="353" a="1"/>
  <c r="AD55" i="353" a="1"/>
  <c r="J130" i="351" a="1"/>
  <c r="W71" i="353" a="1"/>
  <c r="L8" i="351" a="1"/>
  <c r="C19" i="417"/>
  <c r="H80" i="353" a="1"/>
  <c r="M147" i="351" a="1"/>
  <c r="C21" i="298"/>
  <c r="H79" i="353" a="1"/>
  <c r="AN4" i="353" a="1"/>
  <c r="G100" i="353" a="1"/>
  <c r="C21" i="287"/>
  <c r="AT53" i="353" a="1"/>
  <c r="C17" i="426"/>
  <c r="Y60" i="353" a="1"/>
  <c r="R18" i="351" a="1"/>
  <c r="Q109" i="351" a="1"/>
  <c r="L29" i="351" a="1"/>
  <c r="C17" i="434"/>
  <c r="U104" i="353" a="1"/>
  <c r="C16" i="309"/>
  <c r="C19" i="261"/>
  <c r="B7" i="277"/>
  <c r="C10" i="355" a="1"/>
  <c r="C16" i="94"/>
  <c r="C16" i="319"/>
  <c r="AI23" i="353" a="1"/>
  <c r="AK16" i="353" a="1"/>
  <c r="AO9" i="6" a="1"/>
  <c r="C18" i="483"/>
  <c r="O56" i="351" a="1"/>
  <c r="B6" i="278"/>
  <c r="C15" i="308"/>
  <c r="P20" i="353" a="1"/>
  <c r="B7" i="113"/>
  <c r="C22" i="381"/>
  <c r="AN89" i="353" a="1"/>
  <c r="L109" i="351" a="1"/>
  <c r="O75" i="351" a="1"/>
  <c r="U64" i="353" a="1"/>
  <c r="AI47" i="353" a="1"/>
  <c r="C21" i="307"/>
  <c r="AN60" i="353" a="1"/>
  <c r="C21" i="256"/>
  <c r="H154" i="351" a="1"/>
  <c r="P86" i="351" a="1"/>
  <c r="I116" i="351" a="1"/>
  <c r="AI5" i="6" a="1"/>
  <c r="G74" i="353" a="1"/>
  <c r="L72" i="351" a="1"/>
  <c r="P89" i="351" a="1"/>
  <c r="H77" i="351" a="1"/>
  <c r="AV104" i="353" a="1"/>
  <c r="C15" i="107"/>
  <c r="Q189" i="351" a="1"/>
  <c r="Z24" i="353" a="1"/>
  <c r="G15" i="351" a="1"/>
  <c r="B7" i="376"/>
  <c r="C14" i="89"/>
  <c r="Q34" i="353" a="1"/>
  <c r="D34" i="146" a="1"/>
  <c r="AG90" i="353" a="1"/>
  <c r="O86" i="351" a="1"/>
  <c r="Q198" i="351" a="1"/>
  <c r="AB93" i="353" a="1"/>
  <c r="AH74" i="353" a="1"/>
  <c r="Q29" i="353" a="1"/>
  <c r="H19" i="351" a="1"/>
  <c r="X29" i="353" a="1"/>
  <c r="F59" i="353" a="1"/>
  <c r="AG47" i="353" a="1"/>
  <c r="AR6" i="353" a="1"/>
  <c r="AF20" i="353" a="1"/>
  <c r="C16" i="324"/>
  <c r="W94" i="353" a="1"/>
  <c r="AQ90" i="353" a="1"/>
  <c r="AI61" i="353" a="1"/>
  <c r="C20" i="14"/>
  <c r="B7" i="479"/>
  <c r="W79" i="353" a="1"/>
  <c r="AP14" i="353" a="1"/>
  <c r="C19" i="294"/>
  <c r="C18" i="128"/>
  <c r="AL6" i="353" a="1"/>
  <c r="C21" i="259"/>
  <c r="J67" i="351" a="1"/>
  <c r="I167" i="351" a="1"/>
  <c r="N29" i="353" a="1"/>
  <c r="C16" i="415"/>
  <c r="G83" i="353" a="1"/>
  <c r="I24" i="351" a="1"/>
  <c r="C15" i="100"/>
  <c r="C18" i="245"/>
  <c r="I35" i="351" a="1"/>
  <c r="H30" i="351" a="1"/>
  <c r="AS51" i="353" a="1"/>
  <c r="C13" i="413"/>
  <c r="AD47" i="353" a="1"/>
  <c r="B7" i="122"/>
  <c r="D8" i="355" a="1"/>
  <c r="S155" i="351" a="1"/>
  <c r="C19" i="424"/>
  <c r="C20" i="276"/>
  <c r="AA26" i="353" a="1"/>
  <c r="AA99" i="353" a="1"/>
  <c r="B7" i="320"/>
  <c r="V84" i="353" a="1"/>
  <c r="AB33" i="353" a="1"/>
  <c r="C20" i="417"/>
  <c r="R36" i="351" a="1"/>
  <c r="AK70" i="353" a="1"/>
  <c r="R37" i="351" a="1"/>
  <c r="B6" i="298"/>
  <c r="C15" i="430"/>
  <c r="AA105" i="353" a="1"/>
  <c r="O98" i="353" a="1"/>
  <c r="N22" i="353" a="1"/>
  <c r="AU79" i="353" a="1"/>
  <c r="C22" i="115"/>
  <c r="O74" i="353" a="1"/>
  <c r="L38" i="351" a="1"/>
  <c r="AT25" i="353" a="1"/>
  <c r="E10" i="353" a="1"/>
  <c r="H120" i="351" a="1"/>
  <c r="C21" i="14"/>
  <c r="G61" i="353" a="1"/>
  <c r="C12" i="481"/>
  <c r="J193" i="351" a="1"/>
  <c r="C16" i="268"/>
  <c r="AF44" i="353" a="1"/>
  <c r="C21" i="385"/>
  <c r="Z11" i="353" a="1"/>
  <c r="K83" i="351" a="1"/>
  <c r="R64" i="353" a="1"/>
  <c r="T60" i="353" a="1"/>
  <c r="C20" i="329"/>
  <c r="M130" i="351" a="1"/>
  <c r="C20" i="299"/>
  <c r="M145" i="351" a="1"/>
  <c r="AJ49" i="353" a="1"/>
  <c r="W92" i="353" a="1"/>
  <c r="AA48" i="353" a="1"/>
  <c r="C12" i="248"/>
  <c r="J86" i="353" a="1"/>
  <c r="C20" i="103"/>
  <c r="I28" i="353" a="1"/>
  <c r="W4" i="353" a="1"/>
  <c r="C18" i="418"/>
  <c r="AO3" i="6" a="1"/>
  <c r="K146" i="351" a="1"/>
  <c r="C20" i="399"/>
  <c r="I3" i="351" a="1"/>
  <c r="L88" i="351" a="1"/>
  <c r="AH87" i="353" a="1"/>
  <c r="V5" i="353" a="1"/>
  <c r="N25" i="353" a="1"/>
  <c r="I193" i="351" a="1"/>
  <c r="C14" i="328"/>
  <c r="AE89" i="353" a="1"/>
  <c r="C17" i="399"/>
  <c r="F104" i="353" a="1"/>
  <c r="G40" i="353" a="1"/>
  <c r="C14" i="473"/>
  <c r="I81" i="351" a="1"/>
  <c r="J206" i="351" a="1"/>
  <c r="C22" i="291"/>
  <c r="G147" i="351" a="1"/>
  <c r="E51" i="353" a="1"/>
  <c r="AS30" i="353" a="1"/>
  <c r="C22" i="295"/>
  <c r="B6" i="315"/>
  <c r="H121" i="351" a="1"/>
  <c r="I27" i="351" a="1"/>
  <c r="G11" i="351" a="1"/>
  <c r="C20" i="343"/>
  <c r="L34" i="351" a="1"/>
  <c r="C19" i="428"/>
  <c r="Q61" i="353" a="1"/>
  <c r="Q15" i="351" a="1"/>
  <c r="V75" i="353" a="1"/>
  <c r="O189" i="351" a="1"/>
  <c r="B6" i="333"/>
  <c r="C15" i="14"/>
  <c r="V72" i="353" a="1"/>
  <c r="C8" i="355" a="1"/>
  <c r="P2" i="375" a="1"/>
  <c r="T33" i="353" a="1"/>
  <c r="G64" i="353" a="1"/>
  <c r="Q12" i="353" a="1"/>
  <c r="AS52" i="353" a="1"/>
  <c r="C21" i="95"/>
  <c r="G72" i="353" a="1"/>
  <c r="C13" i="295"/>
  <c r="AD91" i="353" a="1"/>
  <c r="C12" i="120"/>
  <c r="AH71" i="353" a="1"/>
  <c r="M106" i="351" a="1"/>
  <c r="C17" i="268"/>
  <c r="B6" i="250"/>
  <c r="U82" i="353" a="1"/>
  <c r="AD45" i="353" a="1"/>
  <c r="Y68" i="353" a="1"/>
  <c r="AO86" i="353" a="1"/>
  <c r="AV83" i="353" a="1"/>
  <c r="C17" i="428"/>
  <c r="C14" i="255"/>
  <c r="C20" i="100"/>
  <c r="O102" i="351" a="1"/>
  <c r="K133" i="351" a="1"/>
  <c r="AV48" i="353" a="1"/>
  <c r="O36" i="353" a="1"/>
  <c r="R12" i="353" a="1"/>
  <c r="AU17" i="353" a="1"/>
  <c r="I13" i="353" a="1"/>
  <c r="H32" i="353" a="1"/>
  <c r="V87" i="353" a="1"/>
  <c r="M38" i="353" a="1"/>
  <c r="B7" i="249"/>
  <c r="AS45" i="353" a="1"/>
  <c r="AJ47" i="353" a="1"/>
  <c r="I5" i="351" a="1"/>
  <c r="C16" i="122"/>
  <c r="B7" i="293"/>
  <c r="K81" i="353" a="1"/>
  <c r="P134" i="351" a="1"/>
  <c r="I153" i="351" a="1"/>
  <c r="AR22" i="353" a="1"/>
  <c r="B7" i="332"/>
  <c r="T176" i="351" a="1"/>
  <c r="AU26" i="353" a="1"/>
  <c r="AS80" i="353" a="1"/>
  <c r="AA3" i="353" a="1"/>
  <c r="C15" i="320"/>
  <c r="T139" i="351" a="1"/>
  <c r="E56" i="353" a="1"/>
  <c r="O199" i="351" a="1"/>
  <c r="Q59" i="353" a="1"/>
  <c r="C14" i="450"/>
  <c r="Q103" i="353" a="1"/>
  <c r="AL33" i="353" a="1"/>
  <c r="G50" i="353" a="1"/>
  <c r="I78" i="353" a="1"/>
  <c r="H63" i="353" a="1"/>
  <c r="AS4" i="353" a="1"/>
  <c r="O198" i="351" a="1"/>
  <c r="Q11" i="353" a="1"/>
  <c r="H42" i="351" a="1"/>
  <c r="J58" i="353" a="1"/>
  <c r="G125" i="351" a="1"/>
  <c r="M97" i="353" a="1"/>
  <c r="AN23" i="353" a="1"/>
  <c r="AT22" i="353" a="1"/>
  <c r="W32" i="353" a="1"/>
  <c r="K38" i="351" a="1"/>
  <c r="J123" i="351" a="1"/>
  <c r="S14" i="351" a="1"/>
  <c r="B7" i="414"/>
  <c r="O17" i="353" a="1"/>
  <c r="C17" i="110"/>
  <c r="C16" i="304"/>
  <c r="O22" i="353" a="1"/>
  <c r="AU47" i="353" a="1"/>
  <c r="P169" i="351" a="1"/>
  <c r="P60" i="353" a="1"/>
  <c r="N19" i="353" a="1"/>
  <c r="O174" i="351" a="1"/>
  <c r="C20" i="332"/>
  <c r="AS29" i="353" a="1"/>
  <c r="V34" i="353" a="1"/>
  <c r="AR84" i="353" a="1"/>
  <c r="C20" i="427"/>
  <c r="Z51" i="353" a="1"/>
  <c r="AK84" i="353" a="1"/>
  <c r="AE58" i="353" a="1"/>
  <c r="G157" i="351" a="1"/>
  <c r="Q113" i="351" a="1"/>
  <c r="M100" i="351" a="1"/>
  <c r="Y72" i="353" a="1"/>
  <c r="H50" i="353" a="1"/>
  <c r="AR43" i="353" a="1"/>
  <c r="C18" i="368"/>
  <c r="C13" i="94"/>
  <c r="C15" i="412"/>
  <c r="X91" i="353" a="1"/>
  <c r="C14" i="267"/>
  <c r="R81" i="353" a="1"/>
  <c r="H112" i="351" a="1"/>
  <c r="O131" i="351" a="1"/>
  <c r="C17" i="337"/>
  <c r="AE72" i="353" a="1"/>
  <c r="W34" i="353" a="1"/>
  <c r="C14" i="264"/>
  <c r="T203" i="351" a="1"/>
  <c r="AE82" i="353" a="1"/>
  <c r="S34" i="351" a="1"/>
  <c r="C20" i="424"/>
  <c r="C19" i="469"/>
  <c r="AR114" i="353" a="1"/>
  <c r="W46" i="353" a="1"/>
  <c r="AO36" i="353" a="1"/>
  <c r="C20" i="117"/>
  <c r="AD63" i="353" a="1"/>
  <c r="V114" i="353" a="1"/>
  <c r="T107" i="351" a="1"/>
  <c r="K78" i="353" a="1"/>
  <c r="C12" i="417"/>
  <c r="C20" i="450"/>
  <c r="G25" i="351" a="1"/>
  <c r="C22" i="416"/>
  <c r="M97" i="351" a="1"/>
  <c r="B24" i="144" a="1"/>
  <c r="S166" i="351" a="1"/>
  <c r="X51" i="353" a="1"/>
  <c r="P85" i="351" a="1"/>
  <c r="I114" i="353" a="1"/>
  <c r="AG73" i="353" a="1"/>
  <c r="AQ38" i="353" a="1"/>
  <c r="J79" i="351" a="1"/>
  <c r="K71" i="353" a="1"/>
  <c r="AO43" i="353" a="1"/>
  <c r="Q57" i="353" a="1"/>
  <c r="M205" i="351" a="1"/>
  <c r="M22" i="353" a="1"/>
  <c r="G184" i="351" a="1"/>
  <c r="P3" i="351" a="1"/>
  <c r="J96" i="353" a="1"/>
  <c r="N71" i="353" a="1"/>
  <c r="AA114" i="353" a="1"/>
  <c r="AP91" i="353" a="1"/>
  <c r="AS18" i="353" a="1"/>
  <c r="H101" i="351" a="1"/>
  <c r="AQ25" i="353" a="1"/>
  <c r="Z5" i="353" a="1"/>
  <c r="AU66" i="353" a="1"/>
  <c r="AO29" i="6" a="1"/>
  <c r="AK83" i="353" a="1"/>
  <c r="W6" i="353" a="1"/>
  <c r="O68" i="353" a="1"/>
  <c r="I23" i="351" a="1"/>
  <c r="AS72" i="353" a="1"/>
  <c r="C22" i="403"/>
  <c r="AO49" i="353" a="1"/>
  <c r="O203" i="351" a="1"/>
  <c r="H94" i="353" a="1"/>
  <c r="S44" i="351" a="1"/>
  <c r="AF81" i="353" a="1"/>
  <c r="W87" i="353" a="1"/>
  <c r="T83" i="351" a="1"/>
  <c r="P29" i="353" a="1"/>
  <c r="C15" i="108"/>
  <c r="I113" i="351" a="1"/>
  <c r="AU81" i="353" a="1"/>
  <c r="AJ88" i="353" a="1"/>
  <c r="L195" i="351" a="1"/>
  <c r="G78" i="351" a="1"/>
  <c r="X55" i="353" a="1"/>
  <c r="AB25" i="353" a="1"/>
  <c r="B6" i="288"/>
  <c r="C22" i="109"/>
  <c r="T46" i="353" a="1"/>
  <c r="M19" i="351" a="1"/>
  <c r="Q121" i="351" a="1"/>
  <c r="C21" i="417"/>
  <c r="L45" i="351" a="1"/>
  <c r="T36" i="351" a="1"/>
  <c r="S202" i="351" a="1"/>
  <c r="AB83" i="353" a="1"/>
  <c r="AK73" i="353" a="1"/>
  <c r="V42" i="353" a="1"/>
  <c r="M161" i="351" a="1"/>
  <c r="G152" i="351" a="1"/>
  <c r="AA76" i="353" a="1"/>
  <c r="C13" i="321"/>
  <c r="AE15" i="353" a="1"/>
  <c r="C16" i="267"/>
  <c r="AG64" i="353" a="1"/>
  <c r="C20" i="383"/>
  <c r="R6" i="351" a="1"/>
  <c r="R21" i="351" a="1"/>
  <c r="O104" i="353" a="1"/>
  <c r="T105" i="353" a="1"/>
  <c r="I46" i="351" a="1"/>
  <c r="J66" i="351" a="1"/>
  <c r="Y5" i="353" a="1"/>
  <c r="C13" i="349"/>
  <c r="AD31" i="353" a="1"/>
  <c r="B29" i="144" a="1"/>
  <c r="C16" i="344"/>
  <c r="O10" i="353" a="1"/>
  <c r="C13" i="427"/>
  <c r="S175" i="351" a="1"/>
  <c r="T55" i="351" a="1"/>
  <c r="I142" i="351" a="1"/>
  <c r="B6" i="426"/>
  <c r="AP76" i="353" a="1"/>
  <c r="C19" i="344"/>
  <c r="R77" i="353" a="1"/>
  <c r="R32" i="351" a="1"/>
  <c r="C16" i="473"/>
  <c r="P12" i="351" a="1"/>
  <c r="AG23" i="353" a="1"/>
  <c r="P157" i="351" a="1"/>
  <c r="X66" i="353" a="1"/>
  <c r="P13" i="353" a="1"/>
  <c r="Y21" i="353" a="1"/>
  <c r="P62" i="353" a="1"/>
  <c r="C20" i="256"/>
  <c r="F34" i="353" a="1"/>
  <c r="V18" i="353" a="1"/>
  <c r="C20" i="309"/>
  <c r="AP46" i="353" a="1"/>
  <c r="W49" i="353" a="1"/>
  <c r="Z37" i="353" a="1"/>
  <c r="I26" i="351" a="1"/>
  <c r="C16" i="255"/>
  <c r="AI6" i="353" a="1"/>
  <c r="Q100" i="353" a="1"/>
  <c r="C14" i="279"/>
  <c r="I127" i="351" a="1"/>
  <c r="AG55" i="353" a="1"/>
  <c r="V47" i="353" a="1"/>
  <c r="C17" i="363"/>
  <c r="P70" i="353" a="1"/>
  <c r="AB70" i="353" a="1"/>
  <c r="I82" i="353" a="1"/>
  <c r="I136" i="351" a="1"/>
  <c r="O47" i="353" a="1"/>
  <c r="C4" i="145" a="1"/>
  <c r="I126" i="351" a="1"/>
  <c r="C18" i="251"/>
  <c r="AQ53" i="353" a="1"/>
  <c r="J110" i="351" a="1"/>
  <c r="P162" i="351" a="1"/>
  <c r="K204" i="351" a="1"/>
  <c r="AJ6" i="353" a="1"/>
  <c r="AF22" i="353" a="1"/>
  <c r="C21" i="89"/>
  <c r="P173" i="351" a="1"/>
  <c r="O100" i="351" a="1"/>
  <c r="L61" i="351" a="1"/>
  <c r="Y22" i="353" a="1"/>
  <c r="O50" i="351" a="1"/>
  <c r="W17" i="353" a="1"/>
  <c r="P102" i="351" a="1"/>
  <c r="T43" i="353" a="1"/>
  <c r="I71" i="353" a="1"/>
  <c r="I60" i="351" a="1"/>
  <c r="B7" i="396"/>
  <c r="AV80" i="353" a="1"/>
  <c r="C19" i="491"/>
  <c r="R69" i="351" a="1"/>
  <c r="C21" i="327"/>
  <c r="K107" i="351" a="1"/>
  <c r="K70" i="353" a="1"/>
  <c r="R48" i="351" a="1"/>
  <c r="AQ104" i="353" a="1"/>
  <c r="I17" i="351" a="1"/>
  <c r="AO34" i="353" a="1"/>
  <c r="C14" i="285"/>
  <c r="C19" i="266"/>
  <c r="I100" i="353" a="1"/>
  <c r="C16" i="145" a="1"/>
  <c r="P109" i="351" a="1"/>
  <c r="AV42" i="353" a="1"/>
  <c r="B55" i="144" a="1"/>
  <c r="B37" i="144" a="1"/>
  <c r="AA85" i="353" a="1"/>
  <c r="P60" i="351" a="1"/>
  <c r="C20" i="472"/>
  <c r="C17" i="96"/>
  <c r="AB61" i="353" a="1"/>
  <c r="C18" i="100"/>
  <c r="P174" i="351" a="1"/>
  <c r="AD7" i="353" a="1"/>
  <c r="C17" i="433"/>
  <c r="C17" i="248"/>
  <c r="B6" i="300"/>
  <c r="I140" i="351" a="1"/>
  <c r="I176" i="351" a="1"/>
  <c r="G18" i="353" a="1"/>
  <c r="K137" i="351" a="1"/>
  <c r="AV24" i="353" a="1"/>
  <c r="X56" i="353" a="1"/>
  <c r="AI73" i="353" a="1"/>
  <c r="R188" i="351" a="1"/>
  <c r="J80" i="353" a="1"/>
  <c r="T49" i="351" a="1"/>
  <c r="C12" i="107"/>
  <c r="AK39" i="353" a="1"/>
  <c r="K13" i="353" a="1"/>
  <c r="D55" i="146" a="1"/>
  <c r="AO33" i="6" a="1"/>
  <c r="O141" i="351" a="1"/>
  <c r="AI18" i="353" a="1"/>
  <c r="C15" i="456"/>
  <c r="AU14" i="353" a="1"/>
  <c r="C21" i="252"/>
  <c r="AO46" i="353" a="1"/>
  <c r="AE43" i="353" a="1"/>
  <c r="F14" i="353" a="1"/>
  <c r="Q47" i="353" a="1"/>
  <c r="AN41" i="353" a="1"/>
  <c r="Y101" i="353" a="1"/>
  <c r="Q102" i="351" a="1"/>
  <c r="C15" i="123"/>
  <c r="AO90" i="353" a="1"/>
  <c r="C20" i="308"/>
  <c r="C18" i="107"/>
  <c r="C17" i="129"/>
  <c r="C14" i="312"/>
  <c r="AL48" i="353" a="1"/>
  <c r="C12" i="329"/>
  <c r="C13" i="384"/>
  <c r="C15" i="96"/>
  <c r="C16" i="411"/>
  <c r="G57" i="351" a="1"/>
  <c r="E103" i="353" a="1"/>
  <c r="C17" i="270"/>
  <c r="Z85" i="353" a="1"/>
  <c r="AR48" i="353" a="1"/>
  <c r="C12" i="312"/>
  <c r="C19" i="290"/>
  <c r="K67" i="353" a="1"/>
  <c r="O205" i="351" a="1"/>
  <c r="O5" i="351" a="1"/>
  <c r="J11" i="353" a="1"/>
  <c r="P13" i="351" a="1"/>
  <c r="AU69" i="353" a="1"/>
  <c r="R170" i="351" a="1"/>
  <c r="AO56" i="353" a="1"/>
  <c r="K170" i="351" a="1"/>
  <c r="P132" i="351" a="1"/>
  <c r="C20" i="258"/>
  <c r="R37" i="353" a="1"/>
  <c r="G108" i="351" a="1"/>
  <c r="C18" i="376"/>
  <c r="C12" i="255"/>
  <c r="AP66" i="353" a="1"/>
  <c r="AS100" i="353" a="1"/>
  <c r="H31" i="351" a="1"/>
  <c r="Y88" i="353" a="1"/>
  <c r="C22" i="290"/>
  <c r="B7" i="427"/>
  <c r="AK31" i="353" a="1"/>
  <c r="C13" i="319"/>
  <c r="C14" i="393"/>
  <c r="R166" i="351" a="1"/>
  <c r="R30" i="353" a="1"/>
  <c r="C17" i="297"/>
  <c r="L140" i="351" a="1"/>
  <c r="M90" i="351" a="1"/>
  <c r="C18" i="306"/>
  <c r="M138" i="351" a="1"/>
  <c r="C13" i="393"/>
  <c r="C14" i="474"/>
  <c r="S42" i="351" a="1"/>
  <c r="C20" i="335"/>
  <c r="C20" i="270"/>
  <c r="I41" i="351" a="1"/>
  <c r="G119" i="351" a="1"/>
  <c r="AO62" i="353" a="1"/>
  <c r="L7" i="351" a="1"/>
  <c r="H114" i="353" a="1"/>
  <c r="T97" i="353" a="1"/>
  <c r="X73" i="353" a="1"/>
  <c r="M181" i="351" a="1"/>
  <c r="AH88" i="353" a="1"/>
  <c r="G183" i="351" a="1"/>
  <c r="C17" i="305"/>
  <c r="AD42" i="353" a="1"/>
  <c r="Q60" i="351" a="1"/>
  <c r="S53" i="351" a="1"/>
  <c r="L25" i="351" a="1"/>
  <c r="AT34" i="353" a="1"/>
  <c r="AL22" i="353" a="1"/>
  <c r="C18" i="101"/>
  <c r="C21" i="297"/>
  <c r="C18" i="122"/>
  <c r="C16" i="474"/>
  <c r="O144" i="351" a="1"/>
  <c r="C14" i="468"/>
  <c r="AV58" i="353" a="1"/>
  <c r="P131" i="351" a="1"/>
  <c r="U89" i="353" a="1"/>
  <c r="AS32" i="353" a="1"/>
  <c r="G37" i="351" a="1"/>
  <c r="E63" i="353" a="1"/>
  <c r="AV95" i="353" a="1"/>
  <c r="AA104" i="353" a="1"/>
  <c r="AI37" i="353" a="1"/>
  <c r="AT20" i="353" a="1"/>
  <c r="AF60" i="353" a="1"/>
  <c r="Q88" i="353" a="1"/>
  <c r="C20" i="247"/>
  <c r="C19" i="95"/>
  <c r="C15" i="319"/>
  <c r="C18" i="364"/>
  <c r="AU53" i="353" a="1"/>
  <c r="C22" i="405"/>
  <c r="C14" i="301"/>
  <c r="Q115" i="351" a="1"/>
  <c r="AO101" i="353" a="1"/>
  <c r="C13" i="245"/>
  <c r="C15" i="347"/>
  <c r="S197" i="351" a="1"/>
  <c r="T122" i="351" a="1"/>
  <c r="C14" i="366"/>
  <c r="AS37" i="353" a="1"/>
  <c r="B6" i="266"/>
  <c r="C19" i="274"/>
  <c r="R199" i="351" a="1"/>
  <c r="E33" i="353" a="1"/>
  <c r="T14" i="353" a="1"/>
  <c r="L123" i="351" a="1"/>
  <c r="J131" i="351" a="1"/>
  <c r="C16" i="399"/>
  <c r="AI5" i="353" a="1"/>
  <c r="AJ21" i="353" a="1"/>
  <c r="C22" i="121"/>
  <c r="B7" i="261"/>
  <c r="Q108" i="351" a="1"/>
  <c r="I186" i="351" a="1"/>
  <c r="T117" i="351" a="1"/>
  <c r="AH86" i="353" a="1"/>
  <c r="B6" i="418"/>
  <c r="O84" i="351" a="1"/>
  <c r="N12" i="353" a="1"/>
  <c r="C20" i="334"/>
  <c r="AA20" i="353" a="1"/>
  <c r="X83" i="353" a="1"/>
  <c r="AF70" i="353" a="1"/>
  <c r="G90" i="351" a="1"/>
  <c r="AD66" i="353" a="1"/>
  <c r="H103" i="353" a="1"/>
  <c r="L104" i="351" a="1"/>
  <c r="C15" i="337"/>
  <c r="U101" i="353" a="1"/>
  <c r="V62" i="353" a="1"/>
  <c r="C18" i="309"/>
  <c r="C19" i="447"/>
  <c r="P204" i="351" a="1"/>
  <c r="I19" i="351" a="1"/>
  <c r="C17" i="338"/>
  <c r="Y37" i="353" a="1"/>
  <c r="M98" i="351" a="1"/>
  <c r="AE57" i="353" a="1"/>
  <c r="AQ30" i="353" a="1"/>
  <c r="AF54" i="353" a="1"/>
  <c r="AO24" i="353" a="1"/>
  <c r="AI38" i="353" a="1"/>
  <c r="C18" i="339"/>
  <c r="AL57" i="353" a="1"/>
  <c r="AT104" i="353" a="1"/>
  <c r="AL97" i="353" a="1"/>
  <c r="AL11" i="353" a="1"/>
  <c r="J73" i="353" a="1"/>
  <c r="B7" i="334"/>
  <c r="AD44" i="353" a="1"/>
  <c r="C19" i="411"/>
  <c r="C17" i="380"/>
  <c r="C16" i="454"/>
  <c r="C13" i="347"/>
  <c r="AI36" i="353" a="1"/>
  <c r="Q147" i="351" a="1"/>
  <c r="R202" i="351" a="1"/>
  <c r="AH43" i="353" a="1"/>
  <c r="AQ102" i="353" a="1"/>
  <c r="R175" i="351" a="1"/>
  <c r="C17" i="447"/>
  <c r="L173" i="351" a="1"/>
  <c r="P116" i="351" a="1"/>
  <c r="T29" i="353" a="1"/>
  <c r="C16" i="104"/>
  <c r="E26" i="353" a="1"/>
  <c r="C13" i="297"/>
  <c r="AE31" i="353" a="1"/>
  <c r="P105" i="353" a="1"/>
  <c r="C13" i="292"/>
  <c r="AI58" i="353" a="1"/>
  <c r="R102" i="351" a="1"/>
  <c r="T112" i="351" a="1"/>
  <c r="W10" i="353" a="1"/>
  <c r="R9" i="351" a="1"/>
  <c r="W86" i="353" a="1"/>
  <c r="V10" i="353" a="1"/>
  <c r="I105" i="351" a="1"/>
  <c r="L200" i="351" a="1"/>
  <c r="M77" i="351" a="1"/>
  <c r="H202" i="351" a="1"/>
  <c r="T152" i="351" a="1"/>
  <c r="C21" i="450"/>
  <c r="R49" i="351" a="1"/>
  <c r="C16" i="253"/>
  <c r="C20" i="349"/>
  <c r="C15" i="307"/>
  <c r="C15" i="410"/>
  <c r="O28" i="351" a="1"/>
  <c r="O89" i="353" a="1"/>
  <c r="J21" i="353" a="1"/>
  <c r="R103" i="353" a="1"/>
  <c r="C12" i="113"/>
  <c r="C15" i="381"/>
  <c r="C17" i="260"/>
  <c r="B6" i="89"/>
  <c r="H147" i="351" a="1"/>
  <c r="H47" i="351" a="1"/>
  <c r="AE5" i="353" a="1"/>
  <c r="C16" i="292"/>
  <c r="G181" i="351" a="1"/>
  <c r="P189" i="351" a="1"/>
  <c r="O93" i="353" a="1"/>
  <c r="O3" i="351" a="1"/>
  <c r="C14" i="454"/>
  <c r="AI26" i="6" a="1"/>
  <c r="C21" i="291"/>
  <c r="G60" i="351" a="1"/>
  <c r="K58" i="351" a="1"/>
  <c r="S130" i="351" a="1"/>
  <c r="L46" i="351" a="1"/>
  <c r="C18" i="305"/>
  <c r="AI10" i="6" a="1"/>
  <c r="C22" i="363"/>
  <c r="P136" i="351" a="1"/>
  <c r="AB87" i="353" a="1"/>
  <c r="T17" i="351" a="1"/>
  <c r="F68" i="353" a="1"/>
  <c r="J90" i="353" a="1"/>
  <c r="M167" i="351" a="1"/>
  <c r="R107" i="351" a="1"/>
  <c r="H79" i="351" a="1"/>
  <c r="C4" i="355" a="1"/>
  <c r="C14" i="332"/>
  <c r="AA94" i="353" a="1"/>
  <c r="B7" i="284"/>
  <c r="C15" i="246"/>
  <c r="AI104" i="353" a="1"/>
  <c r="S141" i="351" a="1"/>
  <c r="C16" i="247"/>
  <c r="T76" i="353" a="1"/>
  <c r="C12" i="99"/>
  <c r="T23" i="353" a="1"/>
  <c r="AP6" i="353" a="1"/>
  <c r="M57" i="351" a="1"/>
  <c r="C17" i="113"/>
  <c r="C6" i="355" a="1"/>
  <c r="C21" i="414"/>
  <c r="C13" i="464"/>
  <c r="AO30" i="353" a="1"/>
  <c r="R59" i="353" a="1"/>
  <c r="U40" i="353" a="1"/>
  <c r="B7" i="309"/>
  <c r="C14" i="331"/>
  <c r="L65" i="351" a="1"/>
  <c r="C20" i="280"/>
  <c r="H11" i="353" a="1"/>
  <c r="C15" i="338"/>
  <c r="H58" i="353" a="1"/>
  <c r="K84" i="353" a="1"/>
  <c r="B6" i="317"/>
  <c r="O7" i="351" a="1"/>
  <c r="H186" i="351" a="1"/>
  <c r="D18" i="146" a="1"/>
  <c r="C25" i="145" a="1"/>
  <c r="AJ58" i="353" a="1"/>
  <c r="Q187" i="351" a="1"/>
  <c r="K39" i="353" a="1"/>
  <c r="C21" i="97"/>
  <c r="C19" i="94"/>
  <c r="AI30" i="6" a="1"/>
  <c r="AP96" i="353" a="1"/>
  <c r="L113" i="351" a="1"/>
  <c r="L119" i="351" a="1"/>
  <c r="P30" i="351" a="1"/>
  <c r="AP93" i="353" a="1"/>
  <c r="Q196" i="351" a="1"/>
  <c r="C13" i="113"/>
  <c r="G41" i="353" a="1"/>
  <c r="C20" i="245"/>
  <c r="AP28" i="353" a="1"/>
  <c r="AO55" i="353" a="1"/>
  <c r="K93" i="351" a="1"/>
  <c r="C14" i="269"/>
  <c r="T74" i="351" a="1"/>
  <c r="I201" i="351" a="1"/>
  <c r="T127" i="351" a="1"/>
  <c r="C17" i="465"/>
  <c r="AE98" i="353" a="1"/>
  <c r="C15" i="341"/>
  <c r="J166" i="351" a="1"/>
  <c r="B6" i="491"/>
  <c r="AQ88" i="353" a="1"/>
  <c r="K165" i="351" a="1"/>
  <c r="W105" i="353" a="1"/>
  <c r="AK68" i="353" a="1"/>
  <c r="Q173" i="351" a="1"/>
  <c r="Q81" i="353" a="1"/>
  <c r="B10" i="355" a="1"/>
  <c r="C22" i="440"/>
  <c r="Q8" i="351" a="1"/>
  <c r="S176" i="351" a="1"/>
  <c r="J15" i="351" a="1"/>
  <c r="AD97" i="353" a="1"/>
  <c r="AJ10" i="353" a="1"/>
  <c r="K99" i="351" a="1"/>
  <c r="P37" i="351" a="1"/>
  <c r="S145" i="351" a="1"/>
  <c r="AE103" i="353" a="1"/>
  <c r="AT14" i="353" a="1"/>
  <c r="C12" i="250"/>
  <c r="C14" i="329"/>
  <c r="AA16" i="353" a="1"/>
  <c r="AR95" i="353" a="1"/>
  <c r="C14" i="282"/>
  <c r="AP48" i="353" a="1"/>
  <c r="C22" i="103"/>
  <c r="L105" i="351" a="1"/>
  <c r="AD72" i="353" a="1"/>
  <c r="B7" i="272"/>
  <c r="C12" i="383"/>
  <c r="Z96" i="353" a="1"/>
  <c r="M19" i="353" a="1"/>
  <c r="C20" i="381"/>
  <c r="Q46" i="353" a="1"/>
  <c r="B7" i="341"/>
  <c r="AV114" i="353" a="1"/>
  <c r="C13" i="305"/>
  <c r="AA17" i="353" a="1"/>
  <c r="C19" i="413"/>
  <c r="J55" i="351" a="1"/>
  <c r="AK6" i="353" a="1"/>
  <c r="Q120" i="351" a="1"/>
  <c r="C13" i="263"/>
  <c r="C32" i="145" a="1"/>
  <c r="Q175" i="351" a="1"/>
  <c r="C18" i="273"/>
  <c r="C15" i="440"/>
  <c r="P127" i="351" a="1"/>
  <c r="C20" i="396"/>
  <c r="P100" i="351" a="1"/>
  <c r="AU93" i="353" a="1"/>
  <c r="J72" i="353" a="1"/>
  <c r="AV62" i="353" a="1"/>
  <c r="C20" i="365"/>
  <c r="B7" i="463"/>
  <c r="C21" i="426"/>
  <c r="J62" i="353" a="1"/>
  <c r="H75" i="353" a="1"/>
  <c r="R50" i="353" a="1"/>
  <c r="Z40" i="353" a="1"/>
  <c r="J105" i="353" a="1"/>
  <c r="E45" i="353" a="1"/>
  <c r="F40" i="353" a="1"/>
  <c r="O206" i="351" a="1"/>
  <c r="H98" i="353" a="1"/>
  <c r="C19" i="340"/>
  <c r="AO88" i="353" a="1"/>
  <c r="AB91" i="353" a="1"/>
  <c r="C18" i="104"/>
  <c r="AV16" i="353" a="1"/>
  <c r="C15" i="145" a="1"/>
  <c r="S67" i="351" a="1"/>
  <c r="Y32" i="353" a="1"/>
  <c r="I39" i="351" a="1"/>
  <c r="AB60" i="353" a="1"/>
  <c r="R71" i="351" a="1"/>
  <c r="B6" i="296"/>
  <c r="P36" i="353" a="1"/>
  <c r="G27" i="353" a="1"/>
  <c r="T31" i="351" a="1"/>
  <c r="H128" i="351" a="1"/>
  <c r="X53" i="353" a="1"/>
  <c r="O4" i="351" a="1"/>
  <c r="S194" i="351" a="1"/>
  <c r="C18" i="272"/>
  <c r="AL87" i="353" a="1"/>
  <c r="AV37" i="353" a="1"/>
  <c r="J165" i="351" a="1"/>
  <c r="AA93" i="353" a="1"/>
  <c r="B7" i="95"/>
  <c r="G188" i="351" a="1"/>
  <c r="B7" i="252"/>
  <c r="H130" i="351" a="1"/>
  <c r="AF55" i="353" a="1"/>
  <c r="S185" i="351" a="1"/>
  <c r="AH12" i="353" a="1"/>
  <c r="C15" i="462"/>
  <c r="O70" i="353" a="1"/>
  <c r="C22" i="342"/>
  <c r="C13" i="440"/>
  <c r="AL88" i="353" a="1"/>
  <c r="C12" i="317"/>
  <c r="C19" i="276"/>
  <c r="C22" i="96"/>
  <c r="Z58" i="353" a="1"/>
  <c r="C16" i="328"/>
  <c r="AR25" i="353" a="1"/>
  <c r="AT85" i="353" a="1"/>
  <c r="O179" i="351" a="1"/>
  <c r="T83" i="353" a="1"/>
  <c r="C22" i="448"/>
  <c r="N79" i="353" a="1"/>
  <c r="AN63" i="353" a="1"/>
  <c r="AO30" i="6" a="1"/>
  <c r="Q55" i="353" a="1"/>
  <c r="AG30" i="353" a="1"/>
  <c r="C19" i="365"/>
  <c r="C13" i="307"/>
  <c r="C2" i="355" a="1"/>
  <c r="G172" i="351" a="1"/>
  <c r="AI4" i="353" a="1"/>
  <c r="S165" i="351" a="1"/>
  <c r="G168" i="351" a="1"/>
  <c r="AP26" i="353" a="1"/>
  <c r="AR20" i="353" a="1"/>
  <c r="I95" i="351" a="1"/>
  <c r="R13" i="351" a="1"/>
  <c r="C21" i="428"/>
  <c r="Q174" i="351" a="1"/>
  <c r="P196" i="351" a="1"/>
  <c r="AO35" i="6" a="1"/>
  <c r="AE65" i="353" a="1"/>
  <c r="C18" i="260"/>
  <c r="C15" i="455"/>
  <c r="M73" i="351" a="1"/>
  <c r="O31" i="353" a="1"/>
  <c r="O46" i="351" a="1"/>
  <c r="R70" i="351" a="1"/>
  <c r="C14" i="341"/>
  <c r="M174" i="351" a="1"/>
  <c r="P142" i="351" a="1"/>
  <c r="AF28" i="353" a="1"/>
  <c r="AO13" i="6" a="1"/>
  <c r="H44" i="353" a="1"/>
  <c r="C20" i="267"/>
  <c r="C19" i="14"/>
  <c r="AO15" i="353" a="1"/>
  <c r="AR86" i="353" a="1"/>
  <c r="AS61" i="353" a="1"/>
  <c r="Q83" i="353" a="1"/>
  <c r="R42" i="353" a="1"/>
  <c r="C19" i="297"/>
  <c r="AJ69" i="353" a="1"/>
  <c r="AO73" i="353" a="1"/>
  <c r="AN74" i="353" a="1"/>
  <c r="H86" i="351" a="1"/>
  <c r="U100" i="353" a="1"/>
  <c r="B6" i="297"/>
  <c r="AP70" i="353" a="1"/>
  <c r="AU100" i="353" a="1"/>
  <c r="C14" i="382"/>
  <c r="AE87" i="353" a="1"/>
  <c r="G14" i="353" a="1"/>
  <c r="O181" i="351" a="1"/>
  <c r="Q154" i="351" a="1"/>
  <c r="H25" i="351" a="1"/>
  <c r="G19" i="351" a="1"/>
  <c r="Q49" i="353" a="1"/>
  <c r="C15" i="340"/>
  <c r="C21" i="323"/>
  <c r="C14" i="97"/>
  <c r="AP38" i="353" a="1"/>
  <c r="C22" i="271"/>
  <c r="AI7" i="353" a="1"/>
  <c r="J117" i="351" a="1"/>
  <c r="M206" i="351" a="1"/>
  <c r="Q40" i="351" a="1"/>
  <c r="C16" i="302"/>
  <c r="AF57" i="353" a="1"/>
  <c r="AK57" i="353" a="1"/>
  <c r="M127" i="351" a="1"/>
  <c r="C15" i="113"/>
  <c r="C14" i="368"/>
  <c r="C21" i="384"/>
  <c r="M190" i="351" a="1"/>
  <c r="AL50" i="353" a="1"/>
  <c r="AQ44" i="353" a="1"/>
  <c r="I55" i="351" a="1"/>
  <c r="J147" i="351" a="1"/>
  <c r="C16" i="285"/>
  <c r="C22" i="367"/>
  <c r="T190" i="351" a="1"/>
  <c r="C13" i="254"/>
  <c r="H43" i="351" a="1"/>
  <c r="AE92" i="353" a="1"/>
  <c r="AE73" i="353" a="1"/>
  <c r="H180" i="351" a="1"/>
  <c r="C17" i="448"/>
  <c r="B6" i="474"/>
  <c r="O45" i="353" a="1"/>
  <c r="V23" i="353" a="1"/>
  <c r="C17" i="294"/>
  <c r="C14" i="465"/>
  <c r="AL51" i="353" a="1"/>
  <c r="J31" i="353" a="1"/>
  <c r="C13" i="348"/>
  <c r="I103" i="353" a="1"/>
  <c r="AN3" i="353" a="1"/>
  <c r="J133" i="351" a="1"/>
  <c r="I12" i="353" a="1"/>
  <c r="C17" i="314"/>
  <c r="C18" i="256"/>
  <c r="E44" i="353" a="1"/>
  <c r="M172" i="351" a="1"/>
  <c r="F49" i="353" a="1"/>
  <c r="Q19" i="351" a="1"/>
  <c r="T20" i="353" a="1"/>
  <c r="Q91" i="351" a="1"/>
  <c r="C18" i="426"/>
  <c r="K55" i="351" a="1"/>
  <c r="O95" i="353" a="1"/>
  <c r="AT6" i="353" a="1"/>
  <c r="Z80" i="353" a="1"/>
  <c r="K131" i="351" a="1"/>
  <c r="H124" i="351" a="1"/>
  <c r="C19" i="289"/>
  <c r="C20" i="108"/>
  <c r="K157" i="351" a="1"/>
  <c r="I175" i="351" a="1"/>
  <c r="C19" i="331"/>
  <c r="AV28" i="353" a="1"/>
  <c r="S174" i="351" a="1"/>
  <c r="K79" i="351" a="1"/>
  <c r="AO47" i="353" a="1"/>
  <c r="C20" i="257"/>
  <c r="T85" i="353" a="1"/>
  <c r="P6" i="351" a="1"/>
  <c r="C22" i="256"/>
  <c r="O48" i="351" a="1"/>
  <c r="AI25" i="6" a="1"/>
  <c r="R87" i="351" a="1"/>
  <c r="AH98" i="353" a="1"/>
  <c r="AA58" i="353" a="1"/>
  <c r="AK28" i="353" a="1"/>
  <c r="AJ85" i="353" a="1"/>
  <c r="K61" i="351" a="1"/>
  <c r="K34" i="353" a="1"/>
  <c r="C47" i="145" a="1"/>
  <c r="T43" i="351" a="1"/>
  <c r="L192" i="351" a="1"/>
  <c r="K186" i="351" a="1"/>
  <c r="AN105" i="353" a="1"/>
  <c r="H33" i="353" a="1"/>
  <c r="C16" i="327"/>
  <c r="S24" i="351" a="1"/>
  <c r="Q25" i="353" a="1"/>
  <c r="T81" i="353" a="1"/>
  <c r="J49" i="353" a="1"/>
  <c r="M54" i="351" a="1"/>
  <c r="C20" i="301"/>
  <c r="O26" i="351" a="1"/>
  <c r="L168" i="351" a="1"/>
  <c r="AA73" i="353" a="1"/>
  <c r="Y36" i="353" a="1"/>
  <c r="M14" i="353" a="1"/>
  <c r="C22" i="300"/>
  <c r="C18" i="313"/>
  <c r="AO16" i="353" a="1"/>
  <c r="AL27" i="353" a="1"/>
  <c r="V64" i="353" a="1"/>
  <c r="M65" i="353" a="1"/>
  <c r="S129" i="351" a="1"/>
  <c r="C20" i="368"/>
  <c r="C22" i="426"/>
  <c r="AO59" i="353" a="1"/>
  <c r="B49" i="144" a="1"/>
  <c r="C15" i="332"/>
  <c r="O158" i="351" a="1"/>
  <c r="C15" i="267"/>
  <c r="C20" i="250"/>
  <c r="AD18" i="353" a="1"/>
  <c r="AP87" i="353" a="1"/>
  <c r="C19" i="256"/>
  <c r="G117" i="351" a="1"/>
  <c r="S94" i="351" a="1"/>
  <c r="B7" i="282"/>
  <c r="C22" i="327"/>
  <c r="R154" i="351" a="1"/>
  <c r="AP78" i="353" a="1"/>
  <c r="C22" i="245"/>
  <c r="C15" i="268"/>
  <c r="AS104" i="353" a="1"/>
  <c r="AJ46" i="353" a="1"/>
  <c r="I66" i="353" a="1"/>
  <c r="K134" i="351" a="1"/>
  <c r="Q82" i="353" a="1"/>
  <c r="AN76" i="353" a="1"/>
  <c r="AQ60" i="353" a="1"/>
  <c r="AB95" i="353" a="1"/>
  <c r="J200" i="351" a="1"/>
  <c r="C21" i="268"/>
  <c r="I42" i="351" a="1"/>
  <c r="K70" i="351" a="1"/>
  <c r="R114" i="351" a="1"/>
  <c r="O132" i="351" a="1"/>
  <c r="C12" i="253"/>
  <c r="B7" i="127"/>
  <c r="AB77" i="353" a="1"/>
  <c r="C18" i="414"/>
  <c r="J149" i="351" a="1"/>
  <c r="M43" i="351" a="1"/>
  <c r="G140" i="351" a="1"/>
  <c r="C22" i="465"/>
  <c r="C12" i="259"/>
  <c r="C17" i="325"/>
  <c r="X23" i="353" a="1"/>
  <c r="AF49" i="353" a="1"/>
  <c r="M25" i="351" a="1"/>
  <c r="AK30" i="353" a="1"/>
  <c r="C17" i="298"/>
  <c r="AL101" i="353" a="1"/>
  <c r="AF96" i="353" a="1"/>
  <c r="K123" i="351" a="1"/>
  <c r="AJ28" i="353" a="1"/>
  <c r="P24" i="351" a="1"/>
  <c r="C12" i="245"/>
  <c r="AR62" i="353" a="1"/>
  <c r="C16" i="416"/>
  <c r="AP47" i="353" a="1"/>
  <c r="C19" i="420"/>
  <c r="AI99" i="353" a="1"/>
  <c r="C17" i="14"/>
  <c r="AE28" i="353" a="1"/>
  <c r="AL71" i="353" a="1"/>
  <c r="O139" i="351" a="1"/>
  <c r="AK40" i="353" a="1"/>
  <c r="K179" i="351" a="1"/>
  <c r="B7" i="367"/>
  <c r="B6" i="313"/>
  <c r="C21" i="456"/>
  <c r="AJ35" i="353" a="1"/>
  <c r="T81" i="351" a="1"/>
  <c r="AH40" i="353" a="1"/>
  <c r="J102" i="351" a="1"/>
  <c r="AI26" i="353" a="1"/>
  <c r="M8" i="351" a="1"/>
  <c r="G74" i="351" a="1"/>
  <c r="J85" i="353" a="1"/>
  <c r="C13" i="331"/>
  <c r="K49" i="351" a="1"/>
  <c r="X33" i="353" a="1"/>
  <c r="K130" i="351" a="1"/>
  <c r="N43" i="353" a="1"/>
  <c r="N74" i="353" a="1"/>
  <c r="K54" i="351" a="1"/>
  <c r="C12" i="341"/>
  <c r="I203" i="351" a="1"/>
  <c r="B7" i="415"/>
  <c r="P207" i="351" a="1"/>
  <c r="C21" i="367"/>
  <c r="Z47" i="353" a="1"/>
  <c r="H8" i="351" a="1"/>
  <c r="C22" i="298"/>
  <c r="AA55" i="353" a="1"/>
  <c r="AU49" i="353" a="1"/>
  <c r="I135" i="351" a="1"/>
  <c r="Q102" i="353" a="1"/>
  <c r="B7" i="355" a="1"/>
  <c r="AR14" i="353" a="1"/>
  <c r="R82" i="351" a="1"/>
  <c r="AL13" i="353" a="1"/>
  <c r="C21" i="420"/>
  <c r="C22" i="330"/>
  <c r="M169" i="351" a="1"/>
  <c r="C12" i="425"/>
  <c r="AE10" i="353" a="1"/>
  <c r="C21" i="465"/>
  <c r="B6" i="128"/>
  <c r="AS58" i="353" a="1"/>
  <c r="C12" i="363"/>
  <c r="J174" i="351" a="1"/>
  <c r="AO92" i="353" a="1"/>
  <c r="AU71" i="353" a="1"/>
  <c r="AB41" i="353" a="1"/>
  <c r="C46" i="145" a="1"/>
  <c r="AU84" i="353" a="1"/>
  <c r="B7" i="296"/>
  <c r="U91" i="353" a="1"/>
  <c r="C22" i="392"/>
  <c r="C19" i="415"/>
  <c r="T15" i="351" a="1"/>
  <c r="C13" i="345"/>
  <c r="R100" i="353" a="1"/>
  <c r="H18" i="351" a="1"/>
  <c r="I70" i="351" a="1"/>
  <c r="AH76" i="353" a="1"/>
  <c r="E39" i="353" a="1"/>
  <c r="E37" i="353" a="1"/>
  <c r="C16" i="475"/>
  <c r="I163" i="351" a="1"/>
  <c r="S137" i="351" a="1"/>
  <c r="P26" i="353" a="1"/>
  <c r="S177" i="351" a="1"/>
  <c r="O53" i="351" a="1"/>
  <c r="C14" i="117"/>
  <c r="AF69" i="353" a="1"/>
  <c r="C21" i="279"/>
  <c r="C13" i="313"/>
  <c r="C19" i="458"/>
  <c r="AU19" i="353" a="1"/>
  <c r="T59" i="351" a="1"/>
  <c r="C20" i="411"/>
  <c r="C20" i="382"/>
  <c r="K12" i="351" a="1"/>
  <c r="X18" i="353" a="1"/>
  <c r="P37" i="353" a="1"/>
  <c r="I45" i="351" a="1"/>
  <c r="AS42" i="353" a="1"/>
  <c r="R14" i="351" a="1"/>
  <c r="C16" i="488"/>
  <c r="M50" i="353" a="1"/>
  <c r="C12" i="304"/>
  <c r="K144" i="351" a="1"/>
  <c r="C17" i="308"/>
  <c r="AD65" i="353" a="1"/>
  <c r="O75" i="353" a="1"/>
  <c r="C13" i="417"/>
  <c r="R187" i="351" a="1"/>
  <c r="C13" i="259"/>
  <c r="AP17" i="353" a="1"/>
  <c r="AL56" i="353" a="1"/>
  <c r="G63" i="351" a="1"/>
  <c r="H10" i="353" a="1"/>
  <c r="C13" i="264"/>
  <c r="W7" i="353" a="1"/>
  <c r="J15" i="353" a="1"/>
  <c r="C16" i="385"/>
  <c r="R90" i="351" a="1"/>
  <c r="V97" i="353" a="1"/>
  <c r="E92" i="353" a="1"/>
  <c r="AO10" i="353" a="1"/>
  <c r="AR39" i="353" a="1"/>
  <c r="AN100" i="353" a="1"/>
  <c r="I4" i="351" a="1"/>
  <c r="AS40" i="353" a="1"/>
  <c r="Q68" i="353" a="1"/>
  <c r="B7" i="330"/>
  <c r="C19" i="337"/>
  <c r="C11" i="355" a="1"/>
  <c r="J146" i="351" a="1"/>
  <c r="O101" i="351" a="1"/>
  <c r="AD22" i="353" a="1"/>
  <c r="B7" i="117"/>
  <c r="AH91" i="353" a="1"/>
  <c r="AJ101" i="353" a="1"/>
  <c r="L110" i="351" a="1"/>
  <c r="AA68" i="353" a="1"/>
  <c r="C13" i="342"/>
  <c r="AE6" i="353" a="1"/>
  <c r="C13" i="302"/>
  <c r="C20" i="298"/>
  <c r="R162" i="351" a="1"/>
  <c r="AO36" i="6" a="1"/>
  <c r="K105" i="353" a="1"/>
  <c r="O87" i="351" a="1"/>
  <c r="AT18" i="353" a="1"/>
  <c r="G89" i="353" a="1"/>
  <c r="C18" i="427"/>
  <c r="G64" i="351" a="1"/>
  <c r="C18" i="118"/>
  <c r="C12" i="116"/>
  <c r="AI97" i="353" a="1"/>
  <c r="C15" i="265"/>
  <c r="B6" i="320"/>
  <c r="K38" i="353" a="1"/>
  <c r="L172" i="351" a="1"/>
  <c r="AG95" i="353" a="1"/>
  <c r="J101" i="353" a="1"/>
  <c r="B7" i="442"/>
  <c r="L83" i="351" a="1"/>
  <c r="Q21" i="351" a="1"/>
  <c r="AE100" i="353" a="1"/>
  <c r="AO81" i="353" a="1"/>
  <c r="C20" i="415"/>
  <c r="I198" i="351" a="1"/>
  <c r="B7" i="250"/>
  <c r="AN29" i="353" a="1"/>
  <c r="P44" i="351" a="1"/>
  <c r="C20" i="312"/>
  <c r="C21" i="96"/>
  <c r="V8" i="353" a="1"/>
  <c r="R39" i="351" a="1"/>
  <c r="C17" i="464"/>
  <c r="AQ83" i="353" a="1"/>
  <c r="AT81" i="353" a="1"/>
  <c r="C21" i="267"/>
  <c r="Q42" i="351" a="1"/>
  <c r="AP61" i="353" a="1"/>
  <c r="O116" i="351" a="1"/>
  <c r="AB5" i="353" a="1"/>
  <c r="AJ44" i="353" a="1"/>
  <c r="C12" i="434"/>
  <c r="X4" i="353" a="1"/>
  <c r="P164" i="351" a="1"/>
  <c r="K154" i="351" a="1"/>
  <c r="AV6" i="353" a="1"/>
  <c r="L89" i="351" a="1"/>
  <c r="B7" i="464"/>
  <c r="I21" i="351" a="1"/>
  <c r="C15" i="366"/>
  <c r="Y50" i="353" a="1"/>
  <c r="C17" i="275"/>
  <c r="AQ36" i="353" a="1"/>
  <c r="C15" i="304"/>
  <c r="I50" i="353" a="1"/>
  <c r="P53" i="353" a="1"/>
  <c r="C12" i="428"/>
  <c r="C14" i="416"/>
  <c r="H185" i="351" a="1"/>
  <c r="AQ63" i="353" a="1"/>
  <c r="C17" i="299"/>
  <c r="AN99" i="353" a="1"/>
  <c r="C15" i="490"/>
  <c r="T116" i="351" a="1"/>
  <c r="S69" i="351" a="1"/>
  <c r="J74" i="351" a="1"/>
  <c r="Q20" i="351" a="1"/>
  <c r="L185" i="351" a="1"/>
  <c r="AG80" i="353" a="1"/>
  <c r="M125" i="351" a="1"/>
  <c r="B7" i="467"/>
  <c r="C21" i="312"/>
  <c r="H19" i="353" a="1"/>
  <c r="G12" i="351" a="1"/>
  <c r="O140" i="351" a="1"/>
  <c r="C19" i="333"/>
  <c r="W90" i="353" a="1"/>
  <c r="AA31" i="353" a="1"/>
  <c r="C21" i="442"/>
  <c r="AF87" i="353" a="1"/>
  <c r="B7" i="447"/>
  <c r="I98" i="353" a="1"/>
  <c r="C18" i="301"/>
  <c r="B6" i="276"/>
  <c r="C15" i="252"/>
  <c r="C16" i="410"/>
  <c r="Z29" i="353" a="1"/>
  <c r="C16" i="273"/>
  <c r="G200" i="351" a="1"/>
  <c r="C22" i="302"/>
  <c r="C13" i="89"/>
  <c r="P126" i="351" a="1"/>
  <c r="C12" i="333"/>
  <c r="Q9" i="351" a="1"/>
  <c r="G8" i="351" a="1"/>
  <c r="K174" i="351" a="1"/>
  <c r="I40" i="353" a="1"/>
  <c r="S131" i="351" a="1"/>
  <c r="AF66" i="353" a="1"/>
  <c r="K35" i="353" a="1"/>
  <c r="B6" i="103"/>
  <c r="Z74" i="353" a="1"/>
  <c r="C13" i="104"/>
  <c r="H165" i="351" a="1"/>
  <c r="AN49" i="353" a="1"/>
  <c r="C12" i="400"/>
  <c r="I73" i="353" a="1"/>
  <c r="Q200" i="351" a="1"/>
  <c r="C18" i="262"/>
  <c r="AF39" i="353" a="1"/>
  <c r="C14" i="313"/>
  <c r="F75" i="353" a="1"/>
  <c r="Q97" i="351" a="1"/>
  <c r="H133" i="351" a="1"/>
  <c r="C22" i="474"/>
  <c r="I27" i="353" a="1"/>
  <c r="J195" i="351" a="1"/>
  <c r="P151" i="351" a="1"/>
  <c r="I174" i="351" a="1"/>
  <c r="AF50" i="353" a="1"/>
  <c r="G83" i="351" a="1"/>
  <c r="J159" i="351" a="1"/>
  <c r="C12" i="290"/>
  <c r="F10" i="353" a="1"/>
  <c r="C15" i="363"/>
  <c r="C22" i="380"/>
  <c r="S186" i="351" a="1"/>
  <c r="K117" i="351" a="1"/>
  <c r="X92" i="353" a="1"/>
  <c r="B6" i="308"/>
  <c r="AD52" i="353" a="1"/>
  <c r="P79" i="351" a="1"/>
  <c r="AV70" i="353" a="1"/>
  <c r="AG38" i="353" a="1"/>
  <c r="C22" i="415"/>
  <c r="C16" i="307"/>
  <c r="AG78" i="353" a="1"/>
  <c r="O13" i="353" a="1"/>
  <c r="L32" i="351" a="1"/>
  <c r="AB99" i="353" a="1"/>
  <c r="C21" i="255"/>
  <c r="AS66" i="353" a="1"/>
  <c r="X42" i="353" a="1"/>
  <c r="AH42" i="353" a="1"/>
  <c r="C22" i="383"/>
  <c r="G95" i="353" a="1"/>
  <c r="AL32" i="353" a="1"/>
  <c r="C16" i="270"/>
  <c r="C18" i="462"/>
  <c r="AE62" i="353" a="1"/>
  <c r="AN42" i="353" a="1"/>
  <c r="C20" i="277"/>
  <c r="C12" i="110"/>
  <c r="AO25" i="353" a="1"/>
  <c r="Z41" i="353" a="1"/>
  <c r="AS105" i="353" a="1"/>
  <c r="AE4" i="353" a="1"/>
  <c r="T67" i="353" a="1"/>
  <c r="G110" i="351" a="1"/>
  <c r="I66" i="351" a="1"/>
  <c r="H65" i="351" a="1"/>
  <c r="AU30" i="353" a="1"/>
  <c r="L177" i="351" a="1"/>
  <c r="T28" i="353" a="1"/>
  <c r="Z18" i="353" a="1"/>
  <c r="C19" i="384"/>
  <c r="C13" i="293"/>
  <c r="K177" i="351" a="1"/>
  <c r="L80" i="351" a="1"/>
  <c r="AD105" i="353" a="1"/>
  <c r="E46" i="353" a="1"/>
  <c r="P69" i="353" a="1"/>
  <c r="C17" i="481"/>
  <c r="C15" i="385"/>
  <c r="K93" i="353" a="1"/>
  <c r="H34" i="351" a="1"/>
  <c r="C21" i="392"/>
  <c r="B6" i="113"/>
  <c r="C20" i="342"/>
  <c r="AL38" i="353" a="1"/>
  <c r="G123" i="351" a="1"/>
  <c r="AQ43" i="353" a="1"/>
  <c r="C12" i="311"/>
  <c r="P96" i="351" a="1"/>
  <c r="Q70" i="351" a="1"/>
  <c r="K74" i="353" a="1"/>
  <c r="Y34" i="353" a="1"/>
  <c r="B7" i="473"/>
  <c r="AE50" i="353" a="1"/>
  <c r="Q100" i="351" a="1"/>
  <c r="B6" i="400"/>
  <c r="C20" i="491"/>
  <c r="AE80" i="353" a="1"/>
  <c r="H129" i="351" a="1"/>
  <c r="AF62" i="353" a="1"/>
  <c r="B6" i="247"/>
  <c r="AV74" i="353" a="1"/>
  <c r="I178" i="351" a="1"/>
  <c r="AU99" i="353" a="1"/>
  <c r="AB16" i="353" a="1"/>
  <c r="B6" i="260"/>
  <c r="P80" i="353" a="1"/>
  <c r="F50" i="353" a="1"/>
  <c r="T32" i="351" a="1"/>
  <c r="AD27" i="353" a="1"/>
  <c r="AU114" i="353" a="1"/>
  <c r="AT41" i="353" a="1"/>
  <c r="B7" i="99"/>
  <c r="K17" i="351" a="1"/>
  <c r="C15" i="324"/>
  <c r="J88" i="353" a="1"/>
  <c r="K102" i="351" a="1"/>
  <c r="C15" i="384"/>
  <c r="AU38" i="353" a="1"/>
  <c r="K73" i="353" a="1"/>
  <c r="Q81" i="351" a="1"/>
  <c r="AG48" i="353" a="1"/>
  <c r="P90" i="351" a="1"/>
  <c r="B6" i="99"/>
  <c r="C15" i="424"/>
  <c r="K156" i="351" a="1"/>
  <c r="U33" i="353" a="1"/>
  <c r="AN84" i="353" a="1"/>
  <c r="C12" i="307"/>
  <c r="AG22" i="353" a="1"/>
  <c r="T27" i="351" a="1"/>
  <c r="T37" i="351" a="1"/>
  <c r="U4" i="353" a="1"/>
  <c r="O30" i="351" a="1"/>
  <c r="B7" i="306"/>
  <c r="S73" i="351" a="1"/>
  <c r="AK59" i="353" a="1"/>
  <c r="R69" i="353" a="1"/>
  <c r="S163" i="351" a="1"/>
  <c r="B10" i="144" a="1"/>
  <c r="AB53" i="353" a="1"/>
  <c r="B43" i="144" a="1"/>
  <c r="V48" i="353" a="1"/>
  <c r="AG89" i="353" a="1"/>
  <c r="H57" i="351" a="1"/>
  <c r="I32" i="353" a="1"/>
  <c r="U41" i="353" a="1"/>
  <c r="B6" i="388"/>
  <c r="AT73" i="353" a="1"/>
  <c r="C18" i="333"/>
  <c r="C15" i="264"/>
  <c r="Y10" i="353" a="1"/>
  <c r="S180" i="351" a="1"/>
  <c r="Q160" i="351" a="1"/>
  <c r="C15" i="403"/>
  <c r="C16" i="96"/>
  <c r="AO60" i="353" a="1"/>
  <c r="C21" i="104"/>
  <c r="J101" i="351" a="1"/>
  <c r="B6" i="481"/>
  <c r="O155" i="351" a="1"/>
  <c r="Q128" i="351" a="1"/>
  <c r="L131" i="351" a="1"/>
  <c r="K175" i="351" a="1"/>
  <c r="C12" i="487"/>
  <c r="B6" i="301"/>
  <c r="C14" i="116"/>
  <c r="AQ95" i="353" a="1"/>
  <c r="I92" i="353" a="1"/>
  <c r="J17" i="353" a="1"/>
  <c r="C22" i="425"/>
  <c r="C16" i="271"/>
  <c r="C17" i="266"/>
  <c r="Q30" i="353" a="1"/>
  <c r="H132" i="351" a="1"/>
  <c r="AT50" i="353" a="1"/>
  <c r="AU96" i="353" a="1"/>
  <c r="P97" i="353" a="1"/>
  <c r="R29" i="351" a="1"/>
  <c r="AR80" i="353" a="1"/>
  <c r="P17" i="353" a="1"/>
  <c r="AG84" i="353" a="1"/>
  <c r="C16" i="349"/>
  <c r="G25" i="353" a="1"/>
  <c r="J43" i="353" a="1"/>
  <c r="B6" i="274"/>
  <c r="H141" i="351" a="1"/>
  <c r="C17" i="269"/>
  <c r="I64" i="351" a="1"/>
  <c r="I21" i="353" a="1"/>
  <c r="AU70" i="353" a="1"/>
  <c r="AF100" i="353" a="1"/>
  <c r="C21" i="272"/>
  <c r="AO66" i="353" a="1"/>
  <c r="U95" i="353" a="1"/>
  <c r="O134" i="351" a="1"/>
  <c r="K97" i="353" a="1"/>
  <c r="C19" i="383"/>
  <c r="Z66" i="353" a="1"/>
  <c r="AS56" i="353" a="1"/>
  <c r="AS77" i="353" a="1"/>
  <c r="Q54" i="351" a="1"/>
  <c r="Z30" i="353" a="1"/>
  <c r="J120" i="351" a="1"/>
  <c r="C14" i="347"/>
  <c r="AO76" i="353" a="1"/>
  <c r="AO91" i="353" a="1"/>
  <c r="C18" i="343"/>
  <c r="R100" i="351" a="1"/>
  <c r="Q83" i="351" a="1"/>
  <c r="AL18" i="353" a="1"/>
  <c r="F100" i="353" a="1"/>
  <c r="C15" i="331"/>
  <c r="P114" i="353" a="1"/>
  <c r="O15" i="351" a="1"/>
  <c r="O193" i="351" a="1"/>
  <c r="J27" i="351" a="1"/>
  <c r="X28" i="353" a="1"/>
  <c r="J171" i="351" a="1"/>
  <c r="B7" i="382"/>
  <c r="C14" i="414"/>
  <c r="P141" i="351" a="1"/>
  <c r="AK7" i="353" a="1"/>
  <c r="J63" i="351" a="1"/>
  <c r="I88" i="353" a="1"/>
  <c r="P61" i="351" a="1"/>
  <c r="S39" i="351" a="1"/>
  <c r="AO32" i="353" a="1"/>
  <c r="C18" i="413"/>
  <c r="AT59" i="353" a="1"/>
  <c r="H49" i="351" a="1"/>
  <c r="I31" i="353" a="1"/>
  <c r="AI20" i="353" a="1"/>
  <c r="C12" i="266"/>
  <c r="G121" i="351" a="1"/>
  <c r="B6" i="428"/>
  <c r="M42" i="351" a="1"/>
  <c r="Q94" i="351" a="1"/>
  <c r="C18" i="321"/>
  <c r="B6" i="349"/>
  <c r="M75" i="353" a="1"/>
  <c r="C17" i="339"/>
  <c r="L102" i="351" a="1"/>
  <c r="I19" i="353" a="1"/>
  <c r="O69" i="353" a="1"/>
  <c r="AI23" i="6" a="1"/>
  <c r="AO64" i="353" a="1"/>
  <c r="Y90" i="353" a="1"/>
  <c r="G17" i="351" a="1"/>
  <c r="Z15" i="353" a="1"/>
  <c r="C12" i="424"/>
  <c r="X78" i="353" a="1"/>
  <c r="C20" i="347"/>
  <c r="R61" i="351" a="1"/>
  <c r="O109" i="351" a="1"/>
  <c r="AK8" i="353" a="1"/>
  <c r="B6" i="321"/>
  <c r="E73" i="353" a="1"/>
  <c r="I37" i="353" a="1"/>
  <c r="AF75" i="353" a="1"/>
  <c r="AB90" i="353" a="1"/>
  <c r="AT21" i="353" a="1"/>
  <c r="J9" i="351" a="1"/>
  <c r="AK56" i="353" a="1"/>
  <c r="R197" i="351" a="1"/>
  <c r="C21" i="254"/>
  <c r="D6" i="355" a="1"/>
  <c r="T104" i="351" a="1"/>
  <c r="AT4" i="353" a="1"/>
  <c r="G75" i="353" a="1"/>
  <c r="B20" i="144" a="1"/>
  <c r="C14" i="283"/>
  <c r="B39" i="144" a="1"/>
  <c r="AP20" i="353" a="1"/>
  <c r="Q92" i="353" a="1"/>
  <c r="J94" i="351" a="1"/>
  <c r="AO26" i="6" a="1"/>
  <c r="C21" i="494"/>
  <c r="C16" i="246"/>
  <c r="B7" i="275"/>
  <c r="K104" i="353" a="1"/>
  <c r="M20" i="353" a="1"/>
  <c r="C17" i="368"/>
  <c r="C16" i="479"/>
  <c r="C18" i="349"/>
  <c r="B7" i="455"/>
  <c r="C20" i="145" a="1"/>
  <c r="K41" i="351" a="1"/>
  <c r="AL53" i="353" a="1"/>
  <c r="C19" i="472"/>
  <c r="C17" i="122"/>
  <c r="R140" i="351" a="1"/>
  <c r="C14" i="411"/>
  <c r="B6" i="292"/>
  <c r="C19" i="96"/>
  <c r="C20" i="413"/>
  <c r="AE7" i="353" a="1"/>
  <c r="G99" i="353" a="1"/>
  <c r="S134" i="351" a="1"/>
  <c r="B6" i="264"/>
  <c r="C17" i="417"/>
  <c r="C16" i="343"/>
  <c r="Y99" i="353" a="1"/>
  <c r="AP15" i="353" a="1"/>
  <c r="K132" i="351" a="1"/>
  <c r="B6" i="376"/>
  <c r="R95" i="351" a="1"/>
  <c r="AG59" i="353" a="1"/>
  <c r="C18" i="328"/>
  <c r="AN93" i="353" a="1"/>
  <c r="AI65" i="353" a="1"/>
  <c r="Q41" i="351" a="1"/>
  <c r="AV79" i="353" a="1"/>
  <c r="Q55" i="351" a="1"/>
  <c r="H92" i="353" a="1"/>
  <c r="E52" i="353" a="1"/>
  <c r="C19" i="487"/>
  <c r="Q10" i="353" a="1"/>
  <c r="C21" i="305"/>
  <c r="AJ61" i="353" a="1"/>
  <c r="AF21" i="353" a="1"/>
  <c r="P91" i="351" a="1"/>
  <c r="H111" i="351" a="1"/>
  <c r="B30" i="144" a="1"/>
  <c r="B7" i="482"/>
  <c r="O38" i="353" a="1"/>
  <c r="R17" i="353" a="1"/>
  <c r="K15" i="353" a="1"/>
  <c r="AD78" i="353" a="1"/>
  <c r="K90" i="351" a="1"/>
  <c r="U24" i="353" a="1"/>
  <c r="C19" i="396"/>
  <c r="AJ92" i="353" a="1"/>
  <c r="M31" i="351" a="1"/>
  <c r="C16" i="425"/>
  <c r="C18" i="121"/>
  <c r="Y97" i="353" a="1"/>
  <c r="G44" i="351" a="1"/>
  <c r="N90" i="353" a="1"/>
  <c r="X87" i="353" a="1"/>
  <c r="V29" i="353" a="1"/>
  <c r="AA103" i="353" a="1"/>
  <c r="N100" i="353" a="1"/>
  <c r="AF101" i="353" a="1"/>
  <c r="AU27" i="353" a="1"/>
  <c r="AE85" i="353" a="1"/>
  <c r="B6" i="254"/>
  <c r="F91" i="353" a="1"/>
  <c r="AO7" i="353" a="1"/>
  <c r="Q130" i="351" a="1"/>
  <c r="K90" i="353" a="1"/>
  <c r="C22" i="481"/>
  <c r="C18" i="123"/>
  <c r="H54" i="351" a="1"/>
  <c r="B7" i="254"/>
  <c r="AS91" i="353" a="1"/>
  <c r="J52" i="353" a="1"/>
  <c r="J126" i="351" a="1"/>
  <c r="L31" i="351" a="1"/>
  <c r="T45" i="353" a="1"/>
  <c r="B7" i="109"/>
  <c r="O136" i="351" a="1"/>
  <c r="C15" i="269"/>
  <c r="I90" i="351" a="1"/>
  <c r="I160" i="351" a="1"/>
  <c r="E105" i="353" a="1"/>
  <c r="L139" i="351" a="1"/>
  <c r="L13" i="351" a="1"/>
  <c r="L197" i="351" a="1"/>
  <c r="M107" i="351" a="1"/>
  <c r="I42" i="353" a="1"/>
  <c r="J134" i="351" a="1"/>
  <c r="Q22" i="353" a="1"/>
  <c r="AH11" i="353" a="1"/>
  <c r="H151" i="351" a="1"/>
  <c r="AP83" i="353" a="1"/>
  <c r="AI14" i="353" a="1"/>
  <c r="C13" i="487"/>
  <c r="C7" i="355" a="1"/>
  <c r="P70" i="351" a="1"/>
  <c r="B6" i="117"/>
  <c r="C13" i="415"/>
  <c r="C18" i="299"/>
  <c r="F103" i="353" a="1"/>
  <c r="T44" i="353" a="1"/>
  <c r="C14" i="494"/>
  <c r="C14" i="322"/>
  <c r="K101" i="351" a="1"/>
  <c r="AU10" i="353" a="1"/>
  <c r="C17" i="130"/>
  <c r="I79" i="351" a="1"/>
  <c r="C12" i="494"/>
  <c r="G59" i="353" a="1"/>
  <c r="C14" i="430"/>
  <c r="K60" i="351" a="1"/>
  <c r="AL47" i="353" a="1"/>
  <c r="P193" i="351" a="1"/>
  <c r="C15" i="283"/>
  <c r="Y48" i="353" a="1"/>
  <c r="L16" i="351" a="1"/>
  <c r="C14" i="345"/>
  <c r="M16" i="353" a="1"/>
  <c r="J57" i="353" a="1"/>
  <c r="C19" i="466"/>
  <c r="AR3" i="353" a="1"/>
  <c r="AB47" i="353" a="1"/>
  <c r="T26" i="351" a="1"/>
  <c r="I80" i="353" a="1"/>
  <c r="U49" i="353" a="1"/>
  <c r="R62" i="353" a="1"/>
  <c r="AE35" i="353" a="1"/>
  <c r="G85" i="353" a="1"/>
  <c r="L189" i="351" a="1"/>
  <c r="C20" i="314"/>
  <c r="Q19" i="353" a="1"/>
  <c r="C21" i="445"/>
  <c r="C13" i="284"/>
  <c r="AU83" i="353" a="1"/>
  <c r="L21" i="351" a="1"/>
  <c r="B6" i="466"/>
  <c r="C18" i="392"/>
  <c r="C16" i="468"/>
  <c r="M60" i="353" a="1"/>
  <c r="AI75" i="353" a="1"/>
  <c r="J97" i="353" a="1"/>
  <c r="AS65" i="353" a="1"/>
  <c r="M153" i="351" a="1"/>
  <c r="P71" i="353" a="1"/>
  <c r="R146" i="351" a="1"/>
  <c r="T205" i="351" a="1"/>
  <c r="C13" i="412"/>
  <c r="C18" i="382"/>
  <c r="C22" i="428"/>
  <c r="L130" i="351" a="1"/>
  <c r="B6" i="384"/>
  <c r="R164" i="351" a="1"/>
  <c r="B6" i="271"/>
  <c r="C21" i="296"/>
  <c r="N67" i="353" a="1"/>
  <c r="Z101" i="353" a="1"/>
  <c r="C14" i="342"/>
  <c r="C20" i="251"/>
  <c r="AN24" i="353" a="1"/>
  <c r="B12" i="355" a="1"/>
  <c r="AN38" i="353" a="1"/>
  <c r="C14" i="272"/>
  <c r="C14" i="428"/>
  <c r="K153" i="351" a="1"/>
  <c r="C16" i="419"/>
  <c r="C16" i="368"/>
  <c r="C13" i="255"/>
  <c r="T113" i="351" a="1"/>
  <c r="Q3" i="351" a="1"/>
  <c r="B6" i="253"/>
  <c r="F37" i="353" a="1"/>
  <c r="Q84" i="353" a="1"/>
  <c r="J94" i="353" a="1"/>
  <c r="L24" i="351" a="1"/>
  <c r="AS94" i="353" a="1"/>
  <c r="T18" i="353" a="1"/>
  <c r="AO104" i="353" a="1"/>
  <c r="K68" i="353" a="1"/>
  <c r="AU74" i="353" a="1"/>
  <c r="K24" i="353" a="1"/>
  <c r="C13" i="465"/>
  <c r="T194" i="351" a="1"/>
  <c r="I98" i="351" a="1"/>
  <c r="C15" i="399"/>
  <c r="O58" i="351" a="1"/>
  <c r="P198" i="351" a="1"/>
  <c r="I172" i="351" a="1"/>
  <c r="AB63" i="353" a="1"/>
  <c r="AI98" i="353" a="1"/>
  <c r="C17" i="412"/>
  <c r="AL12" i="353" a="1"/>
  <c r="H170" i="351" a="1"/>
  <c r="AR47" i="353" a="1"/>
  <c r="Q124" i="351" a="1"/>
  <c r="E10" i="355" a="1"/>
  <c r="C19" i="283"/>
  <c r="C16" i="392"/>
  <c r="M59" i="353" a="1"/>
  <c r="J23" i="351" a="1"/>
  <c r="C19" i="317"/>
  <c r="AN16" i="353" a="1"/>
  <c r="O20" i="353" a="1"/>
  <c r="AR7" i="353" a="1"/>
  <c r="M58" i="351" a="1"/>
  <c r="AG103" i="353" a="1"/>
  <c r="K100" i="353" a="1"/>
  <c r="Q176" i="351" a="1"/>
  <c r="C21" i="472"/>
  <c r="L194" i="351" a="1"/>
  <c r="AO63" i="353" a="1"/>
  <c r="C15" i="448"/>
  <c r="AR77" i="353" a="1"/>
  <c r="C21" i="285"/>
  <c r="L188" i="351" a="1"/>
  <c r="C21" i="257"/>
  <c r="C19" i="293"/>
  <c r="C14" i="448"/>
  <c r="C12" i="491"/>
  <c r="C19" i="262"/>
  <c r="C21" i="293"/>
  <c r="Q99" i="351" a="1"/>
  <c r="F57" i="353" a="1"/>
  <c r="G61" i="351" a="1"/>
  <c r="C14" i="294"/>
  <c r="V56" i="353" a="1"/>
  <c r="AV85" i="353" a="1"/>
  <c r="H64" i="351" a="1"/>
  <c r="C17" i="396"/>
  <c r="C19" i="456"/>
  <c r="AS73" i="353" a="1"/>
  <c r="C16" i="294"/>
  <c r="O173" i="351" a="1"/>
  <c r="J39" i="351" a="1"/>
  <c r="C16" i="312"/>
  <c r="AB51" i="353" a="1"/>
  <c r="AD39" i="353" a="1"/>
  <c r="T131" i="351" a="1"/>
  <c r="D54" i="146" a="1"/>
  <c r="C19" i="251"/>
  <c r="I161" i="351" a="1"/>
  <c r="Z78" i="353" a="1"/>
  <c r="AI81" i="353" a="1"/>
  <c r="Y63" i="353" a="1"/>
  <c r="C20" i="310"/>
  <c r="M202" i="351" a="1"/>
  <c r="R174" i="351" a="1"/>
  <c r="C16" i="276"/>
  <c r="AR15" i="353" a="1"/>
  <c r="AI3" i="6" a="1"/>
  <c r="Q167" i="351" a="1"/>
  <c r="C22" i="260"/>
  <c r="I59" i="353" a="1"/>
  <c r="K22" i="353" a="1"/>
  <c r="M159" i="351" a="1"/>
  <c r="C15" i="311"/>
  <c r="I103" i="351" a="1"/>
  <c r="K198" i="351" a="1"/>
  <c r="J192" i="351" a="1"/>
  <c r="C17" i="116"/>
  <c r="C21" i="383"/>
  <c r="C13" i="118"/>
  <c r="C14" i="455"/>
  <c r="I147" i="351" a="1"/>
  <c r="AG49" i="353" a="1"/>
  <c r="AE101" i="353" a="1"/>
  <c r="C18" i="253"/>
  <c r="AF8" i="353" a="1"/>
  <c r="K207" i="351" a="1"/>
  <c r="J105" i="351" a="1"/>
  <c r="C12" i="263"/>
  <c r="Z17" i="353" a="1"/>
  <c r="R106" i="351" a="1"/>
  <c r="T22" i="353" a="1"/>
  <c r="Q149" i="351" a="1"/>
  <c r="AU32" i="353" a="1"/>
  <c r="R85" i="351" a="1"/>
  <c r="T39" i="351" a="1"/>
  <c r="O192" i="351" a="1"/>
  <c r="C12" i="458"/>
  <c r="H14" i="353" a="1"/>
  <c r="E79" i="353" a="1"/>
  <c r="K32" i="351" a="1"/>
  <c r="L43" i="351" a="1"/>
  <c r="M51" i="351" a="1"/>
  <c r="L133" i="351" a="1"/>
  <c r="E34" i="353" a="1"/>
  <c r="AQ81" i="353" a="1"/>
  <c r="AO29" i="353" a="1"/>
  <c r="I137" i="351" a="1"/>
  <c r="R179" i="351" a="1"/>
  <c r="AE91" i="353" a="1"/>
  <c r="C15" i="259"/>
  <c r="R153" i="351" a="1"/>
  <c r="P105" i="351" a="1"/>
  <c r="C19" i="252"/>
  <c r="K61" i="353" a="1"/>
  <c r="B6" i="344"/>
  <c r="AL72" i="353" a="1"/>
  <c r="L176" i="351" a="1"/>
  <c r="L4" i="351" a="1"/>
  <c r="T36" i="353" a="1"/>
  <c r="K60" i="353" a="1"/>
  <c r="AG15" i="353" a="1"/>
  <c r="AE78" i="353" a="1"/>
  <c r="O182" i="351" a="1"/>
  <c r="AF10" i="353" a="1"/>
  <c r="AL82" i="353" a="1"/>
  <c r="Q74" i="351" a="1"/>
  <c r="C14" i="425"/>
  <c r="R60" i="351" a="1"/>
  <c r="Q75" i="353" a="1"/>
  <c r="I45" i="353" a="1"/>
  <c r="C21" i="303"/>
  <c r="T200" i="351" a="1"/>
  <c r="C21" i="103"/>
  <c r="L112" i="351" a="1"/>
  <c r="AN54" i="353" a="1"/>
  <c r="B7" i="116"/>
  <c r="J78" i="353" a="1"/>
  <c r="B3" i="144" a="1"/>
  <c r="M58" i="353" a="1"/>
  <c r="C14" i="488"/>
  <c r="T94" i="353" a="1"/>
  <c r="C12" i="295"/>
  <c r="S27" i="351" a="1"/>
  <c r="AF24" i="353" a="1"/>
  <c r="C21" i="473"/>
  <c r="J56" i="351" a="1"/>
  <c r="G22" i="353" a="1"/>
  <c r="C22" i="475"/>
  <c r="AQ3" i="353" a="1"/>
  <c r="AT15" i="353" a="1"/>
  <c r="AU40" i="353" a="1"/>
  <c r="D2" i="355" a="1"/>
  <c r="L91" i="351" a="1"/>
  <c r="B6" i="322"/>
  <c r="AP30" i="353" a="1"/>
  <c r="N75" i="353" a="1"/>
  <c r="B16" i="144" a="1"/>
  <c r="L120" i="351" a="1"/>
  <c r="C14" i="298"/>
  <c r="AT37" i="353" a="1"/>
  <c r="B7" i="458"/>
  <c r="C22" i="458"/>
  <c r="L28" i="351" a="1"/>
  <c r="T56" i="353" a="1"/>
  <c r="C52" i="145" a="1"/>
  <c r="C17" i="319"/>
  <c r="O121" i="351" a="1"/>
  <c r="AR70" i="353" a="1"/>
  <c r="X35" i="353" a="1"/>
  <c r="W44" i="353" a="1"/>
  <c r="C14" i="305"/>
  <c r="V90" i="353" a="1"/>
  <c r="S86" i="351" a="1"/>
  <c r="AL68" i="353" a="1"/>
  <c r="Y47" i="353" a="1"/>
  <c r="R147" i="351" a="1"/>
  <c r="X82" i="353" a="1"/>
  <c r="I48" i="351" a="1"/>
  <c r="B7" i="348"/>
  <c r="S21" i="351" a="1"/>
  <c r="C12" i="256"/>
  <c r="W74" i="353" a="1"/>
  <c r="B7" i="336"/>
  <c r="T119" i="351" a="1"/>
  <c r="L114" i="351" a="1"/>
  <c r="C22" i="251"/>
  <c r="AK17" i="353" a="1"/>
  <c r="X77" i="353" a="1"/>
  <c r="AE71" i="353" a="1"/>
  <c r="Z45" i="353" a="1"/>
  <c r="G129" i="351" a="1"/>
  <c r="R180" i="351" a="1"/>
  <c r="C16" i="364"/>
  <c r="T126" i="351" a="1"/>
  <c r="O82" i="351" a="1"/>
  <c r="V83" i="353" a="1"/>
  <c r="AO96" i="353" a="1"/>
  <c r="J14" i="351" a="1"/>
  <c r="M54" i="353" a="1"/>
  <c r="I151" i="351" a="1"/>
  <c r="C21" i="275"/>
  <c r="C22" i="366"/>
  <c r="C19" i="110"/>
  <c r="AO45" i="353" a="1"/>
  <c r="I38" i="351" a="1"/>
  <c r="C14" i="415"/>
  <c r="M17" i="351" a="1"/>
  <c r="AS26" i="353" a="1"/>
  <c r="Y29" i="353" a="1"/>
  <c r="C16" i="269"/>
  <c r="E24" i="353" a="1"/>
  <c r="AV92" i="353" a="1"/>
  <c r="AJ55" i="353" a="1"/>
  <c r="R46" i="351" a="1"/>
  <c r="F85" i="353" a="1"/>
  <c r="G198" i="351" a="1"/>
  <c r="Q65" i="353" a="1"/>
  <c r="M27" i="353" a="1"/>
  <c r="M83" i="351" a="1"/>
  <c r="AL103" i="353" a="1"/>
  <c r="R32" i="353" a="1"/>
  <c r="N88" i="353" a="1"/>
  <c r="C14" i="487"/>
  <c r="H178" i="351" a="1"/>
  <c r="AB80" i="353" a="1"/>
  <c r="AP67" i="353" a="1"/>
  <c r="I14" i="353" a="1"/>
  <c r="J45" i="353" a="1"/>
  <c r="U63" i="353" a="1"/>
  <c r="Y15" i="353" a="1"/>
  <c r="AB74" i="353" a="1"/>
  <c r="I149" i="351" a="1"/>
  <c r="P103" i="353" a="1"/>
  <c r="AO8" i="6" a="1"/>
  <c r="Q90" i="351" a="1"/>
  <c r="P190" i="351" a="1"/>
  <c r="C13" i="494"/>
  <c r="F64" i="353" a="1"/>
  <c r="C12" i="261"/>
  <c r="C18" i="416"/>
  <c r="T181" i="351" a="1"/>
  <c r="P200" i="351" a="1"/>
  <c r="K189" i="351" a="1"/>
  <c r="C14" i="261"/>
  <c r="F60" i="353" a="1"/>
  <c r="C17" i="468"/>
  <c r="C17" i="265"/>
  <c r="S88" i="351" a="1"/>
  <c r="P41" i="351" a="1"/>
  <c r="O92" i="351" a="1"/>
  <c r="AE48" i="353" a="1"/>
  <c r="C21" i="314"/>
  <c r="R53" i="351" a="1"/>
  <c r="AL61" i="353" a="1"/>
  <c r="T129" i="351" a="1"/>
  <c r="S133" i="351" a="1"/>
  <c r="C15" i="296"/>
  <c r="C14" i="321"/>
  <c r="C13" i="346"/>
  <c r="W29" i="353" a="1"/>
  <c r="AN37" i="353" a="1"/>
  <c r="T77" i="353" a="1"/>
  <c r="C17" i="328"/>
  <c r="F97" i="353" a="1"/>
  <c r="C12" i="427"/>
  <c r="C17" i="482"/>
  <c r="R7" i="351" a="1"/>
  <c r="I56" i="351" a="1"/>
  <c r="B6" i="282"/>
  <c r="O34" i="353" a="1"/>
  <c r="C18" i="254"/>
  <c r="C17" i="99"/>
  <c r="C16" i="256"/>
  <c r="C12" i="337"/>
  <c r="O98" i="351" a="1"/>
  <c r="AQ5" i="353" a="1"/>
  <c r="G56" i="351" a="1"/>
  <c r="P66" i="353" a="1"/>
  <c r="G205" i="351" a="1"/>
  <c r="K193" i="351" a="1"/>
  <c r="R157" i="351" a="1"/>
  <c r="N103" i="353" a="1"/>
  <c r="H74" i="353" a="1"/>
  <c r="P137" i="351" a="1"/>
  <c r="B7" i="312"/>
  <c r="AN14" i="353" a="1"/>
  <c r="K127" i="351" a="1"/>
  <c r="C12" i="326"/>
  <c r="R61" i="353" a="1"/>
  <c r="AS22" i="353" a="1"/>
  <c r="C12" i="316"/>
  <c r="C15" i="433"/>
  <c r="C20" i="295"/>
  <c r="L30" i="351" a="1"/>
  <c r="C14" i="118"/>
  <c r="AI52" i="353" a="1"/>
  <c r="AQ76" i="353" a="1"/>
  <c r="AI57" i="353" a="1"/>
  <c r="P67" i="351" a="1"/>
  <c r="T90" i="353" a="1"/>
  <c r="B31" i="144" a="1"/>
  <c r="J12" i="353" a="1"/>
  <c r="O104" i="351" a="1"/>
  <c r="B6" i="116"/>
  <c r="P40" i="351" a="1"/>
  <c r="Q24" i="353" a="1"/>
  <c r="AJ64" i="353" a="1"/>
  <c r="C16" i="337"/>
  <c r="C18" i="482"/>
  <c r="P143" i="351" a="1"/>
  <c r="C13" i="483"/>
  <c r="AR4" i="353" a="1"/>
  <c r="I77" i="353" a="1"/>
  <c r="AO6" i="353" a="1"/>
  <c r="C21" i="419"/>
  <c r="C15" i="359"/>
  <c r="C17" i="367"/>
  <c r="U25" i="353" a="1"/>
  <c r="R68" i="353" a="1"/>
  <c r="S181" i="351" a="1"/>
  <c r="AU39" i="353" a="1"/>
  <c r="D11" i="355" a="1"/>
  <c r="AF71" i="353" a="1"/>
  <c r="C13" i="458"/>
  <c r="AF25" i="353" a="1"/>
  <c r="T188" i="351" a="1"/>
  <c r="AI54" i="353" a="1"/>
  <c r="C19" i="121"/>
  <c r="AO94" i="353" a="1"/>
  <c r="K118" i="351" a="1"/>
  <c r="AD80" i="353" a="1"/>
  <c r="Y62" i="353" a="1"/>
  <c r="O72" i="351" a="1"/>
  <c r="Q129" i="351" a="1"/>
  <c r="Q164" i="351" a="1"/>
  <c r="AJ12" i="353" a="1"/>
  <c r="S98" i="351" a="1"/>
  <c r="F21" i="353" a="1"/>
  <c r="T189" i="351" a="1"/>
  <c r="C16" i="254"/>
  <c r="AU77" i="353" a="1"/>
  <c r="U102" i="353" a="1"/>
  <c r="C16" i="300"/>
  <c r="AG77" i="353" a="1"/>
  <c r="W84" i="353" a="1"/>
  <c r="N65" i="353" a="1"/>
  <c r="AK48" i="353" a="1"/>
  <c r="AJ77" i="353" a="1"/>
  <c r="K34" i="351" a="1"/>
  <c r="AJ76" i="353" a="1"/>
  <c r="V11" i="353" a="1"/>
  <c r="R40" i="351" a="1"/>
  <c r="AN72" i="353" a="1"/>
  <c r="C16" i="462"/>
  <c r="M18" i="353" a="1"/>
  <c r="H87" i="351" a="1"/>
  <c r="H39" i="351" a="1"/>
  <c r="C15" i="346"/>
  <c r="K17" i="353" a="1"/>
  <c r="C21" i="283"/>
  <c r="T40" i="351" a="1"/>
  <c r="C14" i="490"/>
  <c r="P55" i="353" a="1"/>
  <c r="I30" i="353" a="1"/>
  <c r="AH46" i="353" a="1"/>
  <c r="L107" i="351" a="1"/>
  <c r="AB52" i="353" a="1"/>
  <c r="AO54" i="353" a="1"/>
  <c r="B7" i="329"/>
  <c r="L50" i="351" a="1"/>
  <c r="C13" i="273"/>
  <c r="Q48" i="353" a="1"/>
  <c r="R104" i="353" a="1"/>
  <c r="R105" i="353" a="1"/>
  <c r="C22" i="314"/>
  <c r="C18" i="110"/>
  <c r="E77" i="353" a="1"/>
  <c r="B7" i="445"/>
  <c r="G67" i="353" a="1"/>
  <c r="AG5" i="353" a="1"/>
  <c r="R57" i="353" a="1"/>
  <c r="AN82" i="353" a="1"/>
  <c r="S119" i="351" a="1"/>
  <c r="L199" i="351" a="1"/>
  <c r="P42" i="353" a="1"/>
  <c r="C14" i="424"/>
  <c r="J98" i="353" a="1"/>
  <c r="AN69" i="353" a="1"/>
  <c r="K75" i="353" a="1"/>
  <c r="C20" i="311"/>
  <c r="J22" i="351" a="1"/>
  <c r="M37" i="351" a="1"/>
  <c r="N46" i="353" a="1"/>
  <c r="C17" i="262"/>
  <c r="AB73" i="353" a="1"/>
  <c r="I72" i="351" a="1"/>
  <c r="K24" i="351" a="1"/>
  <c r="C17" i="255"/>
  <c r="J21" i="351" a="1"/>
  <c r="AG44" i="353" a="1"/>
  <c r="AE56" i="353" a="1"/>
  <c r="Q98" i="351" a="1"/>
  <c r="B6" i="458"/>
  <c r="C19" i="127"/>
  <c r="G52" i="353" a="1"/>
  <c r="C21" i="302"/>
  <c r="C12" i="328"/>
  <c r="C22" i="388"/>
  <c r="AG54" i="353" a="1"/>
  <c r="T77" i="351" a="1"/>
  <c r="C16" i="318"/>
  <c r="AB19" i="353" a="1"/>
  <c r="O35" i="353" a="1"/>
  <c r="C22" i="122"/>
  <c r="M133" i="351" a="1"/>
  <c r="C19" i="448"/>
  <c r="C17" i="349"/>
  <c r="R54" i="351" a="1"/>
  <c r="X22" i="353" a="1"/>
  <c r="AF86" i="353" a="1"/>
  <c r="C21" i="286"/>
  <c r="G17" i="353" a="1"/>
  <c r="L174" i="351" a="1"/>
  <c r="AR60" i="353" a="1"/>
  <c r="T26" i="353" a="1"/>
  <c r="AS68" i="353" a="1"/>
  <c r="AH10" i="353" a="1"/>
  <c r="C19" i="260"/>
  <c r="C20" i="465"/>
  <c r="T156" i="351" a="1"/>
  <c r="C13" i="428"/>
  <c r="AQ33" i="353" a="1"/>
  <c r="M30" i="353" a="1"/>
  <c r="C20" i="475"/>
  <c r="C16" i="290"/>
  <c r="X45" i="353" a="1"/>
  <c r="J35" i="351" a="1"/>
  <c r="B6" i="346"/>
  <c r="AA22" i="353" a="1"/>
  <c r="T161" i="351" a="1"/>
  <c r="G116" i="351" a="1"/>
  <c r="C15" i="426"/>
  <c r="U3" i="353" a="1"/>
  <c r="AV25" i="353" a="1"/>
  <c r="B6" i="256"/>
  <c r="AG19" i="353" a="1"/>
  <c r="AP92" i="353" a="1"/>
  <c r="AU57" i="353" a="1"/>
  <c r="X62" i="353" a="1"/>
  <c r="Z92" i="353" a="1"/>
  <c r="F54" i="353" a="1"/>
  <c r="B6" i="339"/>
  <c r="B22" i="144" a="1"/>
  <c r="O111" i="351" a="1"/>
  <c r="C16" i="481"/>
  <c r="Q52" i="351" a="1"/>
  <c r="K40" i="351" a="1"/>
  <c r="P96" i="353" a="1"/>
  <c r="C20" i="448"/>
  <c r="AB13" i="353" a="1"/>
  <c r="AS49" i="353" a="1"/>
  <c r="AG18" i="353" a="1"/>
  <c r="R21" i="353" a="1"/>
  <c r="O89" i="351" a="1"/>
  <c r="C22" i="399"/>
  <c r="C12" i="318"/>
  <c r="C14" i="103"/>
  <c r="C12" i="118"/>
  <c r="AB57" i="353" a="1"/>
  <c r="R18" i="353" a="1"/>
  <c r="AV103" i="353" a="1"/>
  <c r="AB26" i="353" a="1"/>
  <c r="I184" i="351" a="1"/>
  <c r="AB50" i="353" a="1"/>
  <c r="AR27" i="353" a="1"/>
  <c r="R19" i="351" a="1"/>
  <c r="AP97" i="353" a="1"/>
  <c r="K86" i="353" a="1"/>
  <c r="I84" i="351" a="1"/>
  <c r="AS21" i="353" a="1"/>
  <c r="C21" i="468"/>
  <c r="C18" i="250"/>
  <c r="AH73" i="353" a="1"/>
  <c r="B7" i="399"/>
  <c r="C17" i="410"/>
  <c r="U88" i="353" a="1"/>
  <c r="C16" i="260"/>
  <c r="E94" i="353" a="1"/>
  <c r="M187" i="351" a="1"/>
  <c r="C22" i="424"/>
  <c r="U99" i="353" a="1"/>
  <c r="Q72" i="351" a="1"/>
  <c r="G49" i="353" a="1"/>
  <c r="C13" i="469"/>
  <c r="C19" i="381"/>
  <c r="Y17" i="353" a="1"/>
  <c r="C19" i="488"/>
  <c r="AD87" i="353" a="1"/>
  <c r="K45" i="353" a="1"/>
  <c r="AU7" i="353" a="1"/>
  <c r="F80" i="353" a="1"/>
  <c r="M207" i="351" a="1"/>
  <c r="L108" i="351" a="1"/>
  <c r="C16" i="95"/>
  <c r="R184" i="351" a="1"/>
  <c r="AL54" i="353" a="1"/>
  <c r="AF68" i="353" a="1"/>
  <c r="F83" i="353" a="1"/>
  <c r="AN22" i="353" a="1"/>
  <c r="F15" i="353" a="1"/>
  <c r="S80" i="351" a="1"/>
  <c r="AS13" i="353" a="1"/>
  <c r="U26" i="353" a="1"/>
  <c r="AA90" i="353" a="1"/>
  <c r="C13" i="250"/>
  <c r="Y114" i="353" a="1"/>
  <c r="G86" i="353" a="1"/>
  <c r="T103" i="353" a="1"/>
  <c r="B6" i="434"/>
  <c r="C20" i="319"/>
  <c r="U72" i="353" a="1"/>
  <c r="M84" i="353" a="1"/>
  <c r="C12" i="123"/>
  <c r="AT105" i="353" a="1"/>
  <c r="AF31" i="353" a="1"/>
  <c r="Q123" i="351" a="1"/>
  <c r="W104" i="353" a="1"/>
  <c r="U38" i="353" a="1"/>
  <c r="AQ94" i="353" a="1"/>
  <c r="I20" i="351" a="1"/>
  <c r="C26" i="145" a="1"/>
  <c r="C14" i="314"/>
  <c r="M90" i="353" a="1"/>
  <c r="S45" i="351" a="1"/>
  <c r="C16" i="115"/>
  <c r="C18" i="285"/>
  <c r="C15" i="415"/>
  <c r="C18" i="429"/>
  <c r="AA59" i="353" a="1"/>
  <c r="B7" i="295"/>
  <c r="AP72" i="353" a="1"/>
  <c r="B6" i="343"/>
  <c r="H161" i="351" a="1"/>
  <c r="AO82" i="353" a="1"/>
  <c r="C13" i="462"/>
  <c r="AR21" i="353" a="1"/>
  <c r="P80" i="351" a="1"/>
  <c r="AT5" i="353" a="1"/>
  <c r="K158" i="351" a="1"/>
  <c r="R36" i="353" a="1"/>
  <c r="AN48" i="353" a="1"/>
  <c r="C12" i="300"/>
  <c r="I177" i="351" a="1"/>
  <c r="K71" i="351" a="1"/>
  <c r="C17" i="462"/>
  <c r="AP90" i="353" a="1"/>
  <c r="C15" i="99"/>
  <c r="AL45" i="353" a="1"/>
  <c r="AQ75" i="353" a="1"/>
  <c r="P155" i="351" a="1"/>
  <c r="AR42" i="353" a="1"/>
  <c r="AB42" i="353" a="1"/>
  <c r="AH36" i="353" a="1"/>
  <c r="V51" i="353" a="1"/>
  <c r="AS3" i="353" a="1"/>
  <c r="E47" i="353" a="1"/>
  <c r="W18" i="353" a="1"/>
  <c r="O88" i="351" a="1"/>
  <c r="AP50" i="353" a="1"/>
  <c r="AB81" i="353" a="1"/>
  <c r="AA101" i="353" a="1"/>
  <c r="Y64" i="353" a="1"/>
  <c r="Z63" i="353" a="1"/>
  <c r="G32" i="351" a="1"/>
  <c r="C20" i="327"/>
  <c r="H30" i="353" a="1"/>
  <c r="C15" i="312"/>
  <c r="R90" i="353" a="1"/>
  <c r="C16" i="345"/>
  <c r="U57" i="353" a="1"/>
  <c r="J118" i="351" a="1"/>
  <c r="AR58" i="353" a="1"/>
  <c r="C18" i="424"/>
  <c r="J207" i="351" a="1"/>
  <c r="C16" i="334"/>
  <c r="J48" i="351" a="1"/>
  <c r="J85" i="351" a="1"/>
  <c r="C17" i="347"/>
  <c r="E27" i="353" a="1"/>
  <c r="Z67" i="353" a="1"/>
  <c r="C16" i="317"/>
  <c r="B6" i="447"/>
  <c r="M139" i="351" a="1"/>
  <c r="C12" i="482"/>
  <c r="H118" i="351" a="1"/>
  <c r="P10" i="351" a="1"/>
  <c r="N31" i="353" a="1"/>
  <c r="C21" i="382"/>
  <c r="AS41" i="353" a="1"/>
  <c r="I97" i="351" a="1"/>
  <c r="O38" i="351" a="1"/>
  <c r="AO7" i="6" a="1"/>
  <c r="AS10" i="353" a="1"/>
  <c r="AI79" i="353" a="1"/>
  <c r="B6" i="490"/>
  <c r="O190" i="351" a="1"/>
  <c r="AA19" i="353" a="1"/>
  <c r="C22" i="249"/>
  <c r="AJ73" i="353" a="1"/>
  <c r="C14" i="364"/>
  <c r="J22" i="353" a="1"/>
  <c r="L53" i="351" a="1"/>
  <c r="J169" i="351" a="1"/>
  <c r="AK53" i="353" a="1"/>
  <c r="U93" i="353" a="1"/>
  <c r="C20" i="456"/>
  <c r="Z7" i="353" a="1"/>
  <c r="H67" i="353" a="1"/>
  <c r="L55" i="351" a="1"/>
  <c r="AA56" i="353" a="1"/>
  <c r="C13" i="120"/>
  <c r="AA84" i="353" a="1"/>
  <c r="AJ93" i="353" a="1"/>
  <c r="Y41" i="353" a="1"/>
  <c r="AA38" i="353" a="1"/>
  <c r="R97" i="351" a="1"/>
  <c r="K166" i="351" a="1"/>
  <c r="C20" i="271"/>
  <c r="C22" i="479"/>
  <c r="O48" i="353" a="1"/>
  <c r="AO5" i="353" a="1"/>
  <c r="C17" i="251"/>
  <c r="J141" i="351" a="1"/>
  <c r="AK71" i="353" a="1"/>
  <c r="C22" i="347"/>
  <c r="AE94" i="353" a="1"/>
  <c r="P25" i="351" a="1"/>
  <c r="M203" i="351" a="1"/>
  <c r="I154" i="351" a="1"/>
  <c r="AQ18" i="353" a="1"/>
  <c r="C20" i="255"/>
  <c r="X32" i="353" a="1"/>
  <c r="C13" i="323"/>
  <c r="O26" i="353" a="1"/>
  <c r="AG101" i="353" a="1"/>
  <c r="C15" i="365"/>
  <c r="Z59" i="353" a="1"/>
  <c r="J139" i="351" a="1"/>
  <c r="AF43" i="353" a="1"/>
  <c r="AB64" i="353" a="1"/>
  <c r="C14" i="466"/>
  <c r="J128" i="351" a="1"/>
  <c r="AP77" i="353" a="1"/>
  <c r="B6" i="456"/>
  <c r="AG14" i="353" a="1"/>
  <c r="AI86" i="353" a="1"/>
  <c r="AR40" i="353" a="1"/>
  <c r="AN66" i="353" a="1"/>
  <c r="I96" i="351" a="1"/>
  <c r="T160" i="351" a="1"/>
  <c r="T47" i="353" a="1"/>
  <c r="C19" i="116"/>
  <c r="H42" i="353" a="1"/>
  <c r="C14" i="276"/>
  <c r="T19" i="353" a="1"/>
  <c r="V67" i="353" a="1"/>
  <c r="R98" i="351" a="1"/>
  <c r="AB59" i="353" a="1"/>
  <c r="AR81" i="353" a="1"/>
  <c r="C12" i="314"/>
  <c r="K63" i="353" a="1"/>
  <c r="S114" i="351" a="1"/>
  <c r="B5" i="144" a="1"/>
  <c r="O49" i="351" a="1"/>
  <c r="P4" i="351" a="1"/>
  <c r="F92" i="353" a="1"/>
  <c r="C22" i="324"/>
  <c r="E89" i="353" a="1"/>
  <c r="C19" i="123"/>
  <c r="H148" i="351" a="1"/>
  <c r="J48" i="353" a="1"/>
  <c r="B6" i="329"/>
  <c r="C22" i="247"/>
  <c r="P14" i="353" a="1"/>
  <c r="H48" i="353" a="1"/>
  <c r="J93" i="351" a="1"/>
  <c r="O143" i="351" a="1"/>
  <c r="P18" i="351" a="1"/>
  <c r="S57" i="351" a="1"/>
  <c r="U32" i="353" a="1"/>
  <c r="AB78" i="353" a="1"/>
  <c r="AD114" i="353" a="1"/>
  <c r="C22" i="468"/>
  <c r="AF99" i="353" a="1"/>
  <c r="O59" i="353" a="1"/>
  <c r="H6" i="351" a="1"/>
  <c r="C17" i="257"/>
  <c r="S87" i="351" a="1"/>
  <c r="AI30" i="353" a="1"/>
  <c r="H55" i="351" a="1"/>
  <c r="S32" i="351" a="1"/>
  <c r="C17" i="419"/>
  <c r="AK76" i="353" a="1"/>
  <c r="M29" i="353" a="1"/>
  <c r="AB14" i="353" a="1"/>
  <c r="G92" i="351" a="1"/>
  <c r="AK92" i="353" a="1"/>
  <c r="L81" i="351" a="1"/>
  <c r="AG16" i="353" a="1"/>
  <c r="H157" i="351" a="1"/>
  <c r="K43" i="351" a="1"/>
  <c r="AG70" i="353" a="1"/>
  <c r="R158" i="351" a="1"/>
  <c r="P51" i="351" a="1"/>
  <c r="C19" i="250"/>
  <c r="C17" i="261"/>
  <c r="AH13" i="353" a="1"/>
  <c r="AD35" i="353" a="1"/>
  <c r="C16" i="366"/>
  <c r="X20" i="353" a="1"/>
  <c r="AD69" i="353" a="1"/>
  <c r="AP104" i="353" a="1"/>
  <c r="AN77" i="353" a="1"/>
  <c r="H138" i="351" a="1"/>
  <c r="Q103" i="351" a="1"/>
  <c r="AJ104" i="353" a="1"/>
  <c r="B7" i="337"/>
  <c r="C18" i="300"/>
  <c r="Q71" i="351" a="1"/>
  <c r="P202" i="351" a="1"/>
  <c r="AJ100" i="353" a="1"/>
  <c r="K84" i="351" a="1"/>
  <c r="C17" i="271"/>
  <c r="H60" i="353" a="1"/>
  <c r="AK65" i="353" a="1"/>
  <c r="H49" i="353" a="1"/>
  <c r="C13" i="276"/>
  <c r="G81" i="353" a="1"/>
  <c r="C16" i="320"/>
  <c r="X88" i="353" a="1"/>
  <c r="C22" i="257"/>
  <c r="C18" i="487"/>
  <c r="R60" i="353" a="1"/>
  <c r="P76" i="351" a="1"/>
  <c r="R93" i="353" a="1"/>
  <c r="C17" i="145" a="1"/>
  <c r="AO51" i="353" a="1"/>
  <c r="AO38" i="353" a="1"/>
  <c r="C19" i="322"/>
  <c r="K55" i="353" a="1"/>
  <c r="B6" i="97"/>
  <c r="Z82" i="353" a="1"/>
  <c r="C21" i="454"/>
  <c r="R38" i="353" a="1"/>
  <c r="F25" i="353" a="1"/>
  <c r="C14" i="419"/>
  <c r="H82" i="351" a="1"/>
  <c r="G114" i="353" a="1"/>
  <c r="R38" i="351" a="1"/>
  <c r="R165" i="351" a="1"/>
  <c r="AP35" i="353" a="1"/>
  <c r="C18" i="469"/>
  <c r="S157" i="351" a="1"/>
  <c r="C16" i="329"/>
  <c r="AR13" i="353" a="1"/>
  <c r="R62" i="351" a="1"/>
  <c r="J140" i="351" a="1"/>
  <c r="C13" i="388"/>
  <c r="AI60" i="353" a="1"/>
  <c r="S64" i="351" a="1"/>
  <c r="C16" i="412"/>
  <c r="O78" i="351" a="1"/>
  <c r="C21" i="311"/>
  <c r="B6" i="312"/>
  <c r="N50" i="353" a="1"/>
  <c r="C16" i="321"/>
  <c r="AH14" i="353" a="1"/>
  <c r="Z32" i="353" a="1"/>
  <c r="U114" i="353" a="1"/>
  <c r="C13" i="279"/>
  <c r="AD5" i="353" a="1"/>
  <c r="E8" i="355" a="1"/>
  <c r="O36" i="351" a="1"/>
  <c r="C21" i="330"/>
  <c r="B7" i="380"/>
  <c r="J89" i="353" a="1"/>
  <c r="P35" i="351" a="1"/>
  <c r="P45" i="351" a="1"/>
  <c r="I10" i="353" a="1"/>
  <c r="G130" i="351" a="1"/>
  <c r="C12" i="366"/>
  <c r="AK82" i="353" a="1"/>
  <c r="C12" i="412"/>
  <c r="T61" i="353" a="1"/>
  <c r="C18" i="425"/>
  <c r="J198" i="351" a="1"/>
  <c r="AJ27" i="353" a="1"/>
  <c r="AJ72" i="353" a="1"/>
  <c r="U58" i="353" a="1"/>
  <c r="C21" i="464"/>
  <c r="C18" i="440"/>
  <c r="T100" i="353" a="1"/>
  <c r="AK100" i="353" a="1"/>
  <c r="C21" i="349"/>
  <c r="AT11" i="353" a="1"/>
  <c r="S35" i="351" a="1"/>
  <c r="AD13" i="353" a="1"/>
  <c r="C18" i="411"/>
  <c r="AK72" i="353" a="1"/>
  <c r="AP64" i="353" a="1"/>
  <c r="O195" i="351" a="1"/>
  <c r="AJ114" i="353" a="1"/>
  <c r="AI94" i="353" a="1"/>
  <c r="W63" i="353" a="1"/>
  <c r="L49" i="351" a="1"/>
  <c r="C21" i="261"/>
  <c r="O14" i="353" a="1"/>
  <c r="C13" i="308"/>
  <c r="AE22" i="353" a="1"/>
  <c r="P121" i="351" a="1"/>
  <c r="H25" i="353" a="1"/>
  <c r="S188" i="351" a="1"/>
  <c r="H45" i="353" a="1"/>
  <c r="O72" i="353" a="1"/>
  <c r="Q142" i="351" a="1"/>
  <c r="O20" i="351" a="1"/>
  <c r="AL42" i="353" a="1"/>
  <c r="W37" i="353" a="1"/>
  <c r="AI93" i="353" a="1"/>
  <c r="H113" i="351" a="1"/>
  <c r="AE45" i="353" a="1"/>
  <c r="AD21" i="353" a="1"/>
  <c r="S91" i="351" a="1"/>
  <c r="R124" i="351" a="1"/>
  <c r="C17" i="330"/>
  <c r="B6" i="364"/>
  <c r="AV38" i="353" a="1"/>
  <c r="C13" i="327"/>
  <c r="O91" i="353" a="1"/>
  <c r="I200" i="351" a="1"/>
  <c r="C21" i="251"/>
  <c r="AN5" i="353" a="1"/>
  <c r="C18" i="320"/>
  <c r="X3" i="353" a="1"/>
  <c r="AK91" i="353" a="1"/>
  <c r="O13" i="351" a="1"/>
  <c r="S77" i="351" a="1"/>
  <c r="C17" i="263"/>
  <c r="C16" i="274"/>
  <c r="AV4" i="353" a="1"/>
  <c r="AV20" i="353" a="1"/>
  <c r="C18" i="94"/>
  <c r="AB28" i="353" a="1"/>
  <c r="M110" i="351" a="1"/>
  <c r="K187" i="351" a="1"/>
  <c r="R149" i="351" a="1"/>
  <c r="J35" i="353" a="1"/>
  <c r="O138" i="351" a="1"/>
  <c r="AV101" i="353" a="1"/>
  <c r="AQ87" i="353" a="1"/>
  <c r="AN53" i="353" a="1"/>
  <c r="X43" i="353" a="1"/>
  <c r="C18" i="115"/>
  <c r="N57" i="353" a="1"/>
  <c r="AA13" i="353" a="1"/>
  <c r="AE84" i="353" a="1"/>
  <c r="T207" i="351" a="1"/>
  <c r="AI49" i="353" a="1"/>
  <c r="AR89" i="353" a="1"/>
  <c r="J113" i="351" a="1"/>
  <c r="G176" i="351" a="1"/>
  <c r="C21" i="120"/>
  <c r="O176" i="351" a="1"/>
  <c r="C15" i="122"/>
  <c r="AA14" i="353" a="1"/>
  <c r="F87" i="353" a="1"/>
  <c r="AK15" i="353" a="1"/>
  <c r="G163" i="351" a="1"/>
  <c r="AJ29" i="353" a="1"/>
  <c r="S58" i="351" a="1"/>
  <c r="L149" i="351" a="1"/>
  <c r="H150" i="351" a="1"/>
  <c r="O64" i="353" a="1"/>
  <c r="AA77" i="353" a="1"/>
  <c r="M136" i="351" a="1"/>
  <c r="K53" i="351" a="1"/>
  <c r="C13" i="289"/>
  <c r="AV22" i="353" a="1"/>
  <c r="AT32" i="353" a="1"/>
  <c r="O108" i="351" a="1"/>
  <c r="J81" i="353" a="1"/>
  <c r="H207" i="351" a="1"/>
  <c r="P57" i="353" a="1"/>
  <c r="C13" i="383"/>
  <c r="C21" i="434"/>
  <c r="O171" i="351" a="1"/>
  <c r="S182" i="351" a="1"/>
  <c r="I115" i="351" a="1"/>
  <c r="AS79" i="353" a="1"/>
  <c r="C21" i="288"/>
  <c r="C21" i="334"/>
  <c r="P50" i="353" a="1"/>
  <c r="AF4" i="353" a="1"/>
  <c r="AU35" i="353" a="1"/>
  <c r="Q31" i="353" a="1"/>
  <c r="AK35" i="353" a="1"/>
  <c r="S139" i="351" a="1"/>
  <c r="B7" i="417"/>
  <c r="O56" i="353" a="1"/>
  <c r="C20" i="380"/>
  <c r="I41" i="353" a="1"/>
  <c r="C22" i="341"/>
  <c r="B6" i="467"/>
  <c r="C12" i="95"/>
  <c r="C22" i="284"/>
  <c r="AL63" i="353" a="1"/>
  <c r="C2" i="145" a="1"/>
  <c r="AL84" i="353" a="1"/>
  <c r="C17" i="289"/>
  <c r="AP75" i="353" a="1"/>
  <c r="G70" i="351" a="1"/>
  <c r="C20" i="279"/>
  <c r="N27" i="353" a="1"/>
  <c r="G24" i="353" a="1"/>
  <c r="H206" i="351" a="1"/>
  <c r="E54" i="353" a="1"/>
  <c r="Y25" i="353" a="1"/>
  <c r="N56" i="353" a="1"/>
  <c r="L132" i="351" a="1"/>
  <c r="L62" i="351" a="1"/>
  <c r="O96" i="351" a="1"/>
  <c r="Q80" i="353" a="1"/>
  <c r="O159" i="351" a="1"/>
  <c r="J152" i="351" a="1"/>
  <c r="C12" i="14"/>
  <c r="P114" i="351" a="1"/>
  <c r="K28" i="351" a="1"/>
  <c r="U27" i="353" a="1"/>
  <c r="S51" i="351" a="1"/>
  <c r="AT67" i="353" a="1"/>
  <c r="H163" i="351" a="1"/>
  <c r="L56" i="351" a="1"/>
  <c r="R66" i="353" a="1"/>
  <c r="C17" i="442"/>
  <c r="AA29" i="353" a="1"/>
  <c r="AV86" i="353" a="1"/>
  <c r="I62" i="353" a="1"/>
  <c r="Y71" i="353" a="1"/>
  <c r="AJ26" i="353" a="1"/>
  <c r="K164" i="351" a="1"/>
  <c r="AU5" i="353" a="1"/>
  <c r="P65" i="351" a="1"/>
  <c r="O71" i="351" a="1"/>
  <c r="C12" i="343"/>
  <c r="L37" i="351" a="1"/>
  <c r="P133" i="351" a="1"/>
  <c r="C15" i="380"/>
  <c r="AQ82" i="353" a="1"/>
  <c r="K82" i="351" a="1"/>
  <c r="H131" i="351" a="1"/>
  <c r="T154" i="351" a="1"/>
  <c r="C13" i="419"/>
  <c r="Q199" i="351" a="1"/>
  <c r="AS102" i="353" a="1"/>
  <c r="G120" i="351" a="1"/>
  <c r="K8" i="351" a="1"/>
  <c r="G32" i="353" a="1"/>
  <c r="AJ68" i="353" a="1"/>
  <c r="AG51" i="353" a="1"/>
  <c r="J55" i="353" a="1"/>
  <c r="C19" i="400"/>
  <c r="AI21" i="6" a="1"/>
  <c r="C12" i="414"/>
  <c r="X46" i="353" a="1"/>
  <c r="C12" i="246"/>
  <c r="AE74" i="353" a="1"/>
  <c r="C22" i="429"/>
  <c r="M52" i="351" a="1"/>
  <c r="AG12" i="353" a="1"/>
  <c r="H82" i="353" a="1"/>
  <c r="AU88" i="353" a="1"/>
  <c r="T97" i="351" a="1"/>
  <c r="Y95" i="353" a="1"/>
  <c r="R95" i="353" a="1"/>
  <c r="AT78" i="353" a="1"/>
  <c r="C18" i="403"/>
  <c r="C16" i="448"/>
  <c r="AQ13" i="353" a="1"/>
  <c r="G124" i="351" a="1"/>
  <c r="C19" i="122"/>
  <c r="C13" i="100"/>
  <c r="T63" i="353" a="1"/>
  <c r="K43" i="353" a="1"/>
  <c r="AK47" i="353" a="1"/>
  <c r="Q163" i="351" a="1"/>
  <c r="I85" i="353" a="1"/>
  <c r="Q76" i="351" a="1"/>
  <c r="J28" i="351" a="1"/>
  <c r="U56" i="353" a="1"/>
  <c r="S178" i="351" a="1"/>
  <c r="AO57" i="353" a="1"/>
  <c r="AE79" i="353" a="1"/>
  <c r="C15" i="329"/>
  <c r="M192" i="351" a="1"/>
  <c r="T197" i="351" a="1"/>
  <c r="C14" i="245"/>
  <c r="C17" i="249"/>
  <c r="AQ84" i="353" a="1"/>
  <c r="AB34" i="353" a="1"/>
  <c r="AP7" i="353" a="1"/>
  <c r="T98" i="353" a="1"/>
  <c r="I106" i="351" a="1"/>
  <c r="C15" i="417"/>
  <c r="E23" i="353" a="1"/>
  <c r="C21" i="396"/>
  <c r="K88" i="353" a="1"/>
  <c r="C22" i="276"/>
  <c r="B6" i="257"/>
  <c r="G143" i="351" a="1"/>
  <c r="C19" i="311"/>
  <c r="C20" i="115"/>
  <c r="AN96" i="353" a="1"/>
  <c r="B7" i="297"/>
  <c r="AV68" i="353" a="1"/>
  <c r="E20" i="353" a="1"/>
  <c r="C20" i="129"/>
  <c r="AS46" i="353" a="1"/>
  <c r="T52" i="351" a="1"/>
  <c r="M132" i="351" a="1"/>
  <c r="B12" i="144" a="1"/>
  <c r="C20" i="116"/>
  <c r="W39" i="353" a="1"/>
  <c r="C14" i="365"/>
  <c r="Q53" i="351" a="1"/>
  <c r="AA7" i="353" a="1"/>
  <c r="AO15" i="6" a="1"/>
  <c r="C22" i="325"/>
  <c r="V103" i="353" a="1"/>
  <c r="L155" i="351" a="1"/>
  <c r="H136" i="351" a="1"/>
  <c r="B6" i="326"/>
  <c r="C21" i="339"/>
  <c r="O67" i="353" a="1"/>
  <c r="AU73" i="353" a="1"/>
  <c r="Q95" i="351" a="1"/>
  <c r="C15" i="254"/>
  <c r="AT80" i="353" a="1"/>
  <c r="C13" i="299"/>
  <c r="AQ77" i="353" a="1"/>
  <c r="AN33" i="353" a="1"/>
  <c r="C22" i="376"/>
  <c r="AF37" i="353" a="1"/>
  <c r="C20" i="328"/>
  <c r="W100" i="353" a="1"/>
  <c r="C21" i="306"/>
  <c r="B6" i="328"/>
  <c r="C13" i="130"/>
  <c r="C15" i="429"/>
  <c r="G160" i="351" a="1"/>
  <c r="C15" i="396"/>
  <c r="U19" i="353" a="1"/>
  <c r="S23" i="351" a="1"/>
  <c r="AF29" i="353" a="1"/>
  <c r="C22" i="490"/>
  <c r="AE88" i="353" a="1"/>
  <c r="AA69" i="353" a="1"/>
  <c r="AF77" i="353" a="1"/>
  <c r="V53" i="353" a="1"/>
  <c r="AU91" i="353" a="1"/>
  <c r="C18" i="247"/>
  <c r="AK4" i="353" a="1"/>
  <c r="AA57" i="353" a="1"/>
  <c r="T88" i="351" a="1"/>
  <c r="D5" i="355" a="1"/>
  <c r="H109" i="351" a="1"/>
  <c r="AO93" i="353" a="1"/>
  <c r="C22" i="97"/>
  <c r="J28" i="353" a="1"/>
  <c r="T22" i="351" a="1"/>
  <c r="R102" i="353" a="1"/>
  <c r="K94" i="353" a="1"/>
  <c r="AJ31" i="353" a="1"/>
  <c r="L201" i="351" a="1"/>
  <c r="G165" i="351" a="1"/>
  <c r="O150" i="351" a="1"/>
  <c r="C12" i="322"/>
  <c r="Y27" i="353" a="1"/>
  <c r="J46" i="353" a="1"/>
  <c r="C15" i="271"/>
  <c r="U85" i="353" a="1"/>
  <c r="B6" i="488"/>
  <c r="I124" i="351" a="1"/>
  <c r="P61" i="353" a="1"/>
  <c r="AH33" i="353" a="1"/>
  <c r="C16" i="376"/>
  <c r="B7" i="310"/>
  <c r="I195" i="351" a="1"/>
  <c r="C14" i="252"/>
  <c r="T30" i="353" a="1"/>
  <c r="B6" i="323"/>
  <c r="H31" i="353" a="1"/>
  <c r="AA50" i="353" a="1"/>
  <c r="L69" i="351" a="1"/>
  <c r="C13" i="364"/>
  <c r="Z10" i="353" a="1"/>
  <c r="R152" i="351" a="1"/>
  <c r="S142" i="351" a="1"/>
  <c r="J81" i="351" a="1"/>
  <c r="AR10" i="353" a="1"/>
  <c r="R178" i="351" a="1"/>
  <c r="V78" i="353" a="1"/>
  <c r="B7" i="343"/>
  <c r="H36" i="351" a="1"/>
  <c r="AO44" i="353" a="1"/>
  <c r="B6" i="130"/>
  <c r="R136" i="351" a="1"/>
  <c r="S72" i="351" a="1"/>
  <c r="C18" i="335"/>
  <c r="T48" i="353" a="1"/>
  <c r="AG97" i="353" a="1"/>
  <c r="Z56" i="353" a="1"/>
  <c r="J44" i="353" a="1"/>
  <c r="B6" i="383"/>
  <c r="T138" i="351" a="1"/>
  <c r="AS48" i="353" a="1"/>
  <c r="X76" i="353" a="1"/>
  <c r="F96" i="353" a="1"/>
  <c r="C15" i="315"/>
  <c r="T88" i="353" a="1"/>
  <c r="AT58" i="353" a="1"/>
  <c r="W58" i="353" a="1"/>
  <c r="G197" i="351" a="1"/>
  <c r="I18" i="351" a="1"/>
  <c r="K103" i="353" a="1"/>
  <c r="C13" i="312"/>
  <c r="I156" i="351" a="1"/>
  <c r="AQ50" i="353" a="1"/>
  <c r="C16" i="97"/>
  <c r="E40" i="353" a="1"/>
  <c r="AO10" i="6" a="1"/>
  <c r="Q111" i="351" a="1"/>
  <c r="W99" i="353" a="1"/>
  <c r="AE34" i="353" a="1"/>
  <c r="AK49" i="353" a="1"/>
  <c r="Y86" i="353" a="1"/>
  <c r="C15" i="479"/>
  <c r="AD85" i="353" a="1"/>
  <c r="Q152" i="351" a="1"/>
  <c r="M146" i="351" a="1"/>
  <c r="P129" i="351" a="1"/>
  <c r="L77" i="351" a="1"/>
  <c r="C20" i="414"/>
  <c r="U92" i="353" a="1"/>
  <c r="I13" i="351" a="1"/>
  <c r="V44" i="353" a="1"/>
  <c r="C19" i="419"/>
  <c r="AA27" i="353" a="1"/>
  <c r="R132" i="351" a="1"/>
  <c r="M23" i="353" a="1"/>
  <c r="T14" i="351" a="1"/>
  <c r="AN46" i="353" a="1"/>
  <c r="C17" i="469"/>
  <c r="C16" i="121"/>
  <c r="AT95" i="353" a="1"/>
  <c r="T50" i="351" a="1"/>
  <c r="Q168" i="351" a="1"/>
  <c r="C17" i="416"/>
  <c r="C19" i="393"/>
  <c r="C18" i="290"/>
  <c r="B6" i="336"/>
  <c r="F53" i="353" a="1"/>
  <c r="J8" i="351" a="1"/>
  <c r="O168" i="351" a="1"/>
  <c r="AB37" i="353" a="1"/>
  <c r="Z72" i="353" a="1"/>
  <c r="I202" i="351" a="1"/>
  <c r="R172" i="351" a="1"/>
  <c r="X26" i="353" a="1"/>
  <c r="T28" i="351" a="1"/>
  <c r="K72" i="351" a="1"/>
  <c r="AN102" i="353" a="1"/>
  <c r="AR79" i="353" a="1"/>
  <c r="C16" i="346"/>
  <c r="R10" i="353" a="1"/>
  <c r="AU11" i="353" a="1"/>
  <c r="C17" i="290"/>
  <c r="C16" i="393"/>
  <c r="C20" i="128"/>
  <c r="C18" i="367"/>
  <c r="M198" i="351" a="1"/>
  <c r="B6" i="355" a="1"/>
  <c r="AL59" i="353" a="1"/>
  <c r="AQ67" i="353" a="1"/>
  <c r="J75" i="353" a="1"/>
  <c r="B7" i="299"/>
  <c r="O87" i="353" a="1"/>
  <c r="P93" i="351" a="1"/>
  <c r="K16" i="351" a="1"/>
  <c r="C17" i="94"/>
  <c r="C13" i="116"/>
  <c r="AU65" i="353" a="1"/>
  <c r="S59" i="351" a="1"/>
  <c r="S107" i="351" a="1"/>
  <c r="C13" i="418"/>
  <c r="C17" i="466"/>
  <c r="O97" i="353" a="1"/>
  <c r="AT43" i="353" a="1"/>
  <c r="Y7" i="353" a="1"/>
  <c r="AH20" i="353" a="1"/>
  <c r="C19" i="255"/>
  <c r="AB10" i="353" a="1"/>
  <c r="C22" i="264"/>
  <c r="B11" i="355" a="1"/>
  <c r="T74" i="353" a="1"/>
  <c r="C21" i="250"/>
  <c r="H24" i="353" a="1"/>
  <c r="C20" i="249"/>
  <c r="T110" i="351" a="1"/>
  <c r="C12" i="283"/>
  <c r="AT47" i="353" a="1"/>
  <c r="R130" i="351" a="1"/>
  <c r="AV31" i="353" a="1"/>
  <c r="C18" i="348"/>
  <c r="AR82" i="353" a="1"/>
  <c r="J84" i="353" a="1"/>
  <c r="K28" i="353" a="1"/>
  <c r="E6" i="355" a="1"/>
  <c r="Q178" i="351" a="1"/>
  <c r="AR44" i="353" a="1"/>
  <c r="C15" i="303"/>
  <c r="G58" i="353" a="1"/>
  <c r="R81" i="351" a="1"/>
  <c r="C21" i="343"/>
  <c r="T3" i="353" a="1"/>
  <c r="H86" i="353" a="1"/>
  <c r="J197" i="351" a="1"/>
  <c r="AA36" i="353" a="1"/>
  <c r="B45" i="144" a="1"/>
  <c r="R73" i="353" a="1"/>
  <c r="G166" i="351" a="1"/>
  <c r="C17" i="359"/>
  <c r="V54" i="353" a="1"/>
  <c r="AF85" i="353" a="1"/>
  <c r="B9" i="144" a="1"/>
  <c r="C14" i="308"/>
  <c r="AO28" i="353" a="1"/>
  <c r="X72" i="353" a="1"/>
  <c r="M114" i="351" a="1"/>
  <c r="AQ51" i="353" a="1"/>
  <c r="M15" i="351" a="1"/>
  <c r="G15" i="353" a="1"/>
  <c r="C15" i="382"/>
  <c r="N84" i="353" a="1"/>
  <c r="C17" i="334"/>
  <c r="S55" i="351" a="1"/>
  <c r="C14" i="254"/>
  <c r="C13" i="382"/>
  <c r="AV97" i="353" a="1"/>
  <c r="C22" i="332"/>
  <c r="M200" i="351" a="1"/>
  <c r="Z89" i="353" a="1"/>
  <c r="L75" i="351" a="1"/>
  <c r="K30" i="351" a="1"/>
  <c r="U46" i="353" a="1"/>
  <c r="L156" i="351" a="1"/>
  <c r="AK33" i="353" a="1"/>
  <c r="C15" i="467"/>
  <c r="P153" i="351" a="1"/>
  <c r="K188" i="351" a="1"/>
  <c r="C19" i="108"/>
  <c r="AB54" i="353" a="1"/>
  <c r="R24" i="353" a="1"/>
  <c r="H53" i="353" a="1"/>
  <c r="AN83" i="353" a="1"/>
  <c r="P25" i="353" a="1"/>
  <c r="AN104" i="353" a="1"/>
  <c r="B6" i="286"/>
  <c r="C14" i="94"/>
  <c r="C18" i="307"/>
  <c r="P49" i="353" a="1"/>
  <c r="C15" i="250"/>
  <c r="B7" i="287"/>
  <c r="AN78" i="353" a="1"/>
  <c r="N48" i="353" a="1"/>
  <c r="T25" i="351" a="1"/>
  <c r="B7" i="260"/>
  <c r="I34" i="351" a="1"/>
  <c r="AT24" i="353" a="1"/>
  <c r="AK14" i="353" a="1"/>
  <c r="X50" i="353" a="1"/>
  <c r="G173" i="351" a="1"/>
  <c r="C20" i="412"/>
  <c r="B6" i="411"/>
  <c r="C21" i="249"/>
  <c r="AL77" i="353" a="1"/>
  <c r="N91" i="353" a="1"/>
  <c r="U70" i="353" a="1"/>
  <c r="AR101" i="353" a="1"/>
  <c r="G54" i="351" a="1"/>
  <c r="L127" i="351" a="1"/>
  <c r="Q51" i="353" a="1"/>
  <c r="AJ74" i="353" a="1"/>
  <c r="W62" i="353" a="1"/>
  <c r="O42" i="351" a="1"/>
  <c r="G71" i="353" a="1"/>
  <c r="J99" i="351" a="1"/>
  <c r="G93" i="353" a="1"/>
  <c r="Y43" i="353" a="1"/>
  <c r="B7" i="456"/>
  <c r="C20" i="344"/>
  <c r="L98" i="351" a="1"/>
  <c r="AI33" i="353" a="1"/>
  <c r="C18" i="479"/>
  <c r="B53" i="144" a="1"/>
  <c r="I100" i="351" a="1"/>
  <c r="AP71" i="353" a="1"/>
  <c r="AT90" i="353" a="1"/>
  <c r="AG91" i="353" a="1"/>
  <c r="C14" i="324"/>
  <c r="B7" i="466"/>
  <c r="C19" i="376"/>
  <c r="M122" i="351" a="1"/>
  <c r="C21" i="304"/>
  <c r="O11" i="351" a="1"/>
  <c r="AU13" i="353" a="1"/>
  <c r="J84" i="351" a="1"/>
  <c r="C14" i="306"/>
  <c r="C16" i="338"/>
  <c r="AJ22" i="353" a="1"/>
  <c r="T32" i="353" a="1"/>
  <c r="C16" i="491"/>
  <c r="AO19" i="6" a="1"/>
  <c r="AI62" i="353" a="1"/>
  <c r="H51" i="351" a="1"/>
  <c r="T31" i="353" a="1"/>
  <c r="AL92" i="353" a="1"/>
  <c r="C17" i="128"/>
  <c r="G88" i="351" a="1"/>
  <c r="R66" i="351" a="1"/>
  <c r="AG10" i="353" a="1"/>
  <c r="J38" i="351" a="1"/>
  <c r="G156" i="351" a="1"/>
  <c r="H76" i="353" a="1"/>
  <c r="U11" i="353" a="1"/>
  <c r="W23" i="353" a="1"/>
  <c r="C13" i="491"/>
  <c r="AR17" i="353" a="1"/>
  <c r="V91" i="353" a="1"/>
  <c r="C16" i="281"/>
  <c r="C22" i="317"/>
  <c r="F98" i="353" a="1"/>
  <c r="O76" i="353" a="1"/>
  <c r="C16" i="314"/>
  <c r="T86" i="353" a="1"/>
  <c r="C18" i="296"/>
  <c r="H70" i="353" a="1"/>
  <c r="B7" i="368"/>
  <c r="C20" i="300"/>
  <c r="U80" i="353" a="1"/>
  <c r="AB94" i="353" a="1"/>
  <c r="AO8" i="353" a="1"/>
  <c r="C16" i="130"/>
  <c r="C12" i="145" a="1"/>
  <c r="AP55" i="353" a="1"/>
  <c r="T172" i="351" a="1"/>
  <c r="R196" i="351" a="1"/>
  <c r="J168" i="351" a="1"/>
  <c r="K16" i="353" a="1"/>
  <c r="C6" i="145" a="1"/>
  <c r="B52" i="144" a="1"/>
  <c r="G5" i="351" a="1"/>
  <c r="P139" i="351" a="1"/>
  <c r="B6" i="299"/>
  <c r="Y105" i="353" a="1"/>
  <c r="AK43" i="353" a="1"/>
  <c r="B7" i="365"/>
  <c r="T123" i="351" a="1"/>
  <c r="C15" i="321"/>
  <c r="C12" i="396"/>
  <c r="H100" i="353" a="1"/>
  <c r="K161" i="351" a="1"/>
  <c r="AG53" i="353" a="1"/>
  <c r="AV65" i="353" a="1"/>
  <c r="M35" i="353" a="1"/>
  <c r="AH94" i="353" a="1"/>
  <c r="AU43" i="353" a="1"/>
  <c r="C20" i="282"/>
  <c r="H145" i="351" a="1"/>
  <c r="J61" i="353" a="1"/>
  <c r="C16" i="272"/>
  <c r="C19" i="434"/>
  <c r="H20" i="351" a="1"/>
  <c r="C21" i="440"/>
  <c r="AE105" i="353" a="1"/>
  <c r="H200" i="351" a="1"/>
  <c r="E78" i="353" a="1"/>
  <c r="K128" i="351" a="1"/>
  <c r="AF7" i="353" a="1"/>
  <c r="Q93" i="351" a="1"/>
  <c r="AQ79" i="353" a="1"/>
  <c r="AN86" i="353" a="1"/>
  <c r="U51" i="353" a="1"/>
  <c r="G48" i="351" a="1"/>
  <c r="O152" i="351" a="1"/>
  <c r="W30" i="353" a="1"/>
  <c r="AQ7" i="353" a="1"/>
  <c r="C21" i="265"/>
  <c r="B6" i="295"/>
  <c r="U103" i="353" a="1"/>
  <c r="AE66" i="353" a="1"/>
  <c r="AP29" i="353" a="1"/>
  <c r="AL23" i="353" a="1"/>
  <c r="B6" i="420"/>
  <c r="C18" i="291"/>
  <c r="R119" i="351" a="1"/>
  <c r="W57" i="353" a="1"/>
  <c r="C12" i="127"/>
  <c r="R45" i="351" a="1"/>
  <c r="R205" i="351" a="1"/>
  <c r="S113" i="351" a="1"/>
  <c r="C21" i="269"/>
  <c r="R50" i="351" a="1"/>
  <c r="G174" i="351" a="1"/>
  <c r="H18" i="353" a="1"/>
  <c r="U47" i="353" a="1"/>
  <c r="M94" i="353" a="1"/>
  <c r="C17" i="488"/>
  <c r="AL55" i="353" a="1"/>
  <c r="C19" i="249"/>
  <c r="AG63" i="353" a="1"/>
  <c r="AR71" i="353" a="1"/>
  <c r="AV77" i="353" a="1"/>
  <c r="AA51" i="353" a="1"/>
  <c r="Y57" i="353" a="1"/>
  <c r="C13" i="261"/>
  <c r="K97" i="351" a="1"/>
  <c r="AP5" i="353" a="1"/>
  <c r="I143" i="351" a="1"/>
  <c r="Y100" i="353" a="1"/>
  <c r="AD99" i="353" a="1"/>
  <c r="C18" i="388"/>
  <c r="R16" i="351" a="1"/>
  <c r="O29" i="351" a="1"/>
  <c r="C21" i="411"/>
  <c r="M152" i="351" a="1"/>
  <c r="B7" i="255"/>
  <c r="V20" i="353" a="1"/>
  <c r="B7" i="269"/>
  <c r="R120" i="351" a="1"/>
  <c r="C22" i="274"/>
  <c r="AN19" i="353" a="1"/>
  <c r="B6" i="429"/>
  <c r="AA28" i="353" a="1"/>
  <c r="R79" i="353" a="1"/>
  <c r="E100" i="353" a="1"/>
  <c r="J47" i="353" a="1"/>
  <c r="J177" i="351" a="1"/>
  <c r="C18" i="97"/>
  <c r="C12" i="89"/>
  <c r="C15" i="299"/>
  <c r="Z36" i="353" a="1"/>
  <c r="T61" i="351" a="1"/>
  <c r="AV81" i="353" a="1"/>
  <c r="AO21" i="353" a="1"/>
  <c r="Q54" i="353" a="1"/>
  <c r="R91" i="351" a="1"/>
  <c r="M95" i="353" a="1"/>
  <c r="S26" i="351" a="1"/>
  <c r="F23" i="353" a="1"/>
  <c r="O33" i="351" a="1"/>
  <c r="T115" i="351" a="1"/>
  <c r="C17" i="264"/>
  <c r="C15" i="344"/>
  <c r="C12" i="267"/>
  <c r="Q27" i="351" a="1"/>
  <c r="M77" i="353" a="1"/>
  <c r="Y98" i="353" a="1"/>
  <c r="C22" i="318"/>
  <c r="H27" i="353" a="1"/>
  <c r="C20" i="346"/>
  <c r="F61" i="353" a="1"/>
  <c r="B6" i="289"/>
  <c r="V32" i="353" a="1"/>
  <c r="C22" i="101"/>
  <c r="AA42" i="353" a="1"/>
  <c r="H26" i="353" a="1"/>
  <c r="AJ17" i="353" a="1"/>
  <c r="C21" i="117"/>
  <c r="T149" i="351" a="1"/>
  <c r="G192" i="351" a="1"/>
  <c r="O85" i="353" a="1"/>
  <c r="C18" i="415"/>
  <c r="O123" i="351" a="1"/>
  <c r="C20" i="469"/>
  <c r="P65" i="353" a="1"/>
  <c r="I96" i="353" a="1"/>
  <c r="AB69" i="353" a="1"/>
  <c r="AQ56" i="353" a="1"/>
  <c r="B7" i="251"/>
  <c r="AG85" i="353" a="1"/>
  <c r="K68" i="351" a="1"/>
  <c r="AP101" i="353" a="1"/>
  <c r="C13" i="303"/>
  <c r="AH92" i="353" a="1"/>
  <c r="C18" i="286"/>
  <c r="AV99" i="353" a="1"/>
  <c r="C15" i="464"/>
  <c r="B6" i="348"/>
  <c r="S20" i="351" a="1"/>
  <c r="M135" i="351" a="1"/>
  <c r="AB75" i="353" a="1"/>
  <c r="C16" i="472"/>
  <c r="R121" i="351" a="1"/>
  <c r="V24" i="353" a="1"/>
  <c r="C18" i="265"/>
  <c r="Z68" i="353" a="1"/>
  <c r="S46" i="351" a="1"/>
  <c r="C12" i="346"/>
  <c r="AB6" i="353" a="1"/>
  <c r="B7" i="247"/>
  <c r="Q67" i="353" a="1"/>
  <c r="C19" i="403"/>
  <c r="C16" i="315"/>
  <c r="C15" i="434"/>
  <c r="C19" i="272"/>
  <c r="R144" i="351" a="1"/>
  <c r="AV102" i="353" a="1"/>
  <c r="C16" i="123"/>
  <c r="AL104" i="353" a="1"/>
  <c r="AI27" i="6" a="1"/>
  <c r="C19" i="268"/>
  <c r="C20" i="454"/>
  <c r="K99" i="353" a="1"/>
  <c r="AK25" i="353" a="1"/>
  <c r="L145" i="351" a="1"/>
  <c r="C14" i="417"/>
  <c r="AU34" i="353" a="1"/>
  <c r="B6" i="382"/>
  <c r="AR26" i="353" a="1"/>
  <c r="C14" i="467"/>
  <c r="E3" i="355" a="1"/>
  <c r="AI28" i="6" a="1"/>
  <c r="H29" i="353" a="1"/>
  <c r="AV94" i="353" a="1"/>
  <c r="R79" i="351" a="1"/>
  <c r="T24" i="353" a="1"/>
  <c r="H46" i="351" a="1"/>
  <c r="Z50" i="353" a="1"/>
  <c r="T89" i="351" a="1"/>
  <c r="C16" i="490"/>
  <c r="M182" i="351" a="1"/>
  <c r="G42" i="351" a="1"/>
  <c r="AI68" i="353" a="1"/>
  <c r="C14" i="405"/>
  <c r="C21" i="447"/>
  <c r="G77" i="351" a="1"/>
  <c r="L203" i="351" a="1"/>
  <c r="AO37" i="353" a="1"/>
  <c r="AK64" i="353" a="1"/>
  <c r="X47" i="353" a="1"/>
  <c r="AQ86" i="353" a="1"/>
  <c r="M131" i="351" a="1"/>
  <c r="AK67" i="353" a="1"/>
  <c r="N18" i="353" a="1"/>
  <c r="B6" i="473"/>
  <c r="C16" i="258"/>
  <c r="K162" i="351" a="1"/>
  <c r="B7" i="265"/>
  <c r="I134" i="351" a="1"/>
  <c r="C20" i="367"/>
  <c r="I86" i="353" a="1"/>
  <c r="AH34" i="353" a="1"/>
  <c r="C19" i="314"/>
  <c r="O169" i="351" a="1"/>
  <c r="P165" i="351" a="1"/>
  <c r="I95" i="353" a="1"/>
  <c r="C22" i="464"/>
  <c r="P188" i="351" a="1"/>
  <c r="AT46" i="353" a="1"/>
  <c r="C36" i="145" a="1"/>
  <c r="C19" i="483"/>
  <c r="AH99" i="353" a="1"/>
  <c r="E101" i="353" a="1"/>
  <c r="P158" i="351" a="1"/>
  <c r="Q197" i="351" a="1"/>
  <c r="B50" i="144" a="1"/>
  <c r="I49" i="351" a="1"/>
  <c r="AT114" i="353" a="1"/>
  <c r="C19" i="245"/>
  <c r="AH45" i="353" a="1"/>
  <c r="K22" i="351" a="1"/>
  <c r="C18" i="383"/>
  <c r="C13" i="368"/>
  <c r="S110" i="351" a="1"/>
  <c r="O91" i="351" a="1"/>
  <c r="AJ32" i="353" a="1"/>
  <c r="G180" i="351" a="1"/>
  <c r="M95" i="351" a="1"/>
  <c r="G206" i="351" a="1"/>
  <c r="AG104" i="353" a="1"/>
  <c r="E16" i="353" a="1"/>
  <c r="E57" i="353" a="1"/>
  <c r="M115" i="351" a="1"/>
  <c r="C22" i="289"/>
  <c r="Q170" i="351" a="1"/>
  <c r="G153" i="351" a="1"/>
  <c r="K114" i="353" a="1"/>
  <c r="AO74" i="353" a="1"/>
  <c r="H77" i="353" a="1"/>
  <c r="C20" i="473"/>
  <c r="O119" i="351" a="1"/>
  <c r="M31" i="353" a="1"/>
  <c r="C13" i="267"/>
  <c r="Z55" i="353" a="1"/>
  <c r="N16" i="353" a="1"/>
  <c r="C18" i="474"/>
  <c r="M81" i="351" a="1"/>
  <c r="C22" i="319"/>
  <c r="J16" i="353" a="1"/>
  <c r="G158" i="351" a="1"/>
  <c r="AI64" i="353" a="1"/>
  <c r="R52" i="351" a="1"/>
  <c r="O175" i="351" a="1"/>
  <c r="J137" i="351" a="1"/>
  <c r="E82" i="353" a="1"/>
  <c r="C19" i="120"/>
  <c r="C15" i="345"/>
  <c r="E17" i="353" a="1"/>
  <c r="G37" i="353" a="1"/>
  <c r="AN8" i="353" a="1"/>
  <c r="G18" i="351" a="1"/>
  <c r="R58" i="353" a="1"/>
  <c r="S124" i="351" a="1"/>
  <c r="C21" i="474"/>
  <c r="I87" i="353" a="1"/>
  <c r="K196" i="351" a="1"/>
  <c r="C21" i="381"/>
  <c r="C7" i="145" a="1"/>
  <c r="L15" i="351" a="1"/>
  <c r="H201" i="351" a="1"/>
  <c r="T53" i="351" a="1"/>
  <c r="AB71" i="353" a="1"/>
  <c r="R22" i="351" a="1"/>
  <c r="K46" i="353" a="1"/>
  <c r="C17" i="296"/>
  <c r="W77" i="353" a="1"/>
  <c r="AF40" i="353" a="1"/>
  <c r="C8" i="145" a="1"/>
  <c r="C19" i="301"/>
  <c r="Y73" i="353" a="1"/>
  <c r="P124" i="351" a="1"/>
  <c r="O114" i="351" a="1"/>
  <c r="C21" i="247"/>
  <c r="L95" i="351" a="1"/>
  <c r="F69" i="353" a="1"/>
  <c r="O194" i="351" a="1"/>
  <c r="C12" i="257"/>
  <c r="P21" i="351" a="1"/>
  <c r="J14" i="353" a="1"/>
  <c r="C20" i="291"/>
  <c r="T23" i="351" a="1"/>
  <c r="P51" i="353" a="1"/>
  <c r="E98" i="353" a="1"/>
  <c r="G50" i="351" a="1"/>
  <c r="AO77" i="353" a="1"/>
  <c r="I39" i="353" a="1"/>
  <c r="E99" i="353" a="1"/>
  <c r="Z88" i="353" a="1"/>
  <c r="V89" i="353" a="1"/>
  <c r="C14" i="327"/>
  <c r="C13" i="421"/>
  <c r="G29" i="353" a="1"/>
  <c r="C14" i="456"/>
  <c r="AF56" i="353" a="1"/>
  <c r="AR23" i="353" a="1"/>
  <c r="B6" i="107"/>
  <c r="AI20" i="6" a="1"/>
  <c r="B6" i="475"/>
  <c r="J185" i="351" a="1"/>
  <c r="G30" i="353" a="1"/>
  <c r="G186" i="351" a="1"/>
  <c r="C13" i="433"/>
  <c r="Q126" i="351" a="1"/>
  <c r="AA75" i="353" a="1"/>
  <c r="C22" i="107"/>
  <c r="K52" i="351" a="1"/>
  <c r="S156" i="351" a="1"/>
  <c r="AI16" i="353" a="1"/>
  <c r="J17" i="351" a="1"/>
  <c r="P74" i="351" a="1"/>
  <c r="N42" i="353" a="1"/>
  <c r="C21" i="284"/>
  <c r="K205" i="351" a="1"/>
  <c r="C19" i="324"/>
  <c r="M186" i="351" a="1"/>
  <c r="V17" i="353" a="1"/>
  <c r="G89" i="351" a="1"/>
  <c r="AJ51" i="353" a="1"/>
  <c r="T180" i="351" a="1"/>
  <c r="AT40" i="353" a="1"/>
  <c r="R94" i="351" a="1"/>
  <c r="S132" i="351" a="1"/>
  <c r="AA46" i="353" a="1"/>
  <c r="S37" i="351" a="1"/>
  <c r="AT8" i="353" a="1"/>
  <c r="C19" i="454"/>
  <c r="H75" i="351" a="1"/>
  <c r="L143" i="351" a="1"/>
  <c r="B6" i="368"/>
  <c r="W28" i="353" a="1"/>
  <c r="C18" i="294"/>
  <c r="O166" i="351" a="1"/>
  <c r="K155" i="351" a="1"/>
  <c r="H20" i="353" a="1"/>
  <c r="L117" i="351" a="1"/>
  <c r="K88" i="351" a="1"/>
  <c r="M119" i="351" a="1"/>
  <c r="C19" i="312"/>
  <c r="O114" i="353" a="1"/>
  <c r="P186" i="351" a="1"/>
  <c r="C12" i="447"/>
  <c r="AJ42" i="353" a="1"/>
  <c r="AU104" i="353" a="1"/>
  <c r="I74" i="353" a="1"/>
  <c r="AO12" i="353" a="1"/>
  <c r="L57" i="351" a="1"/>
  <c r="AA47" i="353" a="1"/>
  <c r="Q17" i="353" a="1"/>
  <c r="K14" i="353" a="1"/>
  <c r="C15" i="348"/>
  <c r="M102" i="351" a="1"/>
  <c r="AA12" i="353" a="1"/>
  <c r="C18" i="109"/>
  <c r="AS34" i="353" a="1"/>
  <c r="R14" i="353" a="1"/>
  <c r="C13" i="14"/>
  <c r="H52" i="353" a="1"/>
  <c r="P28" i="351" a="1"/>
  <c r="Z105" i="353" a="1"/>
  <c r="R65" i="353" a="1"/>
  <c r="AG17" i="353" a="1"/>
  <c r="AO53" i="353" a="1"/>
  <c r="C13" i="430"/>
  <c r="B7" i="271"/>
  <c r="H38" i="351" a="1"/>
  <c r="AH6" i="353" a="1"/>
  <c r="AT76" i="353" a="1"/>
  <c r="J50" i="353" a="1"/>
  <c r="Q180" i="351" a="1"/>
  <c r="T106" i="351" a="1"/>
  <c r="Y58" i="353" a="1"/>
  <c r="AE18" i="353" a="1"/>
  <c r="M143" i="351" a="1"/>
  <c r="O37" i="353" a="1"/>
  <c r="Q14" i="353" a="1"/>
  <c r="B11" i="144" a="1"/>
  <c r="AB20" i="353" a="1"/>
  <c r="P101" i="353" a="1"/>
  <c r="M24" i="353" a="1"/>
  <c r="C19" i="445"/>
  <c r="S128" i="351" a="1"/>
  <c r="AA37" i="353" a="1"/>
  <c r="S75" i="351" a="1"/>
  <c r="AI114" i="353" a="1"/>
  <c r="C19" i="416"/>
  <c r="Q44" i="351" a="1"/>
  <c r="B7" i="120"/>
  <c r="H40" i="353" a="1"/>
  <c r="M45" i="351" a="1"/>
  <c r="C14" i="410"/>
  <c r="H57" i="353" a="1"/>
  <c r="AA49" i="353" a="1"/>
  <c r="T51" i="351" a="1"/>
  <c r="C13" i="316"/>
  <c r="B7" i="433"/>
  <c r="Q127" i="351" a="1"/>
  <c r="C18" i="283"/>
  <c r="H96" i="353" a="1"/>
  <c r="C18" i="279"/>
  <c r="T105" i="351" a="1"/>
  <c r="AP22" i="353" a="1"/>
  <c r="I53" i="353" a="1"/>
  <c r="W11" i="353" a="1"/>
  <c r="AP10" i="353" a="1"/>
  <c r="I62" i="351" a="1"/>
  <c r="C20" i="337"/>
  <c r="K106" i="351" a="1"/>
  <c r="AA89" i="353" a="1"/>
  <c r="W48" i="353" a="1"/>
  <c r="C18" i="264"/>
  <c r="AK27" i="353" a="1"/>
  <c r="M104" i="353" a="1"/>
  <c r="F29" i="353" a="1"/>
  <c r="C21" i="368"/>
  <c r="B6" i="494"/>
  <c r="U44" i="353" a="1"/>
  <c r="N33" i="353" a="1"/>
  <c r="N99" i="353" a="1"/>
  <c r="B7" i="259"/>
  <c r="K95" i="353" a="1"/>
  <c r="C19" i="99"/>
  <c r="C15" i="248"/>
  <c r="AK74" i="353" a="1"/>
  <c r="K171" i="351" a="1"/>
  <c r="AN51" i="353" a="1"/>
  <c r="Q6" i="351" a="1"/>
  <c r="AT13" i="353" a="1"/>
  <c r="Q23" i="353" a="1"/>
  <c r="E13" i="353" a="1"/>
  <c r="P195" i="351" a="1"/>
  <c r="L14" i="351" a="1"/>
  <c r="C20" i="384"/>
  <c r="K13" i="351" a="1"/>
  <c r="AL4" i="353" a="1"/>
  <c r="AL62" i="353" a="1"/>
  <c r="AV40" i="353" a="1"/>
  <c r="C19" i="473"/>
  <c r="C20" i="109"/>
  <c r="C13" i="270"/>
  <c r="C18" i="445"/>
  <c r="AQ4" i="353" a="1"/>
  <c r="P48" i="351" a="1"/>
  <c r="AT64" i="353" a="1"/>
  <c r="I25" i="351" a="1"/>
  <c r="C17" i="97"/>
  <c r="C21" i="122"/>
  <c r="AO12" i="6" a="1"/>
  <c r="AV12" i="353" a="1"/>
  <c r="AT72" i="353" a="1"/>
  <c r="B6" i="468"/>
  <c r="U52" i="353" a="1"/>
  <c r="G190" i="351" a="1"/>
  <c r="AG100" i="353" a="1"/>
  <c r="J115" i="351" a="1"/>
  <c r="C17" i="310"/>
  <c r="AH48" i="353" a="1"/>
  <c r="E71" i="353" a="1"/>
  <c r="P98" i="353" a="1"/>
  <c r="C16" i="279"/>
  <c r="R191" i="351" a="1"/>
  <c r="G54" i="353" a="1"/>
  <c r="U39" i="353" a="1"/>
  <c r="AN45" i="353" a="1"/>
  <c r="P95" i="351" a="1"/>
  <c r="C13" i="366"/>
  <c r="C12" i="128"/>
  <c r="B7" i="108"/>
  <c r="M177" i="351" a="1"/>
  <c r="O177" i="351" a="1"/>
  <c r="G26" i="351" a="1"/>
  <c r="Q96" i="351" a="1"/>
  <c r="AI89" i="353" a="1"/>
  <c r="AO25" i="6" a="1"/>
  <c r="AK97" i="353" a="1"/>
  <c r="R58" i="351" a="1"/>
  <c r="P179" i="351" a="1"/>
  <c r="C18" i="324"/>
  <c r="C11" i="145" a="1"/>
  <c r="AR35" i="353" a="1"/>
  <c r="AP60" i="353" a="1"/>
  <c r="N105" i="353" a="1"/>
  <c r="T163" i="351" a="1"/>
  <c r="C17" i="95"/>
  <c r="C20" i="322"/>
  <c r="R78" i="353" a="1"/>
  <c r="B7" i="325"/>
  <c r="G3" i="134" a="1"/>
  <c r="C18" i="430"/>
  <c r="AT38" i="353" a="1"/>
  <c r="C19" i="385"/>
  <c r="L35" i="351" a="1"/>
  <c r="AU103" i="353" a="1"/>
  <c r="P99" i="351" a="1"/>
  <c r="O99" i="353" a="1"/>
  <c r="J194" i="351" a="1"/>
  <c r="AN95" i="353" a="1"/>
  <c r="C13" i="479"/>
  <c r="C19" i="347"/>
  <c r="C43" i="145" a="1"/>
  <c r="AO16" i="6" a="1"/>
  <c r="C19" i="335"/>
  <c r="C17" i="455"/>
  <c r="E48" i="353" a="1"/>
  <c r="C22" i="248"/>
  <c r="O145" i="351" a="1"/>
  <c r="R54" i="353" a="1"/>
  <c r="B48" i="144" a="1"/>
  <c r="C18" i="113"/>
  <c r="M137" i="351" a="1"/>
  <c r="S22" i="351" a="1"/>
  <c r="Q35" i="353" a="1"/>
  <c r="C21" i="475"/>
  <c r="P77" i="351" a="1"/>
  <c r="R41" i="351" a="1"/>
  <c r="J4" i="351" a="1"/>
  <c r="J100" i="353" a="1"/>
  <c r="T24" i="351" a="1"/>
  <c r="C13" i="445"/>
  <c r="S138" i="351" a="1"/>
  <c r="AO11" i="6" a="1"/>
  <c r="Q35" i="351" a="1"/>
  <c r="C19" i="380"/>
  <c r="C16" i="251"/>
  <c r="C21" i="365"/>
  <c r="Y80" i="353" a="1"/>
  <c r="AR74" i="353" a="1"/>
  <c r="U53" i="353" a="1"/>
  <c r="AL46" i="353" a="1"/>
  <c r="AE13" i="353" a="1"/>
  <c r="AA24" i="353" a="1"/>
  <c r="AQ34" i="353" a="1"/>
  <c r="C12" i="411"/>
  <c r="F71" i="353" a="1"/>
  <c r="C13" i="258"/>
  <c r="O200" i="351" a="1"/>
  <c r="AH16" i="353" a="1"/>
  <c r="C18" i="280"/>
  <c r="H90" i="351" a="1"/>
  <c r="C22" i="445"/>
  <c r="J62" i="351" a="1"/>
  <c r="H102" i="351" a="1"/>
  <c r="AO28" i="6" a="1"/>
  <c r="C17" i="424"/>
  <c r="AI16" i="6" a="1"/>
  <c r="P163" i="351" a="1"/>
  <c r="T16" i="353" a="1"/>
  <c r="C21" i="366"/>
  <c r="C33" i="145" a="1"/>
  <c r="Z79" i="353" a="1"/>
  <c r="O170" i="351" a="1"/>
  <c r="L11" i="351" a="1"/>
  <c r="AD19" i="353" a="1"/>
  <c r="J203" i="351" a="1"/>
  <c r="R113" i="351" a="1"/>
  <c r="J104" i="353" a="1"/>
  <c r="O149" i="351" a="1"/>
  <c r="P59" i="351" a="1"/>
  <c r="P73" i="351" a="1"/>
  <c r="C18" i="447"/>
  <c r="P14" i="351" a="1"/>
  <c r="AF13" i="353" a="1"/>
  <c r="K65" i="353" a="1"/>
  <c r="I102" i="353" a="1"/>
  <c r="C13" i="329"/>
  <c r="C18" i="322"/>
  <c r="O39" i="353" a="1"/>
  <c r="C21" i="405"/>
  <c r="C12" i="284"/>
  <c r="AO65" i="353" a="1"/>
  <c r="J88" i="351" a="1"/>
  <c r="AG42" i="353" a="1"/>
  <c r="H32" i="351" a="1"/>
  <c r="J20" i="351" a="1"/>
  <c r="AP99" i="353" a="1"/>
  <c r="C15" i="129"/>
  <c r="C13" i="434"/>
  <c r="C14" i="388"/>
  <c r="C14" i="429"/>
  <c r="C17" i="301"/>
  <c r="B6" i="463"/>
  <c r="C21" i="376"/>
  <c r="AG69" i="353" a="1"/>
  <c r="R46" i="353" a="1"/>
  <c r="C16" i="429"/>
  <c r="C20" i="393"/>
  <c r="AD64" i="353" a="1"/>
  <c r="M91" i="351" a="1"/>
  <c r="P9" i="351" a="1"/>
  <c r="AP82" i="353" a="1"/>
  <c r="H11" i="351" a="1"/>
  <c r="T84" i="351" a="1"/>
  <c r="J41" i="353" a="1"/>
  <c r="P110" i="351" a="1"/>
  <c r="M188" i="351" a="1"/>
  <c r="N92" i="353" a="1"/>
  <c r="C15" i="339"/>
  <c r="B7" i="359"/>
  <c r="AS39" i="353" a="1"/>
  <c r="P74" i="353" a="1"/>
  <c r="C13" i="475"/>
  <c r="AH72" i="353" a="1"/>
  <c r="C30" i="145" a="1"/>
  <c r="J37" i="351" a="1"/>
  <c r="S143" i="351" a="1"/>
  <c r="H103" i="351" a="1"/>
  <c r="C14" i="483"/>
  <c r="AI72" i="353" a="1"/>
  <c r="L101" i="351" a="1"/>
  <c r="AO4" i="6" a="1"/>
  <c r="C16" i="400"/>
  <c r="C17" i="317"/>
  <c r="AV105" i="353" a="1"/>
  <c r="AD17" i="353" a="1"/>
  <c r="T92" i="351" a="1"/>
  <c r="AJ63" i="353" a="1"/>
  <c r="J72" i="351" a="1"/>
  <c r="C22" i="334"/>
  <c r="AR61" i="353" a="1"/>
  <c r="AT61" i="353" a="1"/>
  <c r="E41" i="353" a="1"/>
  <c r="Q191" i="351" a="1"/>
  <c r="AT103" i="353" a="1"/>
  <c r="Q94" i="353" a="1"/>
  <c r="C16" i="445"/>
  <c r="J50" i="351" a="1"/>
  <c r="B6" i="335"/>
  <c r="M50" i="351" a="1"/>
  <c r="Y78" i="353" a="1"/>
  <c r="AV54" i="353" a="1"/>
  <c r="AF26" i="353" a="1"/>
  <c r="AQ19" i="353" a="1"/>
  <c r="T46" i="351" a="1"/>
  <c r="AI90" i="353" a="1"/>
  <c r="C15" i="447"/>
  <c r="C22" i="411"/>
  <c r="V98" i="353" a="1"/>
  <c r="C16" i="248"/>
  <c r="C22" i="95"/>
  <c r="Y6" i="353" a="1"/>
  <c r="R4" i="351" a="1"/>
  <c r="C16" i="291"/>
  <c r="AR63" i="353" a="1"/>
  <c r="F70" i="353" a="1"/>
  <c r="AA35" i="353" a="1"/>
  <c r="AB18" i="353" a="1"/>
  <c r="C17" i="108"/>
  <c r="J91" i="353" a="1"/>
  <c r="G62" i="351" a="1"/>
  <c r="AV53" i="353" a="1"/>
  <c r="C19" i="429"/>
  <c r="Q74" i="353" a="1"/>
  <c r="C16" i="289"/>
  <c r="Y4" i="353" a="1"/>
  <c r="C14" i="256"/>
  <c r="C15" i="251"/>
  <c r="B7" i="491"/>
  <c r="C15" i="383"/>
  <c r="AQ39" i="353" a="1"/>
  <c r="AJ95" i="353" a="1"/>
  <c r="AK52" i="353" a="1"/>
  <c r="C22" i="110"/>
  <c r="H48" i="351" a="1"/>
  <c r="O30" i="353" a="1"/>
  <c r="H152" i="351" a="1"/>
  <c r="C14" i="359"/>
  <c r="R19" i="353" a="1"/>
  <c r="Q15" i="353" a="1"/>
  <c r="C20" i="339"/>
  <c r="M16" i="351" a="1"/>
  <c r="Q185" i="351" a="1"/>
  <c r="C22" i="261"/>
  <c r="AE51" i="353" a="1"/>
  <c r="C15" i="392"/>
  <c r="C18" i="129"/>
  <c r="C12" i="97"/>
  <c r="C17" i="313"/>
  <c r="U79" i="353" a="1"/>
  <c r="AR100" i="353" a="1"/>
  <c r="O44" i="351" a="1"/>
  <c r="T96" i="353" a="1"/>
  <c r="AQ12" i="353" a="1"/>
  <c r="K121" i="351" a="1"/>
  <c r="H192" i="351" a="1"/>
  <c r="G57" i="353" a="1"/>
  <c r="B6" i="425"/>
  <c r="AT33" i="353" a="1"/>
  <c r="C15" i="326"/>
  <c r="Z3" i="353" a="1"/>
  <c r="N80" i="353" a="1"/>
  <c r="C21" i="328"/>
  <c r="C19" i="306"/>
  <c r="C15" i="260"/>
  <c r="AL76" i="353" a="1"/>
  <c r="O196" i="351" a="1"/>
  <c r="AI19" i="353" a="1"/>
  <c r="AJ80" i="353" a="1"/>
  <c r="AR64" i="353" a="1"/>
  <c r="T64" i="353" a="1"/>
  <c r="B6" i="337"/>
  <c r="B7" i="298"/>
  <c r="AN85" i="353" a="1"/>
  <c r="Y77" i="353" a="1"/>
  <c r="AD90" i="353" a="1"/>
  <c r="C14" i="412"/>
  <c r="AG83" i="353" a="1"/>
  <c r="S154" i="351" a="1"/>
  <c r="J132" i="351" a="1"/>
  <c r="O95" i="351" a="1"/>
  <c r="AN36" i="353" a="1"/>
  <c r="P161" i="351" a="1"/>
  <c r="H164" i="351" a="1"/>
  <c r="U55" i="353" a="1"/>
  <c r="C21" i="331"/>
  <c r="E76" i="353" a="1"/>
  <c r="T56" i="351" a="1"/>
  <c r="C16" i="280"/>
  <c r="C14" i="367"/>
  <c r="C14" i="349"/>
  <c r="J34" i="351" a="1"/>
  <c r="AE17" i="353" a="1"/>
  <c r="H156" i="351" a="1"/>
  <c r="Q38" i="351" a="1"/>
  <c r="G77" i="353" a="1"/>
  <c r="C18" i="120"/>
  <c r="E28" i="353" a="1"/>
  <c r="J69" i="353" a="1"/>
  <c r="O18" i="351" a="1"/>
  <c r="C14" i="333"/>
  <c r="Y96" i="353" a="1"/>
  <c r="AA25" i="353" a="1"/>
  <c r="M199" i="351" a="1"/>
  <c r="M86" i="351" a="1"/>
  <c r="Q32" i="351" a="1"/>
  <c r="I61" i="351" a="1"/>
  <c r="C12" i="122"/>
  <c r="N70" i="353" a="1"/>
  <c r="U37" i="353" a="1"/>
  <c r="I67" i="353" a="1"/>
  <c r="AK46" i="353" a="1"/>
  <c r="B7" i="289"/>
  <c r="R200" i="351" a="1"/>
  <c r="C21" i="99"/>
  <c r="M39" i="353" a="1"/>
  <c r="AH15" i="353" a="1"/>
  <c r="R84" i="351" a="1"/>
  <c r="G126" i="351" a="1"/>
  <c r="G66" i="351" a="1"/>
  <c r="G204" i="351" a="1"/>
  <c r="AN98" i="353" a="1"/>
  <c r="K50" i="353" a="1"/>
  <c r="C48" i="145" a="1"/>
  <c r="Q161" i="351" a="1"/>
  <c r="AR37" i="353" a="1"/>
  <c r="C15" i="466"/>
  <c r="AT96" i="353" a="1"/>
  <c r="S101" i="351" a="1"/>
  <c r="Z22" i="353" a="1"/>
  <c r="R105" i="351" a="1"/>
  <c r="U31" i="353" a="1"/>
  <c r="C22" i="303"/>
  <c r="G179" i="351" a="1"/>
  <c r="AN79" i="353" a="1"/>
  <c r="AB44" i="353" a="1"/>
  <c r="E58" i="353" a="1"/>
  <c r="T54" i="351" a="1"/>
  <c r="C18" i="315"/>
  <c r="AV18" i="353" a="1"/>
  <c r="C19" i="284"/>
  <c r="X68" i="353" a="1"/>
  <c r="X104" i="353" a="1"/>
  <c r="O79" i="353" a="1"/>
  <c r="AT94" i="353" a="1"/>
  <c r="AS70" i="353" a="1"/>
  <c r="G36" i="351" a="1"/>
  <c r="C14" i="426"/>
  <c r="C13" i="381"/>
  <c r="C21" i="410"/>
  <c r="O106" i="351" a="1"/>
  <c r="AD37" i="353" a="1"/>
  <c r="M154" i="351" a="1"/>
  <c r="J60" i="353" a="1"/>
  <c r="P81" i="353" a="1"/>
  <c r="C14" i="319"/>
  <c r="AH31" i="353" a="1"/>
  <c r="N83" i="353" a="1"/>
  <c r="J175" i="351" a="1"/>
  <c r="C22" i="384"/>
  <c r="C17" i="348"/>
  <c r="C20" i="290"/>
  <c r="H80" i="351" a="1"/>
  <c r="C19" i="109"/>
  <c r="Q28" i="353" a="1"/>
  <c r="AN50" i="353" a="1"/>
  <c r="Q144" i="351" a="1"/>
  <c r="AS17" i="353" a="1"/>
  <c r="O34" i="351" a="1"/>
  <c r="AD83" i="353" a="1"/>
  <c r="L178" i="351" a="1"/>
  <c r="AG28" i="353" a="1"/>
  <c r="AJ89" i="353" a="1"/>
  <c r="U35" i="353" a="1"/>
  <c r="AI18" i="6" a="1"/>
  <c r="C13" i="338"/>
  <c r="O61" i="353" a="1"/>
  <c r="H99" i="353" a="1"/>
  <c r="C18" i="346"/>
  <c r="Q207" i="351" a="1"/>
  <c r="C13" i="107"/>
  <c r="AP80" i="353" a="1"/>
  <c r="C20" i="483"/>
  <c r="C18" i="282"/>
  <c r="AU72" i="353" a="1"/>
  <c r="C13" i="252"/>
  <c r="H84" i="353" a="1"/>
  <c r="C18" i="454"/>
  <c r="H61" i="353" a="1"/>
  <c r="C20" i="429"/>
  <c r="C22" i="413"/>
  <c r="C18" i="314"/>
  <c r="Q116" i="351" a="1"/>
  <c r="AE27" i="353" a="1"/>
  <c r="S92" i="351" a="1"/>
  <c r="M72" i="351" a="1"/>
  <c r="C22" i="365"/>
  <c r="L167" i="351" a="1"/>
  <c r="AD33" i="353" a="1"/>
  <c r="C15" i="301"/>
  <c r="AT17" i="353" a="1"/>
  <c r="Y40" i="353" a="1"/>
  <c r="AQ55" i="353" a="1"/>
  <c r="W38" i="353" a="1"/>
  <c r="Q104" i="351" a="1"/>
  <c r="C15" i="249"/>
  <c r="J74" i="353" a="1"/>
  <c r="L99" i="351" a="1"/>
  <c r="C13" i="298"/>
  <c r="AP13" i="353" a="1"/>
  <c r="O27" i="351" a="1"/>
  <c r="R26" i="351" a="1"/>
  <c r="K59" i="353" a="1"/>
  <c r="H66" i="351" a="1"/>
  <c r="C18" i="329"/>
  <c r="C13" i="304"/>
  <c r="C14" i="479"/>
  <c r="C15" i="475"/>
  <c r="O62" i="353" a="1"/>
  <c r="AD58" i="353" a="1"/>
  <c r="AO52" i="353" a="1"/>
  <c r="AD12" i="353" a="1"/>
  <c r="AE104" i="353" a="1"/>
  <c r="T13" i="351" a="1"/>
  <c r="B38" i="144" a="1"/>
  <c r="C19" i="463"/>
  <c r="AD76" i="353" a="1"/>
  <c r="C12" i="272"/>
  <c r="AA88" i="353" a="1"/>
  <c r="AL14" i="353" a="1"/>
  <c r="J89" i="351" a="1"/>
  <c r="C12" i="473"/>
  <c r="B34" i="144" a="1"/>
  <c r="C13" i="122"/>
  <c r="C20" i="248"/>
  <c r="V49" i="353" a="1"/>
  <c r="AR57" i="353" a="1"/>
  <c r="AT54" i="353" a="1"/>
  <c r="Q70" i="353" a="1"/>
  <c r="C22" i="456"/>
  <c r="C17" i="342"/>
  <c r="S71" i="351" a="1"/>
  <c r="C16" i="100"/>
  <c r="W78" i="353" a="1"/>
  <c r="C13" i="103"/>
  <c r="S140" i="351" a="1"/>
  <c r="AT26" i="353" a="1"/>
  <c r="J178" i="351" a="1"/>
  <c r="C13" i="488"/>
  <c r="I58" i="353" a="1"/>
  <c r="S159" i="351" a="1"/>
  <c r="G82" i="351" a="1"/>
  <c r="AP88" i="353" a="1"/>
  <c r="P45" i="353" a="1"/>
  <c r="C15" i="318"/>
  <c r="V40" i="353" a="1"/>
  <c r="B7" i="318"/>
  <c r="T196" i="351" a="1"/>
  <c r="AT36" i="353" a="1"/>
  <c r="C14" i="127"/>
  <c r="G146" i="351" a="1"/>
  <c r="P10" i="353" a="1"/>
  <c r="T84" i="353" a="1"/>
  <c r="C18" i="263"/>
  <c r="K113" i="351" a="1"/>
  <c r="Q44" i="353" a="1"/>
  <c r="C22" i="89"/>
  <c r="K151" i="351" a="1"/>
  <c r="AV43" i="353" a="1"/>
  <c r="AP68" i="353" a="1"/>
  <c r="I180" i="351" a="1"/>
  <c r="B7" i="481"/>
  <c r="M121" i="351" a="1"/>
  <c r="G73" i="351" a="1"/>
  <c r="AQ73" i="353" a="1"/>
  <c r="AI67" i="353" a="1"/>
  <c r="C18" i="325"/>
  <c r="G16" i="353" a="1"/>
  <c r="C20" i="287"/>
  <c r="C12" i="393"/>
  <c r="L52" i="351" a="1"/>
  <c r="I129" i="351" a="1"/>
  <c r="C12" i="359"/>
  <c r="AO72" i="353" a="1"/>
  <c r="I12" i="351" a="1"/>
  <c r="K119" i="351" a="1"/>
  <c r="Q101" i="353" a="1"/>
  <c r="T145" i="351" a="1"/>
  <c r="I23" i="353" a="1"/>
  <c r="AH83" i="353" a="1"/>
  <c r="X89" i="353" a="1"/>
  <c r="C22" i="299"/>
  <c r="E86" i="353" a="1"/>
  <c r="AS62" i="353" a="1"/>
  <c r="C21" i="127"/>
  <c r="C22" i="14"/>
  <c r="AE61" i="353" a="1"/>
  <c r="O53" i="353" a="1"/>
  <c r="C16" i="396"/>
  <c r="P130" i="351" a="1"/>
  <c r="H122" i="351" a="1"/>
  <c r="V41" i="353" a="1"/>
  <c r="V36" i="353" a="1"/>
  <c r="L90" i="351" a="1"/>
  <c r="AL3" i="353" a="1"/>
  <c r="T185" i="351" a="1"/>
  <c r="AK20" i="353" a="1"/>
  <c r="AI84" i="353" a="1"/>
  <c r="C19" i="247"/>
  <c r="P95" i="353" a="1"/>
  <c r="P16" i="351" a="1"/>
  <c r="C13" i="455"/>
  <c r="B7" i="410"/>
  <c r="AP73" i="353" a="1"/>
  <c r="AA21" i="353" a="1"/>
  <c r="Q61" i="351" a="1"/>
  <c r="Q36" i="353" a="1"/>
  <c r="AR92" i="353" a="1"/>
  <c r="C18" i="428"/>
  <c r="AS60" i="353" a="1"/>
  <c r="F67" i="353" a="1"/>
  <c r="C18" i="466"/>
  <c r="K57" i="351" a="1"/>
  <c r="L175" i="351" a="1"/>
  <c r="H101" i="353" a="1"/>
  <c r="H117" i="351" a="1"/>
  <c r="C17" i="420"/>
  <c r="AL81" i="353" a="1"/>
  <c r="F26" i="353" a="1"/>
  <c r="C13" i="416"/>
  <c r="C9" i="145" a="1"/>
  <c r="H134" i="351" a="1"/>
  <c r="C20" i="104"/>
  <c r="P30" i="353" a="1"/>
  <c r="Z77" i="353" a="1"/>
  <c r="Z70" i="353" a="1"/>
  <c r="K110" i="351" a="1"/>
  <c r="S173" i="351" a="1"/>
  <c r="C20" i="320"/>
  <c r="W114" i="353" a="1"/>
  <c r="AF98" i="353" a="1"/>
  <c r="U105" i="353" a="1"/>
  <c r="AG13" i="353" a="1"/>
  <c r="B7" i="319"/>
  <c r="C21" i="278"/>
  <c r="K3" i="351" a="1"/>
  <c r="B7" i="323"/>
  <c r="Q66" i="353" a="1"/>
  <c r="AI63" i="353" a="1"/>
  <c r="I52" i="353" a="1"/>
  <c r="R43" i="351" a="1"/>
  <c r="P102" i="353" a="1"/>
  <c r="M104" i="351" a="1"/>
  <c r="Z99" i="353" a="1"/>
  <c r="M63" i="353" a="1"/>
  <c r="Z42" i="353" a="1"/>
  <c r="C22" i="269"/>
  <c r="P194" i="351" a="1"/>
  <c r="C19" i="345"/>
  <c r="C22" i="316"/>
  <c r="AN56" i="353" a="1"/>
  <c r="AS31" i="353" a="1"/>
  <c r="C21" i="274"/>
  <c r="B6" i="347"/>
  <c r="C15" i="294"/>
  <c r="C12" i="426"/>
  <c r="G91" i="351" a="1"/>
  <c r="P32" i="351" a="1"/>
  <c r="C18" i="108"/>
  <c r="J31" i="351" a="1"/>
  <c r="T101" i="351" a="1"/>
  <c r="H81" i="351" a="1"/>
  <c r="Q92" i="351" a="1"/>
  <c r="P171" i="351" a="1"/>
  <c r="P23" i="351" a="1"/>
  <c r="AP36" i="353" a="1"/>
  <c r="C15" i="245"/>
  <c r="M30" i="351" a="1"/>
  <c r="R15" i="353" a="1"/>
  <c r="S198" i="351" a="1"/>
  <c r="J112" i="351" a="1"/>
  <c r="AR87" i="353" a="1"/>
  <c r="C16" i="325"/>
  <c r="G107" i="351" a="1"/>
  <c r="C13" i="425"/>
  <c r="Z38" i="353" a="1"/>
  <c r="J179" i="351" a="1"/>
  <c r="C19" i="101"/>
  <c r="AH25" i="353" a="1"/>
  <c r="P84" i="353" a="1"/>
  <c r="P62" i="351" a="1"/>
  <c r="AS12" i="353" a="1"/>
  <c r="AH30" i="353" a="1"/>
  <c r="P91" i="353" a="1"/>
  <c r="AQ78" i="353" a="1"/>
  <c r="C14" i="278"/>
  <c r="J6" i="351" a="1"/>
  <c r="E83" i="353" a="1"/>
  <c r="C22" i="297"/>
  <c r="F18" i="353" a="1"/>
  <c r="C20" i="445"/>
  <c r="E30" i="353" a="1"/>
  <c r="C14" i="475"/>
  <c r="AF14" i="353" a="1"/>
  <c r="C15" i="376"/>
  <c r="N82" i="353" a="1"/>
  <c r="J20" i="353" a="1"/>
  <c r="C15" i="411"/>
  <c r="C16" i="466"/>
  <c r="H84" i="351" a="1"/>
  <c r="AB114" i="353" a="1"/>
  <c r="AB100" i="353" a="1"/>
  <c r="AH17" i="353" a="1"/>
  <c r="C5" i="355" a="1"/>
  <c r="AT92" i="353" a="1"/>
  <c r="J172" i="351" a="1"/>
  <c r="T13" i="353" a="1"/>
  <c r="M47" i="351" a="1"/>
  <c r="AP51" i="353" a="1"/>
  <c r="L76" i="351" a="1"/>
  <c r="AB102" i="353" a="1"/>
  <c r="C15" i="263"/>
  <c r="O186" i="351" a="1"/>
  <c r="C13" i="474"/>
  <c r="O45" i="351" a="1"/>
  <c r="C20" i="284"/>
  <c r="AR29" i="353" a="1"/>
  <c r="H194" i="351" a="1"/>
  <c r="C16" i="418"/>
  <c r="L196" i="351" a="1"/>
  <c r="M179" i="351" a="1"/>
  <c r="I11" i="351" a="1"/>
  <c r="C14" i="249"/>
  <c r="I47" i="353" a="1"/>
  <c r="C16" i="365"/>
  <c r="C14" i="145" a="1"/>
  <c r="J108" i="351" a="1"/>
  <c r="AA18" i="353" a="1"/>
  <c r="Q80" i="351" a="1"/>
  <c r="C22" i="483"/>
  <c r="B6" i="345"/>
  <c r="AS5" i="353" a="1"/>
  <c r="K47" i="353" a="1"/>
  <c r="R109" i="351" a="1"/>
  <c r="L142" i="351" a="1"/>
  <c r="P15" i="351" a="1"/>
  <c r="L87" i="351" a="1"/>
  <c r="AT30" i="353" a="1"/>
  <c r="O24" i="353" a="1"/>
  <c r="C10" i="145" a="1"/>
  <c r="B7" i="100"/>
  <c r="C12" i="285"/>
  <c r="O122" i="351" a="1"/>
  <c r="AJ43" i="353" a="1"/>
  <c r="Q56" i="353" a="1"/>
  <c r="C15" i="400"/>
  <c r="P99" i="353" a="1"/>
  <c r="AA40" i="353" a="1"/>
  <c r="K31" i="351" a="1"/>
  <c r="G40" i="351" a="1"/>
  <c r="E93" i="353" a="1"/>
  <c r="T130" i="351" a="1"/>
  <c r="C22" i="108"/>
  <c r="AI51" i="353" a="1"/>
  <c r="J71" i="353" a="1"/>
  <c r="F46" i="353" a="1"/>
  <c r="N85" i="353" a="1"/>
  <c r="C16" i="440"/>
  <c r="C16" i="367"/>
  <c r="C19" i="328"/>
  <c r="G33" i="351" a="1"/>
  <c r="C19" i="464"/>
  <c r="E87" i="353" a="1"/>
  <c r="M123" i="351" a="1"/>
  <c r="J150" i="351" a="1"/>
  <c r="R138" i="351" a="1"/>
  <c r="AF3" i="353" a="1"/>
  <c r="M7" i="351" a="1"/>
  <c r="O113" i="351" a="1"/>
  <c r="AB23" i="353" a="1"/>
  <c r="U90" i="353" a="1"/>
  <c r="AN80" i="353" a="1"/>
  <c r="B7" i="270"/>
  <c r="C22" i="482"/>
  <c r="J202" i="351" a="1"/>
  <c r="AU85" i="353" a="1"/>
  <c r="AV14" i="353" a="1"/>
  <c r="C13" i="128"/>
  <c r="C22" i="427"/>
  <c r="P176" i="351" a="1"/>
  <c r="S16" i="351" a="1"/>
  <c r="C19" i="348"/>
  <c r="Q205" i="351" a="1"/>
  <c r="I144" i="351" a="1"/>
  <c r="K11" i="351" a="1"/>
  <c r="AA81" i="353" a="1"/>
  <c r="AA102" i="353" a="1"/>
  <c r="H166" i="351" a="1"/>
  <c r="AU87" i="353" a="1"/>
  <c r="S149" i="351" a="1"/>
  <c r="Q33" i="353" a="1"/>
  <c r="M96" i="353" a="1"/>
  <c r="B33" i="144" a="1"/>
  <c r="O55" i="353" a="1"/>
  <c r="C20" i="313"/>
  <c r="W76" i="353" a="1"/>
  <c r="G109" i="351" a="1"/>
  <c r="G11" i="353" a="1"/>
  <c r="X8" i="353" a="1"/>
  <c r="G55" i="351" a="1"/>
  <c r="AL21" i="353" a="1"/>
  <c r="J52" i="351" a="1"/>
  <c r="AR55" i="353" a="1"/>
  <c r="W101" i="353" a="1"/>
  <c r="AD30" i="353" a="1"/>
  <c r="C17" i="318"/>
  <c r="C21" i="458"/>
  <c r="M11" i="351" a="1"/>
  <c r="M76" i="353" a="1"/>
  <c r="C20" i="392"/>
  <c r="F16" i="353" a="1"/>
  <c r="G161" i="351" a="1"/>
  <c r="C19" i="270"/>
  <c r="N78" i="353" a="1"/>
  <c r="C18" i="288"/>
  <c r="C18" i="490"/>
  <c r="T150" i="351" a="1"/>
  <c r="C18" i="281"/>
  <c r="AT82" i="353" a="1"/>
  <c r="AG6" i="353" a="1"/>
  <c r="B7" i="264"/>
  <c r="P84" i="351" a="1"/>
  <c r="AU92" i="353" a="1"/>
  <c r="AL29" i="353" a="1"/>
  <c r="S108" i="351" a="1"/>
  <c r="C18" i="277"/>
  <c r="J76" i="353" a="1"/>
  <c r="AB65" i="353" a="1"/>
  <c r="C19" i="107"/>
  <c r="AL15" i="353" a="1"/>
  <c r="K29" i="353" a="1"/>
  <c r="C14" i="302"/>
  <c r="R51" i="353" a="1"/>
  <c r="C14" i="320"/>
  <c r="K18" i="353" a="1"/>
  <c r="C14" i="339"/>
  <c r="C16" i="465"/>
  <c r="C12" i="325"/>
  <c r="AT56" i="353" a="1"/>
  <c r="C16" i="303"/>
  <c r="F62" i="353" a="1"/>
  <c r="M4" i="351" a="1"/>
  <c r="AU94" i="353" a="1"/>
  <c r="C12" i="483"/>
  <c r="AS87" i="353" a="1"/>
  <c r="E70" i="353" a="1"/>
  <c r="AR90" i="353" a="1"/>
  <c r="C15" i="388"/>
  <c r="R27" i="353" a="1"/>
  <c r="AE38" i="353" a="1"/>
  <c r="I61" i="353" a="1"/>
  <c r="Q79" i="353" a="1"/>
  <c r="G177" i="351" a="1"/>
  <c r="C13" i="442"/>
  <c r="R35" i="353" a="1"/>
  <c r="R135" i="351" a="1"/>
  <c r="C22" i="265"/>
  <c r="O146" i="351" a="1"/>
  <c r="C20" i="326"/>
  <c r="Z103" i="353" a="1"/>
  <c r="AP63" i="353" a="1"/>
  <c r="O51" i="351" a="1"/>
  <c r="Y26" i="353" a="1"/>
  <c r="X41" i="353" a="1"/>
  <c r="R31" i="353" a="1"/>
  <c r="C13" i="363"/>
  <c r="I155" i="351" a="1"/>
  <c r="B6" i="462"/>
  <c r="AR12" i="353" a="1"/>
  <c r="G20" i="353" a="1"/>
  <c r="C21" i="347"/>
  <c r="C22" i="263"/>
  <c r="G28" i="351" a="1"/>
  <c r="C18" i="271"/>
  <c r="AE63" i="353" a="1"/>
  <c r="AO17" i="353" a="1"/>
  <c r="C22" i="120"/>
  <c r="AP69" i="353" a="1"/>
  <c r="C12" i="260"/>
  <c r="Z71" i="353" a="1"/>
  <c r="AI85" i="353" a="1"/>
  <c r="M12" i="351" a="1"/>
  <c r="C22" i="315"/>
  <c r="K120" i="351" a="1"/>
  <c r="AR105" i="353" a="1"/>
  <c r="P178" i="351" a="1"/>
  <c r="M124" i="351" a="1"/>
  <c r="J103" i="351" a="1"/>
  <c r="K56" i="351" a="1"/>
  <c r="AS64" i="353" a="1"/>
  <c r="C14" i="482"/>
  <c r="P180" i="351" a="1"/>
  <c r="C19" i="336"/>
  <c r="R44" i="353" a="1"/>
  <c r="AQ91" i="353" a="1"/>
  <c r="AO27" i="353" a="1"/>
  <c r="C17" i="312"/>
  <c r="AL39" i="353" a="1"/>
  <c r="C22" i="100"/>
  <c r="C12" i="336"/>
  <c r="R145" i="351" a="1"/>
  <c r="R67" i="351" a="1"/>
  <c r="AV35" i="353" a="1"/>
  <c r="C22" i="273"/>
  <c r="C19" i="405"/>
  <c r="L147" i="351" a="1"/>
  <c r="AT68" i="353" a="1"/>
  <c r="C12" i="289"/>
  <c r="W41" i="353" a="1"/>
  <c r="H85" i="353" a="1"/>
  <c r="M69" i="351" a="1"/>
  <c r="I121" i="351" a="1"/>
  <c r="K18" i="351" a="1"/>
  <c r="X37" i="353" a="1"/>
  <c r="T166" i="351" a="1"/>
  <c r="J83" i="351" a="1"/>
  <c r="M47" i="353" a="1"/>
  <c r="G84" i="351" a="1"/>
  <c r="G113" i="351" a="1"/>
  <c r="C17" i="311"/>
  <c r="AV73" i="353" a="1"/>
  <c r="AO17" i="6" a="1"/>
  <c r="B7" i="303"/>
  <c r="AP3" i="353" a="1"/>
  <c r="AI14" i="6" a="1"/>
  <c r="AD62" i="353" a="1"/>
  <c r="I150" i="351" a="1"/>
  <c r="C16" i="120"/>
  <c r="E81" i="353" a="1"/>
  <c r="M160" i="351" a="1"/>
  <c r="C21" i="300"/>
  <c r="C21" i="430"/>
  <c r="M37" i="353" a="1"/>
  <c r="C42" i="145" a="1"/>
  <c r="B6" i="109"/>
  <c r="S102" i="351" a="1"/>
  <c r="R57" i="351" a="1"/>
  <c r="AU54" i="353" a="1"/>
  <c r="W3" i="353" a="1"/>
  <c r="I133" i="351" a="1"/>
  <c r="G202" i="351" a="1"/>
  <c r="S195" i="351" a="1"/>
  <c r="S122" i="351" a="1"/>
  <c r="C15" i="442"/>
  <c r="H22" i="351" a="1"/>
  <c r="P15" i="353" a="1"/>
  <c r="Y82" i="353" a="1"/>
  <c r="T65" i="351" a="1"/>
  <c r="V73" i="353" a="1"/>
  <c r="W75" i="353" a="1"/>
  <c r="H168" i="351" a="1"/>
  <c r="C12" i="309"/>
  <c r="C14" i="130"/>
  <c r="C17" i="285"/>
  <c r="Z81" i="353" a="1"/>
  <c r="P72" i="351" a="1"/>
  <c r="K159" i="351" a="1"/>
  <c r="AG21" i="353" a="1"/>
  <c r="AF36" i="353" a="1"/>
  <c r="N94" i="353" a="1"/>
  <c r="B7" i="288"/>
  <c r="C14" i="104"/>
  <c r="K64" i="353" a="1"/>
  <c r="G136" i="351" a="1"/>
  <c r="M134" i="351" a="1"/>
  <c r="AT35" i="353" a="1"/>
  <c r="B7" i="392"/>
  <c r="Z93" i="353" a="1"/>
  <c r="C22" i="349"/>
  <c r="C22" i="331"/>
  <c r="C19" i="321"/>
  <c r="M65" i="351" a="1"/>
  <c r="AB97" i="353" a="1"/>
  <c r="J114" i="351" a="1"/>
  <c r="U73" i="353" a="1"/>
  <c r="AL69" i="353" a="1"/>
  <c r="AT74" i="353" a="1"/>
  <c r="V7" i="353" a="1"/>
  <c r="Y19" i="353" a="1"/>
  <c r="C22" i="335"/>
  <c r="C12" i="430"/>
  <c r="AN57" i="353" a="1"/>
  <c r="T69" i="351" a="1"/>
  <c r="H46" i="353" a="1"/>
  <c r="S50" i="351" a="1"/>
  <c r="AO3" i="353" a="1"/>
  <c r="AL75" i="353" a="1"/>
  <c r="H56" i="351" a="1"/>
  <c r="AS85" i="353" a="1"/>
  <c r="P147" i="351" a="1"/>
  <c r="AB98" i="353" a="1"/>
  <c r="C21" i="479"/>
  <c r="S84" i="351" a="1"/>
  <c r="AD4" i="353" a="1"/>
  <c r="C22" i="472"/>
  <c r="O47" i="351" a="1"/>
  <c r="P166" i="351" a="1"/>
  <c r="Q182" i="351" a="1"/>
  <c r="C18" i="475"/>
  <c r="B7" i="424"/>
  <c r="C21" i="128"/>
  <c r="K31" i="353" a="1"/>
  <c r="AQ105" i="353" a="1"/>
  <c r="C18" i="246"/>
  <c r="C49" i="145" a="1"/>
  <c r="AL64" i="353" a="1"/>
  <c r="C14" i="458"/>
  <c r="AS53" i="353" a="1"/>
  <c r="S65" i="351" a="1"/>
  <c r="C18" i="292"/>
  <c r="AA43" i="353" a="1"/>
  <c r="B6" i="464"/>
  <c r="AG88" i="353" a="1"/>
  <c r="O50" i="353" a="1"/>
  <c r="J69" i="351" a="1"/>
  <c r="Q156" i="351" a="1"/>
  <c r="G194" i="351" a="1"/>
  <c r="AE77" i="353" a="1"/>
  <c r="AJ15" i="353" a="1"/>
  <c r="G103" i="351" a="1"/>
  <c r="C18" i="127"/>
  <c r="Q63" i="351" a="1"/>
  <c r="R42" i="351" a="1"/>
  <c r="C22" i="145" a="1"/>
  <c r="AH59" i="353" a="1"/>
  <c r="H16" i="351" a="1"/>
  <c r="C13" i="272"/>
  <c r="AV17" i="353" a="1"/>
  <c r="U8" i="353" a="1"/>
  <c r="X15" i="353" a="1"/>
  <c r="C21" i="94"/>
  <c r="AH21" i="353" a="1"/>
  <c r="C28" i="145" a="1"/>
  <c r="C16" i="316"/>
  <c r="I111" i="351" a="1"/>
  <c r="C12" i="130"/>
  <c r="AV52" i="353" a="1"/>
  <c r="T93" i="351" a="1"/>
  <c r="C16" i="127"/>
  <c r="U14" i="353" a="1"/>
  <c r="F73" i="353" a="1"/>
  <c r="Q50" i="351" a="1"/>
  <c r="K87" i="353" a="1"/>
  <c r="C19" i="100"/>
  <c r="H12" i="353" a="1"/>
  <c r="C21" i="393"/>
  <c r="E42" i="353" a="1"/>
  <c r="T38" i="353" a="1"/>
  <c r="C22" i="307"/>
  <c r="AU44" i="353" a="1"/>
  <c r="M34" i="351" a="1"/>
  <c r="N15" i="353" a="1"/>
  <c r="L207" i="351" a="1"/>
  <c r="C16" i="277"/>
  <c r="C19" i="329"/>
  <c r="B6" i="311"/>
  <c r="J73" i="351" a="1"/>
  <c r="C22" i="117"/>
  <c r="AQ89" i="353" a="1"/>
  <c r="Q155" i="351" a="1"/>
  <c r="AD60" i="353" a="1"/>
  <c r="R67" i="353" a="1"/>
  <c r="AR53" i="353" a="1"/>
  <c r="C22" i="434"/>
  <c r="AQ58" i="353" a="1"/>
  <c r="L190" i="351" a="1"/>
  <c r="AI21" i="353" a="1"/>
  <c r="R181" i="351" a="1"/>
  <c r="AD95" i="353" a="1"/>
  <c r="C18" i="366"/>
  <c r="C19" i="271"/>
  <c r="H127" i="351" a="1"/>
  <c r="Q85" i="351" a="1"/>
  <c r="B6" i="248"/>
  <c r="AH95" i="353" a="1"/>
  <c r="B27" i="144" a="1"/>
  <c r="C19" i="481"/>
  <c r="K92" i="351" a="1"/>
  <c r="N89" i="353" a="1"/>
  <c r="V6" i="353" a="1"/>
  <c r="Z8" i="353" a="1"/>
  <c r="G24" i="351" a="1"/>
  <c r="C19" i="316"/>
  <c r="I102" i="351" a="1"/>
  <c r="C20" i="336"/>
  <c r="M48" i="351" a="1"/>
  <c r="I43" i="351" a="1"/>
  <c r="O157" i="351" a="1"/>
  <c r="C22" i="417"/>
  <c r="C16" i="388"/>
  <c r="E31" i="353" a="1"/>
  <c r="C16" i="450"/>
  <c r="C12" i="288"/>
  <c r="AJ97" i="353" a="1"/>
  <c r="AD41" i="353" a="1"/>
  <c r="C17" i="286"/>
  <c r="T195" i="351" a="1"/>
  <c r="C19" i="254"/>
  <c r="C21" i="345"/>
  <c r="C19" i="425"/>
  <c r="C13" i="274"/>
  <c r="AA79" i="353" a="1"/>
  <c r="AU31" i="353" a="1"/>
  <c r="AQ22" i="353" a="1"/>
  <c r="I87" i="351" a="1"/>
  <c r="M44" i="351" a="1"/>
  <c r="AS84" i="353" a="1"/>
  <c r="AR19" i="353" a="1"/>
  <c r="Q57" i="351" a="1"/>
  <c r="Q78" i="351" a="1"/>
  <c r="N98" i="353" a="1"/>
  <c r="C17" i="89"/>
  <c r="Z28" i="353" a="1"/>
  <c r="U60" i="353" a="1"/>
  <c r="AH104" i="353" a="1"/>
  <c r="P39" i="351" a="1"/>
  <c r="I101" i="353" a="1"/>
  <c r="K78" i="351" a="1"/>
  <c r="G7" i="351" a="1"/>
  <c r="C12" i="278"/>
  <c r="C22" i="322"/>
  <c r="AD23" i="353" a="1"/>
  <c r="O64" i="351" a="1"/>
  <c r="B6" i="359"/>
  <c r="R20" i="351" a="1"/>
  <c r="L153" i="351" a="1"/>
  <c r="B7" i="283"/>
  <c r="C15" i="130"/>
  <c r="AD29" i="353" a="1"/>
  <c r="H23" i="351" a="1"/>
  <c r="B7" i="339"/>
  <c r="AF41" i="353" a="1"/>
  <c r="X57" i="353" a="1"/>
  <c r="S193" i="351" a="1"/>
  <c r="R160" i="351" a="1"/>
  <c r="J71" i="351" a="1"/>
  <c r="AA74" i="353" a="1"/>
  <c r="V13" i="353" a="1"/>
  <c r="L42" i="351" a="1"/>
  <c r="O79" i="351" a="1"/>
  <c r="Q47" i="351" a="1"/>
  <c r="J106" i="351" a="1"/>
  <c r="G105" i="351" a="1"/>
  <c r="AG39" i="353" a="1"/>
  <c r="AK89" i="353" a="1"/>
  <c r="AN114" i="353" a="1"/>
  <c r="C12" i="454"/>
  <c r="B7" i="411"/>
  <c r="X17" i="353" a="1"/>
  <c r="C13" i="385"/>
  <c r="B6" i="267"/>
  <c r="AB38" i="353" a="1"/>
  <c r="C18" i="249"/>
  <c r="O51" i="353" a="1"/>
  <c r="H91" i="351" a="1"/>
  <c r="K85" i="353" a="1"/>
  <c r="AG36" i="353" a="1"/>
  <c r="H188" i="351" a="1"/>
  <c r="H16" i="353" a="1"/>
  <c r="C22" i="462"/>
  <c r="O94" i="353" a="1"/>
  <c r="C21" i="333"/>
  <c r="T72" i="351" a="1"/>
  <c r="C20" i="324"/>
  <c r="M70" i="353" a="1"/>
  <c r="C12" i="344"/>
  <c r="AI101" i="353" a="1"/>
  <c r="C20" i="364"/>
  <c r="C31" i="145" a="1"/>
  <c r="Q73" i="351" a="1"/>
  <c r="C22" i="262"/>
  <c r="I164" i="351" a="1"/>
  <c r="C20" i="304"/>
  <c r="AQ65" i="353" a="1"/>
  <c r="AI6" i="6" a="1"/>
  <c r="M184" i="351" a="1"/>
  <c r="G137" i="351" a="1"/>
  <c r="L115" i="351" a="1"/>
  <c r="M75" i="351" a="1"/>
  <c r="L48" i="351" a="1"/>
  <c r="R156" i="351" a="1"/>
  <c r="C15" i="458"/>
  <c r="AU68" i="353" a="1"/>
  <c r="B7" i="96"/>
  <c r="P94" i="351" a="1"/>
  <c r="Z23" i="353" a="1"/>
  <c r="V66" i="353" a="1"/>
  <c r="AR97" i="353" a="1"/>
  <c r="G92" i="353" a="1"/>
  <c r="J67" i="353" a="1"/>
  <c r="S184" i="351" a="1"/>
  <c r="C17" i="405"/>
  <c r="H72" i="353" a="1"/>
  <c r="AJ67" i="353" a="1"/>
  <c r="C15" i="322"/>
  <c r="AI11" i="6" a="1"/>
  <c r="C22" i="94"/>
  <c r="AK88" i="353" a="1"/>
  <c r="AB43" i="353" a="1"/>
  <c r="M66" i="353" a="1"/>
  <c r="G34" i="351" a="1"/>
  <c r="C17" i="320"/>
  <c r="B15" i="144" a="1"/>
  <c r="L94" i="351" a="1"/>
  <c r="N28" i="353" a="1"/>
  <c r="G78" i="353" a="1"/>
  <c r="AF11" i="353" a="1"/>
  <c r="C20" i="340"/>
  <c r="AJ75" i="353" a="1"/>
  <c r="Q16" i="351" a="1"/>
  <c r="AL85" i="353" a="1"/>
  <c r="I107" i="351" a="1"/>
  <c r="L58" i="351" a="1"/>
  <c r="G187" i="351" a="1"/>
  <c r="Q88" i="351" a="1"/>
  <c r="B7" i="428"/>
  <c r="T202" i="351" a="1"/>
  <c r="C16" i="261"/>
  <c r="O71" i="353" a="1"/>
  <c r="I91" i="353" a="1"/>
  <c r="J46" i="351" a="1"/>
  <c r="T155" i="351" a="1"/>
  <c r="J27" i="353" a="1"/>
  <c r="C14" i="128"/>
  <c r="AQ100" i="353" a="1"/>
  <c r="O31" i="351" a="1"/>
  <c r="Z75" i="353" a="1"/>
  <c r="AI83" i="353" a="1"/>
  <c r="T87" i="353" a="1"/>
  <c r="AE86" i="353" a="1"/>
  <c r="C18" i="393"/>
  <c r="K85" i="351" a="1"/>
  <c r="R84" i="353" a="1"/>
  <c r="AR36" i="353" a="1"/>
  <c r="AL40" i="353" a="1"/>
  <c r="M194" i="351" a="1"/>
  <c r="C19" i="291"/>
  <c r="L159" i="351" a="1"/>
  <c r="AP114" i="353" a="1"/>
  <c r="V68" i="353" a="1"/>
  <c r="C18" i="421"/>
  <c r="AK114" i="353" a="1"/>
  <c r="R3" i="351" a="1"/>
  <c r="C38" i="145" a="1"/>
  <c r="AG31" i="353" a="1"/>
  <c r="C22" i="285"/>
  <c r="R194" i="351" a="1"/>
  <c r="C18" i="419"/>
  <c r="AS14" i="353" a="1"/>
  <c r="Y84" i="353" a="1"/>
  <c r="M48" i="353" a="1"/>
  <c r="AK41" i="353" a="1"/>
  <c r="Q27" i="353" a="1"/>
  <c r="AS99" i="353" a="1"/>
  <c r="O117" i="351" a="1"/>
  <c r="M163" i="351" a="1"/>
  <c r="G65" i="353" a="1"/>
  <c r="J114" i="353" a="1"/>
  <c r="AO97" i="353" a="1"/>
  <c r="O129" i="351" a="1"/>
  <c r="L134" i="351" a="1"/>
  <c r="C13" i="256"/>
  <c r="K136" i="351" a="1"/>
  <c r="C19" i="302"/>
  <c r="C17" i="382"/>
  <c r="J37" i="353" a="1"/>
  <c r="H4" i="351" a="1"/>
  <c r="R47" i="353" a="1"/>
  <c r="V52" i="353" a="1"/>
  <c r="AA70" i="353" a="1"/>
  <c r="AB35" i="353" a="1"/>
  <c r="O115" i="351" a="1"/>
  <c r="AD36" i="353" a="1"/>
  <c r="B6" i="445"/>
  <c r="C15" i="349"/>
  <c r="T146" i="351" a="1"/>
  <c r="T73" i="351" a="1"/>
  <c r="T87" i="351" a="1"/>
  <c r="C14" i="469"/>
  <c r="M116" i="351" a="1"/>
  <c r="O6" i="351" a="1"/>
  <c r="C13" i="109"/>
  <c r="L100" i="351" a="1"/>
  <c r="Q43" i="351" a="1"/>
  <c r="AO35" i="353" a="1"/>
  <c r="H63" i="351" a="1"/>
  <c r="B21" i="144" a="1"/>
  <c r="C19" i="313"/>
  <c r="X39" i="353" a="1"/>
  <c r="C16" i="463"/>
  <c r="C15" i="281"/>
  <c r="C20" i="410"/>
  <c r="AD24" i="353" a="1"/>
  <c r="AK58" i="353" a="1"/>
  <c r="AK10" i="353" a="1"/>
  <c r="O133" i="351" a="1"/>
  <c r="AB62" i="353" a="1"/>
  <c r="H174" i="351" a="1"/>
  <c r="G76" i="353" a="1"/>
  <c r="AD102" i="353" a="1"/>
  <c r="C13" i="127"/>
  <c r="E50" i="353" a="1"/>
  <c r="C19" i="104"/>
  <c r="AH67" i="353" a="1"/>
  <c r="AI100" i="353" a="1"/>
  <c r="Q193" i="351" a="1"/>
  <c r="AO68" i="353" a="1"/>
  <c r="C22" i="393"/>
  <c r="M113" i="351" a="1"/>
  <c r="C16" i="298"/>
  <c r="C18" i="310"/>
  <c r="AK51" i="353" a="1"/>
  <c r="S30" i="351" a="1"/>
  <c r="O112" i="351" a="1"/>
  <c r="AV21" i="353" a="1"/>
  <c r="AQ54" i="353" a="1"/>
  <c r="O57" i="351" a="1"/>
  <c r="Y69" i="353" a="1"/>
  <c r="L44" i="351" a="1"/>
  <c r="AS38" i="353" a="1"/>
  <c r="C12" i="376"/>
  <c r="AP40" i="353" a="1"/>
  <c r="AF12" i="353" a="1"/>
  <c r="B7" i="89"/>
  <c r="V16" i="353" a="1"/>
  <c r="K124" i="351" a="1"/>
  <c r="AI53" i="353" a="1"/>
  <c r="H54" i="353" a="1"/>
  <c r="U36" i="353" a="1"/>
  <c r="AB39" i="353" a="1"/>
  <c r="B7" i="248"/>
  <c r="AF51" i="353" a="1"/>
  <c r="C12" i="465"/>
  <c r="H26" i="351" a="1"/>
  <c r="Q69" i="351" a="1"/>
  <c r="C20" i="297"/>
  <c r="AO61" i="353" a="1"/>
  <c r="AF6" i="353" a="1"/>
  <c r="C18" i="463"/>
  <c r="L137" i="351" a="1"/>
  <c r="AG52" i="353" a="1"/>
  <c r="H56" i="353" a="1"/>
  <c r="C21" i="113"/>
  <c r="B6" i="424"/>
  <c r="I9" i="351" a="1"/>
  <c r="T124" i="351" a="1"/>
  <c r="M114" i="353" a="1"/>
  <c r="Q65" i="351" a="1"/>
  <c r="C17" i="475"/>
  <c r="B6" i="330"/>
  <c r="AO42" i="353" a="1"/>
  <c r="C13" i="310"/>
  <c r="C13" i="337"/>
  <c r="AA71" i="353" a="1"/>
  <c r="X13" i="353" a="1"/>
  <c r="AQ85" i="353" a="1"/>
  <c r="V74" i="353" a="1"/>
  <c r="W35" i="353" a="1"/>
  <c r="AK66" i="353" a="1"/>
  <c r="B7" i="257"/>
  <c r="C16" i="286"/>
  <c r="L60" i="351" a="1"/>
  <c r="C14" i="413"/>
  <c r="AN68" i="353" a="1"/>
  <c r="C20" i="281"/>
  <c r="M93" i="353" a="1"/>
  <c r="AN20" i="353" a="1"/>
  <c r="C17" i="292"/>
  <c r="E12" i="355" a="1"/>
  <c r="AN97" i="353" a="1"/>
  <c r="C16" i="417"/>
  <c r="G68" i="353" a="1"/>
  <c r="B7" i="333"/>
  <c r="P160" i="351" a="1"/>
  <c r="J138" i="351" a="1"/>
  <c r="B6" i="416"/>
  <c r="C14" i="376"/>
  <c r="AE99" i="353" a="1"/>
  <c r="AQ15" i="353" a="1"/>
  <c r="Q11" i="351" a="1"/>
  <c r="AD86" i="353" a="1"/>
  <c r="C22" i="252"/>
  <c r="I179" i="351" a="1"/>
  <c r="AO70" i="353" a="1"/>
  <c r="R71" i="353" a="1"/>
  <c r="Z104" i="353" a="1"/>
  <c r="P117" i="351" a="1"/>
  <c r="T75" i="351" a="1"/>
  <c r="S47" i="351" a="1"/>
  <c r="D36" i="146" a="1"/>
  <c r="J109" i="351" a="1"/>
  <c r="Q16" i="353" a="1"/>
  <c r="S205" i="351" a="1"/>
  <c r="Z34" i="353" a="1"/>
  <c r="AO105" i="353" a="1"/>
  <c r="P150" i="351" a="1"/>
  <c r="C16" i="347"/>
  <c r="C17" i="309"/>
  <c r="G105" i="353" a="1"/>
  <c r="AH41" i="353" a="1"/>
  <c r="S200" i="351" a="1"/>
  <c r="N93" i="353" a="1"/>
  <c r="R182" i="351" a="1"/>
  <c r="J76" i="351" a="1"/>
  <c r="H78" i="353" a="1"/>
  <c r="B6" i="414"/>
  <c r="T182" i="351" a="1"/>
  <c r="C16" i="434"/>
  <c r="C13" i="266"/>
  <c r="C19" i="319"/>
  <c r="H89" i="351" a="1"/>
  <c r="G81" i="351" a="1"/>
  <c r="AD68" i="353" a="1"/>
  <c r="L121" i="351" a="1"/>
  <c r="C15" i="418"/>
  <c r="B36" i="144" a="1"/>
  <c r="C12" i="268"/>
  <c r="AG11" i="353" a="1"/>
  <c r="W52" i="353" a="1"/>
  <c r="AF97" i="353" a="1"/>
  <c r="C15" i="474"/>
  <c r="C13" i="414"/>
  <c r="J144" i="351" a="1"/>
  <c r="C12" i="433"/>
  <c r="P24" i="353" a="1"/>
  <c r="C15" i="428"/>
  <c r="AP45" i="353" a="1"/>
  <c r="J18" i="351" a="1"/>
  <c r="E85" i="353" a="1"/>
  <c r="AT66" i="353" a="1"/>
  <c r="H92" i="351" a="1"/>
  <c r="AE114" i="353" a="1"/>
  <c r="K36" i="351" a="1"/>
  <c r="G102" i="351" a="1"/>
  <c r="R10" i="351" a="1"/>
  <c r="C14" i="99"/>
  <c r="G13" i="353" a="1"/>
  <c r="C21" i="276"/>
  <c r="I10" i="351" a="1"/>
  <c r="AU60" i="353" a="1"/>
  <c r="B7" i="311"/>
  <c r="AI9" i="6" a="1"/>
  <c r="B2" i="144" a="1"/>
  <c r="P154" i="351" a="1"/>
  <c r="L161" i="351" a="1"/>
  <c r="J53" i="351" a="1"/>
  <c r="O22" i="351" a="1"/>
  <c r="C19" i="414"/>
  <c r="X64" i="353" a="1"/>
  <c r="M35" i="351" a="1"/>
  <c r="C20" i="292"/>
  <c r="R39" i="353" a="1"/>
  <c r="R44" i="351" a="1"/>
  <c r="C18" i="468"/>
  <c r="P83" i="351" a="1"/>
  <c r="F36" i="353" a="1"/>
  <c r="P201" i="351" a="1"/>
  <c r="R127" i="351" a="1"/>
  <c r="C12" i="330"/>
  <c r="G49" i="351" a="1"/>
  <c r="O90" i="351" a="1"/>
  <c r="Q64" i="353" a="1"/>
  <c r="C12" i="282"/>
  <c r="Y35" i="353" a="1"/>
  <c r="G133" i="351" a="1"/>
  <c r="AE21" i="353" a="1"/>
  <c r="AB12" i="353" a="1"/>
  <c r="M36" i="353" a="1"/>
  <c r="K27" i="353" a="1"/>
  <c r="L126" i="351" a="1"/>
  <c r="B6" i="246"/>
  <c r="AL98" i="353" a="1"/>
  <c r="M178" i="351" a="1"/>
  <c r="AI102" i="353" a="1"/>
  <c r="G21" i="351" a="1"/>
  <c r="I32" i="351" a="1"/>
  <c r="C13" i="336"/>
  <c r="AK50" i="353" a="1"/>
  <c r="C17" i="425"/>
  <c r="B7" i="324"/>
  <c r="C16" i="384"/>
  <c r="G191" i="351" a="1"/>
  <c r="C22" i="255"/>
  <c r="AU78" i="353" a="1"/>
  <c r="I138" i="351" a="1"/>
  <c r="I24" i="353" a="1"/>
  <c r="AO41" i="353" a="1"/>
  <c r="Q40" i="353" a="1"/>
  <c r="AD75" i="353" a="1"/>
  <c r="Y33" i="353" a="1"/>
  <c r="C18" i="336"/>
  <c r="AT31" i="353" a="1"/>
  <c r="S169" i="351" a="1"/>
  <c r="G47" i="353" a="1"/>
  <c r="C21" i="266"/>
  <c r="B6" i="433"/>
  <c r="O118" i="351" a="1"/>
  <c r="AV63" i="353" a="1"/>
  <c r="L6" i="351" a="1"/>
  <c r="I20" i="353" a="1"/>
  <c r="J60" i="351" a="1"/>
  <c r="X84" i="353" a="1"/>
  <c r="K143" i="351" a="1"/>
  <c r="C20" i="490"/>
  <c r="J25" i="353" a="1"/>
  <c r="M70" i="351" a="1"/>
  <c r="AO11" i="353" a="1"/>
  <c r="C18" i="308"/>
  <c r="C14" i="109"/>
  <c r="T174" i="351" a="1"/>
  <c r="C14" i="280"/>
  <c r="Y74" i="353" a="1"/>
  <c r="C18" i="338"/>
  <c r="S61" i="351" a="1"/>
  <c r="AT102" i="353" a="1"/>
  <c r="B7" i="327"/>
  <c r="R92" i="351" a="1"/>
  <c r="AR28" i="353" a="1"/>
  <c r="P63" i="351" a="1"/>
  <c r="AF105" i="353" a="1"/>
  <c r="C17" i="456"/>
  <c r="F114" i="353" a="1"/>
  <c r="AD92" i="353" a="1"/>
  <c r="B6" i="285"/>
  <c r="AI56" i="353" a="1"/>
  <c r="AP43" i="353" a="1"/>
  <c r="T114" i="351" a="1"/>
  <c r="C17" i="494"/>
  <c r="AF48" i="353" a="1"/>
  <c r="AJ71" i="353" a="1"/>
  <c r="P101" i="351" a="1"/>
  <c r="J5" i="351" a="1"/>
  <c r="H38" i="353" a="1"/>
  <c r="AU25" i="353" a="1"/>
  <c r="AL28" i="353" a="1"/>
  <c r="C13" i="290"/>
  <c r="M39" i="351" a="1"/>
  <c r="Z87" i="353" a="1"/>
  <c r="C17" i="472"/>
  <c r="AG50" i="353" a="1"/>
  <c r="C15" i="89"/>
  <c r="C15" i="289"/>
  <c r="M53" i="353" a="1"/>
  <c r="AV29" i="353" a="1"/>
  <c r="H114" i="351" a="1"/>
  <c r="C14" i="463"/>
  <c r="C21" i="245"/>
  <c r="H62" i="351" a="1"/>
  <c r="Q18" i="353" a="1"/>
  <c r="Q66" i="351" a="1"/>
  <c r="AG24" i="353" a="1"/>
  <c r="H78" i="351" a="1"/>
  <c r="AL89" i="353" a="1"/>
  <c r="T91" i="353" a="1"/>
  <c r="T57" i="351" a="1"/>
  <c r="H14" i="351" a="1"/>
  <c r="C13" i="262"/>
  <c r="AA30" i="353" a="1"/>
  <c r="J91" i="351" a="1"/>
  <c r="C13" i="95"/>
  <c r="T51" i="353" a="1"/>
  <c r="P36" i="351" a="1"/>
  <c r="S192" i="351" a="1"/>
  <c r="C19" i="279"/>
  <c r="X5" i="353" a="1"/>
  <c r="I75" i="353" a="1"/>
  <c r="AF95" i="353" a="1"/>
  <c r="C14" i="263"/>
  <c r="K10" i="353" a="1"/>
  <c r="AT44" i="353" a="1"/>
  <c r="K194" i="351" a="1"/>
  <c r="AB55" i="353" a="1"/>
  <c r="AL44" i="353" a="1"/>
  <c r="B6" i="259"/>
  <c r="C20" i="442"/>
  <c r="T29" i="351" a="1"/>
  <c r="C13" i="97"/>
  <c r="G138" i="351" a="1"/>
  <c r="C17" i="252"/>
  <c r="J204" i="351" a="1"/>
  <c r="I99" i="353" a="1"/>
  <c r="O42" i="353" a="1"/>
  <c r="C13" i="108"/>
  <c r="J190" i="351" a="1"/>
  <c r="O41" i="353" a="1"/>
  <c r="AE68" i="353" a="1"/>
  <c r="C20" i="97"/>
  <c r="J119" i="351" a="1"/>
  <c r="AD46" i="353" a="1"/>
  <c r="AF47" i="353" a="1"/>
  <c r="K41" i="353" a="1"/>
  <c r="I73" i="351" a="1"/>
  <c r="L96" i="351" a="1"/>
  <c r="C19" i="455"/>
  <c r="C20" i="94"/>
  <c r="S103" i="351" a="1"/>
  <c r="AL114" i="353" a="1"/>
  <c r="AT88" i="353" a="1"/>
  <c r="N24" i="353" a="1"/>
  <c r="M105" i="353" a="1"/>
  <c r="S152" i="351" a="1"/>
  <c r="AS19" i="353" a="1"/>
  <c r="C17" i="118"/>
  <c r="R116" i="351" a="1"/>
  <c r="AR8" i="353" a="1"/>
  <c r="C15" i="262"/>
  <c r="H191" i="351" a="1"/>
  <c r="AG66" i="353" a="1"/>
  <c r="AI19" i="6" a="1"/>
  <c r="C13" i="320"/>
  <c r="T82" i="353" a="1"/>
  <c r="C12" i="108"/>
  <c r="AE12" i="353" a="1"/>
  <c r="W55" i="353" a="1"/>
  <c r="C17" i="474"/>
  <c r="P79" i="353" a="1"/>
  <c r="S28" i="351" a="1"/>
  <c r="Q158" i="351" a="1"/>
  <c r="C16" i="275"/>
  <c r="C21" i="258"/>
  <c r="Q171" i="351" a="1"/>
  <c r="Y83" i="353" a="1"/>
  <c r="J199" i="351" a="1"/>
  <c r="O101" i="353" a="1"/>
  <c r="C21" i="418"/>
  <c r="AQ32" i="353" a="1"/>
  <c r="I30" i="351" a="1"/>
  <c r="I77" i="351" a="1"/>
  <c r="H193" i="351" a="1"/>
  <c r="AD14" i="353" a="1"/>
  <c r="T7" i="353" a="1"/>
  <c r="C1" i="145" a="1"/>
  <c r="X19" i="353" a="1"/>
  <c r="I14" i="351" a="1"/>
  <c r="C22" i="253"/>
  <c r="AB67" i="353" a="1"/>
  <c r="AJ105" i="353" a="1"/>
  <c r="H155" i="351" a="1"/>
  <c r="S150" i="351" a="1"/>
  <c r="P112" i="351" a="1"/>
  <c r="C17" i="304"/>
  <c r="O41" i="351" a="1"/>
  <c r="C20" i="425"/>
  <c r="AG67" i="353" a="1"/>
  <c r="M68" i="353" a="1"/>
  <c r="C18" i="417"/>
  <c r="Q95" i="353" a="1"/>
  <c r="AH53" i="353" a="1"/>
  <c r="B6" i="393"/>
  <c r="I204" i="351" a="1"/>
  <c r="R151" i="351" a="1"/>
  <c r="G28" i="353" a="1"/>
  <c r="I70" i="353" a="1"/>
  <c r="C14" i="335"/>
  <c r="Q62" i="351" a="1"/>
  <c r="C15" i="97"/>
  <c r="C16" i="339"/>
  <c r="AE41" i="353" a="1"/>
  <c r="J125" i="351" a="1"/>
  <c r="R34" i="353" a="1"/>
  <c r="AB45" i="353" a="1"/>
  <c r="C19" i="296"/>
  <c r="B7" i="266"/>
  <c r="AE37" i="353" a="1"/>
  <c r="S151" i="351" a="1"/>
  <c r="AU101" i="353" a="1"/>
  <c r="C21" i="481"/>
  <c r="G46" i="353" a="1"/>
  <c r="B7" i="321"/>
  <c r="B6" i="341"/>
  <c r="C22" i="469"/>
  <c r="C21" i="413"/>
  <c r="AT99" i="353" a="1"/>
  <c r="O61" i="351" a="1"/>
  <c r="C14" i="113"/>
  <c r="Q118" i="351" a="1"/>
  <c r="U43" i="353" a="1"/>
  <c r="C15" i="316"/>
  <c r="C16" i="405"/>
  <c r="M23" i="351" a="1"/>
  <c r="C21" i="338"/>
  <c r="O46" i="353" a="1"/>
  <c r="C19" i="265"/>
  <c r="O78" i="353" a="1"/>
  <c r="O18" i="353" a="1"/>
  <c r="I112" i="351" a="1"/>
  <c r="I63" i="353" a="1"/>
  <c r="K148" i="351" a="1"/>
  <c r="AJ34" i="353" a="1"/>
  <c r="T133" i="351" a="1"/>
  <c r="H89" i="353" a="1"/>
  <c r="C16" i="266"/>
  <c r="R204" i="351" a="1"/>
  <c r="E2" i="355" a="1"/>
  <c r="AU18" i="353" a="1"/>
  <c r="G6" i="351" a="1"/>
  <c r="K129" i="351" a="1"/>
  <c r="AU51" i="353" a="1"/>
  <c r="P87" i="351" a="1"/>
  <c r="K92" i="353" a="1"/>
  <c r="G21" i="353" a="1"/>
  <c r="AG20" i="353" a="1"/>
  <c r="Q24" i="351" a="1"/>
  <c r="AN35" i="353" a="1"/>
  <c r="AR88" i="353" a="1"/>
  <c r="O83" i="351" a="1"/>
  <c r="C15" i="421"/>
  <c r="K86" i="351" a="1"/>
  <c r="K10" i="351" a="1"/>
  <c r="AQ70" i="353" a="1"/>
  <c r="J10" i="353" a="1"/>
  <c r="C15" i="109"/>
  <c r="AO39" i="6" a="1"/>
  <c r="AJ39" i="353" a="1"/>
  <c r="AE59" i="353" a="1"/>
  <c r="AO34" i="6" a="1"/>
  <c r="Q114" i="351" a="1"/>
  <c r="M45" i="353" a="1"/>
  <c r="C17" i="258"/>
  <c r="AI10" i="353" a="1"/>
  <c r="H15" i="353" a="1"/>
  <c r="B6" i="94"/>
  <c r="C13" i="287"/>
  <c r="C19" i="315"/>
  <c r="C27" i="145" a="1"/>
  <c r="G33" i="353" a="1"/>
  <c r="C13" i="129"/>
  <c r="B6" i="245"/>
  <c r="AV23" i="353" a="1"/>
  <c r="C18" i="295"/>
  <c r="S201" i="351" a="1"/>
  <c r="C21" i="433"/>
  <c r="C21" i="359"/>
  <c r="AE47" i="353" a="1"/>
  <c r="I183" i="351" a="1"/>
  <c r="C14" i="258"/>
  <c r="B7" i="246"/>
  <c r="P39" i="353" a="1"/>
  <c r="C18" i="473"/>
  <c r="AE49" i="353" a="1"/>
  <c r="AQ68" i="353" a="1"/>
  <c r="I130" i="351" a="1"/>
  <c r="B7" i="307"/>
  <c r="AL65" i="353" a="1"/>
  <c r="X27" i="353" a="1"/>
  <c r="C19" i="248"/>
  <c r="AL30" i="353" a="1"/>
  <c r="H95" i="353" a="1"/>
  <c r="AS63" i="353" a="1"/>
  <c r="C14" i="297"/>
  <c r="C29" i="145" a="1"/>
  <c r="O128" i="351" a="1"/>
  <c r="C19" i="286"/>
  <c r="F39" i="353" a="1"/>
  <c r="L9" i="351" a="1"/>
  <c r="B6" i="95"/>
  <c r="Q162" i="351" a="1"/>
  <c r="H187" i="351" a="1"/>
  <c r="C17" i="281"/>
  <c r="U12" i="353" a="1"/>
  <c r="Q188" i="351" a="1"/>
  <c r="F45" i="353" a="1"/>
  <c r="T5" i="353" a="1"/>
  <c r="I36" i="351" a="1"/>
  <c r="N102" i="353" a="1"/>
  <c r="Z60" i="353" a="1"/>
  <c r="K62" i="351" a="1"/>
  <c r="C20" i="296"/>
  <c r="C3" i="355" a="1"/>
  <c r="AK18" i="353" a="1"/>
  <c r="R74" i="353" a="1"/>
  <c r="C14" i="317"/>
  <c r="AQ69" i="353" a="1"/>
  <c r="C22" i="467"/>
  <c r="S43" i="351" a="1"/>
  <c r="I187" i="351" a="1"/>
  <c r="P31" i="353" a="1"/>
  <c r="C12" i="302"/>
  <c r="AS23" i="353" a="1"/>
  <c r="Z6" i="353" a="1"/>
  <c r="C19" i="364"/>
  <c r="T204" i="351" a="1"/>
  <c r="B3" i="355" a="1"/>
  <c r="G182" i="351" a="1"/>
  <c r="AR76" i="353" a="1"/>
  <c r="B6" i="96"/>
  <c r="C18" i="381"/>
  <c r="M68" i="351" a="1"/>
  <c r="AF94" i="353" a="1"/>
  <c r="W50" i="353" a="1"/>
  <c r="C17" i="103"/>
  <c r="S74" i="351" a="1"/>
  <c r="K47" i="351" a="1"/>
  <c r="Q73" i="353" a="1"/>
  <c r="C14" i="481"/>
  <c r="AH52" i="353" a="1"/>
  <c r="Y11" i="353" a="1"/>
  <c r="Q97" i="353" a="1"/>
  <c r="G203" i="351" a="1"/>
  <c r="J127" i="351" a="1"/>
  <c r="C22" i="345"/>
  <c r="E104" i="353" a="1"/>
  <c r="P66" i="351" a="1"/>
  <c r="H146" i="351" a="1"/>
  <c r="T167" i="351" a="1"/>
  <c r="R133" i="351" a="1"/>
  <c r="E114" i="353" a="1"/>
  <c r="AF38" i="353" a="1"/>
  <c r="J107" i="351" a="1"/>
  <c r="O44" i="353" a="1"/>
  <c r="I44" i="353" a="1"/>
  <c r="AD8" i="353" a="1"/>
  <c r="B7" i="364"/>
  <c r="C21" i="491"/>
  <c r="H98" i="351" a="1"/>
  <c r="T99" i="351" a="1"/>
  <c r="L86" i="351" a="1"/>
  <c r="C15" i="277"/>
  <c r="AN31" i="353" a="1"/>
  <c r="P199" i="351" a="1"/>
  <c r="P149" i="351" a="1"/>
  <c r="G87" i="353" a="1"/>
  <c r="AS55" i="353" a="1"/>
  <c r="C12" i="305"/>
  <c r="C17" i="123"/>
  <c r="G35" i="353" a="1"/>
  <c r="AI41" i="353" a="1"/>
  <c r="C16" i="305"/>
  <c r="Q39" i="351" a="1"/>
  <c r="G148" i="351" a="1"/>
  <c r="M83" i="353" a="1"/>
  <c r="C22" i="364"/>
  <c r="C22" i="326"/>
  <c r="C12" i="392"/>
  <c r="Q194" i="351" a="1"/>
  <c r="I33" i="351" a="1"/>
  <c r="AL83" i="353" a="1"/>
  <c r="C13" i="311"/>
  <c r="C22" i="418"/>
  <c r="C12" i="340"/>
  <c r="C14" i="442"/>
  <c r="C14" i="447"/>
  <c r="C15" i="291"/>
  <c r="S206" i="351" a="1"/>
  <c r="C15" i="454"/>
  <c r="B7" i="104"/>
  <c r="AD93" i="353" a="1"/>
  <c r="AL95" i="353" a="1"/>
  <c r="AD32" i="353" a="1"/>
  <c r="M141" i="351" a="1"/>
  <c r="H3" i="351" a="1"/>
  <c r="G69" i="351" a="1"/>
  <c r="B6" i="396"/>
  <c r="Q153" i="351" a="1"/>
  <c r="K74" i="351" a="1"/>
  <c r="U68" i="353" a="1"/>
  <c r="K15" i="351" a="1"/>
  <c r="P94" i="353" a="1"/>
  <c r="C22" i="329"/>
  <c r="P138" i="351" a="1"/>
  <c r="AJ81" i="353" a="1"/>
  <c r="C13" i="450"/>
  <c r="AN34" i="353" a="1"/>
  <c r="C20" i="252"/>
  <c r="C14" i="309"/>
  <c r="B6" i="331"/>
  <c r="C18" i="332"/>
  <c r="C20" i="285"/>
  <c r="O60" i="353" a="1"/>
  <c r="C17" i="414"/>
  <c r="R155" i="351" a="1"/>
  <c r="E66" i="353" a="1"/>
  <c r="H99" i="351" a="1"/>
  <c r="N86" i="353" a="1"/>
  <c r="C18" i="488"/>
  <c r="O25" i="353" a="1"/>
  <c r="C19" i="430"/>
  <c r="P34" i="351" a="1"/>
  <c r="B7" i="465"/>
  <c r="P73" i="353" a="1"/>
  <c r="AI13" i="353" a="1"/>
  <c r="AO79" i="353" a="1"/>
  <c r="C15" i="425"/>
  <c r="W73" i="353" a="1"/>
  <c r="AT19" i="353" a="1"/>
  <c r="C14" i="381"/>
  <c r="AO69" i="353" a="1"/>
  <c r="S54" i="351" a="1"/>
  <c r="S36" i="351" a="1"/>
  <c r="AE97" i="353" a="1"/>
  <c r="AA53" i="353" a="1"/>
  <c r="AV32" i="353" a="1"/>
  <c r="AF65" i="353" a="1"/>
  <c r="AD40" i="353" a="1"/>
  <c r="C18" i="326"/>
  <c r="C12" i="380"/>
  <c r="C20" i="315"/>
  <c r="C12" i="384"/>
  <c r="B7" i="97"/>
  <c r="I139" i="351" a="1"/>
  <c r="F44" i="353" a="1"/>
  <c r="K39" i="351" a="1"/>
  <c r="M144" i="351" a="1"/>
  <c r="C15" i="290"/>
  <c r="Y16" i="353" a="1"/>
  <c r="AP103" i="353" a="1"/>
  <c r="C15" i="416"/>
  <c r="C15" i="278"/>
  <c r="C12" i="410"/>
  <c r="AT55" i="353" a="1"/>
  <c r="H88" i="353" a="1"/>
  <c r="B6" i="252"/>
  <c r="I22" i="351" a="1"/>
  <c r="E67" i="353" a="1"/>
  <c r="C22" i="320"/>
  <c r="M44" i="353" a="1"/>
  <c r="O110" i="351" a="1"/>
  <c r="R141" i="351" a="1"/>
  <c r="O65" i="351" a="1"/>
  <c r="C14" i="307"/>
  <c r="B7" i="317"/>
  <c r="C12" i="345"/>
  <c r="R80" i="353" a="1"/>
  <c r="H204" i="351" a="1"/>
  <c r="K176" i="351" a="1"/>
  <c r="O76" i="351" a="1"/>
  <c r="B6" i="269"/>
  <c r="T170" i="351" a="1"/>
  <c r="C13" i="490"/>
  <c r="P83" i="353" a="1"/>
  <c r="B7" i="420"/>
  <c r="K182" i="351" a="1"/>
  <c r="C15" i="297"/>
  <c r="AG82" i="353" a="1"/>
  <c r="B6" i="120"/>
  <c r="M15" i="353" a="1"/>
  <c r="P3" i="375" a="1"/>
  <c r="AU4" i="353" a="1"/>
  <c r="B6" i="318"/>
  <c r="C17" i="100"/>
  <c r="R148" i="351" a="1"/>
  <c r="C12" i="323"/>
  <c r="R115" i="351" a="1"/>
  <c r="AS59" i="353" a="1"/>
  <c r="L122" i="351" a="1"/>
  <c r="C19" i="275"/>
  <c r="C12" i="327"/>
  <c r="C16" i="333"/>
  <c r="P75" i="353" a="1"/>
  <c r="P58" i="353" a="1"/>
  <c r="N95" i="353" a="1"/>
  <c r="B6" i="448"/>
  <c r="L47" i="351" a="1"/>
  <c r="F84" i="353" a="1"/>
  <c r="F55" i="353" a="1"/>
  <c r="B6" i="127"/>
  <c r="K163" i="351" a="1"/>
  <c r="AR75" i="353" a="1"/>
  <c r="B6" i="101"/>
  <c r="C13" i="424"/>
  <c r="G53" i="353" a="1"/>
  <c r="I189" i="351" a="1"/>
  <c r="D16" i="146" a="1"/>
  <c r="C22" i="308"/>
  <c r="R111" i="351" a="1"/>
  <c r="J180" i="351" a="1"/>
  <c r="B7" i="314"/>
  <c r="S52" i="351" a="1"/>
  <c r="B6" i="413"/>
  <c r="G104" i="351" a="1"/>
  <c r="T93" i="353" a="1"/>
  <c r="C13" i="367"/>
  <c r="T178" i="351" a="1"/>
  <c r="C12" i="320"/>
  <c r="S170" i="351" a="1"/>
  <c r="R86" i="353" a="1"/>
  <c r="L160" i="351" a="1"/>
  <c r="G93" i="351" a="1"/>
  <c r="B6" i="291"/>
  <c r="C22" i="419"/>
  <c r="C21" i="299"/>
  <c r="M98" i="353" a="1"/>
  <c r="N45" i="353" a="1"/>
  <c r="AE93" i="353" a="1"/>
  <c r="J167" i="351" a="1"/>
  <c r="B6" i="421"/>
  <c r="K111" i="351" a="1"/>
  <c r="AH64" i="353" a="1"/>
  <c r="H36" i="353" a="1"/>
  <c r="M99" i="353" a="1"/>
  <c r="T103" i="351" a="1"/>
  <c r="M166" i="351" a="1"/>
  <c r="C14" i="266"/>
  <c r="D35" i="146" a="1"/>
  <c r="AU67" i="353" a="1"/>
  <c r="AL41" i="353" a="1"/>
  <c r="C22" i="338"/>
  <c r="AV71" i="353" a="1"/>
  <c r="AR72" i="353" a="1"/>
  <c r="C15" i="110"/>
  <c r="AT27" i="353" a="1"/>
  <c r="I170" i="351" a="1"/>
  <c r="I97" i="353" a="1"/>
  <c r="C19" i="320"/>
  <c r="E25" i="353" a="1"/>
  <c r="I194" i="351" a="1"/>
  <c r="AJ30" i="353" a="1"/>
  <c r="V28" i="353" a="1"/>
  <c r="M175" i="351" a="1"/>
  <c r="G39" i="351" a="1"/>
  <c r="AQ96" i="353" a="1"/>
  <c r="B7" i="490"/>
  <c r="T12" i="353" a="1"/>
  <c r="C17" i="421"/>
  <c r="AN10" i="353" a="1"/>
  <c r="I108" i="351" a="1"/>
  <c r="N40" i="353" a="1"/>
  <c r="C15" i="270"/>
  <c r="R177" i="351" a="1"/>
  <c r="T169" i="351" a="1"/>
  <c r="P64" i="353" a="1"/>
  <c r="Q33" i="351" a="1"/>
  <c r="C16" i="116"/>
  <c r="V39" i="353" a="1"/>
  <c r="C17" i="343"/>
  <c r="V79" i="353" a="1"/>
  <c r="E69" i="353" a="1"/>
  <c r="Z62" i="353" a="1"/>
  <c r="AV67" i="353" a="1"/>
  <c r="C12" i="490"/>
  <c r="Q45" i="351" a="1"/>
  <c r="M42" i="353" a="1"/>
  <c r="O24" i="351" a="1"/>
  <c r="C14" i="273"/>
  <c r="M76" i="351" a="1"/>
  <c r="J136" i="351" a="1"/>
  <c r="R169" i="351" a="1"/>
  <c r="P156" i="351" a="1"/>
  <c r="M73" i="353" a="1"/>
  <c r="Y45" i="353" a="1"/>
  <c r="AT97" i="353" a="1"/>
  <c r="Y52" i="353" a="1"/>
  <c r="B6" i="340"/>
  <c r="B6" i="279"/>
  <c r="AI71" i="353" a="1"/>
  <c r="P115" i="351" a="1"/>
  <c r="H40" i="351" a="1"/>
  <c r="C15" i="314"/>
  <c r="C16" i="311"/>
  <c r="AF18" i="353" a="1"/>
  <c r="H69" i="351" a="1"/>
  <c r="B7" i="115"/>
  <c r="C20" i="283"/>
  <c r="V105" i="353" a="1"/>
  <c r="M193" i="351" a="1"/>
  <c r="L19" i="351" a="1"/>
  <c r="C13" i="280"/>
  <c r="B7" i="316"/>
  <c r="T153" i="351" a="1"/>
  <c r="I49" i="353" a="1"/>
  <c r="AV44" i="353" a="1"/>
  <c r="M164" i="351" a="1"/>
  <c r="C21" i="466"/>
  <c r="R101" i="351" a="1"/>
  <c r="S41" i="351" a="1"/>
  <c r="AO85" i="353" a="1"/>
  <c r="C12" i="247"/>
  <c r="O67" i="351" a="1"/>
  <c r="G101" i="353" a="1"/>
  <c r="C21" i="399"/>
  <c r="B7" i="258"/>
  <c r="C17" i="346"/>
  <c r="P97" i="351" a="1"/>
  <c r="C14" i="420"/>
  <c r="M89" i="351" a="1"/>
  <c r="C3" i="145" a="1"/>
  <c r="G3" i="351" a="1"/>
  <c r="I122" i="351" a="1"/>
  <c r="G97" i="353" a="1"/>
  <c r="N23" i="353" a="1"/>
  <c r="I157" i="351" a="1"/>
  <c r="AV89" i="353" a="1"/>
  <c r="I85" i="351" a="1"/>
  <c r="AA72" i="353" a="1"/>
  <c r="P119" i="351" a="1"/>
  <c r="AT77" i="353" a="1"/>
  <c r="AH29" i="353" a="1"/>
  <c r="W5" i="353" a="1"/>
  <c r="AP11" i="353" a="1"/>
  <c r="AG41" i="353" a="1"/>
  <c r="Q62" i="353" a="1"/>
  <c r="V59" i="353" a="1"/>
  <c r="T118" i="351" a="1"/>
  <c r="C16" i="252"/>
  <c r="AS28" i="353" a="1"/>
  <c r="AB103" i="353" a="1"/>
  <c r="C15" i="487"/>
  <c r="E15" i="353" a="1"/>
  <c r="AG65" i="353" a="1"/>
  <c r="C17" i="333"/>
  <c r="C13" i="447"/>
  <c r="L70" i="351" a="1"/>
  <c r="G71" i="351" a="1"/>
  <c r="X103" i="353" a="1"/>
  <c r="G72" i="351" a="1"/>
  <c r="C20" i="289"/>
  <c r="J78" i="351" a="1"/>
  <c r="G62" i="353" a="1"/>
  <c r="T90" i="351" a="1"/>
  <c r="AQ35" i="353" a="1"/>
  <c r="I53" i="351" a="1"/>
  <c r="C12" i="335"/>
  <c r="AG86" i="353" a="1"/>
  <c r="M168" i="351" a="1"/>
  <c r="AR16" i="353" a="1"/>
  <c r="C15" i="258"/>
  <c r="C17" i="479"/>
  <c r="C17" i="274"/>
  <c r="C15" i="494"/>
  <c r="B7" i="366"/>
  <c r="S66" i="351" a="1"/>
  <c r="AP53" i="353" a="1"/>
  <c r="M52" i="353" a="1"/>
  <c r="C21" i="340"/>
  <c r="AN6" i="353" a="1"/>
  <c r="Z73" i="353" a="1"/>
  <c r="C20" i="464"/>
  <c r="K76" i="353" a="1"/>
  <c r="T21" i="351" a="1"/>
  <c r="R161" i="351" a="1"/>
  <c r="C21" i="346"/>
  <c r="AU37" i="353" a="1"/>
  <c r="B6" i="385"/>
  <c r="AO26" i="353" a="1"/>
  <c r="Z100" i="353" a="1"/>
  <c r="P71" i="351" a="1"/>
  <c r="M62" i="351" a="1"/>
  <c r="AR34" i="353" a="1"/>
  <c r="AU42" i="353" a="1"/>
  <c r="X21" i="353" a="1"/>
  <c r="T94" i="351" a="1"/>
  <c r="C20" i="265"/>
  <c r="AP42" i="353" a="1"/>
  <c r="C15" i="285"/>
  <c r="AP105" i="353" a="1"/>
  <c r="C16" i="263"/>
  <c r="Z19" i="353" a="1"/>
  <c r="C21" i="118"/>
  <c r="C18" i="116"/>
  <c r="C13" i="251"/>
  <c r="B7" i="472"/>
  <c r="Q13" i="353" a="1"/>
  <c r="C17" i="267"/>
  <c r="B6" i="405"/>
  <c r="C20" i="455"/>
  <c r="B4" i="355" a="1"/>
  <c r="I57" i="351" a="1"/>
  <c r="C14" i="293"/>
  <c r="AE75" i="353" a="1"/>
  <c r="R190" i="351" a="1"/>
  <c r="AQ61" i="353" a="1"/>
  <c r="V71" i="353" a="1"/>
  <c r="C17" i="245"/>
  <c r="L82" i="351" a="1"/>
  <c r="C19" i="349"/>
  <c r="AE60" i="353" a="1"/>
  <c r="AJ83" i="353" a="1"/>
  <c r="R96" i="353" a="1"/>
  <c r="C15" i="330"/>
  <c r="AD74" i="353" a="1"/>
  <c r="P185" i="351" a="1"/>
  <c r="B6" i="366"/>
  <c r="C17" i="491"/>
  <c r="B6" i="327"/>
  <c r="AV5" i="353" a="1"/>
  <c r="I67" i="351" a="1"/>
  <c r="K14" i="351" a="1"/>
  <c r="M32" i="353" a="1"/>
  <c r="B6" i="324"/>
  <c r="M21" i="353" a="1"/>
  <c r="AJ53" i="353" a="1"/>
  <c r="C19" i="490"/>
  <c r="F52" i="353" a="1"/>
  <c r="C22" i="311"/>
  <c r="C22" i="313"/>
  <c r="AR56" i="353" a="1"/>
  <c r="R40" i="353" a="1"/>
  <c r="C22" i="304"/>
  <c r="I43" i="353" a="1"/>
  <c r="C50" i="145" a="1"/>
  <c r="K62" i="353" a="1"/>
  <c r="AI105" i="353" a="1"/>
  <c r="C12" i="129"/>
  <c r="C19" i="281"/>
  <c r="C19" i="278"/>
  <c r="M57" i="353" a="1"/>
  <c r="C19" i="113"/>
  <c r="H74" i="351" a="1"/>
  <c r="AB11" i="353" a="1"/>
  <c r="B6" i="417"/>
  <c r="Y39" i="353" a="1"/>
  <c r="Y104" i="353" a="1"/>
  <c r="C14" i="421"/>
  <c r="C17" i="366"/>
  <c r="AN101" i="353" a="1"/>
  <c r="G102" i="353" a="1"/>
  <c r="J181" i="351" a="1"/>
  <c r="C16" i="363"/>
  <c r="R117" i="351" a="1"/>
  <c r="B6" i="262"/>
  <c r="P54" i="353" a="1"/>
  <c r="C20" i="376"/>
  <c r="AN87" i="353" a="1"/>
  <c r="K76" i="351" a="1"/>
  <c r="AP27" i="353" a="1"/>
  <c r="AU29" i="353" a="1"/>
  <c r="C14" i="246"/>
  <c r="P22" i="351" a="1"/>
  <c r="AB89" i="353" a="1"/>
  <c r="C13" i="359"/>
  <c r="Q179" i="351" a="1"/>
  <c r="M195" i="351" a="1"/>
  <c r="B7" i="110"/>
  <c r="C20" i="363"/>
  <c r="U59" i="353" a="1"/>
  <c r="C21" i="116"/>
  <c r="O80" i="353" a="1"/>
  <c r="K181" i="351" a="1"/>
  <c r="J54" i="351" a="1"/>
  <c r="O49" i="353" a="1"/>
  <c r="Z76" i="353" a="1"/>
  <c r="AO40" i="353" a="1"/>
  <c r="V63" i="353" a="1"/>
  <c r="C16" i="101"/>
  <c r="C12" i="339"/>
  <c r="M33" i="351" a="1"/>
  <c r="H35" i="353" a="1"/>
  <c r="K147" i="351" a="1"/>
  <c r="H52" i="351" a="1"/>
  <c r="M59" i="351" a="1"/>
  <c r="K80" i="351" a="1"/>
  <c r="P59" i="353" a="1"/>
  <c r="U13" i="353" a="1"/>
  <c r="N52" i="353" a="1"/>
  <c r="F42" i="353" a="1"/>
  <c r="R53" i="353" a="1"/>
  <c r="S171" i="351" a="1"/>
  <c r="B6" i="316"/>
  <c r="C15" i="276"/>
  <c r="U77" i="353" a="1"/>
  <c r="J77" i="353" a="1"/>
  <c r="O84" i="353" a="1"/>
  <c r="R72" i="351" a="1"/>
  <c r="G115" i="351" a="1"/>
  <c r="O16" i="351" a="1"/>
  <c r="AV36" i="353" a="1"/>
  <c r="C17" i="256"/>
  <c r="C18" i="276"/>
  <c r="AI39" i="353" a="1"/>
  <c r="O88" i="353" a="1"/>
  <c r="AR18" i="353" a="1"/>
  <c r="AT29" i="353" a="1"/>
  <c r="C17" i="120"/>
  <c r="H119" i="351" a="1"/>
  <c r="Q52" i="353" a="1"/>
  <c r="AS103" i="353" a="1"/>
  <c r="H175" i="351" a="1"/>
  <c r="AS74" i="353" a="1"/>
  <c r="S62" i="351" a="1"/>
  <c r="H21" i="353" a="1"/>
  <c r="X85" i="353" a="1"/>
  <c r="AN90" i="353" a="1"/>
  <c r="AE16" i="353" a="1"/>
  <c r="O127" i="351" a="1"/>
  <c r="M62" i="353" a="1"/>
  <c r="AG3" i="353" a="1"/>
  <c r="N34" i="353" a="1"/>
  <c r="N17" i="353" a="1"/>
  <c r="C22" i="272"/>
  <c r="B7" i="308"/>
  <c r="AK3" i="353" a="1"/>
  <c r="AT45" i="353" a="1"/>
  <c r="C22" i="323"/>
  <c r="Q68" i="351" a="1"/>
  <c r="X61" i="353" a="1"/>
  <c r="H171" i="351" a="1"/>
  <c r="W81" i="353" a="1"/>
  <c r="V43" i="353" a="1"/>
  <c r="AN91" i="353" a="1"/>
  <c r="AJ70" i="353" a="1"/>
  <c r="C13" i="333"/>
  <c r="W64" i="353" a="1"/>
  <c r="Q186" i="351" a="1"/>
  <c r="P191" i="351" a="1"/>
  <c r="S147" i="351" a="1"/>
  <c r="B6" i="325"/>
  <c r="Q49" i="351" a="1"/>
  <c r="M26" i="351" a="1"/>
  <c r="T80" i="353" a="1"/>
  <c r="B7" i="322"/>
  <c r="S135" i="351" a="1"/>
  <c r="AJ37" i="353" a="1"/>
  <c r="L33" i="351" a="1"/>
  <c r="I131" i="351" a="1"/>
  <c r="P111" i="351" a="1"/>
  <c r="C22" i="123"/>
  <c r="AJ86" i="353" a="1"/>
  <c r="C16" i="283"/>
  <c r="C15" i="279"/>
  <c r="O9" i="351" a="1"/>
  <c r="P47" i="353" a="1"/>
  <c r="Z35" i="353" a="1"/>
  <c r="P113" i="351" a="1"/>
  <c r="K140" i="351" a="1"/>
  <c r="AN81" i="353" a="1"/>
  <c r="C15" i="298"/>
  <c r="AE95" i="353" a="1"/>
  <c r="E43" i="353" a="1"/>
  <c r="AN61" i="353" a="1"/>
  <c r="G12" i="353" a="1"/>
  <c r="C16" i="287"/>
  <c r="C12" i="388"/>
  <c r="C15" i="465"/>
  <c r="J63" i="353" a="1"/>
  <c r="AJ50" i="353" a="1"/>
  <c r="AK96" i="353" a="1"/>
  <c r="C13" i="448"/>
  <c r="AL91" i="353" a="1"/>
  <c r="G20" i="351" a="1"/>
  <c r="C12" i="276"/>
  <c r="B23" i="144" a="1"/>
  <c r="H34" i="353" a="1"/>
  <c r="C12" i="429"/>
  <c r="B7" i="483"/>
  <c r="B6" i="293"/>
  <c r="R88" i="353" a="1"/>
  <c r="M81" i="353" a="1"/>
  <c r="AP32" i="353" a="1"/>
  <c r="C13" i="301"/>
  <c r="C17" i="418"/>
  <c r="M64" i="353" a="1"/>
  <c r="B7" i="291"/>
  <c r="H5" i="351" a="1"/>
  <c r="K37" i="353" a="1"/>
  <c r="AT101" i="353" a="1"/>
  <c r="C13" i="248"/>
  <c r="C21" i="301"/>
  <c r="K20" i="353" a="1"/>
  <c r="K19" i="353" a="1"/>
  <c r="J80" i="351" a="1"/>
  <c r="AA86" i="353" a="1"/>
  <c r="X49" i="353" a="1"/>
  <c r="Y61" i="353" a="1"/>
  <c r="AE96" i="353" a="1"/>
  <c r="H176" i="351" a="1"/>
  <c r="B3" i="134" a="1"/>
  <c r="B6" i="249"/>
  <c r="AL34" i="353" a="1"/>
  <c r="S160" i="351" a="1"/>
  <c r="F56" i="353" a="1"/>
  <c r="C12" i="280"/>
  <c r="AI3" i="353" a="1"/>
  <c r="J100" i="351" a="1"/>
  <c r="B8" i="355" a="1"/>
  <c r="AO37" i="6" a="1"/>
  <c r="C16" i="331"/>
  <c r="C13" i="405"/>
  <c r="J124" i="351" a="1"/>
  <c r="C16" i="336"/>
  <c r="H91" i="353" a="1"/>
  <c r="R23" i="351" a="1"/>
  <c r="C16" i="129"/>
  <c r="C17" i="115"/>
  <c r="J36" i="353" a="1"/>
  <c r="O66" i="353" a="1"/>
  <c r="AU12" i="353" a="1"/>
  <c r="B18" i="144" a="1"/>
  <c r="M29" i="351" a="1"/>
  <c r="B6" i="367"/>
  <c r="C12" i="365"/>
  <c r="C20" i="263"/>
  <c r="C13" i="306"/>
  <c r="C15" i="94"/>
  <c r="B7" i="388"/>
  <c r="G75" i="351" a="1"/>
  <c r="L206" i="351" a="1"/>
  <c r="I152" i="351" a="1"/>
  <c r="C21" i="415"/>
  <c r="T20" i="351" a="1"/>
  <c r="W26" i="353" a="1"/>
  <c r="C16" i="262"/>
  <c r="C20" i="123"/>
  <c r="B7" i="429"/>
  <c r="C16" i="297"/>
  <c r="C15" i="266"/>
  <c r="AD103" i="353" a="1"/>
  <c r="P87" i="353" a="1"/>
  <c r="AO102" i="353" a="1"/>
  <c r="AR46" i="353" a="1"/>
  <c r="N60" i="353" a="1"/>
  <c r="AV47" i="353" a="1"/>
  <c r="AI70" i="353" a="1"/>
  <c r="C16" i="383"/>
  <c r="M140" i="351" a="1"/>
  <c r="G141" i="351" a="1"/>
  <c r="B25" i="144" a="1"/>
  <c r="M64" i="351" a="1"/>
  <c r="K80" i="353" a="1"/>
  <c r="B5" i="355" a="1"/>
  <c r="AR51" i="353" a="1"/>
  <c r="S105" i="351" a="1"/>
  <c r="O81" i="351" a="1"/>
  <c r="I104" i="353" a="1"/>
  <c r="O40" i="353" a="1"/>
  <c r="X63" i="353" a="1"/>
  <c r="C21" i="315"/>
  <c r="K33" i="351" a="1"/>
  <c r="P53" i="351" a="1"/>
  <c r="C22" i="275"/>
  <c r="C14" i="323"/>
  <c r="P107" i="351" a="1"/>
  <c r="AR31" i="353" a="1"/>
  <c r="C16" i="296"/>
  <c r="AO100" i="353" a="1"/>
  <c r="F19" i="353" a="1"/>
  <c r="I33" i="353" a="1"/>
  <c r="J82" i="351" a="1"/>
  <c r="AD38" i="353" a="1"/>
  <c r="C24" i="145" a="1"/>
  <c r="C17" i="279"/>
  <c r="Q13" i="351" a="1"/>
  <c r="T143" i="351" a="1"/>
  <c r="S189" i="351" a="1"/>
  <c r="C21" i="403"/>
  <c r="C22" i="288"/>
  <c r="K105" i="351" a="1"/>
  <c r="AG40" i="353" a="1"/>
  <c r="I18" i="353" a="1"/>
  <c r="AB15" i="353" a="1"/>
  <c r="S167" i="351" a="1"/>
  <c r="J176" i="351" a="1"/>
  <c r="C22" i="410"/>
  <c r="Q117" i="351" a="1"/>
  <c r="K30" i="353" a="1"/>
  <c r="AF104" i="353" a="1"/>
  <c r="AL66" i="353" a="1"/>
  <c r="C20" i="331"/>
  <c r="H85" i="351" a="1"/>
  <c r="B7" i="285"/>
  <c r="O178" i="351" a="1"/>
  <c r="R139" i="351" a="1"/>
  <c r="C19" i="257"/>
  <c r="Y76" i="353" a="1"/>
  <c r="G38" i="351" a="1"/>
  <c r="F38" i="353" a="1"/>
  <c r="O148" i="351" a="1"/>
  <c r="S164" i="351" a="1"/>
  <c r="L157" i="351" a="1"/>
  <c r="C12" i="348"/>
  <c r="O54" i="351" a="1"/>
  <c r="Y53" i="353" a="1"/>
  <c r="J7" i="351" a="1"/>
  <c r="AO21" i="6" a="1"/>
  <c r="B6" i="290"/>
  <c r="C12" i="292"/>
  <c r="C15" i="284"/>
  <c r="AH65" i="353" a="1"/>
  <c r="Q72" i="353" a="1"/>
  <c r="T137" i="351" a="1"/>
  <c r="Y56" i="353" a="1"/>
  <c r="Q183" i="351" a="1"/>
  <c r="AA92" i="353" a="1"/>
  <c r="Q190" i="351" a="1"/>
  <c r="N58" i="353" a="1"/>
  <c r="M27" i="351" a="1"/>
  <c r="C22" i="127"/>
  <c r="AA96" i="353" a="1"/>
  <c r="C21" i="317"/>
  <c r="C12" i="488"/>
  <c r="F101" i="353" a="1"/>
  <c r="Z52" i="353" a="1"/>
  <c r="Q107" i="351" a="1"/>
  <c r="F13" i="353" a="1"/>
  <c r="AJ102" i="353" a="1"/>
  <c r="B6" i="270"/>
  <c r="C17" i="429"/>
  <c r="AP57" i="353" a="1"/>
  <c r="P56" i="351" a="1"/>
  <c r="C13" i="296"/>
  <c r="AQ29" i="353" a="1"/>
  <c r="B7" i="286"/>
  <c r="AS81" i="353" a="1"/>
  <c r="C16" i="427"/>
  <c r="H27" i="351" a="1"/>
  <c r="O183" i="351" a="1"/>
  <c r="M61" i="353" a="1"/>
  <c r="C15" i="288"/>
  <c r="AV90" i="353" a="1"/>
  <c r="AS92" i="353" a="1"/>
  <c r="AS76" i="353" a="1"/>
  <c r="C19" i="285"/>
  <c r="H87" i="353" a="1"/>
  <c r="V26" i="353" a="1"/>
  <c r="X12" i="353" a="1"/>
  <c r="C20" i="89"/>
  <c r="G207" i="351" a="1"/>
  <c r="AF74" i="353" a="1"/>
  <c r="C18" i="331"/>
  <c r="T157" i="351" a="1"/>
  <c r="S97" i="351" a="1"/>
  <c r="C13" i="265"/>
  <c r="C14" i="338"/>
  <c r="AP65" i="353" a="1"/>
  <c r="J90" i="351" a="1"/>
  <c r="C15" i="342"/>
  <c r="K197" i="351" a="1"/>
  <c r="P58" i="351" a="1"/>
  <c r="M162" i="351" a="1"/>
  <c r="B7" i="450"/>
  <c r="AK105" i="353" a="1"/>
  <c r="O15" i="353" a="1"/>
  <c r="AK102" i="353" a="1"/>
  <c r="AF58" i="353" a="1"/>
  <c r="AB84" i="353" a="1"/>
  <c r="G201" i="351" a="1"/>
  <c r="AH90" i="353" a="1"/>
  <c r="Y87" i="353" a="1"/>
  <c r="C12" i="273"/>
  <c r="Y103" i="353" a="1"/>
  <c r="C18" i="450"/>
  <c r="AJ96" i="353" a="1"/>
  <c r="L166" i="351" a="1"/>
  <c r="C12" i="466"/>
  <c r="Z69" i="353" a="1"/>
  <c r="AD51" i="353" a="1"/>
  <c r="Y85" i="353" a="1"/>
  <c r="AE102" i="353" a="1"/>
  <c r="C22" i="277"/>
  <c r="AH68" i="353" a="1"/>
  <c r="C20" i="323"/>
  <c r="S63" i="351" a="1"/>
  <c r="AL24" i="353" a="1"/>
  <c r="X101" i="353" a="1"/>
  <c r="F27" i="353" a="1"/>
  <c r="AT71" i="353" a="1"/>
  <c r="R163" i="351" a="1"/>
  <c r="Y20" i="353" a="1"/>
  <c r="AN15" i="353" a="1"/>
  <c r="O124" i="351" a="1"/>
  <c r="K172" i="351" a="1"/>
  <c r="J56" i="353" a="1"/>
  <c r="P144" i="351" a="1"/>
  <c r="C16" i="456"/>
  <c r="C17" i="450"/>
  <c r="K125" i="351" a="1"/>
  <c r="C13" i="429"/>
  <c r="I71" i="351" a="1"/>
  <c r="C17" i="388"/>
  <c r="R189" i="351" a="1"/>
  <c r="F78" i="353" a="1"/>
  <c r="P182" i="351" a="1"/>
  <c r="M84" i="351" a="1"/>
  <c r="F41" i="353" a="1"/>
  <c r="O58" i="353" a="1"/>
  <c r="P118" i="351" a="1"/>
  <c r="C12" i="474"/>
  <c r="AG74" i="353" a="1"/>
  <c r="K57" i="353" a="1"/>
  <c r="M99" i="351" a="1"/>
  <c r="I117" i="351" a="1"/>
  <c r="P57" i="351" a="1"/>
  <c r="AU48" i="353" a="1"/>
  <c r="K25" i="351" a="1"/>
  <c r="R129" i="351" a="1"/>
  <c r="AF45" i="353" a="1"/>
  <c r="F63" i="353" a="1"/>
  <c r="C19" i="97"/>
  <c r="C15" i="293"/>
  <c r="B51" i="144" a="1"/>
  <c r="M82" i="351" a="1"/>
  <c r="AS33" i="353" a="1"/>
  <c r="C13" i="294"/>
  <c r="S207" i="351" a="1"/>
  <c r="AO33" i="353" a="1"/>
  <c r="AF102" i="353" a="1"/>
  <c r="J29" i="351" a="1"/>
  <c r="B7" i="292"/>
  <c r="V102" i="353" a="1"/>
  <c r="C19" i="145" a="1"/>
  <c r="C19" i="339"/>
  <c r="I15" i="351" a="1"/>
  <c r="C14" i="122"/>
  <c r="AH114" i="353" a="1"/>
  <c r="R134" i="351" a="1"/>
  <c r="W68" i="353" a="1"/>
  <c r="C12" i="310"/>
  <c r="H172" i="351" a="1"/>
  <c r="P145" i="351" a="1"/>
  <c r="C12" i="415"/>
  <c r="L22" i="351" a="1"/>
  <c r="C21" i="319"/>
  <c r="R47" i="351" a="1"/>
  <c r="C13" i="330"/>
  <c r="E49" i="353" a="1"/>
  <c r="L116" i="351" a="1"/>
  <c r="C13" i="473"/>
  <c r="J201" i="351" a="1"/>
  <c r="G55" i="353" a="1"/>
  <c r="H125" i="351" a="1"/>
  <c r="I105" i="353" a="1"/>
  <c r="B7" i="103"/>
  <c r="AN26" i="353" a="1"/>
  <c r="AB48" i="353" a="1"/>
  <c r="C18" i="458"/>
  <c r="C21" i="295"/>
  <c r="C16" i="284"/>
  <c r="C12" i="286"/>
  <c r="P67" i="353" a="1"/>
  <c r="S168" i="351" a="1"/>
  <c r="M56" i="353" a="1"/>
  <c r="AG114" i="353" a="1"/>
  <c r="C13" i="426"/>
  <c r="C22" i="294"/>
  <c r="C17" i="101"/>
  <c r="M100" i="353" a="1"/>
  <c r="J24" i="351" a="1"/>
  <c r="H195" i="351" a="1"/>
  <c r="C12" i="251"/>
  <c r="C16" i="265"/>
  <c r="C17" i="283"/>
  <c r="H205" i="351" a="1"/>
  <c r="G66" i="353" a="1"/>
  <c r="P108" i="351" a="1"/>
  <c r="T140" i="351" a="1"/>
  <c r="W53" i="353" a="1"/>
  <c r="L12" i="351" a="1"/>
  <c r="C15" i="302"/>
  <c r="E72" i="353" a="1"/>
  <c r="O92" i="353" a="1"/>
  <c r="I28" i="351" a="1"/>
  <c r="R193" i="351" a="1"/>
  <c r="AO87" i="353" a="1"/>
  <c r="T15" i="353" a="1"/>
  <c r="AL5" i="353" a="1"/>
  <c r="S31" i="351" a="1"/>
  <c r="AA66" i="353" a="1"/>
  <c r="K191" i="351" a="1"/>
  <c r="AD54" i="353" a="1"/>
  <c r="AE8" i="353" a="1"/>
  <c r="AL8" i="353" a="1"/>
  <c r="E59" i="353" a="1"/>
  <c r="S183" i="351" a="1"/>
  <c r="C13" i="328"/>
  <c r="B6" i="14"/>
  <c r="AH100" i="353" a="1"/>
  <c r="AA67" i="353" a="1"/>
  <c r="T95" i="351" a="1"/>
  <c r="C19" i="273"/>
  <c r="I11" i="353" a="1"/>
  <c r="AF5" i="353" a="1"/>
  <c r="C18" i="456"/>
  <c r="AO39" i="353" a="1"/>
  <c r="H153" i="351" a="1"/>
  <c r="O105" i="353" a="1"/>
  <c r="AQ93" i="353" a="1"/>
  <c r="Y66" i="353" a="1"/>
  <c r="R176" i="351" a="1"/>
  <c r="AI17" i="353" a="1"/>
  <c r="X65" i="353" a="1"/>
  <c r="AK11" i="353" a="1"/>
  <c r="C14" i="274"/>
  <c r="I7" i="351" a="1"/>
  <c r="AO18" i="6" a="1"/>
  <c r="H162" i="351" a="1"/>
  <c r="AT49" i="353" a="1"/>
  <c r="N72" i="353" a="1"/>
  <c r="AA4" i="353" a="1"/>
  <c r="M189" i="351" a="1"/>
  <c r="T184" i="351" a="1"/>
  <c r="AS90" i="353" a="1"/>
  <c r="L20" i="351" a="1"/>
  <c r="I159" i="351" a="1"/>
  <c r="C20" i="118"/>
  <c r="AQ37" i="353" a="1"/>
  <c r="AL19" i="353" a="1"/>
  <c r="AL79" i="353" a="1"/>
  <c r="M38" i="351" a="1"/>
  <c r="AN21" i="353" a="1"/>
  <c r="V15" i="353" a="1"/>
  <c r="P17" i="351" a="1"/>
  <c r="AT16" i="353" a="1"/>
  <c r="M201" i="351" a="1"/>
  <c r="C20" i="418"/>
  <c r="C19" i="288"/>
  <c r="B6" i="482"/>
  <c r="AG68" i="353" a="1"/>
  <c r="J154" i="351" a="1"/>
  <c r="C13" i="403"/>
  <c r="K199" i="351" a="1"/>
  <c r="K21" i="351" a="1"/>
  <c r="AG61" i="353" a="1"/>
  <c r="C19" i="128"/>
  <c r="W45" i="353" a="1"/>
  <c r="C18" i="455"/>
  <c r="AN17" i="353" a="1"/>
  <c r="AQ59" i="353" a="1"/>
  <c r="R26" i="353" a="1"/>
  <c r="C19" i="305"/>
  <c r="Q206" i="351" a="1"/>
  <c r="C18" i="252"/>
  <c r="W72" i="353" a="1"/>
  <c r="C19" i="450"/>
  <c r="C14" i="392"/>
  <c r="I16" i="353" a="1"/>
  <c r="AR38" i="353" a="1"/>
  <c r="P78" i="351" a="1"/>
  <c r="AJ87" i="353" a="1"/>
  <c r="P18" i="353" a="1"/>
  <c r="U67" i="353" a="1"/>
  <c r="J183" i="351" a="1"/>
  <c r="C22" i="420"/>
  <c r="U22" i="353" a="1"/>
  <c r="M158" i="351" a="1"/>
  <c r="B7" i="326"/>
  <c r="P20" i="351" a="1"/>
  <c r="O14" i="351" a="1"/>
  <c r="C21" i="342"/>
  <c r="G9" i="351" a="1"/>
  <c r="E35" i="353" a="1"/>
  <c r="C20" i="261"/>
  <c r="C12" i="103"/>
  <c r="AK75" i="353" a="1"/>
  <c r="AI59" i="353" a="1"/>
  <c r="K100" i="351" a="1"/>
  <c r="U87" i="353" a="1"/>
  <c r="H10" i="351" a="1"/>
  <c r="M80" i="353" a="1"/>
  <c r="C13" i="341"/>
  <c r="AH58" i="353" a="1"/>
  <c r="C22" i="270"/>
  <c r="C18" i="365"/>
  <c r="AT89" i="353" a="1"/>
  <c r="U48" i="353" a="1"/>
  <c r="AF15" i="353" a="1"/>
  <c r="AV84" i="353" a="1"/>
  <c r="C14" i="284"/>
  <c r="AG76" i="353" a="1"/>
  <c r="AP39" i="353" a="1"/>
  <c r="G128" i="351" a="1"/>
  <c r="H69" i="353" a="1"/>
  <c r="AP74" i="353" a="1"/>
  <c r="C12" i="104"/>
  <c r="AV3" i="353" a="1"/>
  <c r="B6" i="144" a="1"/>
  <c r="C13" i="291"/>
  <c r="V81" i="353" a="1"/>
  <c r="M155" i="351" a="1"/>
  <c r="AL25" i="353" a="1"/>
  <c r="C20" i="99"/>
  <c r="C14" i="311"/>
  <c r="C14" i="316"/>
  <c r="C22" i="463"/>
  <c r="C16" i="413"/>
  <c r="K101" i="353" a="1"/>
  <c r="AA41" i="353" a="1"/>
  <c r="Q132" i="351" a="1"/>
  <c r="X74" i="353" a="1"/>
  <c r="Z97" i="353" a="1"/>
  <c r="V31" i="353" a="1"/>
  <c r="C15" i="482"/>
  <c r="O28" i="353" a="1"/>
  <c r="C18" i="99"/>
  <c r="B7" i="413"/>
  <c r="J39" i="353" a="1"/>
  <c r="C18" i="268"/>
  <c r="B7" i="363"/>
  <c r="C12" i="385"/>
  <c r="AI55" i="353" a="1"/>
  <c r="AO14" i="353" a="1"/>
  <c r="M41" i="351" a="1"/>
  <c r="AK86" i="353" a="1"/>
  <c r="T128" i="351" a="1"/>
  <c r="H59" i="351" a="1"/>
  <c r="C21" i="123"/>
  <c r="R28" i="351" a="1"/>
  <c r="P49" i="351" a="1"/>
  <c r="H29" i="351" a="1"/>
  <c r="C17" i="277"/>
  <c r="I81" i="353" a="1"/>
  <c r="Q79" i="351" a="1"/>
  <c r="G94" i="353" a="1"/>
  <c r="M33" i="353" a="1"/>
  <c r="G149" i="351" a="1"/>
  <c r="AK62" i="353" a="1"/>
  <c r="L66" i="351" a="1"/>
  <c r="AV27" i="353" a="1"/>
  <c r="C22" i="487"/>
  <c r="AU62" i="353" a="1"/>
  <c r="C22" i="340"/>
  <c r="I83" i="351" a="1"/>
  <c r="C22" i="348"/>
  <c r="M120" i="351" a="1"/>
  <c r="C17" i="345"/>
  <c r="C19" i="462"/>
  <c r="AG60" i="353" a="1"/>
  <c r="J87" i="353" a="1"/>
  <c r="L179" i="351" a="1"/>
  <c r="C14" i="286"/>
  <c r="C17" i="454"/>
  <c r="C20" i="307"/>
  <c r="N37" i="353" a="1"/>
  <c r="B6" i="118"/>
  <c r="K94" i="351" a="1"/>
  <c r="AO27" i="6" a="1"/>
  <c r="AP33" i="353" a="1"/>
  <c r="AL20" i="353" a="1"/>
  <c r="P19" i="351" a="1"/>
  <c r="AT60" i="353" a="1"/>
  <c r="S106" i="351" a="1"/>
  <c r="C19" i="368"/>
  <c r="B6" i="268"/>
  <c r="P128" i="351" a="1"/>
  <c r="C22" i="433"/>
  <c r="AO95" i="353" a="1"/>
  <c r="C14" i="325"/>
  <c r="G43" i="351" a="1"/>
  <c r="J26" i="353" a="1"/>
  <c r="U17" i="353" a="1"/>
  <c r="C13" i="392"/>
  <c r="C19" i="421"/>
  <c r="T192" i="351" a="1"/>
  <c r="AJ90" i="353" a="1"/>
  <c r="AU82" i="353" a="1"/>
  <c r="H51" i="353" a="1"/>
  <c r="Z94" i="353" a="1"/>
  <c r="H105" i="353" a="1"/>
  <c r="C14" i="427"/>
  <c r="T179" i="351" a="1"/>
  <c r="R13" i="353" a="1"/>
  <c r="C16" i="110"/>
  <c r="G31" i="351" a="1"/>
  <c r="AU63" i="353" a="1"/>
  <c r="Q17" i="351" a="1"/>
  <c r="AH49" i="353" a="1"/>
  <c r="U74" i="353" a="1"/>
  <c r="C18" i="412"/>
  <c r="K69" i="351" a="1"/>
  <c r="J104" i="351" a="1"/>
  <c r="AQ72" i="353" a="1"/>
  <c r="AG4" i="353" a="1"/>
  <c r="AU105" i="353" a="1"/>
  <c r="G101" i="351" a="1"/>
  <c r="C14" i="310"/>
  <c r="H71" i="351" a="1"/>
  <c r="C14" i="101"/>
  <c r="AF52" i="353" a="1"/>
  <c r="U62" i="353" a="1"/>
  <c r="K115" i="351" a="1"/>
  <c r="AA97" i="353" a="1"/>
  <c r="N41" i="353" a="1"/>
  <c r="S79" i="351" a="1"/>
  <c r="C18" i="341"/>
  <c r="L165" i="351" a="1"/>
  <c r="C18" i="345"/>
  <c r="C16" i="487"/>
  <c r="C16" i="107"/>
  <c r="W96" i="353" a="1"/>
  <c r="C20" i="388"/>
  <c r="AP41" i="353" a="1"/>
  <c r="AH55" i="353" a="1"/>
  <c r="M117" i="351" a="1"/>
  <c r="L106" i="351" a="1"/>
  <c r="AE90" i="353" a="1"/>
  <c r="AB86" i="353" a="1"/>
  <c r="C13" i="482"/>
  <c r="P52" i="351" a="1"/>
  <c r="I29" i="353" a="1"/>
  <c r="AQ49" i="353" a="1"/>
  <c r="C14" i="121"/>
  <c r="H68" i="353" a="1"/>
  <c r="AK19" i="353" a="1"/>
  <c r="AH105" i="353" a="1"/>
  <c r="D17" i="146" a="1"/>
  <c r="B6" i="314"/>
  <c r="I182" i="351" a="1"/>
  <c r="Q125" i="351" a="1"/>
  <c r="G151" i="351" a="1"/>
  <c r="V70" i="353" a="1"/>
  <c r="S118" i="351" a="1"/>
  <c r="C20" i="366"/>
  <c r="AA65" i="353" a="1"/>
  <c r="C15" i="309"/>
  <c r="B6" i="280"/>
  <c r="G99" i="351" a="1"/>
  <c r="AI48" i="353" a="1"/>
  <c r="AL10" i="353" a="1"/>
  <c r="J25" i="351" a="1"/>
  <c r="B6" i="469"/>
  <c r="M88" i="353" a="1"/>
  <c r="C19" i="118"/>
  <c r="AF97" i="353" l="1"/>
  <c r="AL19" i="353"/>
  <c r="F56" i="353"/>
  <c r="S168" i="351"/>
  <c r="M61" i="353"/>
  <c r="Q183" i="351"/>
  <c r="K80" i="353"/>
  <c r="G5" i="392"/>
  <c r="J80" i="351"/>
  <c r="AG3" i="353"/>
  <c r="K31" i="351"/>
  <c r="G11" i="343"/>
  <c r="K3" i="351"/>
  <c r="B34" i="144"/>
  <c r="G66" i="351"/>
  <c r="G9" i="447"/>
  <c r="G4" i="262"/>
  <c r="Q13" i="353"/>
  <c r="I194" i="351"/>
  <c r="S41" i="351"/>
  <c r="G53" i="353"/>
  <c r="E69" i="353"/>
  <c r="G8" i="381"/>
  <c r="W52" i="353"/>
  <c r="N102" i="353"/>
  <c r="AN31" i="353"/>
  <c r="H187" i="351"/>
  <c r="AE59" i="353"/>
  <c r="V70" i="353"/>
  <c r="P118" i="351"/>
  <c r="G9" i="342"/>
  <c r="AT35" i="353"/>
  <c r="M201" i="351"/>
  <c r="AQ37" i="353"/>
  <c r="AA40" i="353"/>
  <c r="M84" i="351"/>
  <c r="G15" i="278"/>
  <c r="G6" i="473"/>
  <c r="G126" i="351"/>
  <c r="AI90" i="353"/>
  <c r="P67" i="353"/>
  <c r="O183" i="351"/>
  <c r="Y56" i="353"/>
  <c r="G7" i="333"/>
  <c r="H171" i="351"/>
  <c r="M62" i="353"/>
  <c r="AG65" i="353"/>
  <c r="AG11" i="353"/>
  <c r="R117" i="351"/>
  <c r="G5" i="472"/>
  <c r="E25" i="353"/>
  <c r="G6" i="320"/>
  <c r="G7" i="424"/>
  <c r="AT19" i="353"/>
  <c r="M134" i="351"/>
  <c r="B8" i="355"/>
  <c r="AT10" i="6" s="1"/>
  <c r="G9" i="277"/>
  <c r="P99" i="353"/>
  <c r="AL10" i="353"/>
  <c r="G5" i="319"/>
  <c r="J89" i="351"/>
  <c r="R84" i="351"/>
  <c r="T46" i="351"/>
  <c r="AJ39" i="353"/>
  <c r="G151" i="351"/>
  <c r="Q79" i="351"/>
  <c r="G6" i="280"/>
  <c r="AT16" i="353"/>
  <c r="G14" i="118"/>
  <c r="H195" i="351"/>
  <c r="G6" i="268"/>
  <c r="G6" i="286"/>
  <c r="G7" i="429"/>
  <c r="T137" i="351"/>
  <c r="Y61" i="353"/>
  <c r="K19" i="353"/>
  <c r="O127" i="351"/>
  <c r="V39" i="353"/>
  <c r="G136" i="351"/>
  <c r="G10" i="363"/>
  <c r="G7" i="251"/>
  <c r="G9" i="400"/>
  <c r="AA72" i="353"/>
  <c r="AG13" i="353"/>
  <c r="AL14" i="353"/>
  <c r="AH15" i="353"/>
  <c r="AQ19" i="353"/>
  <c r="T178" i="351"/>
  <c r="G4" i="101"/>
  <c r="P108" i="351"/>
  <c r="W73" i="353"/>
  <c r="G6" i="392"/>
  <c r="L86" i="351"/>
  <c r="Q162" i="351"/>
  <c r="B36" i="144"/>
  <c r="AO39" i="6"/>
  <c r="AQ39" i="6" s="1"/>
  <c r="Q125" i="351"/>
  <c r="M162" i="351"/>
  <c r="J90" i="351"/>
  <c r="AH58" i="353"/>
  <c r="I159" i="351"/>
  <c r="O81" i="351"/>
  <c r="K64" i="353"/>
  <c r="G10" i="284"/>
  <c r="H27" i="351"/>
  <c r="Q56" i="353"/>
  <c r="Q72" i="353"/>
  <c r="U105" i="353"/>
  <c r="AA88" i="353"/>
  <c r="M39" i="353"/>
  <c r="AF26" i="353"/>
  <c r="AJ70" i="353"/>
  <c r="X61" i="353"/>
  <c r="AE16" i="353"/>
  <c r="E15" i="353"/>
  <c r="J181" i="351"/>
  <c r="G12" i="116"/>
  <c r="G13" i="320"/>
  <c r="G9" i="418"/>
  <c r="G7" i="367"/>
  <c r="AR75" i="353"/>
  <c r="G13" i="118"/>
  <c r="G9" i="425"/>
  <c r="AJ86" i="353"/>
  <c r="T99" i="351"/>
  <c r="AI48" i="353"/>
  <c r="G8" i="104"/>
  <c r="G9" i="109"/>
  <c r="I182" i="351"/>
  <c r="AJ43" i="353"/>
  <c r="I131" i="351"/>
  <c r="AF98" i="353"/>
  <c r="G6" i="272"/>
  <c r="G15" i="99"/>
  <c r="AV54" i="353"/>
  <c r="I104" i="353"/>
  <c r="P17" i="351"/>
  <c r="L20" i="351"/>
  <c r="AP65" i="353"/>
  <c r="G15" i="295"/>
  <c r="G10" i="427"/>
  <c r="AH65" i="353"/>
  <c r="L121" i="351"/>
  <c r="X49" i="353"/>
  <c r="K20" i="353"/>
  <c r="AN90" i="353"/>
  <c r="G5" i="110"/>
  <c r="G102" i="353"/>
  <c r="G15" i="118"/>
  <c r="I85" i="351"/>
  <c r="G5" i="288"/>
  <c r="T93" i="353"/>
  <c r="K163" i="351"/>
  <c r="O122" i="351"/>
  <c r="Y103" i="353"/>
  <c r="W114" i="353"/>
  <c r="AD76" i="353"/>
  <c r="R200" i="351"/>
  <c r="Y78" i="353"/>
  <c r="AO79" i="353"/>
  <c r="H105" i="353"/>
  <c r="H98" i="351"/>
  <c r="G99" i="351"/>
  <c r="J10" i="353"/>
  <c r="G4" i="314"/>
  <c r="AJ90" i="353"/>
  <c r="AD68" i="353"/>
  <c r="F41" i="353"/>
  <c r="V15" i="353"/>
  <c r="AS90" i="353"/>
  <c r="S135" i="351"/>
  <c r="G12" i="458"/>
  <c r="AS81" i="353"/>
  <c r="G9" i="284"/>
  <c r="N94" i="353"/>
  <c r="AN91" i="353"/>
  <c r="Q68" i="351"/>
  <c r="G6" i="285"/>
  <c r="X85" i="353"/>
  <c r="G14" i="320"/>
  <c r="G13" i="463"/>
  <c r="G5" i="289"/>
  <c r="M50" i="351"/>
  <c r="G10" i="116"/>
  <c r="AN101" i="353"/>
  <c r="Z19" i="353"/>
  <c r="I97" i="353"/>
  <c r="G104" i="351"/>
  <c r="G4" i="127"/>
  <c r="V79" i="353"/>
  <c r="G81" i="351"/>
  <c r="AI13" i="353"/>
  <c r="G149" i="351"/>
  <c r="G15" i="491"/>
  <c r="G4" i="95"/>
  <c r="AQ70" i="353"/>
  <c r="D17" i="146"/>
  <c r="X63" i="353"/>
  <c r="AF36" i="353"/>
  <c r="G6" i="251"/>
  <c r="G7" i="341"/>
  <c r="G5" i="100"/>
  <c r="T184" i="351"/>
  <c r="S173" i="351"/>
  <c r="B38" i="144"/>
  <c r="AK46" i="353"/>
  <c r="G4" i="335"/>
  <c r="J24" i="351"/>
  <c r="AB48" i="353"/>
  <c r="K125" i="351"/>
  <c r="G6" i="292"/>
  <c r="M64" i="351"/>
  <c r="G15" i="301"/>
  <c r="H21" i="353"/>
  <c r="H89" i="351"/>
  <c r="Q33" i="351"/>
  <c r="G11" i="366"/>
  <c r="G10" i="263"/>
  <c r="AV89" i="353"/>
  <c r="R101" i="351"/>
  <c r="F55" i="353"/>
  <c r="G8" i="293"/>
  <c r="AG21" i="353"/>
  <c r="P73" i="353"/>
  <c r="AF58" i="353"/>
  <c r="C10" i="145"/>
  <c r="G5" i="364"/>
  <c r="K110" i="351"/>
  <c r="T13" i="351"/>
  <c r="I67" i="353"/>
  <c r="J50" i="351"/>
  <c r="L9" i="351"/>
  <c r="K10" i="351"/>
  <c r="AH105" i="353"/>
  <c r="P58" i="351"/>
  <c r="AJ37" i="353"/>
  <c r="AN21" i="353"/>
  <c r="M189" i="351"/>
  <c r="G13" i="319"/>
  <c r="P182" i="351"/>
  <c r="AN26" i="353"/>
  <c r="G5" i="286"/>
  <c r="G4" i="290"/>
  <c r="V43" i="353"/>
  <c r="S62" i="351"/>
  <c r="K159" i="351"/>
  <c r="M195" i="351"/>
  <c r="G8" i="421"/>
  <c r="O24" i="353"/>
  <c r="AP105" i="353"/>
  <c r="Z70" i="353"/>
  <c r="AE104" i="353"/>
  <c r="U37" i="353"/>
  <c r="G10" i="445"/>
  <c r="I170" i="351"/>
  <c r="G4" i="413"/>
  <c r="F84" i="353"/>
  <c r="AV84" i="353"/>
  <c r="G5" i="465"/>
  <c r="G4" i="482"/>
  <c r="AD8" i="353"/>
  <c r="G7" i="266"/>
  <c r="F39" i="353"/>
  <c r="K86" i="351"/>
  <c r="AK19" i="353"/>
  <c r="O58" i="353"/>
  <c r="G14" i="418"/>
  <c r="M80" i="353"/>
  <c r="AA4" i="353"/>
  <c r="P72" i="351"/>
  <c r="G8" i="338"/>
  <c r="G5" i="103"/>
  <c r="AT30" i="353"/>
  <c r="AQ29" i="353"/>
  <c r="Z77" i="353"/>
  <c r="AD12" i="353"/>
  <c r="N70" i="353"/>
  <c r="Q94" i="353"/>
  <c r="AO21" i="6"/>
  <c r="AQ21" i="6" s="1"/>
  <c r="AA86" i="353"/>
  <c r="AT45" i="353"/>
  <c r="AS74" i="353"/>
  <c r="I57" i="351"/>
  <c r="Y104" i="353"/>
  <c r="G9" i="285"/>
  <c r="G10" i="434"/>
  <c r="I157" i="351"/>
  <c r="S52" i="351"/>
  <c r="L47" i="351"/>
  <c r="Q194" i="351"/>
  <c r="P34" i="351"/>
  <c r="U48" i="353"/>
  <c r="I44" i="353"/>
  <c r="Z81" i="353"/>
  <c r="G4" i="280"/>
  <c r="G9" i="421"/>
  <c r="L87" i="351"/>
  <c r="H68" i="353"/>
  <c r="P30" i="353"/>
  <c r="AO52" i="353"/>
  <c r="G6" i="122"/>
  <c r="AT103" i="353"/>
  <c r="I81" i="353"/>
  <c r="G11" i="277"/>
  <c r="H10" i="351"/>
  <c r="N72" i="353"/>
  <c r="S160" i="351"/>
  <c r="I105" i="353"/>
  <c r="G7" i="296"/>
  <c r="T182" i="351"/>
  <c r="J7" i="351"/>
  <c r="B25" i="144"/>
  <c r="G7" i="248"/>
  <c r="H175" i="351"/>
  <c r="P64" i="353"/>
  <c r="Y39" i="353"/>
  <c r="AP42" i="353"/>
  <c r="G11" i="285"/>
  <c r="AT27" i="353"/>
  <c r="G5" i="314"/>
  <c r="P15" i="351"/>
  <c r="G4" i="448"/>
  <c r="G14" i="104"/>
  <c r="AD58" i="353"/>
  <c r="I61" i="351"/>
  <c r="Q191" i="351"/>
  <c r="AG74" i="353"/>
  <c r="G13" i="430"/>
  <c r="I36" i="351"/>
  <c r="O44" i="353"/>
  <c r="G13" i="286"/>
  <c r="O83" i="351"/>
  <c r="G8" i="121"/>
  <c r="G4" i="414"/>
  <c r="K197" i="351"/>
  <c r="H29" i="351"/>
  <c r="M38" i="351"/>
  <c r="AT49" i="353"/>
  <c r="S105" i="351"/>
  <c r="H125" i="351"/>
  <c r="P56" i="351"/>
  <c r="G8" i="130"/>
  <c r="Y53" i="353"/>
  <c r="G141" i="351"/>
  <c r="L142" i="351"/>
  <c r="AT101" i="353"/>
  <c r="H134" i="351"/>
  <c r="O62" i="353"/>
  <c r="Q32" i="351"/>
  <c r="E41" i="353"/>
  <c r="AS103" i="353"/>
  <c r="G9" i="487"/>
  <c r="G4" i="417"/>
  <c r="G14" i="265"/>
  <c r="N23" i="353"/>
  <c r="J180" i="351"/>
  <c r="N95" i="353"/>
  <c r="H78" i="353"/>
  <c r="AK62" i="353"/>
  <c r="O25" i="353"/>
  <c r="AK102" i="353"/>
  <c r="J107" i="351"/>
  <c r="O128" i="351"/>
  <c r="AR88" i="353"/>
  <c r="AQ49" i="353"/>
  <c r="G6" i="309"/>
  <c r="O40" i="353"/>
  <c r="P49" i="351"/>
  <c r="R109" i="351"/>
  <c r="U87" i="353"/>
  <c r="C9" i="145"/>
  <c r="G9" i="475"/>
  <c r="M86" i="351"/>
  <c r="AT61" i="353"/>
  <c r="H162" i="351"/>
  <c r="M100" i="353"/>
  <c r="G55" i="353"/>
  <c r="AP57" i="353"/>
  <c r="O54" i="351"/>
  <c r="W81" i="353"/>
  <c r="AK3" i="353"/>
  <c r="J76" i="351"/>
  <c r="Q52" i="353"/>
  <c r="AB103" i="353"/>
  <c r="AB11" i="353"/>
  <c r="T94" i="351"/>
  <c r="G97" i="353"/>
  <c r="R111" i="351"/>
  <c r="P58" i="353"/>
  <c r="H168" i="351"/>
  <c r="AT55" i="353"/>
  <c r="G12" i="488"/>
  <c r="K47" i="353"/>
  <c r="H205" i="351"/>
  <c r="G7" i="416"/>
  <c r="G8" i="479"/>
  <c r="M199" i="351"/>
  <c r="AR61" i="353"/>
  <c r="AF38" i="353"/>
  <c r="C29" i="145"/>
  <c r="AN35" i="353"/>
  <c r="I29" i="353"/>
  <c r="T192" i="351"/>
  <c r="R28" i="351"/>
  <c r="AL79" i="353"/>
  <c r="R182" i="351"/>
  <c r="AO18" i="6"/>
  <c r="AQ18" i="6" s="1"/>
  <c r="G5" i="322"/>
  <c r="J201" i="351"/>
  <c r="G11" i="429"/>
  <c r="G6" i="348"/>
  <c r="M140" i="351"/>
  <c r="K37" i="353"/>
  <c r="W75" i="353"/>
  <c r="H119" i="351"/>
  <c r="T169" i="351"/>
  <c r="AS5" i="353"/>
  <c r="H74" i="351"/>
  <c r="F26" i="353"/>
  <c r="G7" i="304"/>
  <c r="AA25" i="353"/>
  <c r="X21" i="353"/>
  <c r="I122" i="351"/>
  <c r="G15" i="466"/>
  <c r="P75" i="353"/>
  <c r="G14" i="363"/>
  <c r="N86" i="353"/>
  <c r="Z94" i="353"/>
  <c r="N93" i="353"/>
  <c r="E114" i="353"/>
  <c r="G9" i="309"/>
  <c r="Q24" i="351"/>
  <c r="P52" i="351"/>
  <c r="G10" i="265"/>
  <c r="G15" i="123"/>
  <c r="K100" i="351"/>
  <c r="V73" i="353"/>
  <c r="I7" i="351"/>
  <c r="G7" i="265"/>
  <c r="G4" i="345"/>
  <c r="G7" i="473"/>
  <c r="AL81" i="353"/>
  <c r="G12" i="329"/>
  <c r="Y96" i="353"/>
  <c r="J72" i="351"/>
  <c r="G11" i="450"/>
  <c r="L157" i="351"/>
  <c r="G10" i="383"/>
  <c r="G5" i="308"/>
  <c r="G11" i="120"/>
  <c r="AS28" i="353"/>
  <c r="G13" i="113"/>
  <c r="S200" i="351"/>
  <c r="AU42" i="353"/>
  <c r="G9" i="110"/>
  <c r="G10" i="333"/>
  <c r="G11" i="333"/>
  <c r="H99" i="351"/>
  <c r="K33" i="351"/>
  <c r="T65" i="351"/>
  <c r="R133" i="351"/>
  <c r="G8" i="297"/>
  <c r="AG20" i="353"/>
  <c r="G11" i="420"/>
  <c r="H66" i="351"/>
  <c r="G8" i="333"/>
  <c r="AJ63" i="353"/>
  <c r="G7" i="482"/>
  <c r="G12" i="365"/>
  <c r="H59" i="351"/>
  <c r="AI59" i="353"/>
  <c r="G8" i="274"/>
  <c r="S97" i="351"/>
  <c r="L116" i="351"/>
  <c r="AH41" i="353"/>
  <c r="G4" i="270"/>
  <c r="S164" i="351"/>
  <c r="AI70" i="353"/>
  <c r="AT29" i="353"/>
  <c r="Q179" i="351"/>
  <c r="M57" i="353"/>
  <c r="Y82" i="353"/>
  <c r="AR34" i="353"/>
  <c r="AR72" i="353"/>
  <c r="Q80" i="351"/>
  <c r="D16" i="146"/>
  <c r="H117" i="351"/>
  <c r="K59" i="353"/>
  <c r="O18" i="351"/>
  <c r="T92" i="351"/>
  <c r="G6" i="327"/>
  <c r="G6" i="273"/>
  <c r="E66" i="353"/>
  <c r="T5" i="353"/>
  <c r="T167" i="351"/>
  <c r="AS63" i="353"/>
  <c r="G21" i="353"/>
  <c r="G105" i="353"/>
  <c r="AB86" i="353"/>
  <c r="L33" i="351"/>
  <c r="T128" i="351"/>
  <c r="AK75" i="353"/>
  <c r="AK11" i="353"/>
  <c r="T157" i="351"/>
  <c r="E49" i="353"/>
  <c r="P15" i="353"/>
  <c r="AJ102" i="353"/>
  <c r="O148" i="351"/>
  <c r="AA18" i="353"/>
  <c r="AV47" i="353"/>
  <c r="H101" i="353"/>
  <c r="R26" i="351"/>
  <c r="J69" i="353"/>
  <c r="AD17" i="353"/>
  <c r="N17" i="353"/>
  <c r="AR18" i="353"/>
  <c r="R177" i="351"/>
  <c r="G13" i="278"/>
  <c r="M62" i="351"/>
  <c r="G3" i="351"/>
  <c r="M164" i="351"/>
  <c r="G11" i="309"/>
  <c r="G13" i="275"/>
  <c r="G14" i="296"/>
  <c r="R155" i="351"/>
  <c r="O15" i="353"/>
  <c r="H146" i="351"/>
  <c r="AA65" i="353"/>
  <c r="K92" i="353"/>
  <c r="H22" i="351"/>
  <c r="AE90" i="353"/>
  <c r="G13" i="421"/>
  <c r="J108" i="351"/>
  <c r="AK86" i="353"/>
  <c r="L175" i="351"/>
  <c r="O27" i="351"/>
  <c r="E28" i="353"/>
  <c r="AV105" i="353"/>
  <c r="G6" i="103"/>
  <c r="X65" i="353"/>
  <c r="F78" i="353"/>
  <c r="G7" i="330"/>
  <c r="F13" i="353"/>
  <c r="F38" i="353"/>
  <c r="N60" i="353"/>
  <c r="G10" i="347"/>
  <c r="H5" i="351"/>
  <c r="O88" i="353"/>
  <c r="G10" i="252"/>
  <c r="G13" i="281"/>
  <c r="P71" i="351"/>
  <c r="AV71" i="353"/>
  <c r="AV44" i="353"/>
  <c r="G9" i="442"/>
  <c r="L122" i="351"/>
  <c r="Y87" i="353"/>
  <c r="C14" i="145"/>
  <c r="G11" i="414"/>
  <c r="K57" i="351"/>
  <c r="AP13" i="353"/>
  <c r="G12" i="120"/>
  <c r="G11" i="317"/>
  <c r="M33" i="353"/>
  <c r="P66" i="351"/>
  <c r="H95" i="353"/>
  <c r="P87" i="351"/>
  <c r="L106" i="351"/>
  <c r="G7" i="392"/>
  <c r="M41" i="351"/>
  <c r="P150" i="351"/>
  <c r="G14" i="261"/>
  <c r="AI17" i="353"/>
  <c r="T80" i="353"/>
  <c r="R47" i="351"/>
  <c r="Q107" i="351"/>
  <c r="G38" i="351"/>
  <c r="AR46" i="353"/>
  <c r="S122" i="351"/>
  <c r="N34" i="353"/>
  <c r="AI39" i="353"/>
  <c r="G10" i="365"/>
  <c r="T118" i="351"/>
  <c r="G12" i="466"/>
  <c r="G7" i="298"/>
  <c r="G77" i="353"/>
  <c r="G10" i="400"/>
  <c r="G6" i="129"/>
  <c r="Z100" i="353"/>
  <c r="C3" i="145"/>
  <c r="I189" i="351"/>
  <c r="AS59" i="353"/>
  <c r="M88" i="353"/>
  <c r="O60" i="353"/>
  <c r="AO105" i="353"/>
  <c r="E104" i="353"/>
  <c r="AL30" i="353"/>
  <c r="AU51" i="353"/>
  <c r="M117" i="351"/>
  <c r="U17" i="353"/>
  <c r="AO14" i="353"/>
  <c r="S195" i="351"/>
  <c r="E35" i="353"/>
  <c r="R176" i="351"/>
  <c r="I47" i="353"/>
  <c r="G12" i="331"/>
  <c r="F67" i="353"/>
  <c r="L99" i="351"/>
  <c r="Q38" i="351"/>
  <c r="AO4" i="6"/>
  <c r="AQ4" i="6" s="1"/>
  <c r="G15" i="319"/>
  <c r="Z52" i="353"/>
  <c r="Y76" i="353"/>
  <c r="AO102" i="353"/>
  <c r="G5" i="291"/>
  <c r="G12" i="276"/>
  <c r="G9" i="270"/>
  <c r="Z34" i="353"/>
  <c r="AI105" i="353"/>
  <c r="AO26" i="353"/>
  <c r="I49" i="353"/>
  <c r="R115" i="351"/>
  <c r="P53" i="351"/>
  <c r="G14" i="285"/>
  <c r="G202" i="351"/>
  <c r="J100" i="351"/>
  <c r="G8" i="249"/>
  <c r="G13" i="248"/>
  <c r="AS60" i="353"/>
  <c r="J74" i="353"/>
  <c r="H156" i="351"/>
  <c r="L101" i="351"/>
  <c r="K129" i="351"/>
  <c r="AH55" i="353"/>
  <c r="J26" i="353"/>
  <c r="AI55" i="353"/>
  <c r="G9" i="351"/>
  <c r="Y66" i="353"/>
  <c r="AL34" i="353"/>
  <c r="S205" i="351"/>
  <c r="L22" i="351"/>
  <c r="F101" i="353"/>
  <c r="G13" i="257"/>
  <c r="P87" i="353"/>
  <c r="M64" i="353"/>
  <c r="G11" i="256"/>
  <c r="V59" i="353"/>
  <c r="I133" i="351"/>
  <c r="K62" i="353"/>
  <c r="G4" i="385"/>
  <c r="I11" i="351"/>
  <c r="AL41" i="353"/>
  <c r="G12" i="428"/>
  <c r="G9" i="249"/>
  <c r="AE17" i="353"/>
  <c r="AI72" i="353"/>
  <c r="T153" i="351"/>
  <c r="G6" i="323"/>
  <c r="AH90" i="353"/>
  <c r="G12" i="332"/>
  <c r="F45" i="353"/>
  <c r="J127" i="351"/>
  <c r="X27" i="353"/>
  <c r="Q16" i="353"/>
  <c r="G6" i="351"/>
  <c r="AP41" i="353"/>
  <c r="G43" i="351"/>
  <c r="G6" i="385"/>
  <c r="G15" i="342"/>
  <c r="AQ93" i="353"/>
  <c r="G11" i="101"/>
  <c r="W3" i="353"/>
  <c r="G6" i="415"/>
  <c r="G6" i="488"/>
  <c r="M179" i="351"/>
  <c r="R139" i="351"/>
  <c r="AR92" i="353"/>
  <c r="Q104" i="351"/>
  <c r="J34" i="351"/>
  <c r="G8" i="483"/>
  <c r="AD103" i="353"/>
  <c r="G11" i="418"/>
  <c r="AV36" i="353"/>
  <c r="G7" i="359"/>
  <c r="C50" i="145"/>
  <c r="AU37" i="353"/>
  <c r="AU67" i="353"/>
  <c r="J109" i="351"/>
  <c r="G5" i="316"/>
  <c r="R148" i="351"/>
  <c r="G6" i="410"/>
  <c r="G4" i="331"/>
  <c r="H51" i="353"/>
  <c r="G203" i="351"/>
  <c r="G14" i="366"/>
  <c r="AU54" i="353"/>
  <c r="AU18" i="353"/>
  <c r="G14" i="388"/>
  <c r="L196" i="351"/>
  <c r="G8" i="325"/>
  <c r="Q36" i="353"/>
  <c r="W38" i="353"/>
  <c r="G8" i="349"/>
  <c r="H103" i="351"/>
  <c r="G5" i="363"/>
  <c r="O14" i="351"/>
  <c r="O105" i="353"/>
  <c r="AF74" i="353"/>
  <c r="P145" i="351"/>
  <c r="G15" i="317"/>
  <c r="O178" i="351"/>
  <c r="D36" i="146"/>
  <c r="G9" i="266"/>
  <c r="G7" i="301"/>
  <c r="O16" i="351"/>
  <c r="N40" i="353"/>
  <c r="I43" i="353"/>
  <c r="G15" i="346"/>
  <c r="M89" i="351"/>
  <c r="R57" i="351"/>
  <c r="G7" i="280"/>
  <c r="G11" i="100"/>
  <c r="G10" i="418"/>
  <c r="K62" i="351"/>
  <c r="Q61" i="351"/>
  <c r="AQ55" i="353"/>
  <c r="G8" i="367"/>
  <c r="S143" i="351"/>
  <c r="G8" i="309"/>
  <c r="Q97" i="353"/>
  <c r="AL65" i="353"/>
  <c r="E2" i="355"/>
  <c r="AW4" i="6" s="1"/>
  <c r="W96" i="353"/>
  <c r="AO95" i="353"/>
  <c r="S47" i="351"/>
  <c r="G12" i="268"/>
  <c r="P20" i="351"/>
  <c r="H153" i="351"/>
  <c r="M26" i="351"/>
  <c r="H172" i="351"/>
  <c r="AA96" i="353"/>
  <c r="G5" i="285"/>
  <c r="S102" i="351"/>
  <c r="G10" i="297"/>
  <c r="AP32" i="353"/>
  <c r="H194" i="351"/>
  <c r="G115" i="351"/>
  <c r="AA21" i="353"/>
  <c r="Y40" i="353"/>
  <c r="G10" i="280"/>
  <c r="J37" i="351"/>
  <c r="Q62" i="353"/>
  <c r="R161" i="351"/>
  <c r="D35" i="146"/>
  <c r="L19" i="351"/>
  <c r="G4" i="318"/>
  <c r="G66" i="353"/>
  <c r="T75" i="351"/>
  <c r="G14" i="252"/>
  <c r="Q188" i="351"/>
  <c r="Y11" i="353"/>
  <c r="G5" i="307"/>
  <c r="R204" i="351"/>
  <c r="G10" i="107"/>
  <c r="G4" i="109"/>
  <c r="J39" i="353"/>
  <c r="G5" i="326"/>
  <c r="AR29" i="353"/>
  <c r="AO39" i="353"/>
  <c r="AP73" i="353"/>
  <c r="AT17" i="353"/>
  <c r="T56" i="351"/>
  <c r="C30" i="145"/>
  <c r="AR51" i="353"/>
  <c r="G6" i="310"/>
  <c r="G10" i="456"/>
  <c r="H85" i="351"/>
  <c r="G5" i="429"/>
  <c r="M81" i="353"/>
  <c r="R72" i="351"/>
  <c r="P117" i="351"/>
  <c r="I108" i="351"/>
  <c r="R40" i="353"/>
  <c r="T21" i="351"/>
  <c r="G8" i="266"/>
  <c r="M193" i="351"/>
  <c r="AU4" i="353"/>
  <c r="G10" i="283"/>
  <c r="C42" i="145"/>
  <c r="AN34" i="353"/>
  <c r="AK105" i="353"/>
  <c r="G14" i="284"/>
  <c r="AH52" i="353"/>
  <c r="G5" i="410"/>
  <c r="G9" i="301"/>
  <c r="E76" i="353"/>
  <c r="AH72" i="353"/>
  <c r="I130" i="351"/>
  <c r="G10" i="266"/>
  <c r="G10" i="487"/>
  <c r="P128" i="351"/>
  <c r="G5" i="413"/>
  <c r="M158" i="351"/>
  <c r="G12" i="456"/>
  <c r="Z104" i="353"/>
  <c r="R189" i="351"/>
  <c r="W68" i="353"/>
  <c r="G14" i="331"/>
  <c r="G14" i="123"/>
  <c r="R88" i="353"/>
  <c r="O84" i="353"/>
  <c r="M37" i="353"/>
  <c r="AB89" i="353"/>
  <c r="AR56" i="353"/>
  <c r="O45" i="351"/>
  <c r="K76" i="353"/>
  <c r="G7" i="455"/>
  <c r="AD33" i="353"/>
  <c r="G15" i="331"/>
  <c r="G7" i="475"/>
  <c r="M166" i="351"/>
  <c r="V105" i="353"/>
  <c r="P3" i="375"/>
  <c r="G201" i="351"/>
  <c r="G7" i="450"/>
  <c r="G4" i="469"/>
  <c r="G8" i="481"/>
  <c r="R71" i="353"/>
  <c r="AQ68" i="353"/>
  <c r="H89" i="353"/>
  <c r="G12" i="345"/>
  <c r="G4" i="268"/>
  <c r="G12" i="99"/>
  <c r="U22" i="353"/>
  <c r="AF5" i="353"/>
  <c r="G15" i="430"/>
  <c r="G207" i="351"/>
  <c r="R134" i="351"/>
  <c r="G7" i="474"/>
  <c r="M27" i="351"/>
  <c r="P16" i="351"/>
  <c r="L167" i="351"/>
  <c r="U55" i="353"/>
  <c r="P74" i="353"/>
  <c r="AL66" i="353"/>
  <c r="G10" i="262"/>
  <c r="G4" i="293"/>
  <c r="J77" i="353"/>
  <c r="AG41" i="353"/>
  <c r="G14" i="464"/>
  <c r="AO70" i="353"/>
  <c r="T103" i="351"/>
  <c r="G14" i="283"/>
  <c r="M15" i="353"/>
  <c r="AF15" i="353"/>
  <c r="AJ81" i="353"/>
  <c r="U12" i="353"/>
  <c r="Q73" i="353"/>
  <c r="G15" i="300"/>
  <c r="AE49" i="353"/>
  <c r="T133" i="351"/>
  <c r="O186" i="351"/>
  <c r="L165" i="351"/>
  <c r="P95" i="353"/>
  <c r="H164" i="351"/>
  <c r="AS39" i="353"/>
  <c r="G13" i="368"/>
  <c r="O28" i="353"/>
  <c r="I11" i="353"/>
  <c r="Q49" i="351"/>
  <c r="AH114" i="353"/>
  <c r="P144" i="351"/>
  <c r="I179" i="351"/>
  <c r="AF104" i="353"/>
  <c r="W26" i="353"/>
  <c r="G5" i="483"/>
  <c r="U77" i="353"/>
  <c r="AN10" i="353"/>
  <c r="Z73" i="353"/>
  <c r="M160" i="351"/>
  <c r="M99" i="353"/>
  <c r="G5" i="115"/>
  <c r="G9" i="263"/>
  <c r="G4" i="120"/>
  <c r="G13" i="247"/>
  <c r="M72" i="351"/>
  <c r="P161" i="351"/>
  <c r="G5" i="359"/>
  <c r="G8" i="427"/>
  <c r="P138" i="351"/>
  <c r="AT89" i="353"/>
  <c r="K47" i="351"/>
  <c r="S118" i="351"/>
  <c r="AJ34" i="353"/>
  <c r="G12" i="341"/>
  <c r="S106" i="351"/>
  <c r="G9" i="482"/>
  <c r="J183" i="351"/>
  <c r="G13" i="273"/>
  <c r="G14" i="89"/>
  <c r="G8" i="122"/>
  <c r="N58" i="353"/>
  <c r="E81" i="353"/>
  <c r="K30" i="353"/>
  <c r="T20" i="351"/>
  <c r="G7" i="419"/>
  <c r="AB102" i="353"/>
  <c r="G6" i="429"/>
  <c r="AI84" i="353"/>
  <c r="S92" i="351"/>
  <c r="AN36" i="353"/>
  <c r="G9" i="339"/>
  <c r="G9" i="276"/>
  <c r="AP11" i="353"/>
  <c r="F52" i="353"/>
  <c r="AN6" i="353"/>
  <c r="G8" i="420"/>
  <c r="H69" i="351"/>
  <c r="AG82" i="353"/>
  <c r="AD86" i="353"/>
  <c r="Z60" i="353"/>
  <c r="S74" i="351"/>
  <c r="G12" i="473"/>
  <c r="K148" i="351"/>
  <c r="S79" i="351"/>
  <c r="G10" i="120"/>
  <c r="AT60" i="353"/>
  <c r="T154" i="351"/>
  <c r="V31" i="353"/>
  <c r="L76" i="351"/>
  <c r="U67" i="353"/>
  <c r="AK20" i="353"/>
  <c r="AE27" i="353"/>
  <c r="O95" i="351"/>
  <c r="N92" i="353"/>
  <c r="T95" i="351"/>
  <c r="I15" i="351"/>
  <c r="Q190" i="351"/>
  <c r="Q117" i="351"/>
  <c r="G15" i="415"/>
  <c r="H34" i="353"/>
  <c r="Q11" i="351"/>
  <c r="G4" i="316"/>
  <c r="W5" i="353"/>
  <c r="G13" i="490"/>
  <c r="G15" i="340"/>
  <c r="H36" i="353"/>
  <c r="AF18" i="353"/>
  <c r="G9" i="297"/>
  <c r="I150" i="351"/>
  <c r="H131" i="351"/>
  <c r="G9" i="278"/>
  <c r="P94" i="353"/>
  <c r="AP51" i="353"/>
  <c r="G11" i="283"/>
  <c r="T185" i="351"/>
  <c r="Q116" i="351"/>
  <c r="J132" i="351"/>
  <c r="M188" i="351"/>
  <c r="G11" i="103"/>
  <c r="P39" i="353"/>
  <c r="I63" i="353"/>
  <c r="N41" i="353"/>
  <c r="P19" i="351"/>
  <c r="Z97" i="353"/>
  <c r="P18" i="353"/>
  <c r="AQ15" i="353"/>
  <c r="AA67" i="353"/>
  <c r="X12" i="353"/>
  <c r="G13" i="339"/>
  <c r="J56" i="353"/>
  <c r="I152" i="351"/>
  <c r="B23" i="144"/>
  <c r="K82" i="351"/>
  <c r="AD62" i="353"/>
  <c r="S171" i="351"/>
  <c r="P22" i="351"/>
  <c r="M47" i="351"/>
  <c r="AJ53" i="353"/>
  <c r="AL3" i="353"/>
  <c r="G12" i="314"/>
  <c r="S154" i="351"/>
  <c r="P110" i="351"/>
  <c r="M52" i="353"/>
  <c r="AH64" i="353"/>
  <c r="G10" i="311"/>
  <c r="K182" i="351"/>
  <c r="AB84" i="353"/>
  <c r="K15" i="351"/>
  <c r="P111" i="351"/>
  <c r="AE99" i="353"/>
  <c r="W50" i="353"/>
  <c r="G5" i="246"/>
  <c r="I112" i="351"/>
  <c r="AA97" i="353"/>
  <c r="AL20" i="353"/>
  <c r="X74" i="353"/>
  <c r="AQ82" i="353"/>
  <c r="AJ87" i="353"/>
  <c r="AI14" i="6"/>
  <c r="AH100" i="353"/>
  <c r="G4" i="249"/>
  <c r="T13" i="353"/>
  <c r="C19" i="145"/>
  <c r="L90" i="351"/>
  <c r="AG83" i="353"/>
  <c r="J41" i="353"/>
  <c r="K172" i="351"/>
  <c r="J176" i="351"/>
  <c r="L206" i="351"/>
  <c r="G6" i="276"/>
  <c r="R53" i="353"/>
  <c r="AH29" i="353"/>
  <c r="M21" i="353"/>
  <c r="G8" i="376"/>
  <c r="AP53" i="353"/>
  <c r="P97" i="351"/>
  <c r="G9" i="314"/>
  <c r="G5" i="420"/>
  <c r="G9" i="416"/>
  <c r="G9" i="380"/>
  <c r="U68" i="353"/>
  <c r="M83" i="353"/>
  <c r="AP3" i="353"/>
  <c r="AF94" i="353"/>
  <c r="G8" i="258"/>
  <c r="J172" i="351"/>
  <c r="O18" i="353"/>
  <c r="V36" i="353"/>
  <c r="G14" i="429"/>
  <c r="G8" i="412"/>
  <c r="T84" i="351"/>
  <c r="K115" i="351"/>
  <c r="AP33" i="353"/>
  <c r="Q132" i="351"/>
  <c r="P78" i="351"/>
  <c r="G4" i="14"/>
  <c r="V26" i="353"/>
  <c r="V102" i="353"/>
  <c r="G4" i="416"/>
  <c r="AA92" i="353"/>
  <c r="S167" i="351"/>
  <c r="G75" i="351"/>
  <c r="G20" i="351"/>
  <c r="P133" i="351"/>
  <c r="F42" i="353"/>
  <c r="G11" i="421"/>
  <c r="G4" i="324"/>
  <c r="G5" i="303"/>
  <c r="S66" i="351"/>
  <c r="K111" i="351"/>
  <c r="AT92" i="353"/>
  <c r="H40" i="351"/>
  <c r="V41" i="353"/>
  <c r="H61" i="353"/>
  <c r="AD90" i="353"/>
  <c r="H11" i="351"/>
  <c r="P83" i="353"/>
  <c r="AP103" i="353"/>
  <c r="K74" i="351"/>
  <c r="AU82" i="353"/>
  <c r="M68" i="351"/>
  <c r="I183" i="351"/>
  <c r="O78" i="353"/>
  <c r="J138" i="351"/>
  <c r="U62" i="353"/>
  <c r="AO27" i="6"/>
  <c r="AQ27" i="6" s="1"/>
  <c r="AA41" i="353"/>
  <c r="L37" i="351"/>
  <c r="AR38" i="353"/>
  <c r="G7" i="328"/>
  <c r="G4" i="325"/>
  <c r="G5" i="292"/>
  <c r="AO17" i="6"/>
  <c r="AQ17" i="6" s="1"/>
  <c r="O124" i="351"/>
  <c r="AB15" i="353"/>
  <c r="C5" i="355"/>
  <c r="AU7" i="6" s="1"/>
  <c r="G5" i="388"/>
  <c r="H122" i="351"/>
  <c r="G12" i="454"/>
  <c r="Y77" i="353"/>
  <c r="AP82" i="353"/>
  <c r="AL91" i="353"/>
  <c r="N52" i="353"/>
  <c r="T12" i="353"/>
  <c r="M32" i="353"/>
  <c r="G5" i="366"/>
  <c r="G11" i="346"/>
  <c r="P115" i="351"/>
  <c r="G11" i="94"/>
  <c r="P160" i="351"/>
  <c r="G7" i="490"/>
  <c r="G6" i="343"/>
  <c r="Y16" i="353"/>
  <c r="Q153" i="351"/>
  <c r="G11" i="330"/>
  <c r="G94" i="353"/>
  <c r="G12" i="381"/>
  <c r="AE47" i="353"/>
  <c r="G13" i="265"/>
  <c r="AV73" i="353"/>
  <c r="AF52" i="353"/>
  <c r="K94" i="351"/>
  <c r="AH17" i="353"/>
  <c r="K101" i="353"/>
  <c r="P130" i="351"/>
  <c r="H84" i="353"/>
  <c r="AN85" i="353"/>
  <c r="P9" i="351"/>
  <c r="I16" i="353"/>
  <c r="S183" i="351"/>
  <c r="H87" i="353"/>
  <c r="J29" i="351"/>
  <c r="K16" i="351"/>
  <c r="AN15" i="353"/>
  <c r="I18" i="353"/>
  <c r="O71" i="351"/>
  <c r="G9" i="94"/>
  <c r="G5" i="333"/>
  <c r="R124" i="351"/>
  <c r="G7" i="448"/>
  <c r="U13" i="353"/>
  <c r="B4" i="355"/>
  <c r="AT6" i="6" s="1"/>
  <c r="K14" i="351"/>
  <c r="G9" i="494"/>
  <c r="G4" i="421"/>
  <c r="AI71" i="353"/>
  <c r="G11" i="311"/>
  <c r="T170" i="351"/>
  <c r="G9" i="290"/>
  <c r="AB100" i="353"/>
  <c r="G4" i="396"/>
  <c r="G10" i="396"/>
  <c r="G7" i="252"/>
  <c r="G5" i="298"/>
  <c r="M91" i="351"/>
  <c r="G6" i="474"/>
  <c r="P93" i="351"/>
  <c r="G4" i="96"/>
  <c r="G15" i="359"/>
  <c r="P65" i="351"/>
  <c r="O46" i="353"/>
  <c r="G8" i="101"/>
  <c r="S91" i="351"/>
  <c r="G4" i="118"/>
  <c r="G10" i="413"/>
  <c r="G68" i="353"/>
  <c r="G8" i="392"/>
  <c r="E59" i="353"/>
  <c r="G11" i="388"/>
  <c r="AF102" i="353"/>
  <c r="Y20" i="353"/>
  <c r="AG40" i="353"/>
  <c r="G7" i="306"/>
  <c r="G113" i="351"/>
  <c r="AK96" i="353"/>
  <c r="P59" i="353"/>
  <c r="AB114" i="353"/>
  <c r="G8" i="246"/>
  <c r="O53" i="353"/>
  <c r="AU72" i="353"/>
  <c r="O87" i="353"/>
  <c r="G4" i="337"/>
  <c r="AD64" i="353"/>
  <c r="AU5" i="353"/>
  <c r="I67" i="351"/>
  <c r="G11" i="274"/>
  <c r="AD21" i="353"/>
  <c r="J167" i="351"/>
  <c r="G4" i="279"/>
  <c r="G4" i="269"/>
  <c r="M144" i="351"/>
  <c r="G69" i="351"/>
  <c r="G10" i="417"/>
  <c r="AI3" i="353"/>
  <c r="AR76" i="353"/>
  <c r="G15" i="433"/>
  <c r="G15" i="338"/>
  <c r="H71" i="351"/>
  <c r="N37" i="353"/>
  <c r="G84" i="351"/>
  <c r="G13" i="450"/>
  <c r="AL8" i="353"/>
  <c r="H84" i="351"/>
  <c r="G5" i="299"/>
  <c r="S147" i="351"/>
  <c r="AE61" i="353"/>
  <c r="K164" i="351"/>
  <c r="G12" i="282"/>
  <c r="T64" i="353"/>
  <c r="AE45" i="353"/>
  <c r="G14" i="393"/>
  <c r="AO33" i="353"/>
  <c r="R163" i="351"/>
  <c r="K105" i="351"/>
  <c r="G14" i="263"/>
  <c r="AJ50" i="353"/>
  <c r="K80" i="351"/>
  <c r="AT77" i="353"/>
  <c r="AN97" i="353"/>
  <c r="AV5" i="353"/>
  <c r="G11" i="479"/>
  <c r="AE93" i="353"/>
  <c r="G4" i="340"/>
  <c r="O76" i="351"/>
  <c r="K39" i="351"/>
  <c r="H3" i="351"/>
  <c r="M47" i="353"/>
  <c r="J75" i="353"/>
  <c r="G148" i="351"/>
  <c r="G182" i="351"/>
  <c r="AJ26" i="353"/>
  <c r="G10" i="466"/>
  <c r="S201" i="351"/>
  <c r="H113" i="351"/>
  <c r="G14" i="483"/>
  <c r="AR64" i="353"/>
  <c r="G10" i="429"/>
  <c r="M23" i="351"/>
  <c r="G8" i="310"/>
  <c r="G14" i="307"/>
  <c r="G8" i="316"/>
  <c r="W72" i="353"/>
  <c r="AE8" i="353"/>
  <c r="G13" i="285"/>
  <c r="E12" i="355"/>
  <c r="AW14" i="6" s="1"/>
  <c r="S207" i="351"/>
  <c r="AT71" i="353"/>
  <c r="G6" i="365"/>
  <c r="J63" i="353"/>
  <c r="AQ67" i="353"/>
  <c r="M59" i="351"/>
  <c r="AU29" i="353"/>
  <c r="Y71" i="353"/>
  <c r="J83" i="351"/>
  <c r="G4" i="327"/>
  <c r="AI93" i="353"/>
  <c r="G9" i="258"/>
  <c r="G9" i="411"/>
  <c r="N45" i="353"/>
  <c r="G15" i="127"/>
  <c r="AP80" i="353"/>
  <c r="AJ80" i="353"/>
  <c r="R46" i="353"/>
  <c r="Y52" i="353"/>
  <c r="K176" i="351"/>
  <c r="F44" i="353"/>
  <c r="M141" i="351"/>
  <c r="G15" i="315"/>
  <c r="B3" i="355"/>
  <c r="AT5" i="6" s="1"/>
  <c r="G12" i="295"/>
  <c r="G11" i="292"/>
  <c r="G10" i="405"/>
  <c r="G101" i="351"/>
  <c r="AL59" i="353"/>
  <c r="G11" i="454"/>
  <c r="G8" i="311"/>
  <c r="I62" i="353"/>
  <c r="G12" i="252"/>
  <c r="AD54" i="353"/>
  <c r="W37" i="353"/>
  <c r="G7" i="426"/>
  <c r="T166" i="351"/>
  <c r="G7" i="294"/>
  <c r="F27" i="353"/>
  <c r="J20" i="353"/>
  <c r="G15" i="403"/>
  <c r="AS62" i="353"/>
  <c r="G7" i="107"/>
  <c r="AI19" i="353"/>
  <c r="AG69" i="353"/>
  <c r="G4" i="367"/>
  <c r="G9" i="465"/>
  <c r="H52" i="351"/>
  <c r="AP27" i="353"/>
  <c r="G11" i="491"/>
  <c r="AR16" i="353"/>
  <c r="G5" i="258"/>
  <c r="B6" i="355"/>
  <c r="AT8" i="6" s="1"/>
  <c r="AN20" i="353"/>
  <c r="AT97" i="353"/>
  <c r="AV86" i="353"/>
  <c r="H204" i="351"/>
  <c r="I139" i="351"/>
  <c r="AL42" i="353"/>
  <c r="AD32" i="353"/>
  <c r="G5" i="450"/>
  <c r="T204" i="351"/>
  <c r="G7" i="272"/>
  <c r="X37" i="353"/>
  <c r="AV23" i="353"/>
  <c r="G9" i="316"/>
  <c r="N82" i="353"/>
  <c r="AU105" i="353"/>
  <c r="E86" i="353"/>
  <c r="Q207" i="351"/>
  <c r="O196" i="351"/>
  <c r="G15" i="376"/>
  <c r="G8" i="286"/>
  <c r="G14" i="99"/>
  <c r="Q206" i="351"/>
  <c r="K191" i="351"/>
  <c r="M198" i="351"/>
  <c r="AS76" i="353"/>
  <c r="AS33" i="353"/>
  <c r="AA29" i="353"/>
  <c r="X101" i="353"/>
  <c r="M93" i="353"/>
  <c r="O20" i="351"/>
  <c r="S189" i="351"/>
  <c r="M29" i="351"/>
  <c r="G6" i="388"/>
  <c r="K147" i="351"/>
  <c r="G5" i="490"/>
  <c r="G4" i="366"/>
  <c r="G6" i="430"/>
  <c r="K18" i="351"/>
  <c r="M168" i="351"/>
  <c r="M98" i="353"/>
  <c r="G9" i="376"/>
  <c r="Y45" i="353"/>
  <c r="G12" i="346"/>
  <c r="AL76" i="353"/>
  <c r="G4" i="463"/>
  <c r="R80" i="353"/>
  <c r="G12" i="367"/>
  <c r="G5" i="97"/>
  <c r="AL95" i="353"/>
  <c r="G11" i="442"/>
  <c r="G13" i="288"/>
  <c r="G13" i="364"/>
  <c r="Q142" i="351"/>
  <c r="G4" i="245"/>
  <c r="U43" i="353"/>
  <c r="G14" i="281"/>
  <c r="AG4" i="353"/>
  <c r="L179" i="351"/>
  <c r="AL25" i="353"/>
  <c r="G13" i="305"/>
  <c r="AA66" i="353"/>
  <c r="P191" i="351"/>
  <c r="I121" i="351"/>
  <c r="M82" i="351"/>
  <c r="G15" i="458"/>
  <c r="AF14" i="353"/>
  <c r="AL24" i="353"/>
  <c r="X89" i="353"/>
  <c r="H99" i="353"/>
  <c r="G14" i="128"/>
  <c r="G9" i="260"/>
  <c r="G11" i="301"/>
  <c r="R66" i="353"/>
  <c r="T143" i="351"/>
  <c r="B18" i="144"/>
  <c r="O72" i="353"/>
  <c r="G10" i="287"/>
  <c r="G11" i="472"/>
  <c r="H35" i="353"/>
  <c r="AQ96" i="353"/>
  <c r="P185" i="351"/>
  <c r="AN68" i="353"/>
  <c r="AG86" i="353"/>
  <c r="G15" i="299"/>
  <c r="M73" i="353"/>
  <c r="G6" i="345"/>
  <c r="G6" i="384"/>
  <c r="AD93" i="353"/>
  <c r="Y19" i="353"/>
  <c r="M69" i="351"/>
  <c r="Q39" i="351"/>
  <c r="G10" i="367"/>
  <c r="G8" i="475"/>
  <c r="G10" i="393"/>
  <c r="Z6" i="353"/>
  <c r="AH83" i="353"/>
  <c r="L56" i="351"/>
  <c r="O61" i="353"/>
  <c r="G13" i="306"/>
  <c r="H45" i="353"/>
  <c r="G8" i="429"/>
  <c r="G7" i="129"/>
  <c r="Q118" i="351"/>
  <c r="AQ72" i="353"/>
  <c r="Z87" i="353"/>
  <c r="J87" i="353"/>
  <c r="M155" i="351"/>
  <c r="R26" i="353"/>
  <c r="G8" i="413"/>
  <c r="S31" i="351"/>
  <c r="AS92" i="353"/>
  <c r="B51" i="144"/>
  <c r="J52" i="6" s="1"/>
  <c r="G137" i="351"/>
  <c r="S63" i="351"/>
  <c r="Q13" i="351"/>
  <c r="V7" i="353"/>
  <c r="H85" i="353"/>
  <c r="G11" i="290"/>
  <c r="AU12" i="353"/>
  <c r="G11" i="318"/>
  <c r="H163" i="351"/>
  <c r="E30" i="353"/>
  <c r="G12" i="353"/>
  <c r="S188" i="351"/>
  <c r="I23" i="353"/>
  <c r="G7" i="338"/>
  <c r="G15" i="328"/>
  <c r="G8" i="388"/>
  <c r="M33" i="351"/>
  <c r="K76" i="351"/>
  <c r="AD74" i="353"/>
  <c r="M39" i="351"/>
  <c r="G6" i="335"/>
  <c r="G15" i="399"/>
  <c r="P156" i="351"/>
  <c r="L60" i="351"/>
  <c r="G5" i="317"/>
  <c r="G14" i="315"/>
  <c r="G5" i="104"/>
  <c r="M184" i="351"/>
  <c r="G11" i="281"/>
  <c r="AU11" i="353"/>
  <c r="AS23" i="353"/>
  <c r="H16" i="351"/>
  <c r="AT67" i="353"/>
  <c r="W41" i="353"/>
  <c r="G33" i="353"/>
  <c r="H25" i="353"/>
  <c r="AD30" i="353"/>
  <c r="G14" i="445"/>
  <c r="G8" i="113"/>
  <c r="T145" i="351"/>
  <c r="AI18" i="6"/>
  <c r="N80" i="353"/>
  <c r="G7" i="434"/>
  <c r="J104" i="351"/>
  <c r="AG60" i="353"/>
  <c r="V81" i="353"/>
  <c r="G7" i="290"/>
  <c r="AQ59" i="353"/>
  <c r="AL5" i="353"/>
  <c r="AG114" i="353"/>
  <c r="G10" i="286"/>
  <c r="G9" i="293"/>
  <c r="G14" i="323"/>
  <c r="R10" i="353"/>
  <c r="G11" i="279"/>
  <c r="AI6" i="6"/>
  <c r="S51" i="351"/>
  <c r="O66" i="353"/>
  <c r="AN61" i="353"/>
  <c r="P121" i="351"/>
  <c r="AT74" i="353"/>
  <c r="G6" i="289"/>
  <c r="G6" i="339"/>
  <c r="W101" i="353"/>
  <c r="F18" i="353"/>
  <c r="G39" i="351"/>
  <c r="Q101" i="353"/>
  <c r="U35" i="353"/>
  <c r="Z3" i="353"/>
  <c r="G9" i="129"/>
  <c r="G9" i="330"/>
  <c r="I53" i="351"/>
  <c r="G101" i="353"/>
  <c r="AL28" i="353"/>
  <c r="R169" i="351"/>
  <c r="G8" i="307"/>
  <c r="G6" i="380"/>
  <c r="G10" i="346"/>
  <c r="G5" i="257"/>
  <c r="G9" i="454"/>
  <c r="U27" i="353"/>
  <c r="G10" i="305"/>
  <c r="G6" i="302"/>
  <c r="AE22" i="353"/>
  <c r="AQ65" i="353"/>
  <c r="C27" i="145"/>
  <c r="O61" i="351"/>
  <c r="AL69" i="353"/>
  <c r="AT68" i="353"/>
  <c r="K69" i="351"/>
  <c r="G10" i="440"/>
  <c r="G13" i="462"/>
  <c r="K119" i="351"/>
  <c r="AJ89" i="353"/>
  <c r="G9" i="326"/>
  <c r="AP99" i="353"/>
  <c r="G7" i="291"/>
  <c r="AN17" i="353"/>
  <c r="T15" i="353"/>
  <c r="AU25" i="353"/>
  <c r="AR79" i="353"/>
  <c r="Q186" i="351"/>
  <c r="G13" i="97"/>
  <c r="K28" i="351"/>
  <c r="AH68" i="353"/>
  <c r="AK66" i="353"/>
  <c r="G7" i="308"/>
  <c r="C24" i="145"/>
  <c r="J36" i="353"/>
  <c r="E43" i="353"/>
  <c r="G14" i="304"/>
  <c r="G10" i="101"/>
  <c r="AN87" i="353"/>
  <c r="U73" i="353"/>
  <c r="L147" i="351"/>
  <c r="R96" i="353"/>
  <c r="N85" i="353"/>
  <c r="E83" i="353"/>
  <c r="AQ35" i="353"/>
  <c r="I12" i="351"/>
  <c r="AG28" i="353"/>
  <c r="AT33" i="353"/>
  <c r="J20" i="351"/>
  <c r="AN102" i="353"/>
  <c r="J136" i="351"/>
  <c r="O65" i="351"/>
  <c r="P114" i="351"/>
  <c r="H38" i="353"/>
  <c r="G10" i="384"/>
  <c r="O14" i="353"/>
  <c r="G12" i="326"/>
  <c r="S206" i="351"/>
  <c r="W35" i="353"/>
  <c r="J25" i="351"/>
  <c r="AD36" i="353"/>
  <c r="P31" i="353"/>
  <c r="I164" i="351"/>
  <c r="G13" i="315"/>
  <c r="AT99" i="353"/>
  <c r="AH59" i="353"/>
  <c r="G13" i="405"/>
  <c r="G12" i="412"/>
  <c r="F46" i="353"/>
  <c r="J6" i="351"/>
  <c r="G11" i="345"/>
  <c r="AO72" i="353"/>
  <c r="L178" i="351"/>
  <c r="K72" i="351"/>
  <c r="G4" i="425"/>
  <c r="H32" i="351"/>
  <c r="G6" i="14"/>
  <c r="B6" i="144"/>
  <c r="G12" i="455"/>
  <c r="G15" i="261"/>
  <c r="AO87" i="353"/>
  <c r="J5" i="351"/>
  <c r="G5" i="324"/>
  <c r="B3" i="134"/>
  <c r="F63" i="353"/>
  <c r="V74" i="353"/>
  <c r="O115" i="351"/>
  <c r="AD38" i="353"/>
  <c r="G11" i="115"/>
  <c r="AE95" i="353"/>
  <c r="J114" i="351"/>
  <c r="V63" i="353"/>
  <c r="J71" i="353"/>
  <c r="G8" i="278"/>
  <c r="T28" i="351"/>
  <c r="M175" i="351"/>
  <c r="G6" i="359"/>
  <c r="J152" i="351"/>
  <c r="AD83" i="353"/>
  <c r="G57" i="353"/>
  <c r="L49" i="351"/>
  <c r="AG42" i="353"/>
  <c r="AJ83" i="353"/>
  <c r="T90" i="351"/>
  <c r="O67" i="351"/>
  <c r="P101" i="351"/>
  <c r="G11" i="425"/>
  <c r="M76" i="351"/>
  <c r="R141" i="351"/>
  <c r="AQ85" i="353"/>
  <c r="AD40" i="353"/>
  <c r="AB35" i="353"/>
  <c r="G9" i="291"/>
  <c r="Q73" i="351"/>
  <c r="AI41" i="353"/>
  <c r="AB97" i="353"/>
  <c r="AV35" i="353"/>
  <c r="X26" i="353"/>
  <c r="I187" i="351"/>
  <c r="AI51" i="353"/>
  <c r="O159" i="351"/>
  <c r="AQ78" i="353"/>
  <c r="G7" i="287"/>
  <c r="W63" i="353"/>
  <c r="I129" i="351"/>
  <c r="O34" i="351"/>
  <c r="H192" i="351"/>
  <c r="J88" i="351"/>
  <c r="G15" i="413"/>
  <c r="U74" i="353"/>
  <c r="M120" i="351"/>
  <c r="AJ71" i="353"/>
  <c r="AK50" i="353"/>
  <c r="AV3" i="353"/>
  <c r="W45" i="353"/>
  <c r="X13" i="353"/>
  <c r="R193" i="351"/>
  <c r="AA70" i="353"/>
  <c r="AV90" i="353"/>
  <c r="C31" i="145"/>
  <c r="G6" i="278"/>
  <c r="R172" i="351"/>
  <c r="AF45" i="353"/>
  <c r="M65" i="351"/>
  <c r="Q80" i="353"/>
  <c r="R67" i="351"/>
  <c r="AE102" i="353"/>
  <c r="AI94" i="353"/>
  <c r="P91" i="353"/>
  <c r="J82" i="351"/>
  <c r="L52" i="351"/>
  <c r="AS17" i="353"/>
  <c r="K121" i="351"/>
  <c r="AO65" i="353"/>
  <c r="G10" i="129"/>
  <c r="G9" i="298"/>
  <c r="AO40" i="353"/>
  <c r="AF48" i="353"/>
  <c r="G7" i="336"/>
  <c r="G14" i="455"/>
  <c r="AE60" i="353"/>
  <c r="AA71" i="353"/>
  <c r="G62" i="353"/>
  <c r="V52" i="353"/>
  <c r="I202" i="351"/>
  <c r="G4" i="291"/>
  <c r="G14" i="364"/>
  <c r="O96" i="351"/>
  <c r="G7" i="351"/>
  <c r="G8" i="273"/>
  <c r="AJ114" i="353"/>
  <c r="G13" i="321"/>
  <c r="R145" i="351"/>
  <c r="G7" i="442"/>
  <c r="T130" i="351"/>
  <c r="AH30" i="353"/>
  <c r="O110" i="351"/>
  <c r="G6" i="393"/>
  <c r="Q144" i="351"/>
  <c r="AQ12" i="353"/>
  <c r="G6" i="284"/>
  <c r="AF65" i="353"/>
  <c r="G8" i="447"/>
  <c r="G35" i="353"/>
  <c r="G11" i="494"/>
  <c r="I32" i="351"/>
  <c r="S43" i="351"/>
  <c r="G4" i="94"/>
  <c r="Z72" i="353"/>
  <c r="G7" i="337"/>
  <c r="L62" i="351"/>
  <c r="R47" i="353"/>
  <c r="AH49" i="353"/>
  <c r="O195" i="351"/>
  <c r="AI101" i="353"/>
  <c r="K78" i="351"/>
  <c r="C22" i="145"/>
  <c r="G6" i="336"/>
  <c r="G177" i="351"/>
  <c r="AR55" i="353"/>
  <c r="AS12" i="353"/>
  <c r="G6" i="104"/>
  <c r="G14" i="287"/>
  <c r="AN50" i="353"/>
  <c r="T96" i="353"/>
  <c r="G15" i="405"/>
  <c r="G13" i="128"/>
  <c r="I28" i="351"/>
  <c r="H176" i="351"/>
  <c r="T114" i="351"/>
  <c r="AB37" i="353"/>
  <c r="G21" i="351"/>
  <c r="R129" i="351"/>
  <c r="L132" i="351"/>
  <c r="Y85" i="353"/>
  <c r="G7" i="310"/>
  <c r="AP64" i="353"/>
  <c r="I33" i="353"/>
  <c r="H4" i="351"/>
  <c r="R23" i="351"/>
  <c r="G6" i="344"/>
  <c r="I101" i="353"/>
  <c r="H127" i="351"/>
  <c r="Q79" i="353"/>
  <c r="E93" i="353"/>
  <c r="G12" i="474"/>
  <c r="P62" i="351"/>
  <c r="AN81" i="353"/>
  <c r="G16" i="353"/>
  <c r="Q28" i="353"/>
  <c r="O44" i="351"/>
  <c r="O39" i="353"/>
  <c r="O168" i="351"/>
  <c r="Z76" i="353"/>
  <c r="V28" i="353"/>
  <c r="N56" i="353"/>
  <c r="G13" i="349"/>
  <c r="AP43" i="353"/>
  <c r="AK72" i="353"/>
  <c r="AI102" i="353"/>
  <c r="J78" i="351"/>
  <c r="G93" i="351"/>
  <c r="AO42" i="353"/>
  <c r="O24" i="351"/>
  <c r="J37" i="353"/>
  <c r="M44" i="353"/>
  <c r="M70" i="353"/>
  <c r="P39" i="351"/>
  <c r="G13" i="271"/>
  <c r="N16" i="353"/>
  <c r="R42" i="351"/>
  <c r="AL39" i="353"/>
  <c r="I61" i="353"/>
  <c r="J52" i="351"/>
  <c r="P84" i="353"/>
  <c r="AV32" i="353"/>
  <c r="J8" i="351"/>
  <c r="G12" i="325"/>
  <c r="G13" i="109"/>
  <c r="Y25" i="353"/>
  <c r="AR100" i="353"/>
  <c r="G12" i="322"/>
  <c r="G12" i="411"/>
  <c r="G8" i="442"/>
  <c r="G11" i="123"/>
  <c r="AI56" i="353"/>
  <c r="M178" i="351"/>
  <c r="H15" i="353"/>
  <c r="G4" i="341"/>
  <c r="G4" i="330"/>
  <c r="Q17" i="351"/>
  <c r="G11" i="382"/>
  <c r="Z55" i="353"/>
  <c r="J46" i="351"/>
  <c r="G14" i="324"/>
  <c r="AH104" i="353"/>
  <c r="G12" i="366"/>
  <c r="G11" i="312"/>
  <c r="F53" i="353"/>
  <c r="AE38" i="353"/>
  <c r="AL21" i="353"/>
  <c r="E54" i="353"/>
  <c r="AH25" i="353"/>
  <c r="I83" i="351"/>
  <c r="AD13" i="353"/>
  <c r="AI67" i="353"/>
  <c r="H80" i="351"/>
  <c r="U79" i="353"/>
  <c r="G7" i="329"/>
  <c r="AE37" i="353"/>
  <c r="Q171" i="351"/>
  <c r="AP74" i="353"/>
  <c r="G4" i="285"/>
  <c r="AL98" i="353"/>
  <c r="AG61" i="353"/>
  <c r="G7" i="267"/>
  <c r="O92" i="353"/>
  <c r="G11" i="475"/>
  <c r="W64" i="353"/>
  <c r="G13" i="302"/>
  <c r="I91" i="353"/>
  <c r="T72" i="351"/>
  <c r="G4" i="336"/>
  <c r="U60" i="353"/>
  <c r="AD95" i="353"/>
  <c r="H206" i="351"/>
  <c r="Q63" i="351"/>
  <c r="AO27" i="353"/>
  <c r="S35" i="351"/>
  <c r="R27" i="353"/>
  <c r="G40" i="351"/>
  <c r="G13" i="101"/>
  <c r="K25" i="351"/>
  <c r="AQ73" i="353"/>
  <c r="G14" i="290"/>
  <c r="G11" i="313"/>
  <c r="I102" i="353"/>
  <c r="G5" i="266"/>
  <c r="G15" i="258"/>
  <c r="M31" i="353"/>
  <c r="AD51" i="353"/>
  <c r="AD92" i="353"/>
  <c r="G4" i="246"/>
  <c r="F19" i="353"/>
  <c r="H91" i="353"/>
  <c r="Q65" i="351"/>
  <c r="G12" i="290"/>
  <c r="K140" i="351"/>
  <c r="K136" i="351"/>
  <c r="G24" i="353"/>
  <c r="O71" i="353"/>
  <c r="G15" i="333"/>
  <c r="AT11" i="353"/>
  <c r="Z28" i="353"/>
  <c r="R181" i="351"/>
  <c r="Z93" i="353"/>
  <c r="AQ91" i="353"/>
  <c r="G9" i="388"/>
  <c r="G55" i="351"/>
  <c r="J179" i="351"/>
  <c r="O49" i="353"/>
  <c r="G73" i="351"/>
  <c r="G11" i="348"/>
  <c r="O119" i="351"/>
  <c r="G6" i="97"/>
  <c r="K65" i="353"/>
  <c r="G13" i="296"/>
  <c r="G10" i="275"/>
  <c r="G14" i="376"/>
  <c r="F114" i="353"/>
  <c r="G13" i="393"/>
  <c r="L126" i="351"/>
  <c r="L82" i="351"/>
  <c r="N27" i="353"/>
  <c r="G14" i="289"/>
  <c r="M114" i="353"/>
  <c r="G15" i="349"/>
  <c r="L160" i="351"/>
  <c r="G7" i="256"/>
  <c r="G10" i="261"/>
  <c r="O94" i="353"/>
  <c r="G11" i="89"/>
  <c r="AI21" i="353"/>
  <c r="G12" i="127"/>
  <c r="R44" i="353"/>
  <c r="AR90" i="353"/>
  <c r="X8" i="353"/>
  <c r="G14" i="473"/>
  <c r="Z38" i="353"/>
  <c r="M42" i="353"/>
  <c r="M121" i="351"/>
  <c r="G12" i="129"/>
  <c r="AF13" i="353"/>
  <c r="G11" i="416"/>
  <c r="AB45" i="353"/>
  <c r="Q158" i="351"/>
  <c r="G14" i="279"/>
  <c r="G11" i="456"/>
  <c r="AK100" i="353"/>
  <c r="K27" i="353"/>
  <c r="AA53" i="353"/>
  <c r="G6" i="340"/>
  <c r="T124" i="351"/>
  <c r="G6" i="305"/>
  <c r="L134" i="351"/>
  <c r="T202" i="351"/>
  <c r="N98" i="353"/>
  <c r="L190" i="351"/>
  <c r="H77" i="353"/>
  <c r="G103" i="351"/>
  <c r="G13" i="336"/>
  <c r="E70" i="353"/>
  <c r="G11" i="353"/>
  <c r="G7" i="425"/>
  <c r="AQ69" i="353"/>
  <c r="Q168" i="351"/>
  <c r="G5" i="481"/>
  <c r="J175" i="351"/>
  <c r="G70" i="351"/>
  <c r="G9" i="392"/>
  <c r="P14" i="351"/>
  <c r="T100" i="353"/>
  <c r="R34" i="353"/>
  <c r="S28" i="351"/>
  <c r="G138" i="351"/>
  <c r="AF105" i="353"/>
  <c r="M36" i="353"/>
  <c r="AI10" i="353"/>
  <c r="G5" i="321"/>
  <c r="I9" i="351"/>
  <c r="AU63" i="353"/>
  <c r="O129" i="351"/>
  <c r="AO74" i="353"/>
  <c r="G5" i="428"/>
  <c r="H16" i="353"/>
  <c r="Q78" i="351"/>
  <c r="AQ58" i="353"/>
  <c r="AJ15" i="353"/>
  <c r="P180" i="351"/>
  <c r="T50" i="351"/>
  <c r="AS87" i="353"/>
  <c r="G109" i="351"/>
  <c r="AP75" i="353"/>
  <c r="G107" i="351"/>
  <c r="G12" i="440"/>
  <c r="I180" i="351"/>
  <c r="N83" i="353"/>
  <c r="AE51" i="353"/>
  <c r="G12" i="447"/>
  <c r="J125" i="351"/>
  <c r="P79" i="353"/>
  <c r="G7" i="97"/>
  <c r="P63" i="351"/>
  <c r="AB12" i="353"/>
  <c r="H69" i="353"/>
  <c r="K114" i="353"/>
  <c r="K21" i="351"/>
  <c r="G4" i="424"/>
  <c r="E72" i="353"/>
  <c r="AO97" i="353"/>
  <c r="Q88" i="351"/>
  <c r="H188" i="351"/>
  <c r="AT95" i="353"/>
  <c r="Q57" i="351"/>
  <c r="G11" i="289"/>
  <c r="AE77" i="353"/>
  <c r="G8" i="482"/>
  <c r="G15" i="464"/>
  <c r="G6" i="483"/>
  <c r="W76" i="353"/>
  <c r="G10" i="325"/>
  <c r="I71" i="351"/>
  <c r="AP68" i="353"/>
  <c r="AH31" i="353"/>
  <c r="P73" i="351"/>
  <c r="AE41" i="353"/>
  <c r="G11" i="474"/>
  <c r="G153" i="351"/>
  <c r="T29" i="351"/>
  <c r="AR28" i="353"/>
  <c r="AE21" i="353"/>
  <c r="AU48" i="353"/>
  <c r="Z69" i="353"/>
  <c r="G15" i="113"/>
  <c r="G10" i="121"/>
  <c r="AO100" i="353"/>
  <c r="J114" i="353"/>
  <c r="AL84" i="353"/>
  <c r="G187" i="351"/>
  <c r="AG36" i="353"/>
  <c r="U58" i="353"/>
  <c r="AR19" i="353"/>
  <c r="AR53" i="353"/>
  <c r="G194" i="351"/>
  <c r="AS64" i="353"/>
  <c r="AU94" i="353"/>
  <c r="G14" i="313"/>
  <c r="AR87" i="353"/>
  <c r="G10" i="336"/>
  <c r="AV43" i="353"/>
  <c r="G8" i="319"/>
  <c r="Q170" i="351"/>
  <c r="Q185" i="351"/>
  <c r="P59" i="351"/>
  <c r="G10" i="339"/>
  <c r="W55" i="353"/>
  <c r="G14" i="442"/>
  <c r="R92" i="351"/>
  <c r="G11" i="469"/>
  <c r="G133" i="351"/>
  <c r="P113" i="351"/>
  <c r="C2" i="145"/>
  <c r="J54" i="351"/>
  <c r="H56" i="353"/>
  <c r="AJ72" i="353"/>
  <c r="G4" i="405"/>
  <c r="G65" i="353"/>
  <c r="L58" i="351"/>
  <c r="K85" i="353"/>
  <c r="AS84" i="353"/>
  <c r="R67" i="353"/>
  <c r="Q156" i="351"/>
  <c r="K56" i="351"/>
  <c r="M4" i="351"/>
  <c r="O55" i="353"/>
  <c r="J112" i="351"/>
  <c r="G11" i="245"/>
  <c r="K151" i="351"/>
  <c r="P81" i="353"/>
  <c r="M16" i="351"/>
  <c r="O149" i="351"/>
  <c r="AN46" i="353"/>
  <c r="G9" i="97"/>
  <c r="AE12" i="353"/>
  <c r="AL63" i="353"/>
  <c r="G4" i="259"/>
  <c r="G5" i="327"/>
  <c r="AJ27" i="353"/>
  <c r="Y35" i="353"/>
  <c r="G72" i="351"/>
  <c r="R86" i="353"/>
  <c r="AG52" i="353"/>
  <c r="Q45" i="351"/>
  <c r="M163" i="351"/>
  <c r="I107" i="351"/>
  <c r="H91" i="351"/>
  <c r="M44" i="351"/>
  <c r="AD60" i="353"/>
  <c r="M115" i="351"/>
  <c r="J69" i="351"/>
  <c r="J103" i="351"/>
  <c r="F62" i="353"/>
  <c r="B33" i="144"/>
  <c r="S198" i="351"/>
  <c r="E67" i="353"/>
  <c r="T14" i="351"/>
  <c r="J60" i="353"/>
  <c r="G14" i="339"/>
  <c r="J104" i="353"/>
  <c r="J198" i="351"/>
  <c r="Q62" i="351"/>
  <c r="G6" i="108"/>
  <c r="AL44" i="353"/>
  <c r="AT102" i="353"/>
  <c r="G6" i="282"/>
  <c r="AE97" i="353"/>
  <c r="L137" i="351"/>
  <c r="AS55" i="353"/>
  <c r="O117" i="351"/>
  <c r="E57" i="353"/>
  <c r="AL85" i="353"/>
  <c r="O51" i="353"/>
  <c r="I87" i="351"/>
  <c r="Q155" i="351"/>
  <c r="O50" i="353"/>
  <c r="M124" i="351"/>
  <c r="M23" i="353"/>
  <c r="G10" i="303"/>
  <c r="M96" i="353"/>
  <c r="G6" i="95"/>
  <c r="R15" i="353"/>
  <c r="G8" i="317"/>
  <c r="G12" i="425"/>
  <c r="Q44" i="353"/>
  <c r="M154" i="351"/>
  <c r="Q15" i="353"/>
  <c r="R113" i="351"/>
  <c r="G8" i="335"/>
  <c r="T82" i="353"/>
  <c r="AB55" i="353"/>
  <c r="S61" i="351"/>
  <c r="Q64" i="353"/>
  <c r="G11" i="258"/>
  <c r="E16" i="353"/>
  <c r="G46" i="353"/>
  <c r="G12" i="463"/>
  <c r="Q193" i="351"/>
  <c r="AS99" i="353"/>
  <c r="Q16" i="351"/>
  <c r="G12" i="249"/>
  <c r="R132" i="351"/>
  <c r="AQ22" i="353"/>
  <c r="AQ89" i="353"/>
  <c r="G4" i="467"/>
  <c r="AG88" i="353"/>
  <c r="P178" i="351"/>
  <c r="T61" i="353"/>
  <c r="AT56" i="353"/>
  <c r="Q33" i="353"/>
  <c r="M30" i="351"/>
  <c r="G31" i="351"/>
  <c r="K113" i="351"/>
  <c r="AD37" i="353"/>
  <c r="R19" i="353"/>
  <c r="J203" i="351"/>
  <c r="I70" i="353"/>
  <c r="G7" i="320"/>
  <c r="AG104" i="353"/>
  <c r="K194" i="351"/>
  <c r="G12" i="338"/>
  <c r="G10" i="272"/>
  <c r="O90" i="351"/>
  <c r="AU62" i="353"/>
  <c r="G128" i="351"/>
  <c r="AA27" i="353"/>
  <c r="AF6" i="353"/>
  <c r="AI100" i="353"/>
  <c r="Q27" i="353"/>
  <c r="AJ75" i="353"/>
  <c r="G6" i="412"/>
  <c r="AB38" i="353"/>
  <c r="AU31" i="353"/>
  <c r="G4" i="464"/>
  <c r="AR105" i="353"/>
  <c r="G6" i="325"/>
  <c r="S149" i="351"/>
  <c r="G9" i="245"/>
  <c r="K199" i="351"/>
  <c r="G12" i="263"/>
  <c r="G206" i="351"/>
  <c r="O106" i="351"/>
  <c r="R91" i="351"/>
  <c r="J61" i="353"/>
  <c r="G8" i="359"/>
  <c r="AD19" i="353"/>
  <c r="G28" i="353"/>
  <c r="G13" i="419"/>
  <c r="AI19" i="6"/>
  <c r="AT44" i="353"/>
  <c r="I41" i="353"/>
  <c r="Y74" i="353"/>
  <c r="G49" i="351"/>
  <c r="AK82" i="353"/>
  <c r="G9" i="302"/>
  <c r="B5" i="355"/>
  <c r="AT7" i="6" s="1"/>
  <c r="AO61" i="353"/>
  <c r="AH67" i="353"/>
  <c r="AK41" i="353"/>
  <c r="G14" i="340"/>
  <c r="G4" i="267"/>
  <c r="AA79" i="353"/>
  <c r="J73" i="351"/>
  <c r="AA43" i="353"/>
  <c r="M95" i="351"/>
  <c r="K120" i="351"/>
  <c r="Q54" i="353"/>
  <c r="H145" i="351"/>
  <c r="G10" i="465"/>
  <c r="AU87" i="353"/>
  <c r="AP36" i="353"/>
  <c r="V44" i="353"/>
  <c r="P57" i="351"/>
  <c r="T84" i="353"/>
  <c r="G14" i="380"/>
  <c r="G15" i="410"/>
  <c r="H152" i="351"/>
  <c r="G6" i="366"/>
  <c r="L11" i="351"/>
  <c r="R151" i="351"/>
  <c r="AG66" i="353"/>
  <c r="K10" i="353"/>
  <c r="G8" i="280"/>
  <c r="G6" i="330"/>
  <c r="G6" i="466"/>
  <c r="G10" i="296"/>
  <c r="G14" i="297"/>
  <c r="G13" i="104"/>
  <c r="G180" i="351"/>
  <c r="M48" i="353"/>
  <c r="AO21" i="353"/>
  <c r="G14" i="282"/>
  <c r="AF11" i="353"/>
  <c r="G7" i="385"/>
  <c r="G7" i="274"/>
  <c r="I13" i="351"/>
  <c r="G4" i="311"/>
  <c r="G12" i="292"/>
  <c r="O56" i="353"/>
  <c r="G8" i="339"/>
  <c r="G130" i="351"/>
  <c r="H166" i="351"/>
  <c r="P23" i="351"/>
  <c r="J124" i="351"/>
  <c r="P10" i="353"/>
  <c r="G7" i="381"/>
  <c r="O30" i="353"/>
  <c r="O170" i="351"/>
  <c r="I204" i="351"/>
  <c r="H191" i="351"/>
  <c r="G8" i="263"/>
  <c r="AJ32" i="353"/>
  <c r="T174" i="351"/>
  <c r="AV81" i="353"/>
  <c r="AU43" i="353"/>
  <c r="R127" i="351"/>
  <c r="Z35" i="353"/>
  <c r="K181" i="351"/>
  <c r="U92" i="353"/>
  <c r="Q69" i="351"/>
  <c r="E50" i="353"/>
  <c r="G5" i="417"/>
  <c r="Y84" i="353"/>
  <c r="G78" i="353"/>
  <c r="I10" i="353"/>
  <c r="X17" i="353"/>
  <c r="G13" i="425"/>
  <c r="G13" i="329"/>
  <c r="S65" i="351"/>
  <c r="M12" i="351"/>
  <c r="K18" i="353"/>
  <c r="AA102" i="353"/>
  <c r="P171" i="351"/>
  <c r="P119" i="351"/>
  <c r="G146" i="351"/>
  <c r="O91" i="351"/>
  <c r="G8" i="426"/>
  <c r="T61" i="351"/>
  <c r="AH94" i="353"/>
  <c r="H48" i="351"/>
  <c r="Z79" i="353"/>
  <c r="G4" i="393"/>
  <c r="G14" i="414"/>
  <c r="G9" i="262"/>
  <c r="AF95" i="353"/>
  <c r="S139" i="351"/>
  <c r="G8" i="109"/>
  <c r="P201" i="351"/>
  <c r="P45" i="351"/>
  <c r="V71" i="353"/>
  <c r="X103" i="353"/>
  <c r="H26" i="351"/>
  <c r="G7" i="127"/>
  <c r="AS14" i="353"/>
  <c r="N28" i="353"/>
  <c r="G5" i="411"/>
  <c r="G15" i="345"/>
  <c r="G10" i="277"/>
  <c r="AS53" i="353"/>
  <c r="S110" i="351"/>
  <c r="AI85" i="353"/>
  <c r="Z36" i="353"/>
  <c r="M35" i="353"/>
  <c r="G8" i="320"/>
  <c r="AA81" i="353"/>
  <c r="Q92" i="351"/>
  <c r="L77" i="351"/>
  <c r="G6" i="247"/>
  <c r="G8" i="127"/>
  <c r="AK35" i="353"/>
  <c r="G36" i="351"/>
  <c r="P35" i="351"/>
  <c r="C33" i="145"/>
  <c r="AH53" i="353"/>
  <c r="AR8" i="353"/>
  <c r="I75" i="353"/>
  <c r="G12" i="308"/>
  <c r="F36" i="353"/>
  <c r="G6" i="490"/>
  <c r="I22" i="351"/>
  <c r="S156" i="351"/>
  <c r="G6" i="465"/>
  <c r="G7" i="368"/>
  <c r="AD102" i="353"/>
  <c r="G9" i="299"/>
  <c r="AV65" i="353"/>
  <c r="G12" i="419"/>
  <c r="L94" i="351"/>
  <c r="G6" i="454"/>
  <c r="P129" i="351"/>
  <c r="G13" i="254"/>
  <c r="L207" i="351"/>
  <c r="Q31" i="353"/>
  <c r="G8" i="458"/>
  <c r="Z71" i="353"/>
  <c r="J89" i="353"/>
  <c r="R51" i="353"/>
  <c r="K11" i="351"/>
  <c r="H81" i="351"/>
  <c r="S36" i="351"/>
  <c r="AT36" i="353"/>
  <c r="AS70" i="353"/>
  <c r="AK52" i="353"/>
  <c r="G15" i="366"/>
  <c r="K52" i="351"/>
  <c r="Q95" i="353"/>
  <c r="G12" i="383"/>
  <c r="R116" i="351"/>
  <c r="G6" i="89"/>
  <c r="AG53" i="353"/>
  <c r="X5" i="353"/>
  <c r="AO11" i="353"/>
  <c r="P83" i="351"/>
  <c r="M146" i="351"/>
  <c r="G7" i="311"/>
  <c r="G87" i="353"/>
  <c r="AU35" i="353"/>
  <c r="AF51" i="353"/>
  <c r="G76" i="353"/>
  <c r="G5" i="380"/>
  <c r="K134" i="351"/>
  <c r="R194" i="351"/>
  <c r="B15" i="144"/>
  <c r="AN114" i="353"/>
  <c r="T195" i="351"/>
  <c r="N15" i="353"/>
  <c r="AL64" i="353"/>
  <c r="G6" i="260"/>
  <c r="G8" i="302"/>
  <c r="I144" i="351"/>
  <c r="K22" i="351"/>
  <c r="T101" i="351"/>
  <c r="G12" i="97"/>
  <c r="K161" i="351"/>
  <c r="R74" i="353"/>
  <c r="T196" i="351"/>
  <c r="AT94" i="353"/>
  <c r="Q152" i="351"/>
  <c r="AJ95" i="353"/>
  <c r="T16" i="353"/>
  <c r="AF4" i="353"/>
  <c r="G12" i="417"/>
  <c r="G11" i="118"/>
  <c r="I66" i="353"/>
  <c r="G15" i="330"/>
  <c r="G13" i="279"/>
  <c r="M70" i="351"/>
  <c r="G12" i="468"/>
  <c r="M45" i="353"/>
  <c r="G15" i="481"/>
  <c r="G5" i="248"/>
  <c r="H174" i="351"/>
  <c r="AA75" i="353"/>
  <c r="G11" i="320"/>
  <c r="AH45" i="353"/>
  <c r="AK89" i="353"/>
  <c r="J177" i="351"/>
  <c r="H100" i="353"/>
  <c r="G11" i="286"/>
  <c r="M34" i="351"/>
  <c r="C49" i="145"/>
  <c r="AD85" i="353"/>
  <c r="AP69" i="353"/>
  <c r="K29" i="353"/>
  <c r="P50" i="353"/>
  <c r="Q205" i="351"/>
  <c r="AJ46" i="353"/>
  <c r="J31" i="351"/>
  <c r="O36" i="351"/>
  <c r="G10" i="110"/>
  <c r="G5" i="318"/>
  <c r="O79" i="353"/>
  <c r="AQ39" i="353"/>
  <c r="P163" i="351"/>
  <c r="M68" i="353"/>
  <c r="AS19" i="353"/>
  <c r="S192" i="351"/>
  <c r="Q126" i="351"/>
  <c r="J25" i="353"/>
  <c r="G13" i="245"/>
  <c r="R44" i="351"/>
  <c r="J47" i="353"/>
  <c r="G6" i="396"/>
  <c r="AP39" i="353"/>
  <c r="AB39" i="353"/>
  <c r="G9" i="479"/>
  <c r="AB62" i="353"/>
  <c r="AG31" i="353"/>
  <c r="G15" i="334"/>
  <c r="AS104" i="353"/>
  <c r="G34" i="351"/>
  <c r="AG39" i="353"/>
  <c r="E8" i="355"/>
  <c r="AW10" i="6" s="1"/>
  <c r="AD41" i="353"/>
  <c r="AU44" i="353"/>
  <c r="G12" i="246"/>
  <c r="AL15" i="353"/>
  <c r="G13" i="348"/>
  <c r="G12" i="108"/>
  <c r="G7" i="403"/>
  <c r="G7" i="433"/>
  <c r="V40" i="353"/>
  <c r="AT114" i="353"/>
  <c r="X104" i="353"/>
  <c r="E100" i="353"/>
  <c r="G9" i="321"/>
  <c r="G9" i="383"/>
  <c r="AI16" i="6"/>
  <c r="AG67" i="353"/>
  <c r="Y86" i="353"/>
  <c r="S152" i="351"/>
  <c r="P36" i="351"/>
  <c r="G9" i="268"/>
  <c r="G15" i="288"/>
  <c r="G14" i="490"/>
  <c r="R39" i="353"/>
  <c r="AD5" i="353"/>
  <c r="L12" i="351"/>
  <c r="AE96" i="353"/>
  <c r="U36" i="353"/>
  <c r="O133" i="351"/>
  <c r="C38" i="145"/>
  <c r="M66" i="353"/>
  <c r="G105" i="351"/>
  <c r="AJ97" i="353"/>
  <c r="G186" i="351"/>
  <c r="I49" i="351"/>
  <c r="AQ105" i="353"/>
  <c r="R79" i="353"/>
  <c r="T123" i="351"/>
  <c r="AO17" i="353"/>
  <c r="G13" i="107"/>
  <c r="S16" i="351"/>
  <c r="AK49" i="353"/>
  <c r="P32" i="351"/>
  <c r="I117" i="351"/>
  <c r="AS79" i="353"/>
  <c r="G9" i="318"/>
  <c r="X68" i="353"/>
  <c r="G7" i="279"/>
  <c r="G5" i="491"/>
  <c r="G11" i="424"/>
  <c r="G14" i="425"/>
  <c r="R54" i="351"/>
  <c r="M105" i="353"/>
  <c r="T51" i="353"/>
  <c r="K143" i="351"/>
  <c r="G14" i="292"/>
  <c r="L166" i="351"/>
  <c r="G30" i="353"/>
  <c r="AR31" i="353"/>
  <c r="B50" i="144"/>
  <c r="H54" i="353"/>
  <c r="AA28" i="353"/>
  <c r="G5" i="365"/>
  <c r="AK10" i="353"/>
  <c r="R3" i="351"/>
  <c r="AB43" i="353"/>
  <c r="AP78" i="353"/>
  <c r="AE34" i="353"/>
  <c r="J106" i="351"/>
  <c r="G6" i="288"/>
  <c r="I115" i="351"/>
  <c r="T38" i="353"/>
  <c r="K31" i="353"/>
  <c r="U114" i="353"/>
  <c r="AE63" i="353"/>
  <c r="G11" i="349"/>
  <c r="AB65" i="353"/>
  <c r="P176" i="351"/>
  <c r="G91" i="351"/>
  <c r="G7" i="405"/>
  <c r="P45" i="353"/>
  <c r="G13" i="284"/>
  <c r="G9" i="251"/>
  <c r="J185" i="351"/>
  <c r="AO28" i="6"/>
  <c r="AQ28" i="6" s="1"/>
  <c r="Q197" i="351"/>
  <c r="O41" i="351"/>
  <c r="G4" i="429"/>
  <c r="AK43" i="353"/>
  <c r="N24" i="353"/>
  <c r="R154" i="351"/>
  <c r="G7" i="95"/>
  <c r="X84" i="353"/>
  <c r="W99" i="353"/>
  <c r="M35" i="351"/>
  <c r="AV68" i="353"/>
  <c r="S182" i="351"/>
  <c r="P47" i="353"/>
  <c r="O80" i="353"/>
  <c r="G13" i="448"/>
  <c r="Z32" i="353"/>
  <c r="AI53" i="353"/>
  <c r="G11" i="261"/>
  <c r="AK58" i="353"/>
  <c r="AK114" i="353"/>
  <c r="AK88" i="353"/>
  <c r="Q47" i="351"/>
  <c r="G10" i="450"/>
  <c r="E42" i="353"/>
  <c r="G4" i="475"/>
  <c r="G15" i="128"/>
  <c r="P69" i="353"/>
  <c r="P158" i="351"/>
  <c r="G12" i="271"/>
  <c r="AN19" i="353"/>
  <c r="Y105" i="353"/>
  <c r="J76" i="353"/>
  <c r="G6" i="426"/>
  <c r="Q111" i="351"/>
  <c r="AJ30" i="353"/>
  <c r="G5" i="297"/>
  <c r="M133" i="351"/>
  <c r="O171" i="351"/>
  <c r="AP88" i="353"/>
  <c r="AV18" i="353"/>
  <c r="AH14" i="353"/>
  <c r="G8" i="256"/>
  <c r="G13" i="250"/>
  <c r="H102" i="351"/>
  <c r="G11" i="304"/>
  <c r="AT88" i="353"/>
  <c r="J91" i="351"/>
  <c r="J60" i="351"/>
  <c r="E46" i="353"/>
  <c r="X64" i="353"/>
  <c r="AI20" i="6"/>
  <c r="G5" i="282"/>
  <c r="AQ61" i="353"/>
  <c r="E101" i="353"/>
  <c r="G71" i="351"/>
  <c r="G4" i="299"/>
  <c r="K124" i="351"/>
  <c r="G12" i="479"/>
  <c r="AD24" i="353"/>
  <c r="AO10" i="6"/>
  <c r="AQ10" i="6" s="1"/>
  <c r="G12" i="421"/>
  <c r="AN96" i="353"/>
  <c r="G15" i="434"/>
  <c r="O79" i="351"/>
  <c r="G10" i="321"/>
  <c r="E31" i="353"/>
  <c r="P51" i="351"/>
  <c r="G15" i="393"/>
  <c r="G5" i="424"/>
  <c r="AD105" i="353"/>
  <c r="G28" i="351"/>
  <c r="G12" i="277"/>
  <c r="S94" i="351"/>
  <c r="G7" i="128"/>
  <c r="G9" i="294"/>
  <c r="G4" i="107"/>
  <c r="S170" i="351"/>
  <c r="AH99" i="353"/>
  <c r="G82" i="351"/>
  <c r="R120" i="351"/>
  <c r="P139" i="351"/>
  <c r="O35" i="353"/>
  <c r="G12" i="315"/>
  <c r="AI33" i="353"/>
  <c r="Y4" i="353"/>
  <c r="E40" i="353"/>
  <c r="J62" i="351"/>
  <c r="G14" i="115"/>
  <c r="G7" i="383"/>
  <c r="P112" i="351"/>
  <c r="AL114" i="353"/>
  <c r="N50" i="353"/>
  <c r="AA30" i="353"/>
  <c r="L80" i="351"/>
  <c r="R158" i="351"/>
  <c r="I20" i="353"/>
  <c r="G117" i="351"/>
  <c r="G13" i="414"/>
  <c r="AV67" i="353"/>
  <c r="G4" i="252"/>
  <c r="V16" i="353"/>
  <c r="G14" i="410"/>
  <c r="AR23" i="353"/>
  <c r="V68" i="353"/>
  <c r="G13" i="483"/>
  <c r="AB19" i="353"/>
  <c r="AI11" i="6"/>
  <c r="G5" i="269"/>
  <c r="G5" i="351"/>
  <c r="L42" i="351"/>
  <c r="L98" i="351"/>
  <c r="G10" i="388"/>
  <c r="G10" i="97"/>
  <c r="H12" i="353"/>
  <c r="G13" i="311"/>
  <c r="P57" i="353"/>
  <c r="G12" i="475"/>
  <c r="K177" i="351"/>
  <c r="G4" i="312"/>
  <c r="G13" i="256"/>
  <c r="S108" i="351"/>
  <c r="AG70" i="353"/>
  <c r="AV14" i="353"/>
  <c r="G4" i="347"/>
  <c r="S54" i="351"/>
  <c r="S159" i="351"/>
  <c r="T54" i="351"/>
  <c r="G10" i="289"/>
  <c r="G10" i="318"/>
  <c r="AF56" i="353"/>
  <c r="C36" i="145"/>
  <c r="S150" i="351"/>
  <c r="V20" i="353"/>
  <c r="B52" i="144"/>
  <c r="S103" i="351"/>
  <c r="G14" i="344"/>
  <c r="G7" i="262"/>
  <c r="AQ50" i="353"/>
  <c r="L6" i="351"/>
  <c r="G7" i="293"/>
  <c r="G143" i="351"/>
  <c r="H207" i="351"/>
  <c r="AP87" i="353"/>
  <c r="O22" i="351"/>
  <c r="AL83" i="353"/>
  <c r="G15" i="311"/>
  <c r="P149" i="351"/>
  <c r="K43" i="351"/>
  <c r="G5" i="89"/>
  <c r="G9" i="281"/>
  <c r="AP114" i="353"/>
  <c r="T77" i="351"/>
  <c r="G9" i="322"/>
  <c r="G5" i="271"/>
  <c r="V13" i="353"/>
  <c r="G8" i="456"/>
  <c r="AT46" i="353"/>
  <c r="G13" i="100"/>
  <c r="G5" i="255"/>
  <c r="C6" i="145"/>
  <c r="Q182" i="351"/>
  <c r="G5" i="456"/>
  <c r="G13" i="384"/>
  <c r="G15" i="347"/>
  <c r="I156" i="351"/>
  <c r="AD18" i="353"/>
  <c r="R102" i="353"/>
  <c r="G4" i="257"/>
  <c r="J81" i="353"/>
  <c r="AL29" i="353"/>
  <c r="AU85" i="353"/>
  <c r="O78" i="351"/>
  <c r="G15" i="274"/>
  <c r="H157" i="351"/>
  <c r="AG54" i="353"/>
  <c r="AK18" i="353"/>
  <c r="I58" i="353"/>
  <c r="E58" i="353"/>
  <c r="Q74" i="353"/>
  <c r="G7" i="430"/>
  <c r="H90" i="351"/>
  <c r="G29" i="353"/>
  <c r="H155" i="351"/>
  <c r="P188" i="351"/>
  <c r="G13" i="403"/>
  <c r="M152" i="351"/>
  <c r="Z18" i="353"/>
  <c r="K16" i="353"/>
  <c r="G14" i="94"/>
  <c r="G14" i="250"/>
  <c r="Y43" i="353"/>
  <c r="H14" i="351"/>
  <c r="G7" i="312"/>
  <c r="T22" i="351"/>
  <c r="O108" i="351"/>
  <c r="AV63" i="353"/>
  <c r="J53" i="351"/>
  <c r="G10" i="412"/>
  <c r="Q114" i="351"/>
  <c r="AG16" i="353"/>
  <c r="AU101" i="353"/>
  <c r="AF12" i="353"/>
  <c r="G10" i="463"/>
  <c r="L159" i="351"/>
  <c r="AO53" i="353"/>
  <c r="AJ67" i="353"/>
  <c r="G7" i="421"/>
  <c r="AA74" i="353"/>
  <c r="T28" i="353"/>
  <c r="Q67" i="353"/>
  <c r="G9" i="267"/>
  <c r="G15" i="411"/>
  <c r="J168" i="351"/>
  <c r="O157" i="351"/>
  <c r="G93" i="353"/>
  <c r="N84" i="353"/>
  <c r="K103" i="353"/>
  <c r="J28" i="353"/>
  <c r="K88" i="353"/>
  <c r="G6" i="328"/>
  <c r="AT32" i="353"/>
  <c r="K87" i="353"/>
  <c r="P166" i="351"/>
  <c r="S64" i="351"/>
  <c r="G20" i="353"/>
  <c r="L81" i="351"/>
  <c r="AU92" i="353"/>
  <c r="O177" i="351"/>
  <c r="J202" i="351"/>
  <c r="AS31" i="353"/>
  <c r="AG17" i="353"/>
  <c r="L177" i="351"/>
  <c r="R13" i="353"/>
  <c r="G8" i="327"/>
  <c r="O158" i="351"/>
  <c r="G7" i="488"/>
  <c r="I95" i="353"/>
  <c r="G5" i="247"/>
  <c r="O29" i="351"/>
  <c r="R196" i="351"/>
  <c r="AB44" i="353"/>
  <c r="J99" i="351"/>
  <c r="G9" i="382"/>
  <c r="G15" i="302"/>
  <c r="I18" i="351"/>
  <c r="G15" i="396"/>
  <c r="AV22" i="353"/>
  <c r="G13" i="429"/>
  <c r="G12" i="280"/>
  <c r="AI60" i="353"/>
  <c r="AJ105" i="353"/>
  <c r="AK92" i="353"/>
  <c r="G13" i="455"/>
  <c r="M177" i="351"/>
  <c r="AU30" i="353"/>
  <c r="T57" i="351"/>
  <c r="O118" i="351"/>
  <c r="G9" i="332"/>
  <c r="R65" i="353"/>
  <c r="L161" i="351"/>
  <c r="V89" i="353"/>
  <c r="AV27" i="353"/>
  <c r="P165" i="351"/>
  <c r="AB6" i="353"/>
  <c r="R16" i="351"/>
  <c r="T172" i="351"/>
  <c r="G52" i="353"/>
  <c r="AG76" i="353"/>
  <c r="G71" i="353"/>
  <c r="G15" i="353"/>
  <c r="G197" i="351"/>
  <c r="H14" i="353"/>
  <c r="AO93" i="353"/>
  <c r="E23" i="353"/>
  <c r="G7" i="289"/>
  <c r="AP40" i="353"/>
  <c r="X39" i="353"/>
  <c r="G7" i="388"/>
  <c r="H65" i="351"/>
  <c r="G13" i="291"/>
  <c r="G92" i="351"/>
  <c r="B49" i="144"/>
  <c r="Q35" i="351"/>
  <c r="G5" i="108"/>
  <c r="H72" i="353"/>
  <c r="J71" i="351"/>
  <c r="Z105" i="353"/>
  <c r="I43" i="351"/>
  <c r="Z88" i="353"/>
  <c r="Q50" i="351"/>
  <c r="G13" i="127"/>
  <c r="O169" i="351"/>
  <c r="G6" i="346"/>
  <c r="G12" i="388"/>
  <c r="AP55" i="353"/>
  <c r="G6" i="458"/>
  <c r="O47" i="351"/>
  <c r="O42" i="351"/>
  <c r="M15" i="351"/>
  <c r="W58" i="353"/>
  <c r="H109" i="351"/>
  <c r="G9" i="417"/>
  <c r="I66" i="351"/>
  <c r="K53" i="351"/>
  <c r="AR12" i="353"/>
  <c r="AO59" i="353"/>
  <c r="P84" i="351"/>
  <c r="J140" i="351"/>
  <c r="AB14" i="353"/>
  <c r="AO11" i="6"/>
  <c r="AQ11" i="6" s="1"/>
  <c r="G6" i="128"/>
  <c r="AN56" i="353"/>
  <c r="G4" i="494"/>
  <c r="G4" i="458"/>
  <c r="P28" i="351"/>
  <c r="J154" i="351"/>
  <c r="E99" i="353"/>
  <c r="J178" i="351"/>
  <c r="O192" i="351"/>
  <c r="G13" i="314"/>
  <c r="S46" i="351"/>
  <c r="AD99" i="353"/>
  <c r="C12" i="145"/>
  <c r="AN79" i="353"/>
  <c r="W62" i="353"/>
  <c r="G110" i="351"/>
  <c r="AQ51" i="353"/>
  <c r="AT58" i="353"/>
  <c r="D5" i="355"/>
  <c r="AV7" i="6" s="1"/>
  <c r="I106" i="351"/>
  <c r="M136" i="351"/>
  <c r="AV53" i="353"/>
  <c r="AH16" i="353"/>
  <c r="R62" i="351"/>
  <c r="AB67" i="353"/>
  <c r="M29" i="353"/>
  <c r="Q98" i="351"/>
  <c r="S138" i="351"/>
  <c r="G7" i="366"/>
  <c r="L96" i="351"/>
  <c r="G15" i="368"/>
  <c r="T39" i="351"/>
  <c r="H52" i="353"/>
  <c r="T91" i="353"/>
  <c r="I39" i="353"/>
  <c r="G4" i="433"/>
  <c r="AH34" i="353"/>
  <c r="Z68" i="353"/>
  <c r="T67" i="353"/>
  <c r="Y100" i="353"/>
  <c r="G10" i="130"/>
  <c r="G14" i="368"/>
  <c r="P154" i="351"/>
  <c r="AJ74" i="353"/>
  <c r="M114" i="351"/>
  <c r="T88" i="353"/>
  <c r="T88" i="351"/>
  <c r="T98" i="353"/>
  <c r="AA77" i="353"/>
  <c r="W53" i="353"/>
  <c r="AE56" i="353"/>
  <c r="M56" i="353"/>
  <c r="AR13" i="353"/>
  <c r="G6" i="376"/>
  <c r="AK76" i="353"/>
  <c r="R85" i="351"/>
  <c r="G7" i="445"/>
  <c r="P95" i="351"/>
  <c r="G13" i="313"/>
  <c r="F29" i="353"/>
  <c r="G7" i="14"/>
  <c r="M194" i="351"/>
  <c r="AE4" i="353"/>
  <c r="G5" i="464"/>
  <c r="AO77" i="353"/>
  <c r="S129" i="351"/>
  <c r="G11" i="405"/>
  <c r="I86" i="353"/>
  <c r="G12" i="265"/>
  <c r="I143" i="351"/>
  <c r="AO8" i="353"/>
  <c r="R160" i="351"/>
  <c r="Q51" i="353"/>
  <c r="X72" i="353"/>
  <c r="AG44" i="353"/>
  <c r="G9" i="315"/>
  <c r="AA57" i="353"/>
  <c r="AP7" i="353"/>
  <c r="O64" i="353"/>
  <c r="AU32" i="353"/>
  <c r="M48" i="351"/>
  <c r="F73" i="353"/>
  <c r="G10" i="329"/>
  <c r="G11" i="419"/>
  <c r="T24" i="351"/>
  <c r="AS105" i="353"/>
  <c r="L89" i="351"/>
  <c r="AN45" i="353"/>
  <c r="M65" i="353"/>
  <c r="G4" i="462"/>
  <c r="M104" i="353"/>
  <c r="R14" i="353"/>
  <c r="G5" i="264"/>
  <c r="G50" i="351"/>
  <c r="G5" i="270"/>
  <c r="G14" i="367"/>
  <c r="V24" i="353"/>
  <c r="J21" i="351"/>
  <c r="AP5" i="353"/>
  <c r="AB94" i="353"/>
  <c r="L127" i="351"/>
  <c r="Q149" i="351"/>
  <c r="AO28" i="353"/>
  <c r="F96" i="353"/>
  <c r="AK4" i="353"/>
  <c r="AB34" i="353"/>
  <c r="H150" i="351"/>
  <c r="M99" i="351"/>
  <c r="Z41" i="353"/>
  <c r="AV6" i="353"/>
  <c r="AT26" i="353"/>
  <c r="V64" i="353"/>
  <c r="S157" i="351"/>
  <c r="G179" i="351"/>
  <c r="S32" i="351"/>
  <c r="J100" i="353"/>
  <c r="U39" i="353"/>
  <c r="G62" i="351"/>
  <c r="AK27" i="353"/>
  <c r="AS34" i="353"/>
  <c r="G11" i="255"/>
  <c r="O200" i="351"/>
  <c r="E98" i="353"/>
  <c r="I134" i="351"/>
  <c r="T22" i="353"/>
  <c r="R121" i="351"/>
  <c r="K97" i="351"/>
  <c r="U80" i="353"/>
  <c r="I73" i="351"/>
  <c r="G54" i="351"/>
  <c r="G10" i="349"/>
  <c r="AO25" i="353"/>
  <c r="K154" i="351"/>
  <c r="G8" i="308"/>
  <c r="AL27" i="353"/>
  <c r="X76" i="353"/>
  <c r="G12" i="247"/>
  <c r="AQ84" i="353"/>
  <c r="L149" i="351"/>
  <c r="AL89" i="353"/>
  <c r="G15" i="266"/>
  <c r="G12" i="469"/>
  <c r="B2" i="144"/>
  <c r="K24" i="351"/>
  <c r="H55" i="351"/>
  <c r="J4" i="351"/>
  <c r="G54" i="353"/>
  <c r="AJ96" i="353"/>
  <c r="R106" i="351"/>
  <c r="G12" i="264"/>
  <c r="G12" i="109"/>
  <c r="P107" i="351"/>
  <c r="P51" i="353"/>
  <c r="AS38" i="353"/>
  <c r="AG84" i="353"/>
  <c r="G6" i="110"/>
  <c r="P164" i="351"/>
  <c r="G5" i="265"/>
  <c r="AO16" i="353"/>
  <c r="G10" i="472"/>
  <c r="G7" i="261"/>
  <c r="G14" i="300"/>
  <c r="B21" i="144"/>
  <c r="J22" i="6" s="1"/>
  <c r="AR101" i="353"/>
  <c r="B9" i="144"/>
  <c r="J10" i="6" s="1"/>
  <c r="AS48" i="353"/>
  <c r="AU91" i="353"/>
  <c r="I72" i="351"/>
  <c r="G11" i="249"/>
  <c r="S58" i="351"/>
  <c r="AL40" i="353"/>
  <c r="S184" i="351"/>
  <c r="Z17" i="353"/>
  <c r="AP35" i="353"/>
  <c r="S193" i="351"/>
  <c r="AI30" i="353"/>
  <c r="R41" i="351"/>
  <c r="C20" i="145"/>
  <c r="P17" i="353"/>
  <c r="G14" i="277"/>
  <c r="X4" i="353"/>
  <c r="G10" i="475"/>
  <c r="G12" i="313"/>
  <c r="R191" i="351"/>
  <c r="G14" i="336"/>
  <c r="W48" i="353"/>
  <c r="AA12" i="353"/>
  <c r="U14" i="353"/>
  <c r="T23" i="351"/>
  <c r="AD4" i="353"/>
  <c r="K162" i="351"/>
  <c r="AB73" i="353"/>
  <c r="AB75" i="353"/>
  <c r="Y57" i="353"/>
  <c r="G5" i="368"/>
  <c r="I155" i="351"/>
  <c r="G6" i="263"/>
  <c r="U70" i="353"/>
  <c r="AF85" i="353"/>
  <c r="T138" i="351"/>
  <c r="V53" i="353"/>
  <c r="G5" i="455"/>
  <c r="AR80" i="353"/>
  <c r="AN42" i="353"/>
  <c r="G6" i="434"/>
  <c r="E37" i="353"/>
  <c r="G8" i="245"/>
  <c r="AJ29" i="353"/>
  <c r="AG6" i="353"/>
  <c r="AN80" i="353"/>
  <c r="R165" i="351"/>
  <c r="G13" i="345"/>
  <c r="S87" i="351"/>
  <c r="P77" i="351"/>
  <c r="G11" i="262"/>
  <c r="G10" i="279"/>
  <c r="G10" i="331"/>
  <c r="AA89" i="353"/>
  <c r="M102" i="351"/>
  <c r="J105" i="351"/>
  <c r="S140" i="351"/>
  <c r="G14" i="291"/>
  <c r="G10" i="258"/>
  <c r="G12" i="349"/>
  <c r="R29" i="351"/>
  <c r="AE62" i="353"/>
  <c r="AJ44" i="353"/>
  <c r="E39" i="353"/>
  <c r="M14" i="353"/>
  <c r="M135" i="351"/>
  <c r="AA51" i="353"/>
  <c r="H70" i="353"/>
  <c r="J91" i="353"/>
  <c r="N91" i="353"/>
  <c r="V54" i="353"/>
  <c r="G4" i="383"/>
  <c r="AF77" i="353"/>
  <c r="N46" i="353"/>
  <c r="T197" i="351"/>
  <c r="G163" i="351"/>
  <c r="G7" i="258"/>
  <c r="I14" i="351"/>
  <c r="K207" i="351"/>
  <c r="R38" i="351"/>
  <c r="K41" i="353"/>
  <c r="G11" i="257"/>
  <c r="G15" i="475"/>
  <c r="G10" i="479"/>
  <c r="P97" i="353"/>
  <c r="G12" i="462"/>
  <c r="AB5" i="353"/>
  <c r="AH76" i="353"/>
  <c r="Y36" i="353"/>
  <c r="P98" i="353"/>
  <c r="H78" i="351"/>
  <c r="K106" i="351"/>
  <c r="G9" i="348"/>
  <c r="G47" i="353"/>
  <c r="J14" i="353"/>
  <c r="AI9" i="6"/>
  <c r="G4" i="473"/>
  <c r="M37" i="351"/>
  <c r="S20" i="351"/>
  <c r="AV77" i="353"/>
  <c r="G12" i="296"/>
  <c r="O9" i="351"/>
  <c r="AF8" i="353"/>
  <c r="AL77" i="353"/>
  <c r="G11" i="359"/>
  <c r="J44" i="353"/>
  <c r="AA69" i="353"/>
  <c r="G11" i="368"/>
  <c r="AU96" i="353"/>
  <c r="G10" i="270"/>
  <c r="O116" i="351"/>
  <c r="I70" i="351"/>
  <c r="AA73" i="353"/>
  <c r="M192" i="351"/>
  <c r="AK15" i="353"/>
  <c r="G15" i="116"/>
  <c r="L44" i="351"/>
  <c r="G114" i="353"/>
  <c r="H63" i="351"/>
  <c r="H6" i="351"/>
  <c r="Q35" i="353"/>
  <c r="J22" i="351"/>
  <c r="E71" i="353"/>
  <c r="AR36" i="353"/>
  <c r="G14" i="337"/>
  <c r="K14" i="353"/>
  <c r="G12" i="253"/>
  <c r="J67" i="353"/>
  <c r="P21" i="351"/>
  <c r="X57" i="353"/>
  <c r="N18" i="353"/>
  <c r="M20" i="353"/>
  <c r="AT50" i="353"/>
  <c r="AL32" i="353"/>
  <c r="AP61" i="353"/>
  <c r="H18" i="351"/>
  <c r="L168" i="351"/>
  <c r="G4" i="348"/>
  <c r="AR71" i="353"/>
  <c r="T86" i="353"/>
  <c r="I102" i="351"/>
  <c r="G15" i="249"/>
  <c r="G166" i="351"/>
  <c r="Z56" i="353"/>
  <c r="AE88" i="353"/>
  <c r="G14" i="311"/>
  <c r="G9" i="329"/>
  <c r="F87" i="353"/>
  <c r="G10" i="127"/>
  <c r="S84" i="351"/>
  <c r="AE101" i="353"/>
  <c r="H82" i="351"/>
  <c r="G7" i="363"/>
  <c r="O59" i="353"/>
  <c r="S22" i="351"/>
  <c r="K104" i="353"/>
  <c r="H132" i="351"/>
  <c r="G95" i="353"/>
  <c r="Q42" i="351"/>
  <c r="R100" i="353"/>
  <c r="O26" i="351"/>
  <c r="AH48" i="353"/>
  <c r="AT82" i="353"/>
  <c r="I62" i="351"/>
  <c r="Q17" i="353"/>
  <c r="U90" i="353"/>
  <c r="G6" i="257"/>
  <c r="P194" i="351"/>
  <c r="AK67" i="353"/>
  <c r="K75" i="353"/>
  <c r="G9" i="464"/>
  <c r="AG63" i="353"/>
  <c r="G10" i="314"/>
  <c r="G11" i="267"/>
  <c r="AG49" i="353"/>
  <c r="G4" i="411"/>
  <c r="R73" i="353"/>
  <c r="AG97" i="353"/>
  <c r="G5" i="275"/>
  <c r="Q30" i="353"/>
  <c r="G15" i="267"/>
  <c r="G7" i="345"/>
  <c r="G14" i="301"/>
  <c r="AE79" i="353"/>
  <c r="AA14" i="353"/>
  <c r="G7" i="103"/>
  <c r="U31" i="353"/>
  <c r="G8" i="419"/>
  <c r="G11" i="108"/>
  <c r="AF99" i="353"/>
  <c r="M137" i="351"/>
  <c r="AN69" i="353"/>
  <c r="G11" i="310"/>
  <c r="F71" i="353"/>
  <c r="AP10" i="353"/>
  <c r="AA47" i="353"/>
  <c r="I147" i="351"/>
  <c r="X19" i="353"/>
  <c r="O194" i="351"/>
  <c r="AF47" i="353"/>
  <c r="M131" i="351"/>
  <c r="G10" i="246"/>
  <c r="G11" i="266"/>
  <c r="AH42" i="353"/>
  <c r="AT81" i="353"/>
  <c r="T15" i="351"/>
  <c r="M54" i="351"/>
  <c r="AV99" i="353"/>
  <c r="G13" i="249"/>
  <c r="O76" i="353"/>
  <c r="AG24" i="353"/>
  <c r="G14" i="412"/>
  <c r="B45" i="144"/>
  <c r="T48" i="353"/>
  <c r="AF29" i="353"/>
  <c r="J98" i="353"/>
  <c r="AO57" i="353"/>
  <c r="G9" i="122"/>
  <c r="S169" i="351"/>
  <c r="G5" i="311"/>
  <c r="G8" i="455"/>
  <c r="F25" i="353"/>
  <c r="R190" i="351"/>
  <c r="G12" i="113"/>
  <c r="G15" i="494"/>
  <c r="G10" i="271"/>
  <c r="X42" i="353"/>
  <c r="AQ83" i="353"/>
  <c r="G13" i="415"/>
  <c r="J49" i="353"/>
  <c r="J115" i="351"/>
  <c r="L70" i="351"/>
  <c r="W11" i="353"/>
  <c r="L57" i="351"/>
  <c r="Y69" i="353"/>
  <c r="F69" i="353"/>
  <c r="AO35" i="353"/>
  <c r="AQ86" i="353"/>
  <c r="G8" i="424"/>
  <c r="G12" i="286"/>
  <c r="AL55" i="353"/>
  <c r="F98" i="353"/>
  <c r="R84" i="353"/>
  <c r="G7" i="118"/>
  <c r="G173" i="351"/>
  <c r="AA36" i="353"/>
  <c r="G12" i="335"/>
  <c r="S23" i="351"/>
  <c r="AO26" i="6"/>
  <c r="AQ26" i="6" s="1"/>
  <c r="AS66" i="353"/>
  <c r="G11" i="464"/>
  <c r="T81" i="353"/>
  <c r="S178" i="351"/>
  <c r="O176" i="351"/>
  <c r="G92" i="353"/>
  <c r="AF41" i="353"/>
  <c r="R38" i="353"/>
  <c r="G13" i="316"/>
  <c r="AD114" i="353"/>
  <c r="B48" i="144"/>
  <c r="P42" i="353"/>
  <c r="AG100" i="353"/>
  <c r="T93" i="351"/>
  <c r="I53" i="353"/>
  <c r="AO12" i="353"/>
  <c r="G15" i="383"/>
  <c r="G15" i="479"/>
  <c r="L95" i="351"/>
  <c r="R31" i="353"/>
  <c r="X47" i="353"/>
  <c r="J94" i="351"/>
  <c r="J17" i="353"/>
  <c r="G15" i="255"/>
  <c r="R39" i="351"/>
  <c r="U91" i="353"/>
  <c r="Q25" i="353"/>
  <c r="AH92" i="353"/>
  <c r="G11" i="488"/>
  <c r="G12" i="281"/>
  <c r="X50" i="353"/>
  <c r="J197" i="351"/>
  <c r="S72" i="351"/>
  <c r="U19" i="353"/>
  <c r="L199" i="351"/>
  <c r="U56" i="353"/>
  <c r="G15" i="120"/>
  <c r="AB23" i="353"/>
  <c r="G11" i="116"/>
  <c r="G15" i="454"/>
  <c r="AO85" i="353"/>
  <c r="AB78" i="353"/>
  <c r="R54" i="353"/>
  <c r="Q92" i="353"/>
  <c r="I92" i="353"/>
  <c r="AB99" i="353"/>
  <c r="V8" i="353"/>
  <c r="G5" i="296"/>
  <c r="S24" i="351"/>
  <c r="G190" i="351"/>
  <c r="W78" i="353"/>
  <c r="AP22" i="353"/>
  <c r="I74" i="353"/>
  <c r="R105" i="351"/>
  <c r="G15" i="247"/>
  <c r="AB18" i="353"/>
  <c r="AK64" i="353"/>
  <c r="S119" i="351"/>
  <c r="G7" i="303"/>
  <c r="M94" i="353"/>
  <c r="G10" i="281"/>
  <c r="G6" i="411"/>
  <c r="J192" i="351"/>
  <c r="AK14" i="353"/>
  <c r="H86" i="353"/>
  <c r="R136" i="351"/>
  <c r="G9" i="396"/>
  <c r="AP20" i="353"/>
  <c r="AQ95" i="353"/>
  <c r="L32" i="351"/>
  <c r="G15" i="96"/>
  <c r="AU84" i="353"/>
  <c r="G10" i="327"/>
  <c r="J28" i="351"/>
  <c r="G176" i="351"/>
  <c r="C1" i="145"/>
  <c r="AD46" i="353"/>
  <c r="Z82" i="353"/>
  <c r="Q66" i="351"/>
  <c r="U32" i="353"/>
  <c r="O145" i="351"/>
  <c r="AN82" i="353"/>
  <c r="U52" i="353"/>
  <c r="AT31" i="353"/>
  <c r="T105" i="351"/>
  <c r="AU104" i="353"/>
  <c r="K198" i="351"/>
  <c r="AU60" i="353"/>
  <c r="O114" i="351"/>
  <c r="Z62" i="353"/>
  <c r="AO37" i="353"/>
  <c r="B39" i="144"/>
  <c r="G8" i="116"/>
  <c r="O13" i="353"/>
  <c r="G14" i="312"/>
  <c r="C46" i="145"/>
  <c r="H33" i="353"/>
  <c r="AP101" i="353"/>
  <c r="U47" i="353"/>
  <c r="V91" i="353"/>
  <c r="H88" i="353"/>
  <c r="AT24" i="353"/>
  <c r="T3" i="353"/>
  <c r="G4" i="130"/>
  <c r="G160" i="351"/>
  <c r="R57" i="353"/>
  <c r="Q76" i="351"/>
  <c r="J113" i="351"/>
  <c r="O57" i="351"/>
  <c r="Q43" i="351"/>
  <c r="I103" i="351"/>
  <c r="G4" i="97"/>
  <c r="K85" i="351"/>
  <c r="S57" i="351"/>
  <c r="G8" i="283"/>
  <c r="G4" i="301"/>
  <c r="AG78" i="353"/>
  <c r="P44" i="351"/>
  <c r="AB41" i="353"/>
  <c r="AN105" i="353"/>
  <c r="G4" i="468"/>
  <c r="AR97" i="353"/>
  <c r="G12" i="279"/>
  <c r="AJ42" i="353"/>
  <c r="G5" i="339"/>
  <c r="P124" i="351"/>
  <c r="G24" i="351"/>
  <c r="L203" i="351"/>
  <c r="AG5" i="353"/>
  <c r="K68" i="351"/>
  <c r="H18" i="353"/>
  <c r="AR17" i="353"/>
  <c r="AV52" i="353"/>
  <c r="G9" i="311"/>
  <c r="I34" i="351"/>
  <c r="G15" i="343"/>
  <c r="AO44" i="353"/>
  <c r="G9" i="429"/>
  <c r="B20" i="144"/>
  <c r="G6" i="487"/>
  <c r="G10" i="307"/>
  <c r="AN29" i="353"/>
  <c r="AU71" i="353"/>
  <c r="K186" i="351"/>
  <c r="I85" i="353"/>
  <c r="AR89" i="353"/>
  <c r="AB98" i="353"/>
  <c r="X41" i="353"/>
  <c r="K55" i="353"/>
  <c r="T150" i="351"/>
  <c r="P18" i="351"/>
  <c r="E48" i="353"/>
  <c r="G67" i="353"/>
  <c r="AT72" i="353"/>
  <c r="O113" i="351"/>
  <c r="H96" i="353"/>
  <c r="G6" i="447"/>
  <c r="M159" i="351"/>
  <c r="Z42" i="353"/>
  <c r="Y73" i="353"/>
  <c r="AO69" i="353"/>
  <c r="G77" i="351"/>
  <c r="G75" i="353"/>
  <c r="K175" i="351"/>
  <c r="G5" i="250"/>
  <c r="AO92" i="353"/>
  <c r="L192" i="351"/>
  <c r="AG85" i="353"/>
  <c r="G174" i="351"/>
  <c r="G7" i="491"/>
  <c r="G10" i="100"/>
  <c r="G5" i="260"/>
  <c r="R81" i="351"/>
  <c r="H36" i="351"/>
  <c r="G7" i="130"/>
  <c r="G5" i="445"/>
  <c r="Q163" i="351"/>
  <c r="AI49" i="353"/>
  <c r="Z22" i="353"/>
  <c r="AA35" i="353"/>
  <c r="K22" i="353"/>
  <c r="G13" i="322"/>
  <c r="AQ34" i="353"/>
  <c r="O143" i="351"/>
  <c r="G11" i="455"/>
  <c r="AT4" i="353"/>
  <c r="L131" i="351"/>
  <c r="AG38" i="353"/>
  <c r="I198" i="351"/>
  <c r="J174" i="351"/>
  <c r="T43" i="351"/>
  <c r="AV12" i="353"/>
  <c r="T7" i="353"/>
  <c r="G12" i="283"/>
  <c r="P186" i="351"/>
  <c r="J119" i="351"/>
  <c r="G13" i="301"/>
  <c r="Q18" i="353"/>
  <c r="G15" i="447"/>
  <c r="E77" i="353"/>
  <c r="G5" i="251"/>
  <c r="R50" i="351"/>
  <c r="W23" i="353"/>
  <c r="G12" i="336"/>
  <c r="I59" i="353"/>
  <c r="T25" i="351"/>
  <c r="G58" i="353"/>
  <c r="G5" i="343"/>
  <c r="G4" i="328"/>
  <c r="T104" i="351"/>
  <c r="Q128" i="351"/>
  <c r="AV70" i="353"/>
  <c r="G14" i="415"/>
  <c r="G6" i="363"/>
  <c r="C47" i="145"/>
  <c r="AK47" i="353"/>
  <c r="T207" i="351"/>
  <c r="I10" i="351"/>
  <c r="I33" i="351"/>
  <c r="AO38" i="353"/>
  <c r="P199" i="351"/>
  <c r="J93" i="351"/>
  <c r="G13" i="335"/>
  <c r="G12" i="110"/>
  <c r="AO12" i="6"/>
  <c r="AQ12" i="6" s="1"/>
  <c r="AQ54" i="353"/>
  <c r="Q127" i="351"/>
  <c r="O114" i="353"/>
  <c r="L100" i="351"/>
  <c r="C8" i="145"/>
  <c r="G12" i="393"/>
  <c r="G8" i="405"/>
  <c r="D6" i="355"/>
  <c r="AV8" i="6" s="1"/>
  <c r="O155" i="351"/>
  <c r="P79" i="351"/>
  <c r="AO81" i="353"/>
  <c r="AS58" i="353"/>
  <c r="K34" i="353"/>
  <c r="AQ56" i="353"/>
  <c r="G15" i="269"/>
  <c r="U11" i="353"/>
  <c r="V66" i="353"/>
  <c r="N48" i="353"/>
  <c r="G9" i="303"/>
  <c r="V78" i="353"/>
  <c r="G15" i="306"/>
  <c r="K43" i="353"/>
  <c r="AE84" i="353"/>
  <c r="H23" i="351"/>
  <c r="Z8" i="353"/>
  <c r="Q167" i="351"/>
  <c r="AO51" i="353"/>
  <c r="G6" i="130"/>
  <c r="H48" i="353"/>
  <c r="AO16" i="6"/>
  <c r="AQ16" i="6" s="1"/>
  <c r="G15" i="254"/>
  <c r="G4" i="481"/>
  <c r="AD52" i="353"/>
  <c r="AE100" i="353"/>
  <c r="G4" i="128"/>
  <c r="K61" i="351"/>
  <c r="G15" i="122"/>
  <c r="P147" i="351"/>
  <c r="G5" i="433"/>
  <c r="G13" i="312"/>
  <c r="Y26" i="353"/>
  <c r="AF40" i="353"/>
  <c r="G12" i="490"/>
  <c r="AI68" i="353"/>
  <c r="R105" i="353"/>
  <c r="AB69" i="353"/>
  <c r="S113" i="351"/>
  <c r="H76" i="353"/>
  <c r="M7" i="351"/>
  <c r="AI3" i="6"/>
  <c r="AN78" i="353"/>
  <c r="AR44" i="353"/>
  <c r="R178" i="351"/>
  <c r="W100" i="353"/>
  <c r="R197" i="351"/>
  <c r="J101" i="351"/>
  <c r="G4" i="308"/>
  <c r="Q21" i="351"/>
  <c r="G15" i="465"/>
  <c r="AJ85" i="353"/>
  <c r="T63" i="353"/>
  <c r="AA13" i="353"/>
  <c r="M63" i="353"/>
  <c r="C3" i="355"/>
  <c r="AU5" i="6" s="1"/>
  <c r="C17" i="145"/>
  <c r="S71" i="351"/>
  <c r="P14" i="353"/>
  <c r="C43" i="145"/>
  <c r="R104" i="353"/>
  <c r="G11" i="97"/>
  <c r="S101" i="351"/>
  <c r="G7" i="316"/>
  <c r="M119" i="351"/>
  <c r="AR15" i="353"/>
  <c r="F70" i="353"/>
  <c r="W77" i="353"/>
  <c r="AA24" i="353"/>
  <c r="G42" i="351"/>
  <c r="AK56" i="353"/>
  <c r="G15" i="104"/>
  <c r="X92" i="353"/>
  <c r="L83" i="351"/>
  <c r="AE10" i="353"/>
  <c r="AK28" i="353"/>
  <c r="I96" i="353"/>
  <c r="R205" i="351"/>
  <c r="G156" i="351"/>
  <c r="AD14" i="353"/>
  <c r="G5" i="287"/>
  <c r="Q178" i="351"/>
  <c r="AR10" i="353"/>
  <c r="G14" i="328"/>
  <c r="Q48" i="353"/>
  <c r="G7" i="100"/>
  <c r="N57" i="353"/>
  <c r="G14" i="97"/>
  <c r="H62" i="351"/>
  <c r="G10" i="276"/>
  <c r="R93" i="353"/>
  <c r="Y33" i="353"/>
  <c r="G13" i="347"/>
  <c r="J9" i="351"/>
  <c r="AO60" i="353"/>
  <c r="K117" i="351"/>
  <c r="G5" i="442"/>
  <c r="G6" i="425"/>
  <c r="AA58" i="353"/>
  <c r="I25" i="351"/>
  <c r="G15" i="276"/>
  <c r="T51" i="351"/>
  <c r="K88" i="351"/>
  <c r="AO34" i="6"/>
  <c r="AQ34" i="6" s="1"/>
  <c r="G11" i="296"/>
  <c r="S151" i="351"/>
  <c r="M182" i="351"/>
  <c r="G7" i="273"/>
  <c r="P65" i="353"/>
  <c r="R45" i="351"/>
  <c r="J38" i="351"/>
  <c r="AV21" i="353"/>
  <c r="R174" i="351"/>
  <c r="G9" i="250"/>
  <c r="E6" i="355"/>
  <c r="AW8" i="6" s="1"/>
  <c r="L170" i="351"/>
  <c r="J81" i="351"/>
  <c r="AF37" i="353"/>
  <c r="AT21" i="353"/>
  <c r="G10" i="96"/>
  <c r="S186" i="351"/>
  <c r="J101" i="353"/>
  <c r="M169" i="351"/>
  <c r="AH98" i="353"/>
  <c r="G13" i="122"/>
  <c r="G12" i="115"/>
  <c r="G7" i="109"/>
  <c r="AE86" i="353"/>
  <c r="P76" i="351"/>
  <c r="Z23" i="353"/>
  <c r="G4" i="329"/>
  <c r="G7" i="479"/>
  <c r="L50" i="351"/>
  <c r="AT64" i="353"/>
  <c r="AD29" i="353"/>
  <c r="AA49" i="353"/>
  <c r="L117" i="351"/>
  <c r="M202" i="351"/>
  <c r="V6" i="353"/>
  <c r="G8" i="248"/>
  <c r="K46" i="353"/>
  <c r="I111" i="351"/>
  <c r="G10" i="490"/>
  <c r="AB90" i="353"/>
  <c r="G9" i="403"/>
  <c r="AG95" i="353"/>
  <c r="R87" i="351"/>
  <c r="G14" i="469"/>
  <c r="G6" i="127"/>
  <c r="AG10" i="353"/>
  <c r="AS85" i="353"/>
  <c r="P49" i="353"/>
  <c r="K28" i="353"/>
  <c r="S142" i="351"/>
  <c r="G5" i="329"/>
  <c r="G124" i="351"/>
  <c r="X43" i="353"/>
  <c r="O51" i="351"/>
  <c r="G12" i="288"/>
  <c r="G14" i="310"/>
  <c r="AN7" i="353"/>
  <c r="R60" i="353"/>
  <c r="AF3" i="353"/>
  <c r="J48" i="353"/>
  <c r="AN95" i="353"/>
  <c r="AF75" i="353"/>
  <c r="Q160" i="351"/>
  <c r="G9" i="363"/>
  <c r="L172" i="351"/>
  <c r="G15" i="420"/>
  <c r="AI25" i="6"/>
  <c r="P48" i="351"/>
  <c r="Z99" i="353"/>
  <c r="S166" i="351"/>
  <c r="H57" i="353"/>
  <c r="H20" i="353"/>
  <c r="T179" i="351"/>
  <c r="R22" i="351"/>
  <c r="G11" i="342"/>
  <c r="T89" i="351"/>
  <c r="AO54" i="353"/>
  <c r="O123" i="351"/>
  <c r="W57" i="353"/>
  <c r="R66" i="351"/>
  <c r="I173" i="351"/>
  <c r="AT96" i="353"/>
  <c r="Y63" i="353"/>
  <c r="G12" i="307"/>
  <c r="J84" i="353"/>
  <c r="R152" i="351"/>
  <c r="AN33" i="353"/>
  <c r="I37" i="353"/>
  <c r="S180" i="351"/>
  <c r="F10" i="353"/>
  <c r="K38" i="353"/>
  <c r="AL13" i="353"/>
  <c r="O48" i="351"/>
  <c r="B24" i="144"/>
  <c r="AQ13" i="353"/>
  <c r="AN53" i="353"/>
  <c r="AR63" i="353"/>
  <c r="AE13" i="353"/>
  <c r="G12" i="487"/>
  <c r="H193" i="351"/>
  <c r="H148" i="351"/>
  <c r="J194" i="351"/>
  <c r="AB52" i="353"/>
  <c r="AQ4" i="353"/>
  <c r="G10" i="430"/>
  <c r="AE68" i="353"/>
  <c r="G8" i="410"/>
  <c r="K155" i="351"/>
  <c r="AI81" i="353"/>
  <c r="G15" i="245"/>
  <c r="AB71" i="353"/>
  <c r="AD75" i="353"/>
  <c r="Z50" i="353"/>
  <c r="E73" i="353"/>
  <c r="Y10" i="353"/>
  <c r="G6" i="290"/>
  <c r="G4" i="320"/>
  <c r="M97" i="351"/>
  <c r="R82" i="351"/>
  <c r="G12" i="415"/>
  <c r="R119" i="351"/>
  <c r="G88" i="351"/>
  <c r="G13" i="353"/>
  <c r="G8" i="94"/>
  <c r="AR82" i="353"/>
  <c r="Z10" i="353"/>
  <c r="AQ77" i="353"/>
  <c r="G12" i="448"/>
  <c r="L107" i="351"/>
  <c r="G10" i="448"/>
  <c r="AQ87" i="353"/>
  <c r="E85" i="353"/>
  <c r="L66" i="351"/>
  <c r="Z78" i="353"/>
  <c r="O112" i="351"/>
  <c r="G13" i="123"/>
  <c r="O99" i="353"/>
  <c r="G4" i="321"/>
  <c r="G9" i="264"/>
  <c r="J159" i="351"/>
  <c r="G9" i="265"/>
  <c r="AR14" i="353"/>
  <c r="P6" i="351"/>
  <c r="G12" i="445"/>
  <c r="O6" i="351"/>
  <c r="M45" i="351"/>
  <c r="O166" i="351"/>
  <c r="T87" i="353"/>
  <c r="T53" i="351"/>
  <c r="AR91" i="353"/>
  <c r="P94" i="351"/>
  <c r="H46" i="351"/>
  <c r="AH46" i="353"/>
  <c r="O85" i="353"/>
  <c r="G12" i="291"/>
  <c r="G11" i="128"/>
  <c r="G9" i="130"/>
  <c r="I161" i="351"/>
  <c r="G4" i="286"/>
  <c r="G12" i="348"/>
  <c r="G7" i="364"/>
  <c r="G7" i="299"/>
  <c r="G25" i="351"/>
  <c r="AK8" i="353"/>
  <c r="G12" i="333"/>
  <c r="G83" i="351"/>
  <c r="AI97" i="353"/>
  <c r="B7" i="355"/>
  <c r="AT9" i="6" s="1"/>
  <c r="T85" i="353"/>
  <c r="G12" i="403"/>
  <c r="AV101" i="353"/>
  <c r="N89" i="353"/>
  <c r="G10" i="316"/>
  <c r="X60" i="353"/>
  <c r="X88" i="353"/>
  <c r="H56" i="351"/>
  <c r="E89" i="353"/>
  <c r="P99" i="351"/>
  <c r="I30" i="353"/>
  <c r="G7" i="270"/>
  <c r="AP63" i="353"/>
  <c r="H40" i="353"/>
  <c r="G12" i="294"/>
  <c r="G13" i="251"/>
  <c r="N78" i="353"/>
  <c r="H201" i="351"/>
  <c r="G14" i="450"/>
  <c r="R138" i="351"/>
  <c r="T24" i="353"/>
  <c r="O109" i="351"/>
  <c r="AT73" i="353"/>
  <c r="AF50" i="353"/>
  <c r="G6" i="116"/>
  <c r="Q102" i="353"/>
  <c r="G14" i="257"/>
  <c r="G192" i="351"/>
  <c r="G4" i="420"/>
  <c r="AB68" i="353"/>
  <c r="AL92" i="353"/>
  <c r="M104" i="351"/>
  <c r="AN104" i="353"/>
  <c r="AV31" i="353"/>
  <c r="L69" i="351"/>
  <c r="AT80" i="353"/>
  <c r="P55" i="353"/>
  <c r="AT78" i="353"/>
  <c r="O138" i="351"/>
  <c r="G8" i="284"/>
  <c r="D54" i="146"/>
  <c r="G6" i="417"/>
  <c r="G10" i="320"/>
  <c r="G9" i="466"/>
  <c r="AU103" i="353"/>
  <c r="R61" i="351"/>
  <c r="G4" i="388"/>
  <c r="I174" i="351"/>
  <c r="G12" i="118"/>
  <c r="I135" i="351"/>
  <c r="AO47" i="353"/>
  <c r="G7" i="271"/>
  <c r="G14" i="109"/>
  <c r="G10" i="291"/>
  <c r="G5" i="120"/>
  <c r="W28" i="353"/>
  <c r="AL46" i="353"/>
  <c r="L15" i="351"/>
  <c r="I77" i="351"/>
  <c r="R79" i="351"/>
  <c r="G8" i="490"/>
  <c r="T149" i="351"/>
  <c r="AL23" i="353"/>
  <c r="T31" i="353"/>
  <c r="K78" i="353"/>
  <c r="O41" i="353"/>
  <c r="T131" i="351"/>
  <c r="P25" i="353"/>
  <c r="R130" i="351"/>
  <c r="AA50" i="353"/>
  <c r="G9" i="254"/>
  <c r="G14" i="347"/>
  <c r="U41" i="353"/>
  <c r="P151" i="351"/>
  <c r="G64" i="351"/>
  <c r="T64" i="351"/>
  <c r="AU49" i="353"/>
  <c r="K79" i="351"/>
  <c r="R95" i="353"/>
  <c r="J35" i="353"/>
  <c r="G8" i="463"/>
  <c r="Q40" i="353"/>
  <c r="G81" i="353"/>
  <c r="G8" i="99"/>
  <c r="F92" i="353"/>
  <c r="L35" i="351"/>
  <c r="T40" i="351"/>
  <c r="G13" i="473"/>
  <c r="T107" i="351"/>
  <c r="J18" i="351"/>
  <c r="Q44" i="351"/>
  <c r="G4" i="368"/>
  <c r="AD39" i="353"/>
  <c r="AG68" i="353"/>
  <c r="C7" i="145"/>
  <c r="S30" i="351"/>
  <c r="AV94" i="353"/>
  <c r="X78" i="353"/>
  <c r="I32" i="353"/>
  <c r="H24" i="351"/>
  <c r="J195" i="351"/>
  <c r="G12" i="427"/>
  <c r="AA55" i="353"/>
  <c r="S174" i="351"/>
  <c r="G15" i="117"/>
  <c r="AP29" i="353"/>
  <c r="H51" i="351"/>
  <c r="M116" i="351"/>
  <c r="AN83" i="353"/>
  <c r="AT47" i="353"/>
  <c r="H31" i="353"/>
  <c r="Q95" i="351"/>
  <c r="V114" i="353"/>
  <c r="G15" i="283"/>
  <c r="Y95" i="353"/>
  <c r="R149" i="351"/>
  <c r="AI83" i="353"/>
  <c r="G5" i="96"/>
  <c r="AB51" i="353"/>
  <c r="G7" i="276"/>
  <c r="G5" i="283"/>
  <c r="P4" i="351"/>
  <c r="G13" i="385"/>
  <c r="M69" i="353"/>
  <c r="G6" i="424"/>
  <c r="H57" i="351"/>
  <c r="I27" i="353"/>
  <c r="G89" i="353"/>
  <c r="AV28" i="353"/>
  <c r="AV40" i="353"/>
  <c r="K92" i="351"/>
  <c r="G13" i="416"/>
  <c r="L143" i="351"/>
  <c r="C28" i="145"/>
  <c r="G15" i="381"/>
  <c r="AD63" i="353"/>
  <c r="AL75" i="353"/>
  <c r="H29" i="353"/>
  <c r="K17" i="353"/>
  <c r="AJ17" i="353"/>
  <c r="AE66" i="353"/>
  <c r="AI62" i="353"/>
  <c r="Z103" i="353"/>
  <c r="G10" i="312"/>
  <c r="H53" i="353"/>
  <c r="G6" i="283"/>
  <c r="P104" i="353"/>
  <c r="G4" i="323"/>
  <c r="AU73" i="353"/>
  <c r="Z15" i="353"/>
  <c r="AG89" i="353"/>
  <c r="AT18" i="353"/>
  <c r="H8" i="351"/>
  <c r="G13" i="331"/>
  <c r="T97" i="351"/>
  <c r="K187" i="351"/>
  <c r="G13" i="270"/>
  <c r="J150" i="351"/>
  <c r="G14" i="117"/>
  <c r="H49" i="353"/>
  <c r="P102" i="353"/>
  <c r="O49" i="351"/>
  <c r="AT38" i="353"/>
  <c r="G9" i="346"/>
  <c r="AL62" i="353"/>
  <c r="T140" i="351"/>
  <c r="AI114" i="353"/>
  <c r="H75" i="351"/>
  <c r="J39" i="351"/>
  <c r="K149" i="351"/>
  <c r="Q70" i="353"/>
  <c r="K196" i="351"/>
  <c r="AR37" i="353"/>
  <c r="AI28" i="6"/>
  <c r="G17" i="351"/>
  <c r="V48" i="353"/>
  <c r="H133" i="351"/>
  <c r="O87" i="351"/>
  <c r="Z47" i="353"/>
  <c r="I175" i="351"/>
  <c r="H26" i="353"/>
  <c r="U103" i="353"/>
  <c r="AO36" i="353"/>
  <c r="AO19" i="6"/>
  <c r="AQ19" i="6" s="1"/>
  <c r="R4" i="351"/>
  <c r="R24" i="353"/>
  <c r="T110" i="351"/>
  <c r="T30" i="353"/>
  <c r="O67" i="353"/>
  <c r="H39" i="351"/>
  <c r="AU88" i="353"/>
  <c r="M110" i="351"/>
  <c r="U53" i="353"/>
  <c r="Y14" i="353"/>
  <c r="I30" i="351"/>
  <c r="O173" i="351"/>
  <c r="AK65" i="353"/>
  <c r="J190" i="351"/>
  <c r="B5" i="144"/>
  <c r="G12" i="430"/>
  <c r="Y90" i="353"/>
  <c r="B43" i="144"/>
  <c r="Q97" i="351"/>
  <c r="K105" i="353"/>
  <c r="G15" i="367"/>
  <c r="K157" i="351"/>
  <c r="W46" i="353"/>
  <c r="AL4" i="353"/>
  <c r="H114" i="351"/>
  <c r="S75" i="351"/>
  <c r="G13" i="454"/>
  <c r="AO41" i="353"/>
  <c r="I87" i="353"/>
  <c r="R10" i="351"/>
  <c r="E3" i="355"/>
  <c r="AW5" i="6" s="1"/>
  <c r="H87" i="351"/>
  <c r="AA42" i="353"/>
  <c r="G15" i="424"/>
  <c r="G4" i="295"/>
  <c r="G10" i="491"/>
  <c r="AP45" i="353"/>
  <c r="G10" i="294"/>
  <c r="AB54" i="353"/>
  <c r="G14" i="249"/>
  <c r="G8" i="252"/>
  <c r="G15" i="339"/>
  <c r="AO64" i="353"/>
  <c r="AB53" i="353"/>
  <c r="F75" i="353"/>
  <c r="AO36" i="6"/>
  <c r="AQ36" i="6" s="1"/>
  <c r="AR114" i="353"/>
  <c r="P207" i="351"/>
  <c r="G14" i="108"/>
  <c r="H82" i="353"/>
  <c r="AB28" i="353"/>
  <c r="G9" i="288"/>
  <c r="AK51" i="353"/>
  <c r="H60" i="353"/>
  <c r="G8" i="469"/>
  <c r="S114" i="351"/>
  <c r="G3" i="134"/>
  <c r="G15" i="329"/>
  <c r="M18" i="353"/>
  <c r="K13" i="351"/>
  <c r="Z75" i="353"/>
  <c r="AA37" i="353"/>
  <c r="AT8" i="353"/>
  <c r="AS73" i="353"/>
  <c r="AU68" i="353"/>
  <c r="G15" i="474"/>
  <c r="L153" i="351"/>
  <c r="G8" i="467"/>
  <c r="AI23" i="6"/>
  <c r="B10" i="144"/>
  <c r="G13" i="469"/>
  <c r="G8" i="313"/>
  <c r="R162" i="351"/>
  <c r="G5" i="415"/>
  <c r="G13" i="289"/>
  <c r="G15" i="265"/>
  <c r="T32" i="353"/>
  <c r="G13" i="481"/>
  <c r="G13" i="108"/>
  <c r="H24" i="353"/>
  <c r="AH62" i="353"/>
  <c r="I195" i="351"/>
  <c r="G4" i="326"/>
  <c r="G10" i="462"/>
  <c r="AG12" i="353"/>
  <c r="G12" i="94"/>
  <c r="AH21" i="353"/>
  <c r="AO3" i="353"/>
  <c r="G13" i="456"/>
  <c r="G11" i="271"/>
  <c r="G14" i="326"/>
  <c r="K63" i="353"/>
  <c r="G5" i="325"/>
  <c r="G14" i="424"/>
  <c r="O69" i="353"/>
  <c r="S163" i="351"/>
  <c r="AF39" i="353"/>
  <c r="G14" i="298"/>
  <c r="I203" i="351"/>
  <c r="H124" i="351"/>
  <c r="G14" i="384"/>
  <c r="G161" i="351"/>
  <c r="S128" i="351"/>
  <c r="S37" i="351"/>
  <c r="P93" i="353"/>
  <c r="M123" i="351"/>
  <c r="S124" i="351"/>
  <c r="R43" i="351"/>
  <c r="AR26" i="353"/>
  <c r="AN72" i="353"/>
  <c r="V32" i="353"/>
  <c r="AQ7" i="353"/>
  <c r="G181" i="351"/>
  <c r="AJ22" i="353"/>
  <c r="K57" i="353"/>
  <c r="G11" i="396"/>
  <c r="K188" i="351"/>
  <c r="S34" i="351"/>
  <c r="G15" i="250"/>
  <c r="G5" i="310"/>
  <c r="H136" i="351"/>
  <c r="I19" i="353"/>
  <c r="R69" i="353"/>
  <c r="G12" i="262"/>
  <c r="G7" i="302"/>
  <c r="G6" i="341"/>
  <c r="K131" i="351"/>
  <c r="M52" i="351"/>
  <c r="G84" i="353"/>
  <c r="AV20" i="353"/>
  <c r="AT54" i="353"/>
  <c r="Q161" i="351"/>
  <c r="K84" i="351"/>
  <c r="Y6" i="353"/>
  <c r="G6" i="314"/>
  <c r="R78" i="353"/>
  <c r="G10" i="292"/>
  <c r="R40" i="351"/>
  <c r="L14" i="351"/>
  <c r="AR74" i="353"/>
  <c r="G13" i="445"/>
  <c r="AE82" i="353"/>
  <c r="AA46" i="353"/>
  <c r="H64" i="351"/>
  <c r="AQ32" i="353"/>
  <c r="R58" i="353"/>
  <c r="G7" i="108"/>
  <c r="G4" i="382"/>
  <c r="L102" i="351"/>
  <c r="AK59" i="353"/>
  <c r="Q200" i="351"/>
  <c r="AE6" i="353"/>
  <c r="P21" i="353"/>
  <c r="K54" i="351"/>
  <c r="Z80" i="353"/>
  <c r="G4" i="289"/>
  <c r="W30" i="353"/>
  <c r="G10" i="338"/>
  <c r="AV29" i="353"/>
  <c r="P153" i="351"/>
  <c r="AE5" i="353"/>
  <c r="T74" i="353"/>
  <c r="G10" i="376"/>
  <c r="L155" i="351"/>
  <c r="V11" i="353"/>
  <c r="T203" i="351"/>
  <c r="AV4" i="353"/>
  <c r="I24" i="353"/>
  <c r="G102" i="351"/>
  <c r="AV85" i="353"/>
  <c r="AJ100" i="353"/>
  <c r="G9" i="428"/>
  <c r="AR81" i="353"/>
  <c r="G14" i="322"/>
  <c r="G11" i="339"/>
  <c r="AS86" i="353"/>
  <c r="S73" i="351"/>
  <c r="I73" i="353"/>
  <c r="G7" i="342"/>
  <c r="N74" i="353"/>
  <c r="AT6" i="353"/>
  <c r="P195" i="351"/>
  <c r="G12" i="450"/>
  <c r="H47" i="351"/>
  <c r="M24" i="353"/>
  <c r="S132" i="351"/>
  <c r="G12" i="310"/>
  <c r="G18" i="351"/>
  <c r="G8" i="264"/>
  <c r="T87" i="351"/>
  <c r="AU34" i="353"/>
  <c r="AJ76" i="353"/>
  <c r="F61" i="353"/>
  <c r="O152" i="351"/>
  <c r="G8" i="306"/>
  <c r="O31" i="351"/>
  <c r="V56" i="353"/>
  <c r="G9" i="467"/>
  <c r="B11" i="355"/>
  <c r="AT13" i="6" s="1"/>
  <c r="AJ7" i="353"/>
  <c r="AH33" i="353"/>
  <c r="V103" i="353"/>
  <c r="M75" i="353"/>
  <c r="G5" i="306"/>
  <c r="G6" i="400"/>
  <c r="AA68" i="353"/>
  <c r="N43" i="353"/>
  <c r="H147" i="351"/>
  <c r="O95" i="353"/>
  <c r="AE74" i="353"/>
  <c r="G10" i="274"/>
  <c r="G9" i="458"/>
  <c r="W34" i="353"/>
  <c r="R20" i="351"/>
  <c r="P202" i="351"/>
  <c r="B27" i="144"/>
  <c r="AB59" i="353"/>
  <c r="G11" i="95"/>
  <c r="K34" i="351"/>
  <c r="E13" i="353"/>
  <c r="G15" i="94"/>
  <c r="P101" i="353"/>
  <c r="R94" i="351"/>
  <c r="G8" i="294"/>
  <c r="S50" i="351"/>
  <c r="AN8" i="353"/>
  <c r="O146" i="351"/>
  <c r="G8" i="417"/>
  <c r="G4" i="349"/>
  <c r="O30" i="351"/>
  <c r="G4" i="89"/>
  <c r="AN49" i="353"/>
  <c r="L110" i="351"/>
  <c r="K130" i="351"/>
  <c r="K55" i="351"/>
  <c r="AE72" i="353"/>
  <c r="G14" i="346"/>
  <c r="G48" i="351"/>
  <c r="J84" i="351"/>
  <c r="F16" i="353"/>
  <c r="AK33" i="353"/>
  <c r="P61" i="353"/>
  <c r="AJ77" i="353"/>
  <c r="G6" i="316"/>
  <c r="J153" i="351"/>
  <c r="G6" i="246"/>
  <c r="G11" i="263"/>
  <c r="E87" i="353"/>
  <c r="G61" i="351"/>
  <c r="I52" i="353"/>
  <c r="Q71" i="351"/>
  <c r="G8" i="323"/>
  <c r="G11" i="260"/>
  <c r="R98" i="351"/>
  <c r="G12" i="321"/>
  <c r="U4" i="353"/>
  <c r="H165" i="351"/>
  <c r="G11" i="337"/>
  <c r="AJ101" i="353"/>
  <c r="X33" i="353"/>
  <c r="G12" i="426"/>
  <c r="T163" i="351"/>
  <c r="G4" i="456"/>
  <c r="Q23" i="353"/>
  <c r="AR57" i="353"/>
  <c r="AB20" i="353"/>
  <c r="AT40" i="353"/>
  <c r="C48" i="145"/>
  <c r="O82" i="353"/>
  <c r="G37" i="353"/>
  <c r="AK48" i="353"/>
  <c r="AS22" i="353"/>
  <c r="L145" i="351"/>
  <c r="H27" i="353"/>
  <c r="F57" i="353"/>
  <c r="G9" i="381"/>
  <c r="U51" i="353"/>
  <c r="AU13" i="353"/>
  <c r="Y80" i="353"/>
  <c r="L156" i="351"/>
  <c r="O131" i="351"/>
  <c r="Q94" i="351"/>
  <c r="T37" i="351"/>
  <c r="G7" i="104"/>
  <c r="AH91" i="353"/>
  <c r="K49" i="351"/>
  <c r="Q91" i="351"/>
  <c r="AB10" i="353"/>
  <c r="AP77" i="353"/>
  <c r="I124" i="351"/>
  <c r="AO15" i="6"/>
  <c r="AQ15" i="6" s="1"/>
  <c r="W91" i="353"/>
  <c r="X46" i="353"/>
  <c r="S77" i="351"/>
  <c r="G15" i="418"/>
  <c r="O42" i="353"/>
  <c r="N65" i="353"/>
  <c r="R61" i="353"/>
  <c r="G12" i="300"/>
  <c r="G6" i="113"/>
  <c r="M53" i="353"/>
  <c r="V67" i="353"/>
  <c r="Q99" i="351"/>
  <c r="N105" i="353"/>
  <c r="H112" i="351"/>
  <c r="AT13" i="353"/>
  <c r="I138" i="351"/>
  <c r="B11" i="144"/>
  <c r="M42" i="351"/>
  <c r="T27" i="351"/>
  <c r="Z74" i="353"/>
  <c r="G5" i="117"/>
  <c r="G7" i="331"/>
  <c r="T20" i="353"/>
  <c r="T180" i="351"/>
  <c r="S146" i="351"/>
  <c r="J128" i="351"/>
  <c r="K36" i="351"/>
  <c r="E17" i="353"/>
  <c r="P24" i="353"/>
  <c r="AK25" i="353"/>
  <c r="AN86" i="353"/>
  <c r="R103" i="353"/>
  <c r="W84" i="353"/>
  <c r="G6" i="326"/>
  <c r="AO8" i="6"/>
  <c r="AQ8" i="6" s="1"/>
  <c r="O11" i="351"/>
  <c r="R81" i="353"/>
  <c r="AO37" i="6"/>
  <c r="AQ37" i="6" s="1"/>
  <c r="G15" i="293"/>
  <c r="U46" i="353"/>
  <c r="G13" i="255"/>
  <c r="G4" i="488"/>
  <c r="AA7" i="353"/>
  <c r="G4" i="428"/>
  <c r="AG22" i="353"/>
  <c r="G4" i="103"/>
  <c r="AD22" i="353"/>
  <c r="G10" i="322"/>
  <c r="J85" i="353"/>
  <c r="Q19" i="351"/>
  <c r="G6" i="414"/>
  <c r="G8" i="466"/>
  <c r="O13" i="351"/>
  <c r="G10" i="298"/>
  <c r="T73" i="351"/>
  <c r="J21" i="353"/>
  <c r="G5" i="337"/>
  <c r="AQ100" i="353"/>
  <c r="T19" i="353"/>
  <c r="AG77" i="353"/>
  <c r="G8" i="267"/>
  <c r="K127" i="351"/>
  <c r="P103" i="353"/>
  <c r="AP60" i="353"/>
  <c r="Q6" i="351"/>
  <c r="G13" i="262"/>
  <c r="R156" i="351"/>
  <c r="Q14" i="353"/>
  <c r="AJ51" i="353"/>
  <c r="G4" i="359"/>
  <c r="G121" i="351"/>
  <c r="G11" i="393"/>
  <c r="G6" i="307"/>
  <c r="K35" i="353"/>
  <c r="O101" i="351"/>
  <c r="G74" i="351"/>
  <c r="F49" i="353"/>
  <c r="G9" i="345"/>
  <c r="AB64" i="353"/>
  <c r="O89" i="353"/>
  <c r="AH95" i="353"/>
  <c r="K99" i="353"/>
  <c r="Y98" i="353"/>
  <c r="AQ79" i="353"/>
  <c r="X91" i="353"/>
  <c r="G15" i="304"/>
  <c r="X15" i="353"/>
  <c r="G10" i="300"/>
  <c r="AN14" i="353"/>
  <c r="I149" i="351"/>
  <c r="K30" i="351"/>
  <c r="AH20" i="353"/>
  <c r="G6" i="491"/>
  <c r="U85" i="353"/>
  <c r="Q53" i="351"/>
  <c r="H198" i="351"/>
  <c r="AI21" i="6"/>
  <c r="AK91" i="353"/>
  <c r="G6" i="266"/>
  <c r="AN84" i="353"/>
  <c r="AF66" i="353"/>
  <c r="J146" i="351"/>
  <c r="M8" i="351"/>
  <c r="O28" i="351"/>
  <c r="M172" i="351"/>
  <c r="H46" i="353"/>
  <c r="AF43" i="353"/>
  <c r="G9" i="412"/>
  <c r="AJ104" i="353"/>
  <c r="G14" i="392"/>
  <c r="G8" i="276"/>
  <c r="AR35" i="353"/>
  <c r="AN51" i="353"/>
  <c r="U102" i="353"/>
  <c r="G5" i="312"/>
  <c r="AB74" i="353"/>
  <c r="G13" i="464"/>
  <c r="O37" i="353"/>
  <c r="G14" i="468"/>
  <c r="G8" i="448"/>
  <c r="G89" i="351"/>
  <c r="AI63" i="353"/>
  <c r="G4" i="117"/>
  <c r="G13" i="120"/>
  <c r="AI20" i="353"/>
  <c r="U33" i="353"/>
  <c r="G9" i="410"/>
  <c r="S131" i="351"/>
  <c r="C11" i="355"/>
  <c r="AU13" i="6" s="1"/>
  <c r="AI26" i="353"/>
  <c r="E44" i="353"/>
  <c r="G7" i="94"/>
  <c r="G9" i="279"/>
  <c r="J139" i="351"/>
  <c r="G14" i="454"/>
  <c r="M77" i="353"/>
  <c r="Q93" i="351"/>
  <c r="M122" i="351"/>
  <c r="V49" i="353"/>
  <c r="L75" i="351"/>
  <c r="AU77" i="353"/>
  <c r="P137" i="351"/>
  <c r="T47" i="351"/>
  <c r="Y15" i="353"/>
  <c r="Y7" i="353"/>
  <c r="G9" i="271"/>
  <c r="G13" i="293"/>
  <c r="G8" i="365"/>
  <c r="G13" i="400"/>
  <c r="P70" i="351"/>
  <c r="G9" i="307"/>
  <c r="X3" i="353"/>
  <c r="I31" i="353"/>
  <c r="K156" i="351"/>
  <c r="I40" i="353"/>
  <c r="G12" i="368"/>
  <c r="G13" i="337"/>
  <c r="J102" i="351"/>
  <c r="G12" i="256"/>
  <c r="K50" i="353"/>
  <c r="Z59" i="353"/>
  <c r="G15" i="382"/>
  <c r="G10" i="248"/>
  <c r="Q103" i="351"/>
  <c r="G15" i="365"/>
  <c r="H42" i="353"/>
  <c r="AF93" i="353"/>
  <c r="C11" i="145"/>
  <c r="G10" i="254"/>
  <c r="H74" i="353"/>
  <c r="U63" i="353"/>
  <c r="K171" i="351"/>
  <c r="O101" i="353"/>
  <c r="G15" i="257"/>
  <c r="G14" i="349"/>
  <c r="M143" i="351"/>
  <c r="V17" i="353"/>
  <c r="C7" i="355"/>
  <c r="AU9" i="6" s="1"/>
  <c r="I99" i="353"/>
  <c r="AR43" i="353"/>
  <c r="H49" i="351"/>
  <c r="G9" i="424"/>
  <c r="K174" i="351"/>
  <c r="G5" i="330"/>
  <c r="AH40" i="353"/>
  <c r="G11" i="314"/>
  <c r="E82" i="353"/>
  <c r="G9" i="365"/>
  <c r="N31" i="353"/>
  <c r="G9" i="289"/>
  <c r="V4" i="353"/>
  <c r="G13" i="268"/>
  <c r="Q27" i="351"/>
  <c r="AF7" i="353"/>
  <c r="G13" i="376"/>
  <c r="T189" i="351"/>
  <c r="N103" i="353"/>
  <c r="J45" i="353"/>
  <c r="G10" i="253"/>
  <c r="AU78" i="353"/>
  <c r="Z89" i="353"/>
  <c r="L188" i="351"/>
  <c r="AT43" i="353"/>
  <c r="H50" i="353"/>
  <c r="J46" i="353"/>
  <c r="G7" i="487"/>
  <c r="W39" i="353"/>
  <c r="AT59" i="353"/>
  <c r="G4" i="99"/>
  <c r="G8" i="351"/>
  <c r="Q68" i="353"/>
  <c r="T81" i="351"/>
  <c r="I12" i="353"/>
  <c r="J55" i="353"/>
  <c r="G15" i="130"/>
  <c r="AG101" i="353"/>
  <c r="P10" i="351"/>
  <c r="G12" i="320"/>
  <c r="AE114" i="353"/>
  <c r="G6" i="433"/>
  <c r="H138" i="351"/>
  <c r="U59" i="353"/>
  <c r="R49" i="351"/>
  <c r="F21" i="353"/>
  <c r="R157" i="351"/>
  <c r="I14" i="353"/>
  <c r="G13" i="116"/>
  <c r="Y72" i="353"/>
  <c r="G12" i="324"/>
  <c r="G15" i="285"/>
  <c r="AK74" i="353"/>
  <c r="M113" i="351"/>
  <c r="AI14" i="353"/>
  <c r="AE18" i="353"/>
  <c r="G12" i="413"/>
  <c r="P90" i="351"/>
  <c r="Q9" i="351"/>
  <c r="AS40" i="353"/>
  <c r="Y44" i="353"/>
  <c r="AJ35" i="353"/>
  <c r="J133" i="351"/>
  <c r="M186" i="351"/>
  <c r="O26" i="353"/>
  <c r="H118" i="351"/>
  <c r="T146" i="351"/>
  <c r="J137" i="351"/>
  <c r="G15" i="450"/>
  <c r="G8" i="128"/>
  <c r="AI27" i="6"/>
  <c r="G6" i="267"/>
  <c r="S98" i="351"/>
  <c r="M100" i="351"/>
  <c r="K193" i="351"/>
  <c r="AP67" i="353"/>
  <c r="K128" i="351"/>
  <c r="G5" i="466"/>
  <c r="AR77" i="353"/>
  <c r="L48" i="351"/>
  <c r="M200" i="351"/>
  <c r="AP83" i="353"/>
  <c r="O97" i="353"/>
  <c r="AO32" i="353"/>
  <c r="G9" i="287"/>
  <c r="AG48" i="353"/>
  <c r="G6" i="333"/>
  <c r="I4" i="351"/>
  <c r="G15" i="456"/>
  <c r="AN3" i="353"/>
  <c r="Y27" i="353"/>
  <c r="G7" i="323"/>
  <c r="T152" i="351"/>
  <c r="G6" i="482"/>
  <c r="G14" i="116"/>
  <c r="AG51" i="353"/>
  <c r="AN5" i="353"/>
  <c r="Q113" i="351"/>
  <c r="O64" i="351"/>
  <c r="G4" i="248"/>
  <c r="AJ12" i="353"/>
  <c r="G205" i="351"/>
  <c r="AB80" i="353"/>
  <c r="AN77" i="353"/>
  <c r="U8" i="353"/>
  <c r="G9" i="448"/>
  <c r="T47" i="353"/>
  <c r="P179" i="351"/>
  <c r="M36" i="351"/>
  <c r="H151" i="351"/>
  <c r="U24" i="353"/>
  <c r="S39" i="351"/>
  <c r="Q81" i="351"/>
  <c r="P126" i="351"/>
  <c r="AN100" i="353"/>
  <c r="G4" i="313"/>
  <c r="H202" i="351"/>
  <c r="I103" i="353"/>
  <c r="G9" i="248"/>
  <c r="X32" i="353"/>
  <c r="M139" i="351"/>
  <c r="G157" i="351"/>
  <c r="T69" i="351"/>
  <c r="Y58" i="353"/>
  <c r="G13" i="324"/>
  <c r="R135" i="351"/>
  <c r="O175" i="351"/>
  <c r="Q164" i="351"/>
  <c r="P66" i="353"/>
  <c r="H178" i="351"/>
  <c r="M76" i="353"/>
  <c r="AL104" i="353"/>
  <c r="Y28" i="353"/>
  <c r="AO63" i="353"/>
  <c r="G9" i="344"/>
  <c r="E78" i="353"/>
  <c r="AH11" i="353"/>
  <c r="K90" i="351"/>
  <c r="P61" i="351"/>
  <c r="K73" i="353"/>
  <c r="M77" i="351"/>
  <c r="G7" i="89"/>
  <c r="AR39" i="353"/>
  <c r="G5" i="367"/>
  <c r="G7" i="348"/>
  <c r="AE58" i="353"/>
  <c r="G8" i="324"/>
  <c r="G14" i="255"/>
  <c r="G4" i="447"/>
  <c r="G33" i="351"/>
  <c r="G11" i="466"/>
  <c r="G6" i="322"/>
  <c r="B12" i="144"/>
  <c r="J13" i="6" s="1"/>
  <c r="Q129" i="351"/>
  <c r="G56" i="351"/>
  <c r="J45" i="351"/>
  <c r="G8" i="487"/>
  <c r="AJ68" i="353"/>
  <c r="G15" i="251"/>
  <c r="L194" i="351"/>
  <c r="Q66" i="353"/>
  <c r="P54" i="353"/>
  <c r="Q22" i="353"/>
  <c r="L200" i="351"/>
  <c r="AD78" i="353"/>
  <c r="I88" i="353"/>
  <c r="AU38" i="353"/>
  <c r="AK84" i="353"/>
  <c r="AO10" i="353"/>
  <c r="K179" i="351"/>
  <c r="J31" i="353"/>
  <c r="AP104" i="353"/>
  <c r="AQ18" i="353"/>
  <c r="G10" i="317"/>
  <c r="G14" i="248"/>
  <c r="T160" i="351"/>
  <c r="R58" i="351"/>
  <c r="G13" i="99"/>
  <c r="AR78" i="353"/>
  <c r="AN98" i="353"/>
  <c r="O72" i="351"/>
  <c r="AQ5" i="353"/>
  <c r="N88" i="353"/>
  <c r="S21" i="351"/>
  <c r="M58" i="353"/>
  <c r="G15" i="472"/>
  <c r="I105" i="351"/>
  <c r="T106" i="351"/>
  <c r="K205" i="351"/>
  <c r="J134" i="351"/>
  <c r="K15" i="353"/>
  <c r="Z51" i="353"/>
  <c r="J63" i="351"/>
  <c r="G9" i="384"/>
  <c r="G200" i="351"/>
  <c r="E92" i="353"/>
  <c r="AK40" i="353"/>
  <c r="AL51" i="353"/>
  <c r="V98" i="353"/>
  <c r="I154" i="351"/>
  <c r="Z67" i="353"/>
  <c r="R52" i="351"/>
  <c r="B32" i="144"/>
  <c r="G10" i="251"/>
  <c r="G10" i="123"/>
  <c r="G11" i="264"/>
  <c r="H200" i="351"/>
  <c r="Y62" i="353"/>
  <c r="O98" i="351"/>
  <c r="R32" i="353"/>
  <c r="V10" i="353"/>
  <c r="G5" i="348"/>
  <c r="B3" i="144"/>
  <c r="Q176" i="351"/>
  <c r="AG91" i="353"/>
  <c r="G14" i="427"/>
  <c r="J199" i="351"/>
  <c r="I42" i="353"/>
  <c r="R17" i="353"/>
  <c r="AK7" i="353"/>
  <c r="K102" i="351"/>
  <c r="G10" i="273"/>
  <c r="V97" i="353"/>
  <c r="O139" i="351"/>
  <c r="G8" i="465"/>
  <c r="AV97" i="353"/>
  <c r="AI8" i="353"/>
  <c r="M203" i="351"/>
  <c r="E27" i="353"/>
  <c r="G7" i="418"/>
  <c r="O150" i="351"/>
  <c r="M132" i="351"/>
  <c r="G32" i="353"/>
  <c r="I200" i="351"/>
  <c r="W86" i="353"/>
  <c r="AD80" i="353"/>
  <c r="G6" i="337"/>
  <c r="AL103" i="353"/>
  <c r="I48" i="351"/>
  <c r="AR84" i="353"/>
  <c r="J78" i="353"/>
  <c r="K100" i="353"/>
  <c r="J204" i="351"/>
  <c r="G9" i="89"/>
  <c r="M107" i="351"/>
  <c r="O38" i="353"/>
  <c r="P141" i="351"/>
  <c r="J88" i="353"/>
  <c r="Z29" i="353"/>
  <c r="R90" i="351"/>
  <c r="X11" i="353"/>
  <c r="AL71" i="353"/>
  <c r="G11" i="294"/>
  <c r="AD69" i="353"/>
  <c r="P25" i="351"/>
  <c r="G11" i="347"/>
  <c r="I96" i="351"/>
  <c r="R9" i="351"/>
  <c r="AK97" i="353"/>
  <c r="K95" i="353"/>
  <c r="K40" i="351"/>
  <c r="K118" i="351"/>
  <c r="V34" i="353"/>
  <c r="G10" i="256"/>
  <c r="M83" i="351"/>
  <c r="X82" i="353"/>
  <c r="G5" i="116"/>
  <c r="AG103" i="353"/>
  <c r="H92" i="351"/>
  <c r="Q180" i="351"/>
  <c r="L197" i="351"/>
  <c r="G5" i="482"/>
  <c r="G8" i="414"/>
  <c r="G13" i="382"/>
  <c r="G9" i="324"/>
  <c r="G10" i="410"/>
  <c r="G10" i="385"/>
  <c r="AE28" i="353"/>
  <c r="V23" i="353"/>
  <c r="G15" i="284"/>
  <c r="AE94" i="353"/>
  <c r="W10" i="353"/>
  <c r="J85" i="351"/>
  <c r="J144" i="351"/>
  <c r="AI64" i="353"/>
  <c r="AE75" i="353"/>
  <c r="AS29" i="353"/>
  <c r="AV102" i="353"/>
  <c r="Q52" i="351"/>
  <c r="AO94" i="353"/>
  <c r="G11" i="99"/>
  <c r="M27" i="353"/>
  <c r="R147" i="351"/>
  <c r="AN54" i="353"/>
  <c r="M58" i="351"/>
  <c r="T115" i="351"/>
  <c r="AE105" i="353"/>
  <c r="O126" i="351"/>
  <c r="L13" i="351"/>
  <c r="B30" i="144"/>
  <c r="G5" i="382"/>
  <c r="K17" i="351"/>
  <c r="G9" i="252"/>
  <c r="J15" i="353"/>
  <c r="G11" i="14"/>
  <c r="T112" i="351"/>
  <c r="O45" i="353"/>
  <c r="AT90" i="353"/>
  <c r="G12" i="100"/>
  <c r="G14" i="332"/>
  <c r="J48" i="351"/>
  <c r="G7" i="382"/>
  <c r="S107" i="351"/>
  <c r="G165" i="351"/>
  <c r="G10" i="481"/>
  <c r="G13" i="121"/>
  <c r="G12" i="254"/>
  <c r="Q65" i="353"/>
  <c r="Y47" i="353"/>
  <c r="G23" i="351"/>
  <c r="L112" i="351"/>
  <c r="AR7" i="353"/>
  <c r="T52" i="351"/>
  <c r="G7" i="284"/>
  <c r="L139" i="351"/>
  <c r="H111" i="351"/>
  <c r="J171" i="351"/>
  <c r="R102" i="351"/>
  <c r="G5" i="99"/>
  <c r="G4" i="276"/>
  <c r="AB61" i="353"/>
  <c r="W7" i="353"/>
  <c r="O174" i="351"/>
  <c r="AI99" i="353"/>
  <c r="G4" i="474"/>
  <c r="K8" i="351"/>
  <c r="AK71" i="353"/>
  <c r="G10" i="334"/>
  <c r="O91" i="353"/>
  <c r="G9" i="349"/>
  <c r="J27" i="353"/>
  <c r="X20" i="353"/>
  <c r="O111" i="351"/>
  <c r="G6" i="332"/>
  <c r="AI54" i="353"/>
  <c r="O34" i="353"/>
  <c r="G198" i="351"/>
  <c r="AL68" i="353"/>
  <c r="G15" i="103"/>
  <c r="O20" i="353"/>
  <c r="M75" i="351"/>
  <c r="AI58" i="353"/>
  <c r="G15" i="445"/>
  <c r="E105" i="353"/>
  <c r="G11" i="96"/>
  <c r="P91" i="351"/>
  <c r="N19" i="353"/>
  <c r="X28" i="353"/>
  <c r="AT41" i="353"/>
  <c r="G12" i="301"/>
  <c r="G7" i="264"/>
  <c r="G13" i="420"/>
  <c r="G11" i="448"/>
  <c r="AN66" i="353"/>
  <c r="J141" i="351"/>
  <c r="J207" i="351"/>
  <c r="AO25" i="6"/>
  <c r="AQ25" i="6" s="1"/>
  <c r="K202" i="351"/>
  <c r="G5" i="259"/>
  <c r="AD23" i="353"/>
  <c r="J50" i="353"/>
  <c r="B22" i="144"/>
  <c r="T188" i="351"/>
  <c r="G4" i="282"/>
  <c r="F85" i="353"/>
  <c r="G7" i="292"/>
  <c r="S86" i="351"/>
  <c r="T200" i="351"/>
  <c r="G14" i="472"/>
  <c r="AN16" i="353"/>
  <c r="P60" i="353"/>
  <c r="G7" i="255"/>
  <c r="Q19" i="353"/>
  <c r="I160" i="351"/>
  <c r="AF21" i="353"/>
  <c r="J27" i="351"/>
  <c r="AU114" i="353"/>
  <c r="I98" i="353"/>
  <c r="H10" i="353"/>
  <c r="AP47" i="353"/>
  <c r="H180" i="351"/>
  <c r="G14" i="420"/>
  <c r="N42" i="353"/>
  <c r="G11" i="251"/>
  <c r="G12" i="424"/>
  <c r="Q85" i="351"/>
  <c r="G158" i="351"/>
  <c r="AV17" i="353"/>
  <c r="U99" i="353"/>
  <c r="P105" i="353"/>
  <c r="G4" i="339"/>
  <c r="AF25" i="353"/>
  <c r="P60" i="351"/>
  <c r="G7" i="427"/>
  <c r="P169" i="351"/>
  <c r="I56" i="351"/>
  <c r="R46" i="351"/>
  <c r="V90" i="353"/>
  <c r="G15" i="303"/>
  <c r="G13" i="317"/>
  <c r="G10" i="368"/>
  <c r="G14" i="314"/>
  <c r="I90" i="351"/>
  <c r="AJ61" i="353"/>
  <c r="O193" i="351"/>
  <c r="T19" i="351"/>
  <c r="AD27" i="353"/>
  <c r="G5" i="447"/>
  <c r="G63" i="351"/>
  <c r="G10" i="416"/>
  <c r="AE73" i="353"/>
  <c r="R144" i="351"/>
  <c r="AO5" i="353"/>
  <c r="AE31" i="353"/>
  <c r="AR58" i="353"/>
  <c r="O33" i="351"/>
  <c r="AA85" i="353"/>
  <c r="O10" i="353"/>
  <c r="AU47" i="353"/>
  <c r="G15" i="440"/>
  <c r="AP71" i="353"/>
  <c r="F54" i="353"/>
  <c r="G7" i="458"/>
  <c r="R7" i="351"/>
  <c r="AJ55" i="353"/>
  <c r="G8" i="305"/>
  <c r="I45" i="353"/>
  <c r="J23" i="351"/>
  <c r="G8" i="434"/>
  <c r="G10" i="419"/>
  <c r="L189" i="351"/>
  <c r="G9" i="269"/>
  <c r="G15" i="305"/>
  <c r="O15" i="351"/>
  <c r="T32" i="351"/>
  <c r="AF87" i="353"/>
  <c r="G7" i="297"/>
  <c r="AL56" i="353"/>
  <c r="AR62" i="353"/>
  <c r="B37" i="144"/>
  <c r="G10" i="344"/>
  <c r="O22" i="353"/>
  <c r="AE92" i="353"/>
  <c r="AN57" i="353"/>
  <c r="O48" i="353"/>
  <c r="J118" i="351"/>
  <c r="G8" i="254"/>
  <c r="S59" i="351"/>
  <c r="G6" i="123"/>
  <c r="M187" i="351"/>
  <c r="Z92" i="353"/>
  <c r="AF71" i="353"/>
  <c r="M191" i="351"/>
  <c r="G11" i="482"/>
  <c r="AV92" i="353"/>
  <c r="W44" i="353"/>
  <c r="Q75" i="353"/>
  <c r="M59" i="353"/>
  <c r="K153" i="351"/>
  <c r="G85" i="353"/>
  <c r="E26" i="353"/>
  <c r="O136" i="351"/>
  <c r="Q10" i="353"/>
  <c r="B55" i="144"/>
  <c r="B29" i="144"/>
  <c r="G10" i="304"/>
  <c r="P114" i="353"/>
  <c r="F50" i="353"/>
  <c r="G15" i="442"/>
  <c r="H79" i="353"/>
  <c r="AP17" i="353"/>
  <c r="G6" i="245"/>
  <c r="H43" i="351"/>
  <c r="L201" i="351"/>
  <c r="U57" i="353"/>
  <c r="AH61" i="353"/>
  <c r="AS46" i="353"/>
  <c r="G120" i="351"/>
  <c r="M84" i="353"/>
  <c r="E94" i="353"/>
  <c r="X62" i="353"/>
  <c r="D11" i="355"/>
  <c r="AV13" i="6" s="1"/>
  <c r="G6" i="427"/>
  <c r="G10" i="104"/>
  <c r="E24" i="353"/>
  <c r="G12" i="396"/>
  <c r="X35" i="353"/>
  <c r="AV42" i="353"/>
  <c r="AD31" i="353"/>
  <c r="G11" i="110"/>
  <c r="R60" i="351"/>
  <c r="G10" i="392"/>
  <c r="G8" i="428"/>
  <c r="G15" i="298"/>
  <c r="AE35" i="353"/>
  <c r="G5" i="109"/>
  <c r="G13" i="487"/>
  <c r="G9" i="331"/>
  <c r="P80" i="353"/>
  <c r="AA31" i="353"/>
  <c r="T135" i="351"/>
  <c r="G7" i="259"/>
  <c r="P24" i="351"/>
  <c r="G7" i="254"/>
  <c r="G7" i="327"/>
  <c r="G14" i="271"/>
  <c r="G10" i="345"/>
  <c r="R35" i="353"/>
  <c r="T29" i="353"/>
  <c r="G9" i="327"/>
  <c r="M11" i="351"/>
  <c r="U72" i="353"/>
  <c r="P109" i="351"/>
  <c r="G7" i="349"/>
  <c r="O17" i="353"/>
  <c r="G10" i="260"/>
  <c r="AU57" i="353"/>
  <c r="AU39" i="353"/>
  <c r="M147" i="351"/>
  <c r="F97" i="353"/>
  <c r="G10" i="269"/>
  <c r="AR70" i="353"/>
  <c r="G8" i="425"/>
  <c r="G13" i="283"/>
  <c r="G8" i="272"/>
  <c r="AT28" i="353"/>
  <c r="R62" i="353"/>
  <c r="T45" i="353"/>
  <c r="E52" i="353"/>
  <c r="F100" i="353"/>
  <c r="G4" i="260"/>
  <c r="W90" i="353"/>
  <c r="R187" i="351"/>
  <c r="T35" i="351"/>
  <c r="P116" i="351"/>
  <c r="AJ28" i="353"/>
  <c r="T190" i="351"/>
  <c r="C16" i="145"/>
  <c r="Y5" i="353"/>
  <c r="G5" i="414"/>
  <c r="G10" i="366"/>
  <c r="K166" i="351"/>
  <c r="R90" i="353"/>
  <c r="H80" i="353"/>
  <c r="G13" i="328"/>
  <c r="AR40" i="353"/>
  <c r="G14" i="319"/>
  <c r="U88" i="353"/>
  <c r="AP92" i="353"/>
  <c r="S181" i="351"/>
  <c r="AH35" i="353"/>
  <c r="G11" i="328"/>
  <c r="Y29" i="353"/>
  <c r="O121" i="351"/>
  <c r="Q74" i="351"/>
  <c r="E10" i="355"/>
  <c r="AW12" i="6" s="1"/>
  <c r="AN38" i="353"/>
  <c r="H140" i="351"/>
  <c r="U49" i="353"/>
  <c r="L173" i="351"/>
  <c r="L31" i="351"/>
  <c r="H92" i="353"/>
  <c r="I100" i="353"/>
  <c r="J66" i="351"/>
  <c r="S14" i="351"/>
  <c r="AL18" i="353"/>
  <c r="AB16" i="353"/>
  <c r="G13" i="333"/>
  <c r="G13" i="417"/>
  <c r="G7" i="417"/>
  <c r="K123" i="351"/>
  <c r="AI89" i="353"/>
  <c r="R97" i="351"/>
  <c r="G9" i="312"/>
  <c r="AS114" i="353"/>
  <c r="N99" i="353"/>
  <c r="G5" i="323"/>
  <c r="G4" i="434"/>
  <c r="G11" i="410"/>
  <c r="AG19" i="353"/>
  <c r="AQ47" i="353"/>
  <c r="R68" i="353"/>
  <c r="T77" i="353"/>
  <c r="G11" i="447"/>
  <c r="AS26" i="353"/>
  <c r="G11" i="319"/>
  <c r="G13" i="266"/>
  <c r="I46" i="351"/>
  <c r="J123" i="351"/>
  <c r="AL82" i="353"/>
  <c r="Q124" i="351"/>
  <c r="B12" i="355"/>
  <c r="AT14" i="6" s="1"/>
  <c r="L8" i="351"/>
  <c r="I80" i="353"/>
  <c r="J126" i="351"/>
  <c r="Q55" i="351"/>
  <c r="Q83" i="351"/>
  <c r="AU99" i="353"/>
  <c r="O140" i="351"/>
  <c r="M108" i="351"/>
  <c r="O75" i="353"/>
  <c r="AF96" i="353"/>
  <c r="G10" i="285"/>
  <c r="AT76" i="353"/>
  <c r="Q50" i="353"/>
  <c r="AA38" i="353"/>
  <c r="H30" i="353"/>
  <c r="P74" i="351"/>
  <c r="R175" i="351"/>
  <c r="G7" i="447"/>
  <c r="T103" i="353"/>
  <c r="G8" i="285"/>
  <c r="T105" i="353"/>
  <c r="K38" i="351"/>
  <c r="G5" i="399"/>
  <c r="G4" i="256"/>
  <c r="U25" i="353"/>
  <c r="W71" i="353"/>
  <c r="AN37" i="353"/>
  <c r="M17" i="351"/>
  <c r="C52" i="145"/>
  <c r="AF10" i="353"/>
  <c r="AR47" i="353"/>
  <c r="AN24" i="353"/>
  <c r="H58" i="351"/>
  <c r="T26" i="351"/>
  <c r="J52" i="353"/>
  <c r="AV79" i="353"/>
  <c r="L186" i="351"/>
  <c r="R100" i="351"/>
  <c r="I178" i="351"/>
  <c r="G12" i="351"/>
  <c r="AD65" i="353"/>
  <c r="AQ102" i="353"/>
  <c r="AL101" i="353"/>
  <c r="J147" i="351"/>
  <c r="AO34" i="353"/>
  <c r="O104" i="353"/>
  <c r="W32" i="353"/>
  <c r="J16" i="353"/>
  <c r="Y41" i="353"/>
  <c r="G14" i="327"/>
  <c r="J130" i="351"/>
  <c r="G14" i="101"/>
  <c r="G7" i="122"/>
  <c r="G13" i="272"/>
  <c r="G86" i="353"/>
  <c r="AH73" i="353"/>
  <c r="AV25" i="353"/>
  <c r="M173" i="351"/>
  <c r="G11" i="367"/>
  <c r="W29" i="353"/>
  <c r="AB40" i="353"/>
  <c r="G8" i="415"/>
  <c r="T56" i="353"/>
  <c r="O182" i="351"/>
  <c r="H170" i="351"/>
  <c r="G14" i="251"/>
  <c r="AH43" i="353"/>
  <c r="AB47" i="353"/>
  <c r="AS91" i="353"/>
  <c r="I17" i="351"/>
  <c r="R21" i="351"/>
  <c r="AT22" i="353"/>
  <c r="Q41" i="351"/>
  <c r="G12" i="343"/>
  <c r="AV74" i="353"/>
  <c r="AD55" i="353"/>
  <c r="AH44" i="353"/>
  <c r="H19" i="353"/>
  <c r="G11" i="308"/>
  <c r="G11" i="298"/>
  <c r="I55" i="351"/>
  <c r="F23" i="353"/>
  <c r="M24" i="351"/>
  <c r="AJ93" i="353"/>
  <c r="T65" i="353"/>
  <c r="G32" i="351"/>
  <c r="H20" i="351"/>
  <c r="I100" i="351"/>
  <c r="Y114" i="353"/>
  <c r="G12" i="250"/>
  <c r="U3" i="353"/>
  <c r="R202" i="351"/>
  <c r="G9" i="359"/>
  <c r="G7" i="346"/>
  <c r="AQ104" i="353"/>
  <c r="R6" i="351"/>
  <c r="AN23" i="353"/>
  <c r="I38" i="351"/>
  <c r="G6" i="481"/>
  <c r="L28" i="351"/>
  <c r="J23" i="353"/>
  <c r="I65" i="353"/>
  <c r="AE78" i="353"/>
  <c r="AL12" i="353"/>
  <c r="G8" i="342"/>
  <c r="AR3" i="353"/>
  <c r="G5" i="254"/>
  <c r="G14" i="274"/>
  <c r="M112" i="351"/>
  <c r="AI65" i="353"/>
  <c r="AO91" i="353"/>
  <c r="G4" i="247"/>
  <c r="G15" i="312"/>
  <c r="K144" i="351"/>
  <c r="AK30" i="353"/>
  <c r="AQ44" i="353"/>
  <c r="Q147" i="351"/>
  <c r="G204" i="351"/>
  <c r="AA84" i="353"/>
  <c r="R48" i="351"/>
  <c r="G14" i="383"/>
  <c r="M97" i="353"/>
  <c r="Z63" i="353"/>
  <c r="G61" i="353"/>
  <c r="S55" i="351"/>
  <c r="X81" i="353"/>
  <c r="G9" i="334"/>
  <c r="AU65" i="353"/>
  <c r="G7" i="250"/>
  <c r="G15" i="468"/>
  <c r="G9" i="426"/>
  <c r="G15" i="419"/>
  <c r="AR30" i="353"/>
  <c r="G9" i="328"/>
  <c r="G8" i="321"/>
  <c r="AO45" i="353"/>
  <c r="AG15" i="353"/>
  <c r="G11" i="412"/>
  <c r="Z101" i="353"/>
  <c r="G13" i="466"/>
  <c r="AI36" i="353"/>
  <c r="H54" i="351"/>
  <c r="AN93" i="353"/>
  <c r="K70" i="353"/>
  <c r="AG64" i="353"/>
  <c r="G125" i="351"/>
  <c r="AO76" i="353"/>
  <c r="G15" i="14"/>
  <c r="AF62" i="353"/>
  <c r="G22" i="351"/>
  <c r="AJ48" i="353"/>
  <c r="G5" i="467"/>
  <c r="G6" i="304"/>
  <c r="M25" i="351"/>
  <c r="AL50" i="353"/>
  <c r="R118" i="351"/>
  <c r="AJ31" i="353"/>
  <c r="F82" i="353"/>
  <c r="G7" i="120"/>
  <c r="Y64" i="353"/>
  <c r="G14" i="129"/>
  <c r="AS102" i="353"/>
  <c r="AA90" i="353"/>
  <c r="AS21" i="353"/>
  <c r="G116" i="351"/>
  <c r="G7" i="347"/>
  <c r="AO6" i="353"/>
  <c r="G9" i="296"/>
  <c r="K107" i="351"/>
  <c r="G10" i="267"/>
  <c r="J58" i="353"/>
  <c r="G13" i="110"/>
  <c r="H120" i="351"/>
  <c r="G5" i="458"/>
  <c r="AV61" i="353"/>
  <c r="G14" i="321"/>
  <c r="K60" i="353"/>
  <c r="AI98" i="353"/>
  <c r="N67" i="353"/>
  <c r="W16" i="353"/>
  <c r="J57" i="353"/>
  <c r="G12" i="123"/>
  <c r="J33" i="351"/>
  <c r="G12" i="328"/>
  <c r="G8" i="347"/>
  <c r="H129" i="351"/>
  <c r="M125" i="351"/>
  <c r="M50" i="353"/>
  <c r="AF49" i="353"/>
  <c r="M190" i="351"/>
  <c r="G10" i="454"/>
  <c r="AU53" i="353"/>
  <c r="G108" i="351"/>
  <c r="G15" i="327"/>
  <c r="AE15" i="353"/>
  <c r="H42" i="351"/>
  <c r="AV38" i="353"/>
  <c r="E10" i="353"/>
  <c r="AA56" i="353"/>
  <c r="G11" i="254"/>
  <c r="Q119" i="351"/>
  <c r="AA101" i="353"/>
  <c r="Q25" i="351"/>
  <c r="G13" i="380"/>
  <c r="U26" i="353"/>
  <c r="I84" i="351"/>
  <c r="AP56" i="353"/>
  <c r="T161" i="351"/>
  <c r="I77" i="353"/>
  <c r="S133" i="351"/>
  <c r="AT37" i="353"/>
  <c r="T36" i="353"/>
  <c r="AB63" i="353"/>
  <c r="G11" i="380"/>
  <c r="G12" i="364"/>
  <c r="R37" i="353"/>
  <c r="R69" i="351"/>
  <c r="G7" i="321"/>
  <c r="Q11" i="353"/>
  <c r="G15" i="296"/>
  <c r="AT25" i="353"/>
  <c r="M16" i="353"/>
  <c r="G4" i="281"/>
  <c r="AU59" i="353"/>
  <c r="AL70" i="353"/>
  <c r="AG59" i="353"/>
  <c r="J120" i="351"/>
  <c r="AE80" i="353"/>
  <c r="AG80" i="353"/>
  <c r="G87" i="351"/>
  <c r="G10" i="488"/>
  <c r="X23" i="353"/>
  <c r="G15" i="384"/>
  <c r="AD35" i="353"/>
  <c r="L55" i="351"/>
  <c r="AB81" i="353"/>
  <c r="Y83" i="353"/>
  <c r="G13" i="411"/>
  <c r="G9" i="319"/>
  <c r="G14" i="258"/>
  <c r="G13" i="491"/>
  <c r="AA76" i="353"/>
  <c r="O198" i="351"/>
  <c r="AI86" i="353"/>
  <c r="L38" i="351"/>
  <c r="AS13" i="353"/>
  <c r="G9" i="117"/>
  <c r="AK87" i="353"/>
  <c r="K86" i="353"/>
  <c r="AA22" i="353"/>
  <c r="AR4" i="353"/>
  <c r="T129" i="351"/>
  <c r="G15" i="275"/>
  <c r="K65" i="351"/>
  <c r="G8" i="298"/>
  <c r="G14" i="353"/>
  <c r="L4" i="351"/>
  <c r="I172" i="351"/>
  <c r="G4" i="271"/>
  <c r="G8" i="345"/>
  <c r="K90" i="353"/>
  <c r="AD44" i="353"/>
  <c r="G13" i="95"/>
  <c r="P132" i="351"/>
  <c r="AV80" i="353"/>
  <c r="G152" i="351"/>
  <c r="AS4" i="353"/>
  <c r="R95" i="351"/>
  <c r="O74" i="353"/>
  <c r="Z30" i="353"/>
  <c r="G15" i="100"/>
  <c r="X95" i="353"/>
  <c r="Z12" i="353"/>
  <c r="G14" i="491"/>
  <c r="L185" i="351"/>
  <c r="R14" i="351"/>
  <c r="G11" i="325"/>
  <c r="G8" i="368"/>
  <c r="G88" i="353"/>
  <c r="Q96" i="351"/>
  <c r="AE87" i="353"/>
  <c r="H67" i="353"/>
  <c r="AP50" i="353"/>
  <c r="N33" i="353"/>
  <c r="G11" i="252"/>
  <c r="S80" i="351"/>
  <c r="G5" i="334"/>
  <c r="G14" i="247"/>
  <c r="K170" i="351"/>
  <c r="G5" i="396"/>
  <c r="M161" i="351"/>
  <c r="H63" i="353"/>
  <c r="C8" i="355"/>
  <c r="AU10" i="6" s="1"/>
  <c r="AP97" i="353"/>
  <c r="Q134" i="351"/>
  <c r="AI88" i="353"/>
  <c r="M93" i="351"/>
  <c r="G4" i="346"/>
  <c r="G7" i="483"/>
  <c r="AL61" i="353"/>
  <c r="I151" i="351"/>
  <c r="L120" i="351"/>
  <c r="AA52" i="353"/>
  <c r="L176" i="351"/>
  <c r="G8" i="382"/>
  <c r="G13" i="276"/>
  <c r="P198" i="351"/>
  <c r="G4" i="454"/>
  <c r="R164" i="351"/>
  <c r="G15" i="97"/>
  <c r="L16" i="351"/>
  <c r="J73" i="353"/>
  <c r="Q88" i="353"/>
  <c r="AO56" i="353"/>
  <c r="I60" i="351"/>
  <c r="V42" i="353"/>
  <c r="I78" i="353"/>
  <c r="V72" i="353"/>
  <c r="AD43" i="353"/>
  <c r="AU79" i="353"/>
  <c r="Q130" i="351"/>
  <c r="AL67" i="353"/>
  <c r="H126" i="351"/>
  <c r="G4" i="376"/>
  <c r="Q54" i="351"/>
  <c r="G4" i="400"/>
  <c r="Q20" i="351"/>
  <c r="AS42" i="353"/>
  <c r="AB46" i="353"/>
  <c r="G6" i="259"/>
  <c r="AU100" i="353"/>
  <c r="T78" i="351"/>
  <c r="G6" i="317"/>
  <c r="G9" i="113"/>
  <c r="AH6" i="353"/>
  <c r="K39" i="353"/>
  <c r="Z7" i="353"/>
  <c r="AL11" i="353"/>
  <c r="AF60" i="353"/>
  <c r="R170" i="351"/>
  <c r="I71" i="353"/>
  <c r="AK73" i="353"/>
  <c r="G42" i="353"/>
  <c r="G50" i="353"/>
  <c r="G9" i="14"/>
  <c r="N22" i="353"/>
  <c r="O88" i="351"/>
  <c r="K103" i="351"/>
  <c r="F17" i="353"/>
  <c r="J17" i="351"/>
  <c r="AG50" i="353"/>
  <c r="F15" i="353"/>
  <c r="R19" i="351"/>
  <c r="J35" i="351"/>
  <c r="AF42" i="353"/>
  <c r="G10" i="308"/>
  <c r="P143" i="351"/>
  <c r="AP70" i="353"/>
  <c r="AL88" i="353"/>
  <c r="R53" i="351"/>
  <c r="M54" i="353"/>
  <c r="Q187" i="351"/>
  <c r="B16" i="144"/>
  <c r="AL97" i="353"/>
  <c r="AT20" i="353"/>
  <c r="AU69" i="353"/>
  <c r="G7" i="314"/>
  <c r="T43" i="353"/>
  <c r="AB83" i="353"/>
  <c r="AL33" i="353"/>
  <c r="G4" i="333"/>
  <c r="O98" i="353"/>
  <c r="AL72" i="353"/>
  <c r="AQ80" i="353"/>
  <c r="T49" i="353"/>
  <c r="O58" i="351"/>
  <c r="G4" i="384"/>
  <c r="Y48" i="353"/>
  <c r="AO7" i="353"/>
  <c r="AA5" i="353"/>
  <c r="K132" i="351"/>
  <c r="AP89" i="353"/>
  <c r="AS77" i="353"/>
  <c r="G4" i="297"/>
  <c r="G7" i="440"/>
  <c r="Q100" i="351"/>
  <c r="J74" i="351"/>
  <c r="AJ58" i="353"/>
  <c r="I45" i="351"/>
  <c r="AT104" i="353"/>
  <c r="AS16" i="353"/>
  <c r="AI37" i="353"/>
  <c r="P13" i="351"/>
  <c r="P102" i="351"/>
  <c r="S202" i="351"/>
  <c r="Q103" i="353"/>
  <c r="O189" i="351"/>
  <c r="AA105" i="353"/>
  <c r="S96" i="351"/>
  <c r="G15" i="260"/>
  <c r="M127" i="351"/>
  <c r="G94" i="351"/>
  <c r="G14" i="456"/>
  <c r="W18" i="353"/>
  <c r="G191" i="351"/>
  <c r="J163" i="351"/>
  <c r="G9" i="434"/>
  <c r="U100" i="353"/>
  <c r="AN22" i="353"/>
  <c r="AR27" i="353"/>
  <c r="C25" i="145"/>
  <c r="R33" i="351"/>
  <c r="X45" i="353"/>
  <c r="AL57" i="353"/>
  <c r="AA104" i="353"/>
  <c r="J11" i="353"/>
  <c r="W17" i="353"/>
  <c r="T36" i="351"/>
  <c r="G8" i="450"/>
  <c r="AK23" i="353"/>
  <c r="V75" i="353"/>
  <c r="G9" i="430"/>
  <c r="G12" i="482"/>
  <c r="AK61" i="353"/>
  <c r="AF84" i="353"/>
  <c r="X99" i="353"/>
  <c r="G15" i="314"/>
  <c r="J14" i="351"/>
  <c r="N75" i="353"/>
  <c r="G4" i="344"/>
  <c r="G9" i="399"/>
  <c r="I125" i="351"/>
  <c r="L130" i="351"/>
  <c r="H86" i="351"/>
  <c r="O70" i="353"/>
  <c r="G6" i="399"/>
  <c r="G9" i="283"/>
  <c r="F91" i="353"/>
  <c r="D18" i="146"/>
  <c r="AP15" i="353"/>
  <c r="G12" i="339"/>
  <c r="AV95" i="353"/>
  <c r="O5" i="351"/>
  <c r="G15" i="292"/>
  <c r="O50" i="351"/>
  <c r="L45" i="351"/>
  <c r="Q59" i="353"/>
  <c r="Q15" i="351"/>
  <c r="M25" i="353"/>
  <c r="G4" i="298"/>
  <c r="D34" i="146"/>
  <c r="AE30" i="353"/>
  <c r="J157" i="351"/>
  <c r="AS56" i="353"/>
  <c r="AE50" i="353"/>
  <c r="S69" i="351"/>
  <c r="P37" i="353"/>
  <c r="G140" i="351"/>
  <c r="W43" i="353"/>
  <c r="AQ66" i="353"/>
  <c r="AK57" i="353"/>
  <c r="AN74" i="353"/>
  <c r="G9" i="462"/>
  <c r="S26" i="351"/>
  <c r="U93" i="353"/>
  <c r="H186" i="351"/>
  <c r="E47" i="353"/>
  <c r="R24" i="351"/>
  <c r="AI38" i="353"/>
  <c r="E63" i="353"/>
  <c r="O205" i="351"/>
  <c r="Y22" i="353"/>
  <c r="AS43" i="353"/>
  <c r="G15" i="417"/>
  <c r="O199" i="351"/>
  <c r="Q61" i="353"/>
  <c r="R37" i="351"/>
  <c r="Q34" i="353"/>
  <c r="X79" i="353"/>
  <c r="G13" i="303"/>
  <c r="G13" i="434"/>
  <c r="B53" i="144"/>
  <c r="F83" i="353"/>
  <c r="S33" i="351"/>
  <c r="AB50" i="353"/>
  <c r="G10" i="290"/>
  <c r="M67" i="353"/>
  <c r="G10" i="337"/>
  <c r="AO73" i="353"/>
  <c r="AH12" i="353"/>
  <c r="AE48" i="353"/>
  <c r="G6" i="117"/>
  <c r="AO96" i="353"/>
  <c r="O7" i="351"/>
  <c r="AP30" i="353"/>
  <c r="AO24" i="353"/>
  <c r="G5" i="468"/>
  <c r="G37" i="351"/>
  <c r="K67" i="353"/>
  <c r="L61" i="351"/>
  <c r="Q121" i="351"/>
  <c r="E56" i="353"/>
  <c r="G13" i="428"/>
  <c r="AK70" i="353"/>
  <c r="G8" i="89"/>
  <c r="K139" i="351"/>
  <c r="O23" i="351"/>
  <c r="G13" i="308"/>
  <c r="K61" i="353"/>
  <c r="I98" i="351"/>
  <c r="P193" i="351"/>
  <c r="G4" i="254"/>
  <c r="G6" i="297"/>
  <c r="Y99" i="353"/>
  <c r="AR66" i="353"/>
  <c r="AJ69" i="353"/>
  <c r="S185" i="351"/>
  <c r="Z66" i="353"/>
  <c r="G5" i="473"/>
  <c r="Z49" i="353"/>
  <c r="G4" i="317"/>
  <c r="T116" i="351"/>
  <c r="AF54" i="353"/>
  <c r="AS32" i="353"/>
  <c r="G13" i="290"/>
  <c r="O100" i="351"/>
  <c r="M19" i="351"/>
  <c r="T139" i="351"/>
  <c r="L34" i="351"/>
  <c r="R36" i="351"/>
  <c r="G13" i="115"/>
  <c r="G5" i="376"/>
  <c r="J24" i="353"/>
  <c r="G12" i="464"/>
  <c r="X18" i="353"/>
  <c r="M43" i="351"/>
  <c r="AF57" i="353"/>
  <c r="AT66" i="353"/>
  <c r="Y59" i="353"/>
  <c r="AK53" i="353"/>
  <c r="Y89" i="353"/>
  <c r="AS3" i="353"/>
  <c r="G13" i="297"/>
  <c r="AD11" i="353"/>
  <c r="AF55" i="353"/>
  <c r="G11" i="334"/>
  <c r="G7" i="116"/>
  <c r="K84" i="353"/>
  <c r="AF68" i="353"/>
  <c r="AQ30" i="353"/>
  <c r="U89" i="353"/>
  <c r="G6" i="312"/>
  <c r="P173" i="351"/>
  <c r="T46" i="353"/>
  <c r="G35" i="351"/>
  <c r="G9" i="320"/>
  <c r="G14" i="343"/>
  <c r="G14" i="417"/>
  <c r="G15" i="351"/>
  <c r="AO20" i="6"/>
  <c r="AQ20" i="6" s="1"/>
  <c r="Q105" i="351"/>
  <c r="I184" i="351"/>
  <c r="G14" i="345"/>
  <c r="G14" i="475"/>
  <c r="AJ64" i="353"/>
  <c r="O92" i="351"/>
  <c r="V83" i="353"/>
  <c r="G13" i="427"/>
  <c r="AV56" i="353"/>
  <c r="G4" i="322"/>
  <c r="R42" i="353"/>
  <c r="H130" i="351"/>
  <c r="G13" i="252"/>
  <c r="T194" i="351"/>
  <c r="H58" i="353"/>
  <c r="G12" i="382"/>
  <c r="AE57" i="353"/>
  <c r="P131" i="351"/>
  <c r="T173" i="351"/>
  <c r="AR48" i="353"/>
  <c r="G15" i="89"/>
  <c r="AA3" i="353"/>
  <c r="G11" i="351"/>
  <c r="AB33" i="353"/>
  <c r="Z24" i="353"/>
  <c r="AB79" i="353"/>
  <c r="G8" i="384"/>
  <c r="G7" i="365"/>
  <c r="AL47" i="353"/>
  <c r="AE85" i="353"/>
  <c r="AP98" i="353"/>
  <c r="G10" i="343"/>
  <c r="G13" i="383"/>
  <c r="Y34" i="353"/>
  <c r="J36" i="351"/>
  <c r="G9" i="490"/>
  <c r="Q83" i="353"/>
  <c r="G5" i="252"/>
  <c r="K12" i="351"/>
  <c r="J149" i="351"/>
  <c r="G9" i="338"/>
  <c r="AF53" i="353"/>
  <c r="G10" i="302"/>
  <c r="M98" i="351"/>
  <c r="AV58" i="353"/>
  <c r="Z85" i="353"/>
  <c r="AF22" i="353"/>
  <c r="G4" i="288"/>
  <c r="AS80" i="353"/>
  <c r="R41" i="353"/>
  <c r="I27" i="351"/>
  <c r="V84" i="353"/>
  <c r="Q189" i="351"/>
  <c r="O16" i="353"/>
  <c r="G11" i="327"/>
  <c r="F43" i="353"/>
  <c r="K94" i="353"/>
  <c r="J169" i="351"/>
  <c r="V51" i="353"/>
  <c r="E20" i="353"/>
  <c r="G12" i="429"/>
  <c r="G29" i="351"/>
  <c r="AL54" i="353"/>
  <c r="AS61" i="353"/>
  <c r="G188" i="351"/>
  <c r="AF35" i="353"/>
  <c r="AB26" i="353"/>
  <c r="M30" i="353"/>
  <c r="H11" i="353"/>
  <c r="Q24" i="353"/>
  <c r="Y37" i="353"/>
  <c r="G8" i="468"/>
  <c r="G11" i="270"/>
  <c r="G4" i="108"/>
  <c r="AJ6" i="353"/>
  <c r="AB25" i="353"/>
  <c r="AU26" i="353"/>
  <c r="H121" i="351"/>
  <c r="M92" i="353"/>
  <c r="G5" i="320"/>
  <c r="G9" i="107"/>
  <c r="G7" i="247"/>
  <c r="G12" i="255"/>
  <c r="P41" i="351"/>
  <c r="O82" i="351"/>
  <c r="L91" i="351"/>
  <c r="P105" i="351"/>
  <c r="G7" i="465"/>
  <c r="G11" i="376"/>
  <c r="S19" i="351"/>
  <c r="G7" i="412"/>
  <c r="AR86" i="353"/>
  <c r="G5" i="95"/>
  <c r="K60" i="351"/>
  <c r="AU27" i="353"/>
  <c r="G14" i="280"/>
  <c r="G11" i="417"/>
  <c r="B9" i="355"/>
  <c r="AT11" i="6" s="1"/>
  <c r="G11" i="338"/>
  <c r="O144" i="351"/>
  <c r="E103" i="353"/>
  <c r="K204" i="351"/>
  <c r="G9" i="419"/>
  <c r="X55" i="353"/>
  <c r="T176" i="351"/>
  <c r="G4" i="315"/>
  <c r="AA99" i="353"/>
  <c r="AV104" i="353"/>
  <c r="K19" i="351"/>
  <c r="AD61" i="353"/>
  <c r="K97" i="353"/>
  <c r="K74" i="353"/>
  <c r="AN99" i="353"/>
  <c r="AA33" i="353"/>
  <c r="G14" i="382"/>
  <c r="G12" i="414"/>
  <c r="G12" i="494"/>
  <c r="Q40" i="351"/>
  <c r="AO15" i="353"/>
  <c r="AA93" i="353"/>
  <c r="Q199" i="351"/>
  <c r="R83" i="353"/>
  <c r="L53" i="351"/>
  <c r="L65" i="351"/>
  <c r="AH36" i="353"/>
  <c r="I19" i="351"/>
  <c r="Q41" i="353"/>
  <c r="G10" i="474"/>
  <c r="G57" i="351"/>
  <c r="P162" i="351"/>
  <c r="G78" i="351"/>
  <c r="G5" i="332"/>
  <c r="AA26" i="353"/>
  <c r="H77" i="351"/>
  <c r="G6" i="121"/>
  <c r="K23" i="351"/>
  <c r="I181" i="351"/>
  <c r="G4" i="364"/>
  <c r="G9" i="415"/>
  <c r="R184" i="351"/>
  <c r="AV103" i="353"/>
  <c r="AQ33" i="353"/>
  <c r="P40" i="351"/>
  <c r="B40" i="144"/>
  <c r="G13" i="14"/>
  <c r="J165" i="351"/>
  <c r="S88" i="351"/>
  <c r="T126" i="351"/>
  <c r="G9" i="472"/>
  <c r="G8" i="331"/>
  <c r="D2" i="355"/>
  <c r="AV4" i="6" s="1"/>
  <c r="P204" i="351"/>
  <c r="G12" i="122"/>
  <c r="G10" i="411"/>
  <c r="J110" i="351"/>
  <c r="L195" i="351"/>
  <c r="AR22" i="353"/>
  <c r="AS30" i="353"/>
  <c r="G14" i="276"/>
  <c r="G7" i="99"/>
  <c r="P89" i="351"/>
  <c r="G4" i="450"/>
  <c r="T164" i="351"/>
  <c r="R153" i="351"/>
  <c r="K24" i="353"/>
  <c r="T205" i="351"/>
  <c r="G8" i="430"/>
  <c r="AT39" i="353"/>
  <c r="AF101" i="353"/>
  <c r="AN55" i="353"/>
  <c r="G4" i="264"/>
  <c r="G14" i="267"/>
  <c r="K69" i="353"/>
  <c r="AV37" i="353"/>
  <c r="O134" i="351"/>
  <c r="Q70" i="351"/>
  <c r="G5" i="309"/>
  <c r="G11" i="299"/>
  <c r="G13" i="447"/>
  <c r="G15" i="297"/>
  <c r="G9" i="96"/>
  <c r="AQ53" i="353"/>
  <c r="AJ88" i="353"/>
  <c r="G56" i="353"/>
  <c r="I153" i="351"/>
  <c r="E51" i="353"/>
  <c r="G13" i="424"/>
  <c r="L72" i="351"/>
  <c r="G5" i="267"/>
  <c r="Z98" i="353"/>
  <c r="G14" i="411"/>
  <c r="AR32" i="353"/>
  <c r="AB77" i="353"/>
  <c r="M206" i="351"/>
  <c r="G7" i="414"/>
  <c r="J22" i="353"/>
  <c r="Q7" i="351"/>
  <c r="H189" i="351"/>
  <c r="AB42" i="353"/>
  <c r="H44" i="353"/>
  <c r="AL87" i="353"/>
  <c r="G9" i="474"/>
  <c r="G12" i="285"/>
  <c r="U40" i="353"/>
  <c r="G10" i="95"/>
  <c r="G12" i="309"/>
  <c r="G12" i="101"/>
  <c r="E80" i="353"/>
  <c r="G7" i="384"/>
  <c r="G12" i="251"/>
  <c r="AU81" i="353"/>
  <c r="P134" i="351"/>
  <c r="G147" i="351"/>
  <c r="S155" i="351"/>
  <c r="G74" i="353"/>
  <c r="K98" i="351"/>
  <c r="T175" i="351"/>
  <c r="J53" i="353"/>
  <c r="R18" i="353"/>
  <c r="G7" i="428"/>
  <c r="G6" i="419"/>
  <c r="G4" i="116"/>
  <c r="G11" i="265"/>
  <c r="G10" i="364"/>
  <c r="G15" i="248"/>
  <c r="AU40" i="353"/>
  <c r="AO13" i="6"/>
  <c r="AQ13" i="6" s="1"/>
  <c r="G12" i="272"/>
  <c r="G9" i="259"/>
  <c r="AU74" i="353"/>
  <c r="R59" i="353"/>
  <c r="AJ57" i="353"/>
  <c r="R146" i="351"/>
  <c r="V62" i="353"/>
  <c r="AL22" i="353"/>
  <c r="G6" i="329"/>
  <c r="I126" i="351"/>
  <c r="I113" i="351"/>
  <c r="K81" i="353"/>
  <c r="T40" i="353"/>
  <c r="D8" i="355"/>
  <c r="AV10" i="6" s="1"/>
  <c r="AI5" i="6"/>
  <c r="AL5" i="6" s="1"/>
  <c r="R25" i="351"/>
  <c r="G145" i="351"/>
  <c r="G59" i="353"/>
  <c r="N100" i="353"/>
  <c r="S134" i="351"/>
  <c r="U95" i="353"/>
  <c r="P96" i="351"/>
  <c r="AG93" i="353"/>
  <c r="AQ63" i="353"/>
  <c r="AF28" i="353"/>
  <c r="S194" i="351"/>
  <c r="AS35" i="353"/>
  <c r="T59" i="351"/>
  <c r="G5" i="127"/>
  <c r="AO30" i="353"/>
  <c r="J117" i="351"/>
  <c r="U101" i="353"/>
  <c r="AT34" i="353"/>
  <c r="AL48" i="353"/>
  <c r="P8" i="351"/>
  <c r="C4" i="145"/>
  <c r="G9" i="108"/>
  <c r="G5" i="293"/>
  <c r="J206" i="351"/>
  <c r="J65" i="353"/>
  <c r="G5" i="122"/>
  <c r="I116" i="351"/>
  <c r="R31" i="351"/>
  <c r="G6" i="101"/>
  <c r="AH13" i="353"/>
  <c r="G8" i="364"/>
  <c r="AR42" i="353"/>
  <c r="AO68" i="353"/>
  <c r="G10" i="115"/>
  <c r="AS83" i="353"/>
  <c r="AI35" i="353"/>
  <c r="L108" i="351"/>
  <c r="P142" i="351"/>
  <c r="O4" i="351"/>
  <c r="AB57" i="353"/>
  <c r="T156" i="351"/>
  <c r="G7" i="464"/>
  <c r="O104" i="351"/>
  <c r="W61" i="353"/>
  <c r="G9" i="337"/>
  <c r="L25" i="351"/>
  <c r="G8" i="312"/>
  <c r="O47" i="353"/>
  <c r="I83" i="353"/>
  <c r="P29" i="353"/>
  <c r="G10" i="122"/>
  <c r="I81" i="351"/>
  <c r="AD47" i="353"/>
  <c r="P86" i="351"/>
  <c r="T72" i="353"/>
  <c r="G8" i="383"/>
  <c r="G11" i="468"/>
  <c r="R180" i="351"/>
  <c r="AT15" i="353"/>
  <c r="AG87" i="353"/>
  <c r="AE91" i="353"/>
  <c r="K68" i="353"/>
  <c r="Q51" i="351"/>
  <c r="P71" i="353"/>
  <c r="M174" i="351"/>
  <c r="X53" i="353"/>
  <c r="Q175" i="351"/>
  <c r="R207" i="351"/>
  <c r="G6" i="494"/>
  <c r="G15" i="414"/>
  <c r="AA103" i="353"/>
  <c r="L104" i="351"/>
  <c r="K102" i="353"/>
  <c r="S53" i="351"/>
  <c r="G11" i="129"/>
  <c r="I136" i="351"/>
  <c r="T83" i="351"/>
  <c r="I5" i="351"/>
  <c r="G8" i="473"/>
  <c r="G7" i="413"/>
  <c r="H154" i="351"/>
  <c r="M21" i="351"/>
  <c r="AE33" i="353"/>
  <c r="C53" i="145"/>
  <c r="G99" i="353"/>
  <c r="AO66" i="353"/>
  <c r="G6" i="311"/>
  <c r="H185" i="351"/>
  <c r="AU19" i="353"/>
  <c r="S95" i="351"/>
  <c r="G6" i="253"/>
  <c r="K141" i="351"/>
  <c r="G8" i="341"/>
  <c r="H128" i="351"/>
  <c r="C32" i="145"/>
  <c r="AI7" i="353"/>
  <c r="C6" i="355"/>
  <c r="AU8" i="6" s="1"/>
  <c r="AG14" i="353"/>
  <c r="H103" i="353"/>
  <c r="Q60" i="351"/>
  <c r="G12" i="107"/>
  <c r="I82" i="353"/>
  <c r="W87" i="353"/>
  <c r="AJ47" i="353"/>
  <c r="G40" i="353"/>
  <c r="AS51" i="353"/>
  <c r="AL86" i="353"/>
  <c r="G15" i="256"/>
  <c r="G189" i="351"/>
  <c r="I65" i="351"/>
  <c r="AJ73" i="353"/>
  <c r="P155" i="351"/>
  <c r="K158" i="351"/>
  <c r="S45" i="351"/>
  <c r="AS89" i="353"/>
  <c r="M207" i="351"/>
  <c r="G14" i="306"/>
  <c r="G6" i="118"/>
  <c r="R70" i="351"/>
  <c r="G12" i="340"/>
  <c r="T31" i="351"/>
  <c r="G7" i="263"/>
  <c r="G14" i="465"/>
  <c r="G11" i="113"/>
  <c r="J12" i="353"/>
  <c r="AD66" i="353"/>
  <c r="AD42" i="353"/>
  <c r="G14" i="308"/>
  <c r="AB70" i="353"/>
  <c r="AF81" i="353"/>
  <c r="G6" i="334"/>
  <c r="AS45" i="353"/>
  <c r="F104" i="353"/>
  <c r="H30" i="351"/>
  <c r="AN60" i="353"/>
  <c r="X10" i="353"/>
  <c r="AU24" i="353"/>
  <c r="F60" i="353"/>
  <c r="J18" i="353"/>
  <c r="G129" i="351"/>
  <c r="AQ3" i="353"/>
  <c r="R179" i="351"/>
  <c r="AO104" i="353"/>
  <c r="AV41" i="353"/>
  <c r="T25" i="353"/>
  <c r="M153" i="351"/>
  <c r="O46" i="351"/>
  <c r="G27" i="353"/>
  <c r="Q120" i="351"/>
  <c r="I79" i="351"/>
  <c r="M57" i="351"/>
  <c r="V29" i="353"/>
  <c r="G90" i="351"/>
  <c r="G11" i="305"/>
  <c r="O161" i="351"/>
  <c r="AO90" i="353"/>
  <c r="P70" i="353"/>
  <c r="S44" i="351"/>
  <c r="G5" i="249"/>
  <c r="G11" i="399"/>
  <c r="I35" i="351"/>
  <c r="G15" i="307"/>
  <c r="X69" i="353"/>
  <c r="M20" i="351"/>
  <c r="S190" i="351"/>
  <c r="AE7" i="353"/>
  <c r="G15" i="272"/>
  <c r="I47" i="351"/>
  <c r="AQ43" i="353"/>
  <c r="G8" i="416"/>
  <c r="G13" i="458"/>
  <c r="T82" i="351"/>
  <c r="O132" i="351"/>
  <c r="O31" i="353"/>
  <c r="P36" i="353"/>
  <c r="AK6" i="353"/>
  <c r="AP6" i="353"/>
  <c r="O160" i="351"/>
  <c r="G26" i="351"/>
  <c r="AF70" i="353"/>
  <c r="G183" i="351"/>
  <c r="G9" i="123"/>
  <c r="G11" i="363"/>
  <c r="H94" i="353"/>
  <c r="M38" i="353"/>
  <c r="O137" i="351"/>
  <c r="AE89" i="353"/>
  <c r="G12" i="245"/>
  <c r="AI47" i="353"/>
  <c r="G9" i="469"/>
  <c r="G9" i="313"/>
  <c r="G15" i="264"/>
  <c r="AQ75" i="353"/>
  <c r="AT5" i="353"/>
  <c r="M90" i="353"/>
  <c r="F80" i="353"/>
  <c r="E88" i="353"/>
  <c r="G8" i="103"/>
  <c r="M73" i="351"/>
  <c r="G4" i="296"/>
  <c r="O32" i="353"/>
  <c r="J55" i="351"/>
  <c r="G13" i="260"/>
  <c r="T23" i="353"/>
  <c r="B31" i="144"/>
  <c r="X83" i="353"/>
  <c r="AH88" i="353"/>
  <c r="Q102" i="351"/>
  <c r="T68" i="351"/>
  <c r="V47" i="353"/>
  <c r="O203" i="351"/>
  <c r="V87" i="353"/>
  <c r="G8" i="328"/>
  <c r="R96" i="351"/>
  <c r="G9" i="100"/>
  <c r="U64" i="353"/>
  <c r="I109" i="351"/>
  <c r="G47" i="351"/>
  <c r="G8" i="261"/>
  <c r="Z45" i="353"/>
  <c r="I137" i="351"/>
  <c r="T18" i="353"/>
  <c r="G10" i="382"/>
  <c r="W66" i="353"/>
  <c r="AS65" i="353"/>
  <c r="G9" i="455"/>
  <c r="R71" i="351"/>
  <c r="G13" i="413"/>
  <c r="G11" i="130"/>
  <c r="G6" i="99"/>
  <c r="X87" i="353"/>
  <c r="AN67" i="353"/>
  <c r="AA20" i="353"/>
  <c r="M181" i="351"/>
  <c r="Y101" i="353"/>
  <c r="AG55" i="353"/>
  <c r="T75" i="353"/>
  <c r="AO49" i="353"/>
  <c r="H32" i="353"/>
  <c r="I193" i="351"/>
  <c r="I24" i="351"/>
  <c r="O75" i="351"/>
  <c r="G9" i="368"/>
  <c r="W70" i="353"/>
  <c r="E32" i="353"/>
  <c r="W33" i="353"/>
  <c r="G14" i="413"/>
  <c r="AE70" i="353"/>
  <c r="AF100" i="353"/>
  <c r="G123" i="351"/>
  <c r="G6" i="428"/>
  <c r="G7" i="313"/>
  <c r="S104" i="351"/>
  <c r="R114" i="351"/>
  <c r="G12" i="260"/>
  <c r="R56" i="353"/>
  <c r="AB60" i="353"/>
  <c r="AA17" i="353"/>
  <c r="B10" i="355"/>
  <c r="AT12" i="6" s="1"/>
  <c r="T76" i="353"/>
  <c r="AJ25" i="353"/>
  <c r="AP38" i="353"/>
  <c r="G14" i="334"/>
  <c r="X73" i="353"/>
  <c r="AN41" i="353"/>
  <c r="I127" i="351"/>
  <c r="O102" i="353"/>
  <c r="I13" i="353"/>
  <c r="G15" i="316"/>
  <c r="N25" i="353"/>
  <c r="AV60" i="353"/>
  <c r="G83" i="353"/>
  <c r="L109" i="351"/>
  <c r="U54" i="353"/>
  <c r="G7" i="317"/>
  <c r="U44" i="353"/>
  <c r="AA19" i="353"/>
  <c r="AL45" i="353"/>
  <c r="I188" i="351"/>
  <c r="P80" i="351"/>
  <c r="G8" i="314"/>
  <c r="G15" i="324"/>
  <c r="AU7" i="353"/>
  <c r="Q34" i="351"/>
  <c r="AE65" i="353"/>
  <c r="I39" i="351"/>
  <c r="G7" i="305"/>
  <c r="Q81" i="353"/>
  <c r="G10" i="247"/>
  <c r="S90" i="351"/>
  <c r="G6" i="318"/>
  <c r="N12" i="353"/>
  <c r="I89" i="351"/>
  <c r="T97" i="353"/>
  <c r="G13" i="418"/>
  <c r="Q47" i="353"/>
  <c r="G8" i="279"/>
  <c r="AS72" i="353"/>
  <c r="AU17" i="353"/>
  <c r="V5" i="353"/>
  <c r="G10" i="415"/>
  <c r="AN89" i="353"/>
  <c r="G14" i="482"/>
  <c r="R114" i="353"/>
  <c r="AJ78" i="353"/>
  <c r="N49" i="353"/>
  <c r="AH10" i="353"/>
  <c r="G12" i="303"/>
  <c r="T90" i="353"/>
  <c r="K189" i="351"/>
  <c r="AE71" i="353"/>
  <c r="G22" i="353"/>
  <c r="K44" i="353"/>
  <c r="AH39" i="353"/>
  <c r="AO29" i="353"/>
  <c r="AO35" i="6"/>
  <c r="AQ35" i="6" s="1"/>
  <c r="K77" i="351"/>
  <c r="Y32" i="353"/>
  <c r="AI15" i="353"/>
  <c r="AV114" i="353"/>
  <c r="Q173" i="351"/>
  <c r="S141" i="351"/>
  <c r="AS94" i="353"/>
  <c r="O84" i="351"/>
  <c r="H114" i="353"/>
  <c r="F14" i="353"/>
  <c r="M32" i="351"/>
  <c r="Q100" i="353"/>
  <c r="O165" i="351"/>
  <c r="I23" i="351"/>
  <c r="R12" i="353"/>
  <c r="L40" i="351"/>
  <c r="AH87" i="353"/>
  <c r="N29" i="353"/>
  <c r="G14" i="266"/>
  <c r="O96" i="353"/>
  <c r="X14" i="353"/>
  <c r="J97" i="353"/>
  <c r="AU10" i="353"/>
  <c r="G12" i="400"/>
  <c r="N90" i="353"/>
  <c r="G53" i="351"/>
  <c r="G13" i="96"/>
  <c r="AU70" i="353"/>
  <c r="P181" i="351"/>
  <c r="AL38" i="353"/>
  <c r="P196" i="351"/>
  <c r="S67" i="351"/>
  <c r="G5" i="341"/>
  <c r="O74" i="351"/>
  <c r="AK68" i="353"/>
  <c r="T98" i="351"/>
  <c r="AI104" i="353"/>
  <c r="P53" i="353"/>
  <c r="AH24" i="353"/>
  <c r="G4" i="418"/>
  <c r="L7" i="351"/>
  <c r="AE43" i="353"/>
  <c r="AI6" i="353"/>
  <c r="O68" i="353"/>
  <c r="AB56" i="353"/>
  <c r="O36" i="353"/>
  <c r="L88" i="351"/>
  <c r="G6" i="448"/>
  <c r="I167" i="351"/>
  <c r="J87" i="351"/>
  <c r="G5" i="113"/>
  <c r="AK80" i="353"/>
  <c r="K49" i="353"/>
  <c r="G15" i="279"/>
  <c r="K70" i="351"/>
  <c r="G8" i="97"/>
  <c r="G4" i="445"/>
  <c r="Q84" i="351"/>
  <c r="O190" i="351"/>
  <c r="I104" i="351"/>
  <c r="F94" i="353"/>
  <c r="G9" i="99"/>
  <c r="G11" i="467"/>
  <c r="Q174" i="351"/>
  <c r="C15" i="145"/>
  <c r="Q46" i="353"/>
  <c r="W105" i="353"/>
  <c r="G9" i="246"/>
  <c r="Q90" i="353"/>
  <c r="AR21" i="353"/>
  <c r="AH86" i="353"/>
  <c r="K167" i="351"/>
  <c r="AO62" i="353"/>
  <c r="AI22" i="6"/>
  <c r="AO46" i="353"/>
  <c r="G10" i="255"/>
  <c r="W6" i="353"/>
  <c r="AV48" i="353"/>
  <c r="I3" i="351"/>
  <c r="J67" i="351"/>
  <c r="P20" i="353"/>
  <c r="H50" i="351"/>
  <c r="G175" i="351"/>
  <c r="G12" i="267"/>
  <c r="G73" i="353"/>
  <c r="C26" i="145"/>
  <c r="G12" i="319"/>
  <c r="K45" i="353"/>
  <c r="AS68" i="353"/>
  <c r="P67" i="351"/>
  <c r="AR45" i="353"/>
  <c r="AI50" i="353"/>
  <c r="P200" i="351"/>
  <c r="G15" i="428"/>
  <c r="Z53" i="353"/>
  <c r="AV16" i="353"/>
  <c r="Q36" i="351"/>
  <c r="G14" i="381"/>
  <c r="K165" i="351"/>
  <c r="G5" i="284"/>
  <c r="X77" i="353"/>
  <c r="T117" i="351"/>
  <c r="G119" i="351"/>
  <c r="G15" i="252"/>
  <c r="U34" i="353"/>
  <c r="I26" i="351"/>
  <c r="G8" i="462"/>
  <c r="AK83" i="353"/>
  <c r="K133" i="351"/>
  <c r="AH23" i="353"/>
  <c r="G14" i="399"/>
  <c r="G15" i="259"/>
  <c r="G9" i="308"/>
  <c r="AS6" i="353"/>
  <c r="K7" i="351"/>
  <c r="O156" i="351"/>
  <c r="AT42" i="353"/>
  <c r="J56" i="351"/>
  <c r="K89" i="353"/>
  <c r="AQ81" i="353"/>
  <c r="AV33" i="353"/>
  <c r="L24" i="351"/>
  <c r="AI75" i="353"/>
  <c r="K101" i="351"/>
  <c r="G6" i="265"/>
  <c r="G44" i="351"/>
  <c r="R13" i="351"/>
  <c r="G12" i="104"/>
  <c r="D9" i="355"/>
  <c r="AV11" i="6" s="1"/>
  <c r="M19" i="353"/>
  <c r="J59" i="353"/>
  <c r="AQ88" i="353"/>
  <c r="AA94" i="353"/>
  <c r="G13" i="269"/>
  <c r="G4" i="292"/>
  <c r="I186" i="351"/>
  <c r="I41" i="351"/>
  <c r="U45" i="353"/>
  <c r="AU14" i="353"/>
  <c r="AD70" i="353"/>
  <c r="Z37" i="353"/>
  <c r="AO29" i="6"/>
  <c r="AQ29" i="6" s="1"/>
  <c r="B8" i="144"/>
  <c r="O102" i="351"/>
  <c r="I120" i="351"/>
  <c r="K146" i="351"/>
  <c r="AL6" i="353"/>
  <c r="G4" i="278"/>
  <c r="G8" i="250"/>
  <c r="J33" i="353"/>
  <c r="I21" i="353"/>
  <c r="G14" i="342"/>
  <c r="W20" i="353"/>
  <c r="I50" i="353"/>
  <c r="Q150" i="351"/>
  <c r="AF69" i="353"/>
  <c r="I42" i="351"/>
  <c r="Q114" i="353"/>
  <c r="G15" i="321"/>
  <c r="G15" i="323"/>
  <c r="I95" i="351"/>
  <c r="H177" i="351"/>
  <c r="AB91" i="353"/>
  <c r="F89" i="353"/>
  <c r="Z96" i="353"/>
  <c r="G4" i="491"/>
  <c r="Q177" i="351"/>
  <c r="G8" i="332"/>
  <c r="I190" i="351"/>
  <c r="H38" i="351"/>
  <c r="Q108" i="351"/>
  <c r="G14" i="270"/>
  <c r="G9" i="456"/>
  <c r="W49" i="353"/>
  <c r="AU66" i="353"/>
  <c r="G14" i="100"/>
  <c r="K183" i="351"/>
  <c r="AO3" i="6"/>
  <c r="AQ3" i="6" s="1"/>
  <c r="AD20" i="353"/>
  <c r="G12" i="128"/>
  <c r="O56" i="351"/>
  <c r="G6" i="468"/>
  <c r="K51" i="351"/>
  <c r="G8" i="440"/>
  <c r="G4" i="490"/>
  <c r="T48" i="351"/>
  <c r="R125" i="351"/>
  <c r="AK60" i="353"/>
  <c r="AP90" i="353"/>
  <c r="G7" i="462"/>
  <c r="G12" i="442"/>
  <c r="I20" i="351"/>
  <c r="W65" i="353"/>
  <c r="AD87" i="353"/>
  <c r="R73" i="351"/>
  <c r="O89" i="351"/>
  <c r="AR20" i="353"/>
  <c r="AO88" i="353"/>
  <c r="G6" i="383"/>
  <c r="J166" i="351"/>
  <c r="AG34" i="353"/>
  <c r="C4" i="355"/>
  <c r="AU6" i="6" s="1"/>
  <c r="G8" i="400"/>
  <c r="T26" i="353"/>
  <c r="G5" i="261"/>
  <c r="AD59" i="353"/>
  <c r="G14" i="335"/>
  <c r="AI18" i="353"/>
  <c r="AP46" i="353"/>
  <c r="AS54" i="353"/>
  <c r="AL17" i="353"/>
  <c r="I54" i="351"/>
  <c r="Z5" i="353"/>
  <c r="G8" i="255"/>
  <c r="E75" i="353"/>
  <c r="G12" i="418"/>
  <c r="AO31" i="353"/>
  <c r="G13" i="294"/>
  <c r="T159" i="351"/>
  <c r="G12" i="483"/>
  <c r="P104" i="351"/>
  <c r="P7" i="351"/>
  <c r="AI57" i="353"/>
  <c r="T181" i="351"/>
  <c r="T76" i="351"/>
  <c r="AK17" i="353"/>
  <c r="K12" i="353"/>
  <c r="G15" i="473"/>
  <c r="E34" i="353"/>
  <c r="H45" i="351"/>
  <c r="AR52" i="353"/>
  <c r="J94" i="353"/>
  <c r="AP26" i="353"/>
  <c r="N10" i="353"/>
  <c r="Q112" i="351"/>
  <c r="AT3" i="353"/>
  <c r="G13" i="340"/>
  <c r="G5" i="272"/>
  <c r="G10" i="351"/>
  <c r="G9" i="341"/>
  <c r="I90" i="353"/>
  <c r="H79" i="351"/>
  <c r="K4" i="351"/>
  <c r="M60" i="353"/>
  <c r="S42" i="351"/>
  <c r="O141" i="351"/>
  <c r="G14" i="309"/>
  <c r="AA61" i="353"/>
  <c r="AQ25" i="353"/>
  <c r="G86" i="351"/>
  <c r="G11" i="428"/>
  <c r="W4" i="353"/>
  <c r="K91" i="353"/>
  <c r="AP14" i="353"/>
  <c r="AO9" i="6"/>
  <c r="AQ9" i="6" s="1"/>
  <c r="G6" i="296"/>
  <c r="J102" i="353"/>
  <c r="S89" i="351"/>
  <c r="G8" i="300"/>
  <c r="I148" i="351"/>
  <c r="G14" i="259"/>
  <c r="G13" i="412"/>
  <c r="G8" i="322"/>
  <c r="R99" i="351"/>
  <c r="Y97" i="353"/>
  <c r="AD50" i="353"/>
  <c r="G8" i="411"/>
  <c r="I64" i="351"/>
  <c r="G4" i="113"/>
  <c r="K109" i="351"/>
  <c r="R86" i="351"/>
  <c r="AO22" i="6"/>
  <c r="AQ22" i="6" s="1"/>
  <c r="G9" i="304"/>
  <c r="P33" i="353"/>
  <c r="G168" i="351"/>
  <c r="H98" i="353"/>
  <c r="H59" i="353"/>
  <c r="AD72" i="353"/>
  <c r="AE98" i="353"/>
  <c r="G15" i="263"/>
  <c r="L39" i="351"/>
  <c r="G7" i="468"/>
  <c r="AV75" i="353"/>
  <c r="R107" i="351"/>
  <c r="G8" i="117"/>
  <c r="N55" i="353"/>
  <c r="AJ21" i="353"/>
  <c r="G5" i="405"/>
  <c r="G8" i="474"/>
  <c r="AP85" i="353"/>
  <c r="AO33" i="6"/>
  <c r="AQ33" i="6" s="1"/>
  <c r="V18" i="353"/>
  <c r="H101" i="351"/>
  <c r="E5" i="355"/>
  <c r="AW7" i="6" s="1"/>
  <c r="AV83" i="353"/>
  <c r="M87" i="351"/>
  <c r="I28" i="353"/>
  <c r="T55" i="353"/>
  <c r="W79" i="353"/>
  <c r="AK16" i="353"/>
  <c r="G10" i="483"/>
  <c r="G11" i="400"/>
  <c r="G9" i="420"/>
  <c r="T158" i="351"/>
  <c r="G14" i="120"/>
  <c r="P168" i="351"/>
  <c r="E95" i="353"/>
  <c r="G15" i="268"/>
  <c r="G9" i="340"/>
  <c r="G9" i="118"/>
  <c r="AI16" i="353"/>
  <c r="O77" i="353"/>
  <c r="AI79" i="353"/>
  <c r="AP23" i="353"/>
  <c r="G11" i="462"/>
  <c r="N87" i="353"/>
  <c r="AO82" i="353"/>
  <c r="G10" i="433"/>
  <c r="S165" i="351"/>
  <c r="AV69" i="353"/>
  <c r="O206" i="351"/>
  <c r="G14" i="348"/>
  <c r="L105" i="351"/>
  <c r="AG29" i="353"/>
  <c r="G80" i="351"/>
  <c r="G11" i="465"/>
  <c r="M167" i="351"/>
  <c r="G13" i="103"/>
  <c r="AD53" i="353"/>
  <c r="G6" i="298"/>
  <c r="G5" i="121"/>
  <c r="AQ94" i="353"/>
  <c r="AI5" i="353"/>
  <c r="L84" i="351"/>
  <c r="G7" i="393"/>
  <c r="U69" i="353"/>
  <c r="D55" i="146"/>
  <c r="F34" i="353"/>
  <c r="AS18" i="353"/>
  <c r="AO86" i="353"/>
  <c r="G14" i="494"/>
  <c r="G14" i="103"/>
  <c r="V80" i="353"/>
  <c r="G5" i="479"/>
  <c r="AH77" i="353"/>
  <c r="AI23" i="353"/>
  <c r="G9" i="280"/>
  <c r="G15" i="320"/>
  <c r="G9" i="323"/>
  <c r="AD79" i="353"/>
  <c r="G14" i="447"/>
  <c r="AP52" i="353"/>
  <c r="H62" i="353"/>
  <c r="O25" i="351"/>
  <c r="G13" i="488"/>
  <c r="R21" i="353"/>
  <c r="G5" i="302"/>
  <c r="AR60" i="353"/>
  <c r="AP84" i="353"/>
  <c r="AQ76" i="353"/>
  <c r="I76" i="351"/>
  <c r="G12" i="416"/>
  <c r="X34" i="353"/>
  <c r="T125" i="351"/>
  <c r="AI4" i="353"/>
  <c r="G7" i="332"/>
  <c r="F40" i="353"/>
  <c r="Q64" i="351"/>
  <c r="AA63" i="353"/>
  <c r="AP37" i="353"/>
  <c r="T127" i="351"/>
  <c r="J90" i="353"/>
  <c r="V95" i="353"/>
  <c r="K178" i="351"/>
  <c r="M165" i="351"/>
  <c r="J30" i="351"/>
  <c r="AF24" i="353"/>
  <c r="G10" i="399"/>
  <c r="L63" i="351"/>
  <c r="M138" i="351"/>
  <c r="O65" i="353"/>
  <c r="K13" i="353"/>
  <c r="G7" i="411"/>
  <c r="G14" i="256"/>
  <c r="AP91" i="353"/>
  <c r="Y68" i="353"/>
  <c r="G15" i="363"/>
  <c r="J86" i="353"/>
  <c r="Q18" i="351"/>
  <c r="G14" i="14"/>
  <c r="G8" i="295"/>
  <c r="G10" i="319"/>
  <c r="AJ14" i="353"/>
  <c r="K195" i="351"/>
  <c r="O33" i="353"/>
  <c r="J155" i="351"/>
  <c r="G8" i="100"/>
  <c r="G13" i="309"/>
  <c r="I58" i="351"/>
  <c r="Q204" i="351"/>
  <c r="AF27" i="353"/>
  <c r="L133" i="351"/>
  <c r="Q84" i="353"/>
  <c r="X25" i="353"/>
  <c r="G10" i="468"/>
  <c r="G6" i="291"/>
  <c r="G8" i="494"/>
  <c r="G13" i="298"/>
  <c r="G6" i="252"/>
  <c r="G12" i="121"/>
  <c r="P81" i="351"/>
  <c r="R140" i="351"/>
  <c r="AG62" i="353"/>
  <c r="G172" i="351"/>
  <c r="S116" i="351"/>
  <c r="E45" i="353"/>
  <c r="G6" i="467"/>
  <c r="AP48" i="353"/>
  <c r="P11" i="353"/>
  <c r="G12" i="96"/>
  <c r="G6" i="463"/>
  <c r="G14" i="433"/>
  <c r="I201" i="351"/>
  <c r="AJ19" i="353"/>
  <c r="F68" i="353"/>
  <c r="P11" i="351"/>
  <c r="G7" i="324"/>
  <c r="G11" i="427"/>
  <c r="P38" i="351"/>
  <c r="G11" i="269"/>
  <c r="J131" i="351"/>
  <c r="H116" i="351"/>
  <c r="G11" i="276"/>
  <c r="G12" i="306"/>
  <c r="AO48" i="353"/>
  <c r="AK39" i="353"/>
  <c r="T136" i="351"/>
  <c r="P62" i="353"/>
  <c r="AA114" i="353"/>
  <c r="AD45" i="353"/>
  <c r="G46" i="351"/>
  <c r="G6" i="248"/>
  <c r="S15" i="351"/>
  <c r="P68" i="353"/>
  <c r="G11" i="340"/>
  <c r="AI61" i="353"/>
  <c r="S29" i="351"/>
  <c r="AT65" i="353"/>
  <c r="G10" i="94"/>
  <c r="AR73" i="353"/>
  <c r="J58" i="351"/>
  <c r="G15" i="262"/>
  <c r="S17" i="351"/>
  <c r="G6" i="109"/>
  <c r="I69" i="351"/>
  <c r="G13" i="410"/>
  <c r="T114" i="353"/>
  <c r="G5" i="346"/>
  <c r="G15" i="392"/>
  <c r="AQ36" i="353"/>
  <c r="V94" i="353"/>
  <c r="O53" i="351"/>
  <c r="T165" i="351"/>
  <c r="J200" i="351"/>
  <c r="AL80" i="353"/>
  <c r="Q49" i="353"/>
  <c r="G9" i="121"/>
  <c r="AO22" i="353"/>
  <c r="G7" i="344"/>
  <c r="T155" i="351"/>
  <c r="AI12" i="6"/>
  <c r="G12" i="385"/>
  <c r="C2" i="355"/>
  <c r="AU4" i="6" s="1"/>
  <c r="G14" i="463"/>
  <c r="Q192" i="351"/>
  <c r="Z90" i="353"/>
  <c r="J105" i="353"/>
  <c r="K44" i="351"/>
  <c r="AL36" i="353"/>
  <c r="G8" i="282"/>
  <c r="K95" i="351"/>
  <c r="T74" i="351"/>
  <c r="I91" i="351"/>
  <c r="G9" i="257"/>
  <c r="T187" i="351"/>
  <c r="O103" i="353"/>
  <c r="I86" i="351"/>
  <c r="T17" i="351"/>
  <c r="AS10" i="353"/>
  <c r="AD67" i="353"/>
  <c r="L123" i="351"/>
  <c r="G5" i="328"/>
  <c r="G10" i="306"/>
  <c r="Q20" i="353"/>
  <c r="M90" i="351"/>
  <c r="AD57" i="353"/>
  <c r="G131" i="351"/>
  <c r="G6" i="107"/>
  <c r="Y21" i="353"/>
  <c r="N71" i="353"/>
  <c r="AA98" i="353"/>
  <c r="U82" i="353"/>
  <c r="AA91" i="353"/>
  <c r="B17" i="144"/>
  <c r="K11" i="353"/>
  <c r="AS20" i="353"/>
  <c r="AA48" i="353"/>
  <c r="AK44" i="353"/>
  <c r="C18" i="145"/>
  <c r="T6" i="353"/>
  <c r="AQ90" i="353"/>
  <c r="C10" i="355"/>
  <c r="AU12" i="6" s="1"/>
  <c r="L164" i="351"/>
  <c r="G6" i="264"/>
  <c r="E102" i="353"/>
  <c r="AB49" i="353"/>
  <c r="Q4" i="351"/>
  <c r="N69" i="353"/>
  <c r="AA62" i="353"/>
  <c r="M129" i="351"/>
  <c r="AN65" i="353"/>
  <c r="AH32" i="353"/>
  <c r="K71" i="351"/>
  <c r="J75" i="351"/>
  <c r="H161" i="351"/>
  <c r="L184" i="351"/>
  <c r="U38" i="353"/>
  <c r="Y17" i="353"/>
  <c r="I68" i="351"/>
  <c r="AG18" i="353"/>
  <c r="T30" i="351"/>
  <c r="K77" i="353"/>
  <c r="AE19" i="353"/>
  <c r="G8" i="296"/>
  <c r="AU23" i="353"/>
  <c r="L174" i="351"/>
  <c r="L169" i="351"/>
  <c r="G15" i="309"/>
  <c r="P35" i="353"/>
  <c r="AL58" i="353"/>
  <c r="G7" i="307"/>
  <c r="Z40" i="353"/>
  <c r="H196" i="351"/>
  <c r="AI103" i="353"/>
  <c r="N13" i="353"/>
  <c r="V92" i="353"/>
  <c r="I165" i="351"/>
  <c r="AR95" i="353"/>
  <c r="G8" i="269"/>
  <c r="AL16" i="353"/>
  <c r="AB87" i="353"/>
  <c r="AT10" i="353"/>
  <c r="M180" i="351"/>
  <c r="AI52" i="353"/>
  <c r="J49" i="351"/>
  <c r="F81" i="353"/>
  <c r="K200" i="351"/>
  <c r="T14" i="353"/>
  <c r="L140" i="351"/>
  <c r="G5" i="335"/>
  <c r="T49" i="351"/>
  <c r="R92" i="353"/>
  <c r="AS47" i="353"/>
  <c r="AA64" i="353"/>
  <c r="D7" i="355"/>
  <c r="AV9" i="6" s="1"/>
  <c r="I59" i="351"/>
  <c r="O77" i="351"/>
  <c r="P13" i="353"/>
  <c r="G6" i="275"/>
  <c r="G11" i="383"/>
  <c r="J96" i="353"/>
  <c r="G4" i="250"/>
  <c r="G60" i="353"/>
  <c r="AU102" i="353"/>
  <c r="AH81" i="353"/>
  <c r="G7" i="309"/>
  <c r="G14" i="474"/>
  <c r="W92" i="353"/>
  <c r="W94" i="353"/>
  <c r="G7" i="472"/>
  <c r="R52" i="353"/>
  <c r="G5" i="277"/>
  <c r="J51" i="353"/>
  <c r="I69" i="353"/>
  <c r="G8" i="268"/>
  <c r="R25" i="353"/>
  <c r="Y8" i="353"/>
  <c r="AQ99" i="353"/>
  <c r="G7" i="410"/>
  <c r="G6" i="261"/>
  <c r="AD48" i="353"/>
  <c r="S161" i="351"/>
  <c r="L114" i="351"/>
  <c r="G5" i="315"/>
  <c r="AD28" i="353"/>
  <c r="S27" i="351"/>
  <c r="G5" i="294"/>
  <c r="AE54" i="353"/>
  <c r="K83" i="353"/>
  <c r="M51" i="351"/>
  <c r="F37" i="353"/>
  <c r="AV49" i="353"/>
  <c r="G12" i="248"/>
  <c r="M41" i="353"/>
  <c r="H93" i="353"/>
  <c r="J82" i="353"/>
  <c r="T191" i="351"/>
  <c r="G12" i="392"/>
  <c r="N68" i="353"/>
  <c r="J11" i="351"/>
  <c r="AS75" i="353"/>
  <c r="G13" i="365"/>
  <c r="G5" i="290"/>
  <c r="G135" i="351"/>
  <c r="L124" i="351"/>
  <c r="R50" i="353"/>
  <c r="AN27" i="353"/>
  <c r="H184" i="351"/>
  <c r="AA16" i="353"/>
  <c r="K93" i="351"/>
  <c r="AT12" i="353"/>
  <c r="P136" i="351"/>
  <c r="G15" i="253"/>
  <c r="G13" i="363"/>
  <c r="G7" i="246"/>
  <c r="G6" i="313"/>
  <c r="G11" i="300"/>
  <c r="G4" i="472"/>
  <c r="AH3" i="353"/>
  <c r="O97" i="351"/>
  <c r="T44" i="353"/>
  <c r="E33" i="353"/>
  <c r="AQ45" i="353"/>
  <c r="J29" i="353"/>
  <c r="AD49" i="353"/>
  <c r="G5" i="384"/>
  <c r="M67" i="351"/>
  <c r="N54" i="353"/>
  <c r="G6" i="293"/>
  <c r="I8" i="351"/>
  <c r="G11" i="297"/>
  <c r="J80" i="353"/>
  <c r="K96" i="353"/>
  <c r="X66" i="353"/>
  <c r="P32" i="353"/>
  <c r="P3" i="351"/>
  <c r="W83" i="353"/>
  <c r="G15" i="469"/>
  <c r="G11" i="268"/>
  <c r="X98" i="353"/>
  <c r="AJ49" i="353"/>
  <c r="M85" i="353"/>
  <c r="G10" i="324"/>
  <c r="K96" i="351"/>
  <c r="AS8" i="353"/>
  <c r="W31" i="353"/>
  <c r="F22" i="353"/>
  <c r="O19" i="351"/>
  <c r="G11" i="127"/>
  <c r="G5" i="256"/>
  <c r="AG71" i="353"/>
  <c r="E90" i="353"/>
  <c r="G8" i="291"/>
  <c r="G13" i="261"/>
  <c r="P16" i="353"/>
  <c r="N66" i="353"/>
  <c r="C45" i="145"/>
  <c r="G12" i="323"/>
  <c r="AP58" i="353"/>
  <c r="M12" i="353"/>
  <c r="G4" i="440"/>
  <c r="G10" i="425"/>
  <c r="S127" i="351"/>
  <c r="V3" i="353"/>
  <c r="G11" i="122"/>
  <c r="H169" i="351"/>
  <c r="H141" i="351"/>
  <c r="AH103" i="353"/>
  <c r="N73" i="353"/>
  <c r="H34" i="351"/>
  <c r="Q202" i="351"/>
  <c r="I75" i="351"/>
  <c r="G11" i="275"/>
  <c r="G14" i="110"/>
  <c r="E97" i="353"/>
  <c r="U16" i="353"/>
  <c r="AU55" i="353"/>
  <c r="G10" i="348"/>
  <c r="J205" i="351"/>
  <c r="I119" i="351"/>
  <c r="G6" i="308"/>
  <c r="AP4" i="353"/>
  <c r="G6" i="479"/>
  <c r="S177" i="351"/>
  <c r="AG30" i="353"/>
  <c r="P27" i="351"/>
  <c r="G4" i="310"/>
  <c r="G5" i="118"/>
  <c r="W60" i="353"/>
  <c r="V77" i="353"/>
  <c r="H75" i="353"/>
  <c r="G8" i="329"/>
  <c r="H100" i="351"/>
  <c r="AJ56" i="353"/>
  <c r="AA10" i="353"/>
  <c r="AO55" i="353"/>
  <c r="W88" i="353"/>
  <c r="X59" i="353"/>
  <c r="G9" i="95"/>
  <c r="K25" i="353"/>
  <c r="G6" i="420"/>
  <c r="AB95" i="353"/>
  <c r="R199" i="351"/>
  <c r="B19" i="144"/>
  <c r="F24" i="353"/>
  <c r="G13" i="129"/>
  <c r="AV19" i="353"/>
  <c r="N61" i="353"/>
  <c r="P89" i="353"/>
  <c r="L129" i="351"/>
  <c r="H107" i="351"/>
  <c r="G7" i="466"/>
  <c r="R30" i="353"/>
  <c r="R188" i="351"/>
  <c r="G14" i="434"/>
  <c r="I38" i="353"/>
  <c r="O52" i="353"/>
  <c r="G13" i="351"/>
  <c r="M74" i="351"/>
  <c r="W80" i="353"/>
  <c r="AI17" i="6"/>
  <c r="M40" i="351"/>
  <c r="P157" i="351"/>
  <c r="G184" i="351"/>
  <c r="H68" i="351"/>
  <c r="M106" i="351"/>
  <c r="G15" i="289"/>
  <c r="M145" i="351"/>
  <c r="M96" i="351"/>
  <c r="Q101" i="351"/>
  <c r="G12" i="261"/>
  <c r="AF20" i="353"/>
  <c r="G6" i="321"/>
  <c r="G10" i="309"/>
  <c r="M63" i="351"/>
  <c r="AK94" i="353"/>
  <c r="G15" i="325"/>
  <c r="G155" i="351"/>
  <c r="G12" i="467"/>
  <c r="T18" i="351"/>
  <c r="G7" i="257"/>
  <c r="S120" i="351"/>
  <c r="G8" i="253"/>
  <c r="V61" i="353"/>
  <c r="H90" i="353"/>
  <c r="G4" i="123"/>
  <c r="G9" i="103"/>
  <c r="AV64" i="353"/>
  <c r="G48" i="353"/>
  <c r="AO58" i="353"/>
  <c r="G11" i="247"/>
  <c r="H149" i="351"/>
  <c r="K192" i="351"/>
  <c r="G19" i="351"/>
  <c r="M81" i="351"/>
  <c r="P28" i="353"/>
  <c r="J13" i="351"/>
  <c r="AO7" i="6"/>
  <c r="AQ7" i="6" s="1"/>
  <c r="AI24" i="353"/>
  <c r="I177" i="351"/>
  <c r="AD89" i="353"/>
  <c r="AN47" i="353"/>
  <c r="G12" i="304"/>
  <c r="K126" i="351"/>
  <c r="J47" i="351"/>
  <c r="G4" i="343"/>
  <c r="Q201" i="351"/>
  <c r="AU58" i="353"/>
  <c r="AU28" i="353"/>
  <c r="G12" i="337"/>
  <c r="R97" i="353"/>
  <c r="P77" i="353"/>
  <c r="G4" i="287"/>
  <c r="AQ27" i="353"/>
  <c r="O63" i="353"/>
  <c r="AI96" i="353"/>
  <c r="AJ98" i="353"/>
  <c r="W104" i="353"/>
  <c r="Q55" i="353"/>
  <c r="X97" i="353"/>
  <c r="G5" i="448"/>
  <c r="AP54" i="353"/>
  <c r="I52" i="351"/>
  <c r="AI7" i="6"/>
  <c r="J62" i="353"/>
  <c r="AV59" i="353"/>
  <c r="H41" i="353"/>
  <c r="J19" i="351"/>
  <c r="G6" i="250"/>
  <c r="AE55" i="353"/>
  <c r="T193" i="351"/>
  <c r="G12" i="257"/>
  <c r="AP28" i="353"/>
  <c r="AI10" i="6"/>
  <c r="G8" i="275"/>
  <c r="R137" i="351"/>
  <c r="G13" i="381"/>
  <c r="G13" i="274"/>
  <c r="X40" i="353"/>
  <c r="M60" i="351"/>
  <c r="AA6" i="353"/>
  <c r="Q58" i="353"/>
  <c r="I82" i="351"/>
  <c r="G14" i="359"/>
  <c r="U18" i="353"/>
  <c r="I93" i="351"/>
  <c r="AO5" i="6"/>
  <c r="AQ5" i="6" s="1"/>
  <c r="F88" i="353"/>
  <c r="I55" i="353"/>
  <c r="G96" i="353"/>
  <c r="J98" i="351"/>
  <c r="R166" i="351"/>
  <c r="T99" i="353"/>
  <c r="AI4" i="6"/>
  <c r="AI73" i="353"/>
  <c r="G6" i="368"/>
  <c r="G4" i="121"/>
  <c r="G8" i="260"/>
  <c r="P44" i="353"/>
  <c r="AG23" i="353"/>
  <c r="M22" i="353"/>
  <c r="N20" i="353"/>
  <c r="Q89" i="351"/>
  <c r="AH71" i="353"/>
  <c r="G10" i="113"/>
  <c r="G14" i="299"/>
  <c r="AQ17" i="353"/>
  <c r="AD82" i="353"/>
  <c r="G14" i="273"/>
  <c r="AR6" i="353"/>
  <c r="H123" i="351"/>
  <c r="AG8" i="353"/>
  <c r="P123" i="351"/>
  <c r="G5" i="345"/>
  <c r="J13" i="353"/>
  <c r="W13" i="353"/>
  <c r="B13" i="144"/>
  <c r="AN70" i="353"/>
  <c r="G13" i="310"/>
  <c r="AV11" i="353"/>
  <c r="AI76" i="353"/>
  <c r="G5" i="385"/>
  <c r="G14" i="113"/>
  <c r="U104" i="353"/>
  <c r="L151" i="351"/>
  <c r="AH70" i="353"/>
  <c r="AL35" i="353"/>
  <c r="R167" i="351"/>
  <c r="R98" i="353"/>
  <c r="T62" i="351"/>
  <c r="AS49" i="353"/>
  <c r="R68" i="351"/>
  <c r="G17" i="353"/>
  <c r="AS50" i="353"/>
  <c r="G8" i="288"/>
  <c r="R108" i="351"/>
  <c r="K48" i="351"/>
  <c r="G12" i="284"/>
  <c r="AL102" i="353"/>
  <c r="G8" i="118"/>
  <c r="K35" i="351"/>
  <c r="G11" i="273"/>
  <c r="F64" i="353"/>
  <c r="D10" i="355"/>
  <c r="AV12" i="6" s="1"/>
  <c r="Y24" i="353"/>
  <c r="G12" i="405"/>
  <c r="W8" i="353"/>
  <c r="T27" i="353"/>
  <c r="G14" i="317"/>
  <c r="G11" i="329"/>
  <c r="G15" i="107"/>
  <c r="E9" i="355"/>
  <c r="AW11" i="6" s="1"/>
  <c r="AQ16" i="353"/>
  <c r="T119" i="351"/>
  <c r="AJ99" i="353"/>
  <c r="L5" i="351"/>
  <c r="AH51" i="353"/>
  <c r="G103" i="353"/>
  <c r="E96" i="353"/>
  <c r="C55" i="145"/>
  <c r="G5" i="349"/>
  <c r="G13" i="346"/>
  <c r="G14" i="305"/>
  <c r="G15" i="341"/>
  <c r="G6" i="295"/>
  <c r="AO30" i="6"/>
  <c r="AQ30" i="6" s="1"/>
  <c r="G7" i="123"/>
  <c r="G15" i="426"/>
  <c r="G6" i="96"/>
  <c r="AT14" i="353"/>
  <c r="U28" i="353"/>
  <c r="R112" i="351"/>
  <c r="AL37" i="353"/>
  <c r="G15" i="332"/>
  <c r="K184" i="351"/>
  <c r="B14" i="144"/>
  <c r="Z54" i="353"/>
  <c r="G7" i="343"/>
  <c r="G6" i="274"/>
  <c r="G9" i="481"/>
  <c r="E22" i="353"/>
  <c r="M10" i="353"/>
  <c r="S153" i="351"/>
  <c r="G12" i="274"/>
  <c r="AB27" i="353"/>
  <c r="G11" i="326"/>
  <c r="G4" i="365"/>
  <c r="AB17" i="353"/>
  <c r="I110" i="351"/>
  <c r="G14" i="245"/>
  <c r="G12" i="305"/>
  <c r="L51" i="351"/>
  <c r="Q85" i="353"/>
  <c r="J30" i="353"/>
  <c r="M80" i="351"/>
  <c r="F12" i="353"/>
  <c r="L43" i="351"/>
  <c r="G4" i="266"/>
  <c r="V96" i="353"/>
  <c r="S109" i="351"/>
  <c r="G8" i="393"/>
  <c r="J184" i="351"/>
  <c r="X56" i="353"/>
  <c r="T96" i="351"/>
  <c r="Q91" i="353"/>
  <c r="AA45" i="353"/>
  <c r="G13" i="330"/>
  <c r="G6" i="455"/>
  <c r="K75" i="351"/>
  <c r="G4" i="303"/>
  <c r="T53" i="353"/>
  <c r="I60" i="353"/>
  <c r="P46" i="351"/>
  <c r="AQ71" i="353"/>
  <c r="G8" i="289"/>
  <c r="G14" i="440"/>
  <c r="J64" i="351"/>
  <c r="I48" i="353"/>
  <c r="G82" i="353"/>
  <c r="R11" i="351"/>
  <c r="G13" i="267"/>
  <c r="P12" i="351"/>
  <c r="M71" i="351"/>
  <c r="M205" i="351"/>
  <c r="T59" i="353"/>
  <c r="AN25" i="353"/>
  <c r="AG102" i="353"/>
  <c r="Z65" i="353"/>
  <c r="AT69" i="353"/>
  <c r="AA82" i="353"/>
  <c r="C44" i="145"/>
  <c r="G5" i="262"/>
  <c r="P19" i="353"/>
  <c r="G6" i="120"/>
  <c r="M130" i="351"/>
  <c r="I6" i="351"/>
  <c r="AG47" i="353"/>
  <c r="G4" i="479"/>
  <c r="G11" i="434"/>
  <c r="F30" i="353"/>
  <c r="H76" i="351"/>
  <c r="AO20" i="353"/>
  <c r="G11" i="284"/>
  <c r="G13" i="277"/>
  <c r="K50" i="351"/>
  <c r="M102" i="353"/>
  <c r="AU15" i="353"/>
  <c r="G5" i="300"/>
  <c r="AG32" i="353"/>
  <c r="I166" i="351"/>
  <c r="G10" i="250"/>
  <c r="G15" i="121"/>
  <c r="Q75" i="351"/>
  <c r="G6" i="445"/>
  <c r="K73" i="351"/>
  <c r="P68" i="351"/>
  <c r="G6" i="94"/>
  <c r="T62" i="353"/>
  <c r="G7" i="399"/>
  <c r="Z48" i="353"/>
  <c r="S93" i="351"/>
  <c r="X100" i="353"/>
  <c r="Z83" i="353"/>
  <c r="R33" i="353"/>
  <c r="G8" i="270"/>
  <c r="AJ38" i="353"/>
  <c r="G4" i="253"/>
  <c r="G4" i="466"/>
  <c r="AJ13" i="353"/>
  <c r="AS67" i="353"/>
  <c r="F103" i="353"/>
  <c r="Q43" i="353"/>
  <c r="M31" i="351"/>
  <c r="AE44" i="353"/>
  <c r="J111" i="351"/>
  <c r="U81" i="353"/>
  <c r="AJ94" i="353"/>
  <c r="AI32" i="353"/>
  <c r="G5" i="313"/>
  <c r="AI29" i="6"/>
  <c r="R89" i="353"/>
  <c r="G5" i="342"/>
  <c r="AB76" i="353"/>
  <c r="T10" i="353"/>
  <c r="G44" i="353"/>
  <c r="P26" i="351"/>
  <c r="G45" i="351"/>
  <c r="G98" i="353"/>
  <c r="F28" i="353"/>
  <c r="AF91" i="353"/>
  <c r="AA80" i="353"/>
  <c r="G4" i="258"/>
  <c r="G13" i="472"/>
  <c r="G7" i="318"/>
  <c r="K54" i="353"/>
  <c r="V65" i="353"/>
  <c r="R27" i="351"/>
  <c r="O80" i="351"/>
  <c r="V50" i="353"/>
  <c r="M87" i="353"/>
  <c r="AE36" i="353"/>
  <c r="G5" i="475"/>
  <c r="B41" i="144"/>
  <c r="J103" i="353"/>
  <c r="G4" i="274"/>
  <c r="AN63" i="353"/>
  <c r="Z31" i="353"/>
  <c r="G5" i="463"/>
  <c r="G8" i="346"/>
  <c r="AE103" i="353"/>
  <c r="M49" i="351"/>
  <c r="AS7" i="353"/>
  <c r="Q140" i="351"/>
  <c r="G5" i="425"/>
  <c r="G12" i="89"/>
  <c r="AO4" i="353"/>
  <c r="P120" i="351"/>
  <c r="G11" i="341"/>
  <c r="T147" i="351"/>
  <c r="G10" i="282"/>
  <c r="L150" i="351"/>
  <c r="O73" i="353"/>
  <c r="X31" i="353"/>
  <c r="J95" i="353"/>
  <c r="G13" i="264"/>
  <c r="AR65" i="353"/>
  <c r="J57" i="351"/>
  <c r="T37" i="353"/>
  <c r="AN40" i="353"/>
  <c r="G9" i="333"/>
  <c r="G41" i="353"/>
  <c r="L46" i="351"/>
  <c r="Q148" i="351"/>
  <c r="V35" i="353"/>
  <c r="J70" i="353"/>
  <c r="Q139" i="351"/>
  <c r="S162" i="351"/>
  <c r="K93" i="353"/>
  <c r="AS37" i="353"/>
  <c r="J61" i="351"/>
  <c r="Z26" i="353"/>
  <c r="G7" i="319"/>
  <c r="G12" i="130"/>
  <c r="AV24" i="353"/>
  <c r="G6" i="469"/>
  <c r="S112" i="351"/>
  <c r="G6" i="287"/>
  <c r="AJ54" i="353"/>
  <c r="AJ41" i="353"/>
  <c r="I54" i="353"/>
  <c r="G68" i="351"/>
  <c r="P98" i="351"/>
  <c r="M156" i="351"/>
  <c r="X70" i="353"/>
  <c r="G12" i="347"/>
  <c r="L144" i="351"/>
  <c r="F72" i="353"/>
  <c r="AA8" i="353"/>
  <c r="X52" i="353"/>
  <c r="O130" i="351"/>
  <c r="AU86" i="353"/>
  <c r="P86" i="353"/>
  <c r="G10" i="473"/>
  <c r="AN30" i="353"/>
  <c r="Q57" i="353"/>
  <c r="P187" i="351"/>
  <c r="M14" i="351"/>
  <c r="L79" i="351"/>
  <c r="AE11" i="353"/>
  <c r="AK81" i="353"/>
  <c r="AF34" i="353"/>
  <c r="H72" i="351"/>
  <c r="T121" i="351"/>
  <c r="M128" i="351"/>
  <c r="AJ16" i="353"/>
  <c r="AD91" i="353"/>
  <c r="G14" i="329"/>
  <c r="T198" i="351"/>
  <c r="F59" i="353"/>
  <c r="P92" i="351"/>
  <c r="L29" i="351"/>
  <c r="J92" i="353"/>
  <c r="H71" i="353"/>
  <c r="G15" i="448"/>
  <c r="AV93" i="353"/>
  <c r="E64" i="353"/>
  <c r="G4" i="392"/>
  <c r="L111" i="351"/>
  <c r="V101" i="353"/>
  <c r="G11" i="109"/>
  <c r="P41" i="353"/>
  <c r="O27" i="353"/>
  <c r="T148" i="351"/>
  <c r="K145" i="351"/>
  <c r="G5" i="305"/>
  <c r="Q93" i="353"/>
  <c r="K104" i="351"/>
  <c r="G7" i="376"/>
  <c r="V19" i="353"/>
  <c r="G9" i="247"/>
  <c r="G9" i="255"/>
  <c r="G8" i="491"/>
  <c r="G5" i="276"/>
  <c r="V88" i="353"/>
  <c r="H41" i="351"/>
  <c r="S203" i="351"/>
  <c r="T71" i="351"/>
  <c r="G15" i="416"/>
  <c r="Y50" i="353"/>
  <c r="P26" i="353"/>
  <c r="R103" i="351"/>
  <c r="V38" i="353"/>
  <c r="AQ60" i="353"/>
  <c r="G9" i="488"/>
  <c r="H25" i="351"/>
  <c r="G10" i="494"/>
  <c r="Z43" i="353"/>
  <c r="AI42" i="353"/>
  <c r="N38" i="353"/>
  <c r="E36" i="353"/>
  <c r="R55" i="353"/>
  <c r="G4" i="307"/>
  <c r="G13" i="426"/>
  <c r="W22" i="353"/>
  <c r="AD73" i="353"/>
  <c r="G13" i="295"/>
  <c r="AK34" i="353"/>
  <c r="G4" i="487"/>
  <c r="F65" i="353"/>
  <c r="K59" i="351"/>
  <c r="G8" i="129"/>
  <c r="T111" i="351"/>
  <c r="T183" i="351"/>
  <c r="V55" i="353"/>
  <c r="L115" i="351"/>
  <c r="C41" i="145"/>
  <c r="W59" i="353"/>
  <c r="Q98" i="353"/>
  <c r="AJ45" i="353"/>
  <c r="G14" i="467"/>
  <c r="G144" i="351"/>
  <c r="Y18" i="353"/>
  <c r="V100" i="353"/>
  <c r="G14" i="288"/>
  <c r="R126" i="351"/>
  <c r="G8" i="343"/>
  <c r="E53" i="353"/>
  <c r="O38" i="351"/>
  <c r="N79" i="353"/>
  <c r="G14" i="338"/>
  <c r="G14" i="365"/>
  <c r="AE53" i="353"/>
  <c r="S145" i="351"/>
  <c r="AP24" i="353"/>
  <c r="AJ40" i="353"/>
  <c r="L198" i="351"/>
  <c r="G11" i="293"/>
  <c r="L23" i="351"/>
  <c r="K46" i="351"/>
  <c r="X44" i="353"/>
  <c r="AI8" i="6"/>
  <c r="Q105" i="353"/>
  <c r="U94" i="353"/>
  <c r="AK63" i="353"/>
  <c r="M10" i="351"/>
  <c r="AH4" i="353"/>
  <c r="K152" i="351"/>
  <c r="AF73" i="353"/>
  <c r="S81" i="351"/>
  <c r="AB31" i="353"/>
  <c r="G9" i="491"/>
  <c r="G178" i="351"/>
  <c r="W21" i="353"/>
  <c r="G7" i="113"/>
  <c r="S130" i="351"/>
  <c r="M148" i="351"/>
  <c r="P122" i="351"/>
  <c r="U75" i="353"/>
  <c r="T89" i="353"/>
  <c r="Z16" i="353"/>
  <c r="G6" i="300"/>
  <c r="G8" i="366"/>
  <c r="AD100" i="353"/>
  <c r="I168" i="351"/>
  <c r="AK31" i="353"/>
  <c r="AS36" i="353"/>
  <c r="K137" i="351"/>
  <c r="T44" i="351"/>
  <c r="AS24" i="353"/>
  <c r="G9" i="367"/>
  <c r="Q136" i="351"/>
  <c r="K169" i="351"/>
  <c r="AU20" i="353"/>
  <c r="AP25" i="353"/>
  <c r="M78" i="353"/>
  <c r="G11" i="335"/>
  <c r="J96" i="351"/>
  <c r="R51" i="351"/>
  <c r="G5" i="488"/>
  <c r="I74" i="351"/>
  <c r="G7" i="481"/>
  <c r="G4" i="334"/>
  <c r="M89" i="353"/>
  <c r="G5" i="418"/>
  <c r="I44" i="351"/>
  <c r="AJ65" i="353"/>
  <c r="R32" i="351"/>
  <c r="AO98" i="353"/>
  <c r="AO43" i="353"/>
  <c r="G14" i="95"/>
  <c r="R16" i="353"/>
  <c r="O43" i="353"/>
  <c r="F66" i="353"/>
  <c r="AQ42" i="353"/>
  <c r="G15" i="280"/>
  <c r="H181" i="351"/>
  <c r="E21" i="353"/>
  <c r="O69" i="351"/>
  <c r="I169" i="351"/>
  <c r="G7" i="295"/>
  <c r="T60" i="353"/>
  <c r="AO103" i="353"/>
  <c r="X29" i="353"/>
  <c r="G6" i="281"/>
  <c r="Q109" i="351"/>
  <c r="G4" i="380"/>
  <c r="G13" i="280"/>
  <c r="V30" i="353"/>
  <c r="G9" i="128"/>
  <c r="AU76" i="353"/>
  <c r="S187" i="351"/>
  <c r="I80" i="351"/>
  <c r="T50" i="353"/>
  <c r="G7" i="315"/>
  <c r="G5" i="128"/>
  <c r="G14" i="341"/>
  <c r="G15" i="326"/>
  <c r="L93" i="351"/>
  <c r="G15" i="322"/>
  <c r="AK98" i="353"/>
  <c r="G11" i="324"/>
  <c r="AG27" i="353"/>
  <c r="AU80" i="353"/>
  <c r="AB21" i="353"/>
  <c r="R88" i="351"/>
  <c r="AU36" i="353"/>
  <c r="G15" i="313"/>
  <c r="G5" i="263"/>
  <c r="R203" i="351"/>
  <c r="S99" i="351"/>
  <c r="I101" i="351"/>
  <c r="Y67" i="353"/>
  <c r="AP72" i="353"/>
  <c r="Q123" i="351"/>
  <c r="E11" i="353"/>
  <c r="O207" i="351"/>
  <c r="G7" i="469"/>
  <c r="K108" i="351"/>
  <c r="AB13" i="353"/>
  <c r="Q99" i="353"/>
  <c r="AR49" i="353"/>
  <c r="AI87" i="353"/>
  <c r="AH26" i="353"/>
  <c r="P106" i="351"/>
  <c r="AO14" i="6"/>
  <c r="AQ14" i="6" s="1"/>
  <c r="G12" i="359"/>
  <c r="G7" i="101"/>
  <c r="R17" i="351"/>
  <c r="AD16" i="353"/>
  <c r="R198" i="351"/>
  <c r="S115" i="351"/>
  <c r="G8" i="385"/>
  <c r="R80" i="351"/>
  <c r="H43" i="353"/>
  <c r="H94" i="351"/>
  <c r="G4" i="283"/>
  <c r="R30" i="351"/>
  <c r="AV15" i="353"/>
  <c r="G15" i="286"/>
  <c r="Q76" i="353"/>
  <c r="R77" i="351"/>
  <c r="C9" i="355"/>
  <c r="AU11" i="6" s="1"/>
  <c r="AS69" i="353"/>
  <c r="H110" i="351"/>
  <c r="Q110" i="351"/>
  <c r="G104" i="353"/>
  <c r="AQ92" i="353"/>
  <c r="AA39" i="353"/>
  <c r="J186" i="351"/>
  <c r="AL26" i="353"/>
  <c r="G15" i="271"/>
  <c r="L30" i="351"/>
  <c r="AA34" i="353"/>
  <c r="AV62" i="353"/>
  <c r="L171" i="351"/>
  <c r="P37" i="351"/>
  <c r="AV91" i="353"/>
  <c r="H15" i="351"/>
  <c r="G4" i="275"/>
  <c r="T8" i="353"/>
  <c r="G12" i="342"/>
  <c r="T73" i="353"/>
  <c r="O103" i="351"/>
  <c r="J40" i="353"/>
  <c r="AB105" i="353"/>
  <c r="G10" i="381"/>
  <c r="AA78" i="353"/>
  <c r="O40" i="351"/>
  <c r="G7" i="288"/>
  <c r="AG56" i="353"/>
  <c r="Q60" i="353"/>
  <c r="AF89" i="353"/>
  <c r="AK36" i="353"/>
  <c r="O81" i="353"/>
  <c r="Q196" i="351"/>
  <c r="K58" i="351"/>
  <c r="O17" i="351"/>
  <c r="Q122" i="351"/>
  <c r="AI40" i="353"/>
  <c r="G11" i="381"/>
  <c r="AI69" i="353"/>
  <c r="G7" i="494"/>
  <c r="T122" i="351"/>
  <c r="G31" i="353"/>
  <c r="G9" i="253"/>
  <c r="G5" i="427"/>
  <c r="P64" i="351"/>
  <c r="G18" i="353"/>
  <c r="AJ24" i="353"/>
  <c r="H60" i="351"/>
  <c r="K203" i="351"/>
  <c r="G7" i="277"/>
  <c r="G154" i="351"/>
  <c r="AG46" i="353"/>
  <c r="T57" i="353"/>
  <c r="F86" i="353"/>
  <c r="O32" i="351"/>
  <c r="G15" i="488"/>
  <c r="H53" i="351"/>
  <c r="AE26" i="353"/>
  <c r="L158" i="351"/>
  <c r="G4" i="412"/>
  <c r="O39" i="351"/>
  <c r="AL7" i="353"/>
  <c r="AA11" i="353"/>
  <c r="Z61" i="353"/>
  <c r="AJ18" i="353"/>
  <c r="R77" i="353"/>
  <c r="I37" i="351"/>
  <c r="K71" i="353"/>
  <c r="G9" i="413"/>
  <c r="L68" i="351"/>
  <c r="AI34" i="353"/>
  <c r="W12" i="353"/>
  <c r="G4" i="403"/>
  <c r="H73" i="351"/>
  <c r="H102" i="353"/>
  <c r="Q21" i="353"/>
  <c r="H28" i="353"/>
  <c r="G13" i="318"/>
  <c r="G72" i="353"/>
  <c r="R64" i="353"/>
  <c r="U42" i="353"/>
  <c r="H19" i="351"/>
  <c r="AF63" i="353"/>
  <c r="R18" i="351"/>
  <c r="Y65" i="353"/>
  <c r="Y51" i="353"/>
  <c r="W102" i="353"/>
  <c r="Q63" i="353"/>
  <c r="S148" i="351"/>
  <c r="G114" i="351"/>
  <c r="T41" i="353"/>
  <c r="G13" i="287"/>
  <c r="G27" i="351"/>
  <c r="Y23" i="353"/>
  <c r="K56" i="353"/>
  <c r="AV51" i="353"/>
  <c r="G9" i="473"/>
  <c r="G13" i="468"/>
  <c r="G196" i="351"/>
  <c r="P103" i="351"/>
  <c r="G11" i="413"/>
  <c r="I185" i="351"/>
  <c r="I50" i="351"/>
  <c r="AH80" i="353"/>
  <c r="Z44" i="353"/>
  <c r="O172" i="351"/>
  <c r="U5" i="353"/>
  <c r="AH27" i="353"/>
  <c r="J158" i="351"/>
  <c r="AF83" i="353"/>
  <c r="U98" i="353"/>
  <c r="G5" i="336"/>
  <c r="T94" i="353"/>
  <c r="G5" i="403"/>
  <c r="Q38" i="353"/>
  <c r="K32" i="351"/>
  <c r="V22" i="353"/>
  <c r="Q3" i="351"/>
  <c r="AT23" i="353"/>
  <c r="H83" i="353"/>
  <c r="G13" i="442"/>
  <c r="K114" i="351"/>
  <c r="AR85" i="353"/>
  <c r="G4" i="442"/>
  <c r="K185" i="351"/>
  <c r="G5" i="340"/>
  <c r="G14" i="121"/>
  <c r="G8" i="445"/>
  <c r="H70" i="351"/>
  <c r="G4" i="309"/>
  <c r="L59" i="351"/>
  <c r="G7" i="268"/>
  <c r="U65" i="353"/>
  <c r="AI80" i="353"/>
  <c r="L128" i="351"/>
  <c r="G51" i="351"/>
  <c r="P47" i="351"/>
  <c r="L21" i="351"/>
  <c r="G15" i="429"/>
  <c r="AN44" i="353"/>
  <c r="AJ60" i="353"/>
  <c r="T60" i="351"/>
  <c r="L64" i="351"/>
  <c r="L180" i="351"/>
  <c r="O29" i="353"/>
  <c r="H39" i="353"/>
  <c r="AG37" i="353"/>
  <c r="L163" i="351"/>
  <c r="O125" i="351"/>
  <c r="AT52" i="353"/>
  <c r="G12" i="299"/>
  <c r="T83" i="353"/>
  <c r="V69" i="353"/>
  <c r="J72" i="353"/>
  <c r="K99" i="351"/>
  <c r="G9" i="393"/>
  <c r="Y31" i="353"/>
  <c r="AL49" i="353"/>
  <c r="S76" i="351"/>
  <c r="T34" i="351"/>
  <c r="Z21" i="353"/>
  <c r="AK38" i="353"/>
  <c r="AU89" i="353"/>
  <c r="G15" i="462"/>
  <c r="AD71" i="353"/>
  <c r="G6" i="249"/>
  <c r="M46" i="353"/>
  <c r="K173" i="351"/>
  <c r="AL94" i="353"/>
  <c r="AF64" i="353"/>
  <c r="G15" i="308"/>
  <c r="G6" i="462"/>
  <c r="AU56" i="353"/>
  <c r="AV82" i="353"/>
  <c r="AP93" i="353"/>
  <c r="G60" i="351"/>
  <c r="L135" i="351"/>
  <c r="G7" i="300"/>
  <c r="AH97" i="353"/>
  <c r="K45" i="351"/>
  <c r="G4" i="302"/>
  <c r="AJ92" i="353"/>
  <c r="S197" i="351"/>
  <c r="AP94" i="353"/>
  <c r="G5" i="273"/>
  <c r="H104" i="353"/>
  <c r="I176" i="351"/>
  <c r="W85" i="353"/>
  <c r="G9" i="127"/>
  <c r="R142" i="351"/>
  <c r="G13" i="246"/>
  <c r="R122" i="351"/>
  <c r="G5" i="400"/>
  <c r="AD84" i="353"/>
  <c r="AF103" i="353"/>
  <c r="AA44" i="353"/>
  <c r="AE83" i="353"/>
  <c r="AB32" i="353"/>
  <c r="M3" i="351"/>
  <c r="Q53" i="353"/>
  <c r="AF79" i="353"/>
  <c r="AU21" i="353"/>
  <c r="AP100" i="353"/>
  <c r="T206" i="351"/>
  <c r="T177" i="351"/>
  <c r="H93" i="351"/>
  <c r="G13" i="344"/>
  <c r="AK93" i="353"/>
  <c r="J79" i="351"/>
  <c r="G30" i="351"/>
  <c r="O204" i="351"/>
  <c r="AP18" i="353"/>
  <c r="G5" i="469"/>
  <c r="G4" i="129"/>
  <c r="G5" i="347"/>
  <c r="R101" i="353"/>
  <c r="I51" i="351"/>
  <c r="G12" i="95"/>
  <c r="AF32" i="353"/>
  <c r="G15" i="95"/>
  <c r="K83" i="351"/>
  <c r="O162" i="351"/>
  <c r="Q29" i="353"/>
  <c r="I40" i="351"/>
  <c r="Y60" i="353"/>
  <c r="K87" i="351"/>
  <c r="Y93" i="353"/>
  <c r="M101" i="351"/>
  <c r="G5" i="462"/>
  <c r="V76" i="353"/>
  <c r="G7" i="249"/>
  <c r="X30" i="353"/>
  <c r="G9" i="104"/>
  <c r="H135" i="351"/>
  <c r="AN28" i="353"/>
  <c r="G14" i="253"/>
  <c r="AN32" i="353"/>
  <c r="H23" i="353"/>
  <c r="O99" i="351"/>
  <c r="M94" i="351"/>
  <c r="G8" i="281"/>
  <c r="AG35" i="353"/>
  <c r="Q39" i="353"/>
  <c r="G12" i="298"/>
  <c r="G4" i="399"/>
  <c r="G6" i="382"/>
  <c r="AV50" i="353"/>
  <c r="O187" i="351"/>
  <c r="W51" i="353"/>
  <c r="G14" i="466"/>
  <c r="R128" i="351"/>
  <c r="Y38" i="353"/>
  <c r="AL53" i="353"/>
  <c r="J43" i="353"/>
  <c r="G12" i="266"/>
  <c r="G11" i="322"/>
  <c r="G9" i="385"/>
  <c r="F58" i="353"/>
  <c r="G9" i="366"/>
  <c r="AG26" i="353"/>
  <c r="G8" i="292"/>
  <c r="M34" i="353"/>
  <c r="P148" i="351"/>
  <c r="Y79" i="353"/>
  <c r="G43" i="353"/>
  <c r="G10" i="482"/>
  <c r="G150" i="351"/>
  <c r="G7" i="275"/>
  <c r="G13" i="259"/>
  <c r="J44" i="351"/>
  <c r="G13" i="300"/>
  <c r="L187" i="351"/>
  <c r="G15" i="337"/>
  <c r="G15" i="482"/>
  <c r="Q137" i="351"/>
  <c r="AD94" i="353"/>
  <c r="H37" i="351"/>
  <c r="J142" i="351"/>
  <c r="S137" i="351"/>
  <c r="L71" i="351"/>
  <c r="G12" i="316"/>
  <c r="K190" i="351"/>
  <c r="T42" i="351"/>
  <c r="AA83" i="353"/>
  <c r="AP81" i="353"/>
  <c r="G4" i="104"/>
  <c r="G8" i="14"/>
  <c r="U61" i="353"/>
  <c r="G14" i="260"/>
  <c r="G59" i="351"/>
  <c r="J97" i="351"/>
  <c r="AN76" i="353"/>
  <c r="O179" i="351"/>
  <c r="G10" i="301"/>
  <c r="AU93" i="353"/>
  <c r="M183" i="351"/>
  <c r="AJ10" i="353"/>
  <c r="AL99" i="353"/>
  <c r="G8" i="247"/>
  <c r="AV87" i="353"/>
  <c r="AU97" i="353"/>
  <c r="G10" i="117"/>
  <c r="T21" i="353"/>
  <c r="F11" i="353"/>
  <c r="N81" i="353"/>
  <c r="L193" i="351"/>
  <c r="I158" i="351"/>
  <c r="G11" i="331"/>
  <c r="K52" i="353"/>
  <c r="AG57" i="353"/>
  <c r="AD15" i="353"/>
  <c r="G7" i="396"/>
  <c r="Q69" i="353"/>
  <c r="Z84" i="353"/>
  <c r="G14" i="462"/>
  <c r="G7" i="281"/>
  <c r="P30" i="351"/>
  <c r="G15" i="291"/>
  <c r="AO32" i="6"/>
  <c r="AQ32" i="6" s="1"/>
  <c r="AH96" i="353"/>
  <c r="G58" i="351"/>
  <c r="G5" i="274"/>
  <c r="P75" i="351"/>
  <c r="Q154" i="351"/>
  <c r="G9" i="347"/>
  <c r="M61" i="351"/>
  <c r="AB104" i="353"/>
  <c r="Y88" i="353"/>
  <c r="G8" i="418"/>
  <c r="I140" i="351"/>
  <c r="G127" i="351"/>
  <c r="B54" i="144"/>
  <c r="G14" i="318"/>
  <c r="W36" i="353"/>
  <c r="S60" i="351"/>
  <c r="Q78" i="353"/>
  <c r="AH50" i="353"/>
  <c r="AH18" i="353"/>
  <c r="G13" i="299"/>
  <c r="G14" i="302"/>
  <c r="Y75" i="353"/>
  <c r="G4" i="251"/>
  <c r="X93" i="353"/>
  <c r="AR68" i="353"/>
  <c r="AD81" i="353"/>
  <c r="AU3" i="353"/>
  <c r="I207" i="351"/>
  <c r="G15" i="344"/>
  <c r="AF30" i="353"/>
  <c r="AP76" i="353"/>
  <c r="G12" i="384"/>
  <c r="AQ38" i="353"/>
  <c r="H13" i="351"/>
  <c r="AR99" i="353"/>
  <c r="G7" i="339"/>
  <c r="AJ4" i="353"/>
  <c r="R35" i="351"/>
  <c r="G12" i="270"/>
  <c r="R186" i="351"/>
  <c r="AF16" i="353"/>
  <c r="G169" i="351"/>
  <c r="G9" i="310"/>
  <c r="AS52" i="353"/>
  <c r="Z11" i="353"/>
  <c r="H67" i="351"/>
  <c r="AH74" i="353"/>
  <c r="G6" i="294"/>
  <c r="G11" i="426"/>
  <c r="G6" i="403"/>
  <c r="J16" i="351"/>
  <c r="AF88" i="353"/>
  <c r="AN75" i="353"/>
  <c r="G13" i="465"/>
  <c r="AT63" i="353"/>
  <c r="G7" i="283"/>
  <c r="K26" i="353"/>
  <c r="W95" i="353"/>
  <c r="Q157" i="351"/>
  <c r="T33" i="351"/>
  <c r="G6" i="299"/>
  <c r="H182" i="351"/>
  <c r="P159" i="351"/>
  <c r="AV30" i="353"/>
  <c r="G10" i="342"/>
  <c r="G4" i="284"/>
  <c r="G11" i="411"/>
  <c r="I72" i="353"/>
  <c r="L205" i="351"/>
  <c r="I196" i="351"/>
  <c r="U23" i="353"/>
  <c r="K168" i="351"/>
  <c r="R159" i="351"/>
  <c r="AN11" i="353"/>
  <c r="Q26" i="353"/>
  <c r="G10" i="315"/>
  <c r="I97" i="351"/>
  <c r="O197" i="351"/>
  <c r="G76" i="351"/>
  <c r="AN48" i="353"/>
  <c r="S49" i="351"/>
  <c r="G5" i="295"/>
  <c r="AJ36" i="353"/>
  <c r="P146" i="351"/>
  <c r="G4" i="305"/>
  <c r="V86" i="353"/>
  <c r="AB72" i="353"/>
  <c r="AI43" i="353"/>
  <c r="H95" i="351"/>
  <c r="AJ79" i="353"/>
  <c r="R49" i="353"/>
  <c r="G7" i="121"/>
  <c r="C21" i="145"/>
  <c r="O37" i="351"/>
  <c r="F31" i="353"/>
  <c r="L67" i="351"/>
  <c r="H104" i="351"/>
  <c r="W14" i="353"/>
  <c r="T79" i="353"/>
  <c r="AF31" i="353"/>
  <c r="R75" i="351"/>
  <c r="R43" i="353"/>
  <c r="G5" i="426"/>
  <c r="AB7" i="353"/>
  <c r="G15" i="336"/>
  <c r="AL31" i="353"/>
  <c r="G7" i="340"/>
  <c r="N101" i="353"/>
  <c r="AJ5" i="353"/>
  <c r="AA100" i="353"/>
  <c r="AP95" i="353"/>
  <c r="Q23" i="351"/>
  <c r="G49" i="353"/>
  <c r="AT85" i="353"/>
  <c r="J148" i="351"/>
  <c r="P100" i="351"/>
  <c r="AU45" i="353"/>
  <c r="AD97" i="353"/>
  <c r="G11" i="430"/>
  <c r="I17" i="353"/>
  <c r="E38" i="353"/>
  <c r="G11" i="272"/>
  <c r="O60" i="351"/>
  <c r="G5" i="94"/>
  <c r="H55" i="353"/>
  <c r="K40" i="353"/>
  <c r="AO78" i="353"/>
  <c r="P31" i="351"/>
  <c r="G13" i="258"/>
  <c r="Q89" i="353"/>
  <c r="P172" i="351"/>
  <c r="AU75" i="353"/>
  <c r="AK103" i="353"/>
  <c r="G15" i="412"/>
  <c r="B28" i="144"/>
  <c r="P100" i="353"/>
  <c r="J173" i="351"/>
  <c r="AO13" i="353"/>
  <c r="L119" i="351"/>
  <c r="AI26" i="6"/>
  <c r="G10" i="414"/>
  <c r="G8" i="464"/>
  <c r="AO84" i="353"/>
  <c r="Y92" i="353"/>
  <c r="G11" i="288"/>
  <c r="G14" i="448"/>
  <c r="G7" i="245"/>
  <c r="I16" i="351"/>
  <c r="D3" i="355"/>
  <c r="AV5" i="6" s="1"/>
  <c r="H31" i="351"/>
  <c r="AF114" i="353"/>
  <c r="G4" i="300"/>
  <c r="G97" i="351"/>
  <c r="G134" i="351"/>
  <c r="C51" i="145"/>
  <c r="H160" i="351"/>
  <c r="P197" i="351"/>
  <c r="AV26" i="353"/>
  <c r="G13" i="494"/>
  <c r="AI91" i="353"/>
  <c r="G11" i="392"/>
  <c r="G4" i="430"/>
  <c r="AK77" i="353"/>
  <c r="T38" i="351"/>
  <c r="AE3" i="353"/>
  <c r="N114" i="353"/>
  <c r="G9" i="427"/>
  <c r="G13" i="341"/>
  <c r="AR11" i="353"/>
  <c r="Y42" i="353"/>
  <c r="G14" i="428"/>
  <c r="G4" i="426"/>
  <c r="AT70" i="353"/>
  <c r="AG73" i="353"/>
  <c r="G8" i="403"/>
  <c r="N59" i="353"/>
  <c r="G5" i="421"/>
  <c r="G6" i="381"/>
  <c r="T16" i="351"/>
  <c r="O107" i="351"/>
  <c r="G11" i="384"/>
  <c r="AR98" i="353"/>
  <c r="G4" i="410"/>
  <c r="Q12" i="353"/>
  <c r="G15" i="385"/>
  <c r="G10" i="464"/>
  <c r="AB93" i="353"/>
  <c r="AP21" i="353"/>
  <c r="AT53" i="353"/>
  <c r="R65" i="351"/>
  <c r="H105" i="351"/>
  <c r="AH8" i="353"/>
  <c r="AU41" i="353"/>
  <c r="H37" i="353"/>
  <c r="AT62" i="353"/>
  <c r="P55" i="351"/>
  <c r="AE32" i="353"/>
  <c r="G9" i="101"/>
  <c r="H28" i="351"/>
  <c r="G14" i="325"/>
  <c r="AE24" i="353"/>
  <c r="H81" i="353"/>
  <c r="G5" i="107"/>
  <c r="AD25" i="353"/>
  <c r="I128" i="351"/>
  <c r="G5" i="14"/>
  <c r="R171" i="351"/>
  <c r="G9" i="256"/>
  <c r="AP19" i="353"/>
  <c r="J188" i="351"/>
  <c r="G15" i="281"/>
  <c r="I132" i="351"/>
  <c r="G9" i="305"/>
  <c r="AG99" i="353"/>
  <c r="X54" i="353"/>
  <c r="AF86" i="353"/>
  <c r="G14" i="295"/>
  <c r="R48" i="353"/>
  <c r="Q86" i="351"/>
  <c r="P190" i="351"/>
  <c r="T41" i="351"/>
  <c r="W74" i="353"/>
  <c r="G15" i="129"/>
  <c r="F32" i="353"/>
  <c r="I84" i="353"/>
  <c r="AK90" i="353"/>
  <c r="G12" i="293"/>
  <c r="AL43" i="353"/>
  <c r="G8" i="120"/>
  <c r="G6" i="418"/>
  <c r="K36" i="353"/>
  <c r="Q58" i="351"/>
  <c r="R78" i="351"/>
  <c r="X36" i="353"/>
  <c r="G9" i="343"/>
  <c r="C37" i="145"/>
  <c r="G15" i="490"/>
  <c r="H12" i="351"/>
  <c r="G63" i="353"/>
  <c r="O90" i="353"/>
  <c r="G8" i="488"/>
  <c r="G23" i="353"/>
  <c r="P12" i="353"/>
  <c r="M49" i="353"/>
  <c r="E7" i="355"/>
  <c r="AW9" i="6" s="1"/>
  <c r="B47" i="144"/>
  <c r="M105" i="351"/>
  <c r="AI74" i="353"/>
  <c r="G100" i="351"/>
  <c r="G8" i="271"/>
  <c r="AA95" i="353"/>
  <c r="G111" i="351"/>
  <c r="AO23" i="353"/>
  <c r="E79" i="353"/>
  <c r="AR25" i="353"/>
  <c r="AV98" i="353"/>
  <c r="G14" i="396"/>
  <c r="M18" i="351"/>
  <c r="J15" i="351"/>
  <c r="G8" i="340"/>
  <c r="S196" i="351"/>
  <c r="G11" i="415"/>
  <c r="AT91" i="353"/>
  <c r="G10" i="109"/>
  <c r="K51" i="353"/>
  <c r="AN73" i="353"/>
  <c r="AU33" i="353"/>
  <c r="S48" i="351"/>
  <c r="O70" i="351"/>
  <c r="P50" i="351"/>
  <c r="AK85" i="353"/>
  <c r="O55" i="351"/>
  <c r="U97" i="353"/>
  <c r="G5" i="487"/>
  <c r="G5" i="383"/>
  <c r="AN94" i="353"/>
  <c r="G13" i="326"/>
  <c r="L118" i="351"/>
  <c r="K116" i="351"/>
  <c r="L113" i="351"/>
  <c r="G8" i="454"/>
  <c r="G4" i="263"/>
  <c r="O63" i="351"/>
  <c r="G14" i="385"/>
  <c r="R99" i="353"/>
  <c r="T113" i="351"/>
  <c r="AO101" i="353"/>
  <c r="O73" i="351"/>
  <c r="AT51" i="353"/>
  <c r="AS100" i="353"/>
  <c r="T86" i="351"/>
  <c r="G11" i="248"/>
  <c r="M17" i="353"/>
  <c r="N39" i="353"/>
  <c r="G10" i="469"/>
  <c r="O180" i="351"/>
  <c r="U86" i="353"/>
  <c r="R76" i="353"/>
  <c r="G12" i="434"/>
  <c r="G13" i="467"/>
  <c r="Q31" i="351"/>
  <c r="O105" i="351"/>
  <c r="Q67" i="351"/>
  <c r="V33" i="353"/>
  <c r="M13" i="353"/>
  <c r="G9" i="273"/>
  <c r="G8" i="334"/>
  <c r="V12" i="353"/>
  <c r="AL100" i="353"/>
  <c r="G14" i="416"/>
  <c r="E11" i="355"/>
  <c r="AW13" i="6" s="1"/>
  <c r="I142" i="351"/>
  <c r="AV66" i="353"/>
  <c r="I114" i="353"/>
  <c r="O12" i="353"/>
  <c r="T54" i="353"/>
  <c r="G4" i="342"/>
  <c r="X105" i="353"/>
  <c r="Y3" i="353"/>
  <c r="G14" i="400"/>
  <c r="R63" i="351"/>
  <c r="G6" i="338"/>
  <c r="AO24" i="6"/>
  <c r="AQ24" i="6" s="1"/>
  <c r="G64" i="353"/>
  <c r="AF44" i="353"/>
  <c r="G4" i="110"/>
  <c r="Q198" i="351"/>
  <c r="AQ11" i="353"/>
  <c r="G15" i="287"/>
  <c r="L85" i="351"/>
  <c r="H64" i="353"/>
  <c r="AP49" i="353"/>
  <c r="P82" i="351"/>
  <c r="G10" i="447"/>
  <c r="AN92" i="353"/>
  <c r="I141" i="351"/>
  <c r="G10" i="335"/>
  <c r="G8" i="396"/>
  <c r="G10" i="353"/>
  <c r="W15" i="353"/>
  <c r="AN52" i="353"/>
  <c r="O100" i="353"/>
  <c r="Q37" i="353"/>
  <c r="AH85" i="353"/>
  <c r="F74" i="353"/>
  <c r="Z14" i="353"/>
  <c r="Q32" i="353"/>
  <c r="R104" i="351"/>
  <c r="G13" i="334"/>
  <c r="S204" i="351"/>
  <c r="AL74" i="353"/>
  <c r="G9" i="286"/>
  <c r="G15" i="115"/>
  <c r="AO19" i="353"/>
  <c r="Z114" i="353"/>
  <c r="AU83" i="353"/>
  <c r="G7" i="415"/>
  <c r="AH56" i="353"/>
  <c r="O167" i="351"/>
  <c r="G13" i="396"/>
  <c r="N97" i="353"/>
  <c r="K41" i="351"/>
  <c r="G13" i="479"/>
  <c r="X86" i="353"/>
  <c r="G6" i="349"/>
  <c r="G13" i="366"/>
  <c r="G39" i="353"/>
  <c r="G8" i="107"/>
  <c r="AD98" i="353"/>
  <c r="R131" i="351"/>
  <c r="G10" i="424"/>
  <c r="G8" i="290"/>
  <c r="AH19" i="353"/>
  <c r="M86" i="353"/>
  <c r="L141" i="351"/>
  <c r="AQ26" i="353"/>
  <c r="T102" i="353"/>
  <c r="AJ8" i="353"/>
  <c r="N47" i="353"/>
  <c r="AJ103" i="353"/>
  <c r="I56" i="353"/>
  <c r="G25" i="353"/>
  <c r="J86" i="351"/>
  <c r="G8" i="299"/>
  <c r="G6" i="364"/>
  <c r="P184" i="351"/>
  <c r="G12" i="14"/>
  <c r="O21" i="353"/>
  <c r="T79" i="351"/>
  <c r="P125" i="351"/>
  <c r="O62" i="351"/>
  <c r="G14" i="275"/>
  <c r="Y13" i="353"/>
  <c r="H47" i="353"/>
  <c r="G11" i="481"/>
  <c r="G10" i="328"/>
  <c r="G9" i="450"/>
  <c r="P127" i="351"/>
  <c r="AB29" i="353"/>
  <c r="S176" i="351"/>
  <c r="Q184" i="351"/>
  <c r="AG79" i="353"/>
  <c r="G12" i="302"/>
  <c r="G96" i="351"/>
  <c r="Y102" i="353"/>
  <c r="M5" i="351"/>
  <c r="G8" i="330"/>
  <c r="W24" i="353"/>
  <c r="N14" i="353"/>
  <c r="F90" i="353"/>
  <c r="V25" i="353"/>
  <c r="W42" i="353"/>
  <c r="S40" i="351"/>
  <c r="Q141" i="351"/>
  <c r="M149" i="351"/>
  <c r="AT100" i="353"/>
  <c r="S117" i="351"/>
  <c r="G7" i="278"/>
  <c r="AD77" i="353"/>
  <c r="H173" i="351"/>
  <c r="AP96" i="353"/>
  <c r="O3" i="351"/>
  <c r="H17" i="353"/>
  <c r="G13" i="332"/>
  <c r="AS44" i="353"/>
  <c r="G8" i="95"/>
  <c r="Z102" i="353"/>
  <c r="I21" i="351"/>
  <c r="Q115" i="351"/>
  <c r="G9" i="335"/>
  <c r="G8" i="344"/>
  <c r="AP66" i="353"/>
  <c r="AR83" i="353"/>
  <c r="G11" i="433"/>
  <c r="G11" i="364"/>
  <c r="P78" i="353"/>
  <c r="G6" i="262"/>
  <c r="H35" i="351"/>
  <c r="T199" i="351"/>
  <c r="AV34" i="353"/>
  <c r="F99" i="353"/>
  <c r="G5" i="101"/>
  <c r="M109" i="351"/>
  <c r="Q87" i="351"/>
  <c r="M46" i="351"/>
  <c r="T91" i="351"/>
  <c r="AT84" i="353"/>
  <c r="AR5" i="353"/>
  <c r="U71" i="353"/>
  <c r="Q77" i="353"/>
  <c r="R183" i="351"/>
  <c r="AL90" i="353"/>
  <c r="AD101" i="353"/>
  <c r="Q28" i="351"/>
  <c r="J66" i="353"/>
  <c r="T55" i="351"/>
  <c r="P85" i="351"/>
  <c r="X58" i="353"/>
  <c r="P48" i="353"/>
  <c r="G13" i="130"/>
  <c r="M126" i="351"/>
  <c r="T151" i="351"/>
  <c r="G8" i="96"/>
  <c r="G6" i="416"/>
  <c r="AE52" i="353"/>
  <c r="K37" i="351"/>
  <c r="AG72" i="353"/>
  <c r="T33" i="353"/>
  <c r="G10" i="268"/>
  <c r="T34" i="353"/>
  <c r="AJ11" i="353"/>
  <c r="O86" i="351"/>
  <c r="G14" i="96"/>
  <c r="G100" i="353"/>
  <c r="F51" i="353"/>
  <c r="U84" i="353"/>
  <c r="AO67" i="353"/>
  <c r="AT57" i="353"/>
  <c r="AB36" i="353"/>
  <c r="Q151" i="351"/>
  <c r="AG75" i="353"/>
  <c r="T35" i="353"/>
  <c r="S68" i="351"/>
  <c r="K180" i="351"/>
  <c r="R75" i="353"/>
  <c r="AU50" i="353"/>
  <c r="L78" i="351"/>
  <c r="AQ46" i="353"/>
  <c r="AI25" i="353"/>
  <c r="N21" i="353"/>
  <c r="K32" i="353"/>
  <c r="O154" i="351"/>
  <c r="G10" i="103"/>
  <c r="W98" i="353"/>
  <c r="J32" i="351"/>
  <c r="G13" i="482"/>
  <c r="Z13" i="353"/>
  <c r="AQ101" i="353"/>
  <c r="AV96" i="353"/>
  <c r="O23" i="353"/>
  <c r="M171" i="351"/>
  <c r="AS71" i="353"/>
  <c r="I163" i="351"/>
  <c r="Q82" i="353"/>
  <c r="P90" i="353"/>
  <c r="O181" i="351"/>
  <c r="H137" i="351"/>
  <c r="G11" i="278"/>
  <c r="G10" i="403"/>
  <c r="G12" i="344"/>
  <c r="AK24" i="353"/>
  <c r="K135" i="351"/>
  <c r="Q22" i="351"/>
  <c r="M95" i="353"/>
  <c r="P4" i="375"/>
  <c r="T4" i="353"/>
  <c r="AO83" i="353"/>
  <c r="H22" i="353"/>
  <c r="J34" i="353"/>
  <c r="R22" i="353"/>
  <c r="AI11" i="353"/>
  <c r="I162" i="351"/>
  <c r="C12" i="355"/>
  <c r="AU14" i="6" s="1"/>
  <c r="G6" i="115"/>
  <c r="P183" i="351"/>
  <c r="G10" i="421"/>
  <c r="G13" i="342"/>
  <c r="I118" i="351"/>
  <c r="AI45" i="353"/>
  <c r="AS41" i="353"/>
  <c r="L154" i="351"/>
  <c r="AG98" i="353"/>
  <c r="AL105" i="353"/>
  <c r="AH93" i="353"/>
  <c r="H83" i="351"/>
  <c r="W54" i="353"/>
  <c r="AH79" i="353"/>
  <c r="T58" i="353"/>
  <c r="G5" i="280"/>
  <c r="Q87" i="353"/>
  <c r="C13" i="145"/>
  <c r="K91" i="351"/>
  <c r="R36" i="353"/>
  <c r="Z58" i="353"/>
  <c r="Q26" i="351"/>
  <c r="AQ57" i="353"/>
  <c r="G9" i="440"/>
  <c r="G13" i="325"/>
  <c r="Q8" i="351"/>
  <c r="G11" i="295"/>
  <c r="I26" i="353"/>
  <c r="AU22" i="353"/>
  <c r="O163" i="351"/>
  <c r="G199" i="351"/>
  <c r="Q138" i="351"/>
  <c r="AU46" i="353"/>
  <c r="G14" i="122"/>
  <c r="Q159" i="351"/>
  <c r="G14" i="330"/>
  <c r="Q29" i="351"/>
  <c r="G8" i="259"/>
  <c r="G38" i="353"/>
  <c r="AE25" i="353"/>
  <c r="X80" i="353"/>
  <c r="G11" i="253"/>
  <c r="C5" i="145"/>
  <c r="G12" i="318"/>
  <c r="M56" i="351"/>
  <c r="J135" i="351"/>
  <c r="AI30" i="6"/>
  <c r="O93" i="353"/>
  <c r="G185" i="351"/>
  <c r="G14" i="246"/>
  <c r="T120" i="351"/>
  <c r="G7" i="380"/>
  <c r="AO114" i="353"/>
  <c r="M170" i="351"/>
  <c r="L36" i="351"/>
  <c r="P140" i="351"/>
  <c r="G8" i="399"/>
  <c r="AL93" i="353"/>
  <c r="AP8" i="353"/>
  <c r="T66" i="353"/>
  <c r="AA59" i="353"/>
  <c r="G8" i="301"/>
  <c r="AH28" i="353"/>
  <c r="J95" i="351"/>
  <c r="G6" i="255"/>
  <c r="G7" i="325"/>
  <c r="H44" i="351"/>
  <c r="K112" i="351"/>
  <c r="K66" i="353"/>
  <c r="AD7" i="353"/>
  <c r="L41" i="351"/>
  <c r="G67" i="351"/>
  <c r="G10" i="442"/>
  <c r="G5" i="412"/>
  <c r="AA23" i="353"/>
  <c r="Q45" i="353"/>
  <c r="R143" i="351"/>
  <c r="I36" i="353"/>
  <c r="V14" i="353"/>
  <c r="AE67" i="353"/>
  <c r="G6" i="100"/>
  <c r="Q166" i="351"/>
  <c r="R195" i="351"/>
  <c r="W40" i="353"/>
  <c r="AB3" i="353"/>
  <c r="O185" i="351"/>
  <c r="G5" i="130"/>
  <c r="N51" i="353"/>
  <c r="Y12" i="353"/>
  <c r="G5" i="304"/>
  <c r="L97" i="351"/>
  <c r="G14" i="421"/>
  <c r="R11" i="353"/>
  <c r="M79" i="353"/>
  <c r="AH84" i="353"/>
  <c r="AG92" i="353"/>
  <c r="AQ64" i="353"/>
  <c r="S175" i="351"/>
  <c r="M196" i="351"/>
  <c r="X51" i="353"/>
  <c r="X90" i="353"/>
  <c r="R83" i="351"/>
  <c r="R45" i="353"/>
  <c r="G5" i="278"/>
  <c r="I94" i="353"/>
  <c r="R64" i="351"/>
  <c r="G9" i="445"/>
  <c r="G12" i="327"/>
  <c r="AR103" i="353"/>
  <c r="J121" i="351"/>
  <c r="AB4" i="353"/>
  <c r="R185" i="351"/>
  <c r="J189" i="351"/>
  <c r="AU16" i="353"/>
  <c r="J160" i="351"/>
  <c r="AQ40" i="353"/>
  <c r="AB101" i="353"/>
  <c r="P2" i="375"/>
  <c r="J193" i="351"/>
  <c r="N63" i="353"/>
  <c r="O12" i="351"/>
  <c r="AG90" i="353"/>
  <c r="G10" i="245"/>
  <c r="Q131" i="351"/>
  <c r="K9" i="351"/>
  <c r="G11" i="463"/>
  <c r="M118" i="351"/>
  <c r="G8" i="108"/>
  <c r="I205" i="351"/>
  <c r="G11" i="280"/>
  <c r="G8" i="304"/>
  <c r="R91" i="353"/>
  <c r="T69" i="353"/>
  <c r="AN4" i="353"/>
  <c r="B46" i="144"/>
  <c r="J116" i="351"/>
  <c r="H21" i="351"/>
  <c r="AU6" i="353"/>
  <c r="H143" i="351"/>
  <c r="G15" i="282"/>
  <c r="H9" i="351"/>
  <c r="B42" i="144"/>
  <c r="AF67" i="353"/>
  <c r="M92" i="351"/>
  <c r="AB30" i="353"/>
  <c r="G15" i="109"/>
  <c r="F47" i="353"/>
  <c r="AS78" i="353"/>
  <c r="Z46" i="353"/>
  <c r="G6" i="277"/>
  <c r="G8" i="262"/>
  <c r="G6" i="271"/>
  <c r="B26" i="144"/>
  <c r="O85" i="351"/>
  <c r="G11" i="490"/>
  <c r="T162" i="351"/>
  <c r="G10" i="455"/>
  <c r="H65" i="353"/>
  <c r="AF61" i="353"/>
  <c r="G195" i="351"/>
  <c r="T132" i="351"/>
  <c r="H97" i="353"/>
  <c r="N44" i="353"/>
  <c r="G10" i="259"/>
  <c r="AE69" i="353"/>
  <c r="L92" i="351"/>
  <c r="C35" i="145"/>
  <c r="U96" i="353"/>
  <c r="J182" i="351"/>
  <c r="L138" i="351"/>
  <c r="G11" i="104"/>
  <c r="G5" i="430"/>
  <c r="AG25" i="353"/>
  <c r="R5" i="351"/>
  <c r="AI12" i="353"/>
  <c r="O120" i="351"/>
  <c r="I68" i="353"/>
  <c r="E84" i="353"/>
  <c r="P40" i="353"/>
  <c r="H97" i="351"/>
  <c r="I79" i="353"/>
  <c r="G164" i="351"/>
  <c r="G6" i="413"/>
  <c r="W89" i="353"/>
  <c r="K42" i="353"/>
  <c r="G7" i="454"/>
  <c r="AV55" i="353"/>
  <c r="I76" i="353"/>
  <c r="G14" i="458"/>
  <c r="AQ74" i="353"/>
  <c r="T67" i="351"/>
  <c r="AH101" i="353"/>
  <c r="I25" i="353"/>
  <c r="O66" i="351"/>
  <c r="G52" i="351"/>
  <c r="M176" i="351"/>
  <c r="G9" i="292"/>
  <c r="E55" i="353"/>
  <c r="Y49" i="353"/>
  <c r="AQ8" i="353"/>
  <c r="Q14" i="351"/>
  <c r="M13" i="351"/>
  <c r="AS27" i="353"/>
  <c r="Q37" i="351"/>
  <c r="G10" i="128"/>
  <c r="AT105" i="353"/>
  <c r="AI13" i="6"/>
  <c r="K20" i="351"/>
  <c r="B35" i="144"/>
  <c r="Q72" i="351"/>
  <c r="G11" i="306"/>
  <c r="G6" i="475"/>
  <c r="G15" i="487"/>
  <c r="H139" i="351"/>
  <c r="P96" i="353"/>
  <c r="T66" i="351"/>
  <c r="AJ66" i="353"/>
  <c r="G6" i="315"/>
  <c r="G11" i="302"/>
  <c r="U15" i="353"/>
  <c r="R87" i="353"/>
  <c r="G10" i="359"/>
  <c r="E74" i="353"/>
  <c r="AI77" i="353"/>
  <c r="AT79" i="353"/>
  <c r="G9" i="274"/>
  <c r="G14" i="107"/>
  <c r="T101" i="353"/>
  <c r="AN64" i="353"/>
  <c r="X22" i="353"/>
  <c r="L181" i="351"/>
  <c r="T11" i="353"/>
  <c r="AI27" i="353"/>
  <c r="AS95" i="353"/>
  <c r="J65" i="351"/>
  <c r="AH78" i="353"/>
  <c r="G14" i="262"/>
  <c r="G16" i="351"/>
  <c r="AR41" i="353"/>
  <c r="T95" i="353"/>
  <c r="AO6" i="6"/>
  <c r="AQ6" i="6" s="1"/>
  <c r="G9" i="414"/>
  <c r="AL96" i="353"/>
  <c r="G6" i="367"/>
  <c r="AH37" i="353"/>
  <c r="AI78" i="353"/>
  <c r="AU98" i="353"/>
  <c r="Y91" i="353"/>
  <c r="R201" i="351"/>
  <c r="G15" i="400"/>
  <c r="I199" i="351"/>
  <c r="Q86" i="353"/>
  <c r="S18" i="351"/>
  <c r="G7" i="335"/>
  <c r="J68" i="353"/>
  <c r="G13" i="327"/>
  <c r="AP86" i="353"/>
  <c r="S144" i="351"/>
  <c r="AH66" i="353"/>
  <c r="P56" i="353"/>
  <c r="G10" i="380"/>
  <c r="G11" i="316"/>
  <c r="G10" i="458"/>
  <c r="L146" i="351"/>
  <c r="AQ21" i="353"/>
  <c r="T52" i="353"/>
  <c r="H106" i="351"/>
  <c r="AE42" i="353"/>
  <c r="B4" i="144"/>
  <c r="M150" i="351"/>
  <c r="G10" i="326"/>
  <c r="H158" i="351"/>
  <c r="G11" i="315"/>
  <c r="G12" i="410"/>
  <c r="AJ23" i="353"/>
  <c r="T42" i="353"/>
  <c r="T108" i="351"/>
  <c r="G79" i="351"/>
  <c r="Q104" i="353"/>
  <c r="T142" i="351"/>
  <c r="AD88" i="353"/>
  <c r="Q146" i="351"/>
  <c r="P63" i="353"/>
  <c r="AF59" i="353"/>
  <c r="R70" i="353"/>
  <c r="G12" i="330"/>
  <c r="G13" i="89"/>
  <c r="G4" i="294"/>
  <c r="J12" i="351"/>
  <c r="V93" i="353"/>
  <c r="P22" i="353"/>
  <c r="L125" i="351"/>
  <c r="G10" i="420"/>
  <c r="G80" i="353"/>
  <c r="G26" i="353"/>
  <c r="O184" i="351"/>
  <c r="L136" i="351"/>
  <c r="L152" i="351"/>
  <c r="B7" i="144"/>
  <c r="AG105" i="353"/>
  <c r="O151" i="351"/>
  <c r="AB58" i="353"/>
  <c r="T39" i="353"/>
  <c r="G14" i="272"/>
  <c r="V27" i="353"/>
  <c r="G6" i="254"/>
  <c r="G13" i="433"/>
  <c r="G13" i="475"/>
  <c r="G8" i="303"/>
  <c r="AB92" i="353"/>
  <c r="AJ33" i="353"/>
  <c r="G11" i="332"/>
  <c r="AJ59" i="353"/>
  <c r="G8" i="287"/>
  <c r="G8" i="315"/>
  <c r="P52" i="353"/>
  <c r="G13" i="292"/>
  <c r="E65" i="353"/>
  <c r="G162" i="351"/>
  <c r="E60" i="353"/>
  <c r="C34" i="145"/>
  <c r="AK26" i="353"/>
  <c r="G9" i="433"/>
  <c r="M103" i="351"/>
  <c r="G79" i="353"/>
  <c r="T63" i="351"/>
  <c r="G14" i="127"/>
  <c r="K6" i="351"/>
  <c r="G6" i="464"/>
  <c r="N76" i="353"/>
  <c r="G5" i="123"/>
  <c r="G15" i="294"/>
  <c r="Y54" i="353"/>
  <c r="G8" i="326"/>
  <c r="G85" i="351"/>
  <c r="J79" i="353"/>
  <c r="Q46" i="351"/>
  <c r="AH5" i="353"/>
  <c r="M28" i="353"/>
  <c r="AK13" i="353"/>
  <c r="J129" i="351"/>
  <c r="S199" i="351"/>
  <c r="AP79" i="353"/>
  <c r="L183" i="351"/>
  <c r="G7" i="467"/>
  <c r="AL60" i="353"/>
  <c r="AP59" i="353"/>
  <c r="G4" i="277"/>
  <c r="AS82" i="353"/>
  <c r="G9" i="295"/>
  <c r="I206" i="351"/>
  <c r="AK21" i="353"/>
  <c r="AH60" i="353"/>
  <c r="G90" i="353"/>
  <c r="AH75" i="353"/>
  <c r="X102" i="353"/>
  <c r="O11" i="353"/>
  <c r="G95" i="351"/>
  <c r="R110" i="351"/>
  <c r="K21" i="353"/>
  <c r="M79" i="351"/>
  <c r="AH22" i="353"/>
  <c r="G12" i="258"/>
  <c r="Q195" i="351"/>
  <c r="G5" i="344"/>
  <c r="G14" i="430"/>
  <c r="G4" i="319"/>
  <c r="AK99" i="353"/>
  <c r="G14" i="254"/>
  <c r="D52" i="146"/>
  <c r="G5" i="494"/>
  <c r="F20" i="353"/>
  <c r="V46" i="353"/>
  <c r="U20" i="353"/>
  <c r="D53" i="146"/>
  <c r="AD26" i="353"/>
  <c r="AQ103" i="353"/>
  <c r="G14" i="278"/>
  <c r="AE29" i="353"/>
  <c r="G139" i="351"/>
  <c r="G6" i="347"/>
  <c r="H88" i="351"/>
  <c r="G15" i="270"/>
  <c r="G10" i="264"/>
  <c r="S123" i="351"/>
  <c r="X38" i="353"/>
  <c r="V58" i="353"/>
  <c r="Y94" i="353"/>
  <c r="G14" i="487"/>
  <c r="H144" i="351"/>
  <c r="AE14" i="353"/>
  <c r="W25" i="353"/>
  <c r="Q90" i="351"/>
  <c r="G45" i="353"/>
  <c r="G41" i="351"/>
  <c r="J42" i="353"/>
  <c r="G5" i="331"/>
  <c r="G8" i="380"/>
  <c r="AT75" i="353"/>
  <c r="AE23" i="353"/>
  <c r="G7" i="463"/>
  <c r="Q5" i="351"/>
  <c r="AH38" i="353"/>
  <c r="AT86" i="353"/>
  <c r="AB24" i="353"/>
  <c r="G8" i="277"/>
  <c r="G10" i="330"/>
  <c r="G7" i="96"/>
  <c r="E12" i="353"/>
  <c r="AO99" i="353"/>
  <c r="Z64" i="353"/>
  <c r="AB82" i="353"/>
  <c r="G6" i="301"/>
  <c r="AE20" i="353"/>
  <c r="P205" i="351"/>
  <c r="AJ82" i="353"/>
  <c r="AV10" i="353"/>
  <c r="G12" i="278"/>
  <c r="AH82" i="353"/>
  <c r="P54" i="351"/>
  <c r="G14" i="303"/>
  <c r="AU64" i="353"/>
  <c r="AL78" i="353"/>
  <c r="H142" i="351"/>
  <c r="G6" i="421"/>
  <c r="G12" i="273"/>
  <c r="I146" i="351"/>
  <c r="I46" i="353"/>
  <c r="J161" i="351"/>
  <c r="AO38" i="6"/>
  <c r="AQ38" i="6" s="1"/>
  <c r="AJ20" i="353"/>
  <c r="G13" i="304"/>
  <c r="AS11" i="353"/>
  <c r="G6" i="342"/>
  <c r="G15" i="108"/>
  <c r="AP16" i="353"/>
  <c r="G11" i="385"/>
  <c r="AR54" i="353"/>
  <c r="AK22" i="353"/>
  <c r="I94" i="351"/>
  <c r="AV13" i="353"/>
  <c r="V21" i="353"/>
  <c r="M151" i="351"/>
  <c r="G13" i="263"/>
  <c r="I78" i="351"/>
  <c r="AQ41" i="353"/>
  <c r="K53" i="353"/>
  <c r="G4" i="381"/>
  <c r="O86" i="353"/>
  <c r="M22" i="351"/>
  <c r="E19" i="353"/>
  <c r="G8" i="348"/>
  <c r="N30" i="353"/>
  <c r="T58" i="351"/>
  <c r="G10" i="299"/>
  <c r="G4" i="115"/>
  <c r="G13" i="282"/>
  <c r="G12" i="380"/>
  <c r="G69" i="353"/>
  <c r="G15" i="467"/>
  <c r="R206" i="351"/>
  <c r="AS15" i="353"/>
  <c r="G13" i="338"/>
  <c r="G9" i="115"/>
  <c r="AK45" i="353"/>
  <c r="G14" i="293"/>
  <c r="G8" i="337"/>
  <c r="J92" i="351"/>
  <c r="G14" i="130"/>
  <c r="I31" i="351"/>
  <c r="W103" i="353"/>
  <c r="Q82" i="351"/>
  <c r="J170" i="351"/>
  <c r="J164" i="351"/>
  <c r="T134" i="351"/>
  <c r="K150" i="351"/>
  <c r="G8" i="110"/>
  <c r="P5" i="351"/>
  <c r="G12" i="481"/>
  <c r="AP34" i="353"/>
  <c r="G11" i="259"/>
  <c r="AB22" i="353"/>
  <c r="G8" i="318"/>
  <c r="O93" i="351"/>
  <c r="O19" i="353"/>
  <c r="AO50" i="353"/>
  <c r="G6" i="450"/>
  <c r="AN103" i="353"/>
  <c r="P43" i="353"/>
  <c r="G10" i="313"/>
  <c r="R20" i="353"/>
  <c r="Q30" i="351"/>
  <c r="H73" i="353"/>
  <c r="S83" i="351"/>
  <c r="G11" i="473"/>
  <c r="Z27" i="353"/>
  <c r="G4" i="465"/>
  <c r="H66" i="353"/>
  <c r="AF19" i="353"/>
  <c r="J54" i="353"/>
  <c r="AN43" i="353"/>
  <c r="I29" i="351"/>
  <c r="Z57" i="353"/>
  <c r="G10" i="467"/>
  <c r="J26" i="351"/>
  <c r="Q48" i="351"/>
  <c r="F95" i="353"/>
  <c r="AI95" i="353"/>
  <c r="G12" i="465"/>
  <c r="AN88" i="353"/>
  <c r="Q143" i="351"/>
  <c r="Q165" i="351"/>
  <c r="R150" i="351"/>
  <c r="K63" i="351"/>
  <c r="G5" i="281"/>
  <c r="R15" i="351"/>
  <c r="U21" i="353"/>
  <c r="G14" i="426"/>
  <c r="S38" i="351"/>
  <c r="W56" i="353"/>
  <c r="U66" i="353"/>
  <c r="AK78" i="353"/>
  <c r="K89" i="351"/>
  <c r="I34" i="353"/>
  <c r="G6" i="258"/>
  <c r="AN12" i="353"/>
  <c r="F35" i="353"/>
  <c r="G15" i="380"/>
  <c r="K58" i="353"/>
  <c r="G5" i="440"/>
  <c r="P203" i="351"/>
  <c r="G5" i="253"/>
  <c r="U6" i="353"/>
  <c r="AB8" i="353"/>
  <c r="J156" i="351"/>
  <c r="L73" i="351"/>
  <c r="G4" i="483"/>
  <c r="J99" i="353"/>
  <c r="J43" i="351"/>
  <c r="G11" i="291"/>
  <c r="G19" i="353"/>
  <c r="I191" i="351"/>
  <c r="G10" i="257"/>
  <c r="M85" i="351"/>
  <c r="X94" i="353"/>
  <c r="AA32" i="353"/>
  <c r="W82" i="353"/>
  <c r="AE46" i="353"/>
  <c r="G14" i="333"/>
  <c r="W97" i="353"/>
  <c r="J3" i="351"/>
  <c r="I22" i="353"/>
  <c r="U76" i="353"/>
  <c r="X75" i="353"/>
  <c r="R82" i="353"/>
  <c r="I93" i="353"/>
  <c r="G13" i="392"/>
  <c r="AF92" i="353"/>
  <c r="G4" i="338"/>
  <c r="K67" i="351"/>
  <c r="G14" i="405"/>
  <c r="J151" i="351"/>
  <c r="AQ31" i="353"/>
  <c r="K72" i="353"/>
  <c r="AG45" i="353"/>
  <c r="G4" i="415"/>
  <c r="G4" i="304"/>
  <c r="E14" i="353"/>
  <c r="AF33" i="353"/>
  <c r="T109" i="351"/>
  <c r="AI31" i="353"/>
  <c r="G7" i="269"/>
  <c r="AS93" i="353"/>
  <c r="AR104" i="353"/>
  <c r="AE39" i="353"/>
  <c r="G14" i="316"/>
  <c r="AK12" i="353"/>
  <c r="G6" i="472"/>
  <c r="G9" i="336"/>
  <c r="AK69" i="353"/>
  <c r="AV76" i="353"/>
  <c r="G10" i="428"/>
  <c r="G4" i="419"/>
  <c r="AO75" i="353"/>
  <c r="AA15" i="353"/>
  <c r="G6" i="303"/>
  <c r="AG33" i="353"/>
  <c r="H190" i="351"/>
  <c r="G12" i="472"/>
  <c r="J122" i="351"/>
  <c r="G8" i="257"/>
  <c r="AI24" i="6"/>
  <c r="N62" i="353"/>
  <c r="R23" i="353"/>
  <c r="J32" i="353"/>
  <c r="G15" i="110"/>
  <c r="AT83" i="353"/>
  <c r="H199" i="351"/>
  <c r="O201" i="351"/>
  <c r="G34" i="353"/>
  <c r="G10" i="426"/>
  <c r="G15" i="310"/>
  <c r="I35" i="353"/>
  <c r="G8" i="363"/>
  <c r="AV88" i="353"/>
  <c r="K138" i="351"/>
  <c r="L27" i="351"/>
  <c r="G6" i="269"/>
  <c r="AU61" i="353"/>
  <c r="T100" i="351"/>
  <c r="G8" i="433"/>
  <c r="E18" i="353"/>
  <c r="M74" i="353"/>
  <c r="P76" i="353"/>
  <c r="P82" i="353"/>
  <c r="P206" i="351"/>
  <c r="R12" i="351"/>
  <c r="G13" i="440"/>
  <c r="G6" i="442"/>
  <c r="O164" i="351"/>
  <c r="G7" i="110"/>
  <c r="M66" i="351"/>
  <c r="G12" i="433"/>
  <c r="K82" i="353"/>
  <c r="G11" i="117"/>
  <c r="I89" i="353"/>
  <c r="AT87" i="353"/>
  <c r="H33" i="351"/>
  <c r="R192" i="351"/>
  <c r="R8" i="351"/>
  <c r="G8" i="336"/>
  <c r="G5" i="393"/>
  <c r="G14" i="268"/>
  <c r="G12" i="491"/>
  <c r="M82" i="353"/>
  <c r="G14" i="294"/>
  <c r="N104" i="353"/>
  <c r="J191" i="351"/>
  <c r="F77" i="353"/>
  <c r="G12" i="259"/>
  <c r="J93" i="353"/>
  <c r="T78" i="353"/>
  <c r="R56" i="351"/>
  <c r="S85" i="351"/>
  <c r="AB85" i="353"/>
  <c r="G10" i="340"/>
  <c r="G15" i="335"/>
  <c r="AR33" i="353"/>
  <c r="G12" i="420"/>
  <c r="G9" i="120"/>
  <c r="AF46" i="353"/>
  <c r="Q96" i="353"/>
  <c r="Q42" i="353"/>
  <c r="G4" i="273"/>
  <c r="P29" i="351"/>
  <c r="G13" i="388"/>
  <c r="M9" i="351"/>
  <c r="H7" i="351"/>
  <c r="G15" i="364"/>
  <c r="AK101" i="353"/>
  <c r="G10" i="118"/>
  <c r="AQ48" i="353"/>
  <c r="G9" i="300"/>
  <c r="AV78" i="353"/>
  <c r="G122" i="351"/>
  <c r="P167" i="351"/>
  <c r="H61" i="351"/>
  <c r="AD34" i="353"/>
  <c r="AG96" i="353"/>
  <c r="F105" i="353"/>
  <c r="AN62" i="353"/>
  <c r="G11" i="323"/>
  <c r="G15" i="427"/>
  <c r="P23" i="353"/>
  <c r="Q172" i="351"/>
  <c r="AQ97" i="353"/>
  <c r="AQ23" i="353"/>
  <c r="Z95" i="353"/>
  <c r="S70" i="351"/>
  <c r="J38" i="353"/>
  <c r="AD10" i="353"/>
  <c r="Y30" i="353"/>
  <c r="J196" i="351"/>
  <c r="G9" i="405"/>
  <c r="AS101" i="353"/>
  <c r="AK29" i="353"/>
  <c r="G7" i="286"/>
  <c r="V60" i="353"/>
  <c r="G15" i="246"/>
  <c r="G6" i="405"/>
  <c r="G12" i="334"/>
  <c r="R59" i="351"/>
  <c r="Q135" i="351"/>
  <c r="P85" i="353"/>
  <c r="Z33" i="353"/>
  <c r="AA60" i="353"/>
  <c r="K29" i="351"/>
  <c r="L204" i="351"/>
  <c r="G7" i="282"/>
  <c r="O57" i="353"/>
  <c r="E62" i="353"/>
  <c r="AK32" i="353"/>
  <c r="G13" i="307"/>
  <c r="G11" i="287"/>
  <c r="G7" i="260"/>
  <c r="G10" i="89"/>
  <c r="Q181" i="351"/>
  <c r="AS96" i="353"/>
  <c r="AE76" i="353"/>
  <c r="I99" i="351"/>
  <c r="R94" i="353"/>
  <c r="C39" i="145"/>
  <c r="AD96" i="353"/>
  <c r="AG7" i="353"/>
  <c r="J77" i="351"/>
  <c r="X67" i="353"/>
  <c r="G91" i="353"/>
  <c r="C23" i="145"/>
  <c r="G10" i="295"/>
  <c r="T68" i="353"/>
  <c r="K122" i="351"/>
  <c r="P88" i="351"/>
  <c r="G9" i="306"/>
  <c r="T70" i="351"/>
  <c r="M111" i="351"/>
  <c r="G10" i="99"/>
  <c r="G10" i="332"/>
  <c r="H183" i="351"/>
  <c r="G8" i="115"/>
  <c r="S172" i="351"/>
  <c r="T201" i="351"/>
  <c r="Q56" i="351"/>
  <c r="G9" i="483"/>
  <c r="G4" i="427"/>
  <c r="I145" i="351"/>
  <c r="G15" i="425"/>
  <c r="G15" i="455"/>
  <c r="AH102" i="353"/>
  <c r="G118" i="351"/>
  <c r="G10" i="278"/>
  <c r="G132" i="351"/>
  <c r="G4" i="363"/>
  <c r="G6" i="279"/>
  <c r="M6" i="351"/>
  <c r="G15" i="421"/>
  <c r="AP62" i="353"/>
  <c r="AN13" i="353"/>
  <c r="AT7" i="353"/>
  <c r="Z39" i="353"/>
  <c r="F93" i="353"/>
  <c r="P177" i="351"/>
  <c r="I15" i="353"/>
  <c r="AB66" i="353"/>
  <c r="G5" i="129"/>
  <c r="N64" i="353"/>
  <c r="AA54" i="353"/>
  <c r="G7" i="285"/>
  <c r="L26" i="351"/>
  <c r="G9" i="468"/>
  <c r="P92" i="353"/>
  <c r="J162" i="351"/>
  <c r="O135" i="351"/>
  <c r="T104" i="353"/>
  <c r="S82" i="351"/>
  <c r="K79" i="353"/>
  <c r="AS57" i="353"/>
  <c r="U7" i="353"/>
  <c r="X48" i="353"/>
  <c r="F102" i="353"/>
  <c r="G5" i="268"/>
  <c r="G6" i="306"/>
  <c r="G106" i="351"/>
  <c r="G6" i="270"/>
  <c r="Y46" i="353"/>
  <c r="G4" i="306"/>
  <c r="G13" i="94"/>
  <c r="AO23" i="6"/>
  <c r="AQ23" i="6" s="1"/>
  <c r="AA87" i="353"/>
  <c r="M157" i="351"/>
  <c r="T71" i="353"/>
  <c r="G14" i="479"/>
  <c r="AP44" i="353"/>
  <c r="H115" i="351"/>
  <c r="K201" i="351"/>
  <c r="G10" i="249"/>
  <c r="Q10" i="351"/>
  <c r="I57" i="353"/>
  <c r="X7" i="353"/>
  <c r="G9" i="317"/>
  <c r="AQ62" i="353"/>
  <c r="L191" i="351"/>
  <c r="AB96" i="353"/>
  <c r="O202" i="351"/>
  <c r="T102" i="351"/>
  <c r="G11" i="336"/>
  <c r="G11" i="246"/>
  <c r="AF90" i="353"/>
  <c r="P189" i="351"/>
  <c r="G9" i="282"/>
  <c r="R93" i="351"/>
  <c r="G13" i="359"/>
  <c r="AJ3" i="353"/>
  <c r="AH57" i="353"/>
  <c r="J70" i="351"/>
  <c r="P192" i="351"/>
  <c r="R168" i="351"/>
  <c r="G7" i="115"/>
  <c r="G12" i="363"/>
  <c r="T141" i="351"/>
  <c r="AQ10" i="353"/>
  <c r="T17" i="353"/>
  <c r="G14" i="488"/>
  <c r="AF80" i="353"/>
  <c r="Q133" i="351"/>
  <c r="S191" i="351"/>
  <c r="R55" i="351"/>
  <c r="H96" i="351"/>
  <c r="AR94" i="353"/>
  <c r="G15" i="277"/>
  <c r="G5" i="416"/>
  <c r="M53" i="351"/>
  <c r="K142" i="351"/>
  <c r="T186" i="351"/>
  <c r="AF78" i="353"/>
  <c r="V57" i="353"/>
  <c r="K48" i="353"/>
  <c r="AB88" i="353"/>
  <c r="R76" i="351"/>
  <c r="R63" i="353"/>
  <c r="V99" i="353"/>
  <c r="G9" i="325"/>
  <c r="Q12" i="351"/>
  <c r="G6" i="324"/>
  <c r="AO71" i="353"/>
  <c r="O142" i="351"/>
  <c r="V45" i="353"/>
  <c r="I171" i="351"/>
  <c r="AQ6" i="353"/>
  <c r="E61" i="353"/>
  <c r="AE40" i="353"/>
  <c r="I88" i="351"/>
  <c r="O147" i="351"/>
  <c r="G12" i="399"/>
  <c r="R34" i="351"/>
  <c r="Q77" i="351"/>
  <c r="AS97" i="353"/>
  <c r="M88" i="351"/>
  <c r="AD56" i="353"/>
  <c r="O191" i="351"/>
  <c r="L17" i="351"/>
  <c r="G9" i="275"/>
  <c r="AR59" i="353"/>
  <c r="K33" i="353"/>
  <c r="B2" i="355"/>
  <c r="AT4" i="6" s="1"/>
  <c r="G4" i="100"/>
  <c r="Q169" i="351"/>
  <c r="K23" i="353"/>
  <c r="K81" i="351"/>
  <c r="G51" i="353"/>
  <c r="AE64" i="353"/>
  <c r="AT93" i="353"/>
  <c r="O68" i="351"/>
  <c r="G11" i="344"/>
  <c r="AN18" i="353"/>
  <c r="I63" i="351"/>
  <c r="AI22" i="353"/>
  <c r="AI15" i="6"/>
  <c r="N77" i="353"/>
  <c r="G7" i="322"/>
  <c r="G11" i="365"/>
  <c r="G9" i="261"/>
  <c r="X16" i="353"/>
  <c r="G65" i="351"/>
  <c r="AF17" i="353"/>
  <c r="L54" i="351"/>
  <c r="R123" i="351"/>
  <c r="Z20" i="353"/>
  <c r="G14" i="269"/>
  <c r="G10" i="288"/>
  <c r="K5" i="351"/>
  <c r="O8" i="351"/>
  <c r="G15" i="318"/>
  <c r="AP31" i="353"/>
  <c r="M71" i="353"/>
  <c r="K64" i="351"/>
  <c r="O59" i="351"/>
  <c r="U78" i="353"/>
  <c r="M40" i="353"/>
  <c r="O94" i="351"/>
  <c r="E4" i="355"/>
  <c r="AW6" i="6" s="1"/>
  <c r="AK79" i="353"/>
  <c r="G14" i="481"/>
  <c r="P88" i="353"/>
  <c r="Y70" i="353"/>
  <c r="G15" i="348"/>
  <c r="I92" i="351"/>
  <c r="G7" i="326"/>
  <c r="G12" i="275"/>
  <c r="M204" i="351"/>
  <c r="AI66" i="353"/>
  <c r="AP102" i="353"/>
  <c r="G14" i="403"/>
  <c r="G13" i="367"/>
  <c r="G4" i="122"/>
  <c r="G12" i="103"/>
  <c r="M103" i="353"/>
  <c r="G12" i="289"/>
  <c r="Q71" i="353"/>
  <c r="J40" i="351"/>
  <c r="W69" i="353"/>
  <c r="G7" i="420"/>
  <c r="Q59" i="351"/>
  <c r="AN39" i="353"/>
  <c r="W93" i="353"/>
  <c r="O188" i="351"/>
  <c r="G6" i="256"/>
  <c r="AR67" i="353"/>
  <c r="G10" i="310"/>
  <c r="G12" i="287"/>
  <c r="AJ52" i="353"/>
  <c r="P175" i="351"/>
  <c r="Q145" i="351"/>
  <c r="H108" i="351"/>
  <c r="G12" i="269"/>
  <c r="K66" i="351"/>
  <c r="G10" i="341"/>
  <c r="G8" i="472"/>
  <c r="S100" i="351"/>
  <c r="Z25" i="353"/>
  <c r="G12" i="312"/>
  <c r="G6" i="456"/>
  <c r="L18" i="351"/>
  <c r="K26" i="351"/>
  <c r="Z91" i="353"/>
  <c r="AD104" i="353"/>
  <c r="G14" i="286"/>
  <c r="J41" i="351"/>
  <c r="AK104" i="353"/>
  <c r="AR102" i="353"/>
  <c r="AI92" i="353"/>
  <c r="AU90" i="353"/>
  <c r="G11" i="445"/>
  <c r="G11" i="282"/>
  <c r="G15" i="101"/>
  <c r="AU95" i="353"/>
  <c r="AI82" i="353"/>
  <c r="AV7" i="353"/>
  <c r="AT98" i="353"/>
  <c r="S25" i="351"/>
  <c r="X24" i="353"/>
  <c r="P34" i="353"/>
  <c r="G6" i="319"/>
  <c r="AV72" i="353"/>
  <c r="G10" i="323"/>
  <c r="AQ98" i="353"/>
  <c r="AE81" i="353"/>
  <c r="G142" i="351"/>
  <c r="J187" i="351"/>
  <c r="G6" i="440"/>
  <c r="AK5" i="353"/>
  <c r="T168" i="351"/>
  <c r="T171" i="351"/>
  <c r="I114" i="351"/>
  <c r="M55" i="351"/>
  <c r="AI28" i="353"/>
  <c r="S111" i="351"/>
  <c r="AK95" i="353"/>
  <c r="G11" i="250"/>
  <c r="J10" i="351"/>
  <c r="AQ114" i="353"/>
  <c r="K42" i="351"/>
  <c r="G5" i="434"/>
  <c r="W67" i="353"/>
  <c r="R74" i="351"/>
  <c r="G13" i="323"/>
  <c r="J145" i="351"/>
  <c r="G15" i="483"/>
  <c r="D4" i="355"/>
  <c r="AV6" i="6" s="1"/>
  <c r="H197" i="351"/>
  <c r="AQ20" i="353"/>
  <c r="G12" i="297"/>
  <c r="S125" i="351"/>
  <c r="T144" i="351"/>
  <c r="R29" i="353"/>
  <c r="AN59" i="353"/>
  <c r="F48" i="353"/>
  <c r="G12" i="376"/>
  <c r="G5" i="474"/>
  <c r="G10" i="108"/>
  <c r="S78" i="351"/>
  <c r="W47" i="353"/>
  <c r="O52" i="351"/>
  <c r="AQ52" i="353"/>
  <c r="N36" i="353"/>
  <c r="X71" i="353"/>
  <c r="T92" i="353"/>
  <c r="F33" i="353"/>
  <c r="Z86" i="353"/>
  <c r="AG58" i="353"/>
  <c r="G171" i="351"/>
  <c r="G11" i="307"/>
  <c r="AF82" i="353"/>
  <c r="Z4" i="353"/>
  <c r="G7" i="253"/>
  <c r="AF72" i="353"/>
  <c r="L148" i="351"/>
  <c r="Y55" i="353"/>
  <c r="M55" i="353"/>
  <c r="O83" i="353"/>
  <c r="G8" i="123"/>
  <c r="M72" i="353"/>
  <c r="G4" i="351"/>
  <c r="R85" i="353"/>
  <c r="X6" i="353"/>
  <c r="AH63" i="353"/>
  <c r="H17" i="351"/>
  <c r="Q106" i="351"/>
  <c r="G5" i="245"/>
  <c r="G170" i="351"/>
  <c r="AK42" i="353"/>
  <c r="K98" i="353"/>
  <c r="L103" i="351"/>
  <c r="U10" i="353"/>
  <c r="G5" i="301"/>
  <c r="P43" i="351"/>
  <c r="AL73" i="353"/>
  <c r="G7" i="334"/>
  <c r="G12" i="117"/>
  <c r="H167" i="351"/>
  <c r="G5" i="338"/>
  <c r="AQ24" i="353"/>
  <c r="G70" i="353"/>
  <c r="AI44" i="353"/>
  <c r="P174" i="351"/>
  <c r="M197" i="351"/>
  <c r="AI29" i="353"/>
  <c r="L182" i="351"/>
  <c r="S13" i="351"/>
  <c r="M78" i="351"/>
  <c r="AN71" i="353"/>
  <c r="L10" i="351"/>
  <c r="AV8" i="353"/>
  <c r="N26" i="353"/>
  <c r="G11" i="440"/>
  <c r="G11" i="121"/>
  <c r="G15" i="388"/>
  <c r="G12" i="311"/>
  <c r="H13" i="353"/>
  <c r="AJ62" i="353"/>
  <c r="M43" i="353"/>
  <c r="AR93" i="353"/>
  <c r="W19" i="353"/>
  <c r="P72" i="353"/>
  <c r="Y81" i="353"/>
  <c r="M26" i="353"/>
  <c r="N35" i="353"/>
  <c r="P135" i="351"/>
  <c r="M11" i="353"/>
  <c r="AV57" i="353"/>
  <c r="Q203" i="351"/>
  <c r="M91" i="353"/>
  <c r="G4" i="255"/>
  <c r="T85" i="351"/>
  <c r="AV45" i="353"/>
  <c r="M51" i="353"/>
  <c r="AG43" i="353"/>
  <c r="G4" i="272"/>
  <c r="K206" i="351"/>
  <c r="G11" i="483"/>
  <c r="AH54" i="353"/>
  <c r="G8" i="265"/>
  <c r="AS88" i="353"/>
  <c r="R28" i="353"/>
  <c r="AQ14" i="353"/>
  <c r="I197" i="351"/>
  <c r="G9" i="272"/>
  <c r="O54" i="353"/>
  <c r="H203" i="351"/>
  <c r="P170" i="351"/>
  <c r="G9" i="364"/>
  <c r="G11" i="303"/>
  <c r="H179" i="351"/>
  <c r="O43" i="351"/>
  <c r="J143" i="351"/>
  <c r="AO31" i="6"/>
  <c r="AQ31" i="6" s="1"/>
  <c r="G13" i="253"/>
  <c r="G11" i="321"/>
  <c r="O153" i="351"/>
  <c r="V85" i="353"/>
  <c r="I51" i="353"/>
  <c r="AV39" i="353"/>
  <c r="G7" i="400"/>
  <c r="S158" i="351"/>
  <c r="G5" i="279"/>
  <c r="G7" i="117"/>
  <c r="AK55" i="353"/>
  <c r="AR24" i="353"/>
  <c r="I123" i="351"/>
  <c r="O21" i="351"/>
  <c r="J19" i="353"/>
  <c r="C40" i="145"/>
  <c r="AD3" i="353"/>
  <c r="J59" i="351"/>
  <c r="G10" i="293"/>
  <c r="J51" i="351"/>
  <c r="U30" i="353"/>
  <c r="AV100" i="353"/>
  <c r="V104" i="353"/>
  <c r="J68" i="351"/>
  <c r="S56" i="351"/>
  <c r="N11" i="353"/>
  <c r="AK54" i="353"/>
  <c r="O10" i="351"/>
  <c r="K160" i="351"/>
  <c r="N53" i="353"/>
  <c r="G7" i="456"/>
  <c r="U50" i="353"/>
  <c r="S126" i="351"/>
  <c r="AO80" i="353"/>
  <c r="M185" i="351"/>
  <c r="G12" i="317"/>
  <c r="X114" i="353"/>
  <c r="G167" i="351"/>
  <c r="I64" i="353"/>
  <c r="AG94" i="353"/>
  <c r="G9" i="116"/>
  <c r="S121" i="351"/>
  <c r="G159" i="351"/>
  <c r="G36" i="353"/>
  <c r="V82" i="353"/>
  <c r="U29" i="353"/>
  <c r="G4" i="261"/>
  <c r="S179" i="351"/>
  <c r="G193" i="351"/>
  <c r="D12" i="355"/>
  <c r="AV14" i="6" s="1"/>
  <c r="AV46" i="353"/>
  <c r="AS25" i="353"/>
  <c r="G11" i="403"/>
  <c r="R89" i="351"/>
  <c r="AG81" i="353"/>
  <c r="G14" i="419"/>
  <c r="B44" i="144"/>
  <c r="P27" i="353"/>
  <c r="V37" i="353"/>
  <c r="AD6" i="353"/>
  <c r="T45" i="351"/>
  <c r="AU8" i="353"/>
  <c r="AQ28" i="353"/>
  <c r="AI46" i="353"/>
  <c r="G9" i="463"/>
  <c r="T70" i="353"/>
  <c r="G11" i="107"/>
  <c r="AH89" i="353"/>
  <c r="S136" i="351"/>
  <c r="F76" i="353"/>
  <c r="M142" i="351"/>
  <c r="I192" i="351"/>
  <c r="AO89" i="353"/>
  <c r="G11" i="487"/>
  <c r="R173" i="351"/>
  <c r="AF76" i="353"/>
  <c r="G13" i="474"/>
  <c r="M28" i="351"/>
  <c r="AU52" i="353"/>
  <c r="G4" i="332"/>
  <c r="L74" i="351"/>
  <c r="AT48" i="353"/>
  <c r="L202" i="351"/>
  <c r="R72" i="353"/>
  <c r="AS98" i="353"/>
  <c r="G11" i="458"/>
  <c r="G13" i="117"/>
  <c r="G13" i="399"/>
  <c r="N96" i="353"/>
  <c r="E91" i="353"/>
  <c r="J42" i="351"/>
  <c r="G5" i="454"/>
  <c r="AH69" i="353"/>
  <c r="AK37" i="353"/>
  <c r="AO18" i="353"/>
  <c r="G13" i="343"/>
  <c r="E68" i="353"/>
  <c r="G6" i="331"/>
  <c r="G15" i="463"/>
  <c r="C54" i="145"/>
  <c r="AR50" i="353"/>
  <c r="L162" i="351"/>
  <c r="AN58" i="353"/>
  <c r="J64" i="353"/>
  <c r="G8" i="251"/>
  <c r="T80" i="351"/>
  <c r="L3" i="351"/>
  <c r="P42" i="351"/>
  <c r="O35" i="351"/>
  <c r="P38" i="353"/>
  <c r="G14" i="351"/>
  <c r="G14" i="264"/>
  <c r="P46" i="353"/>
  <c r="P33" i="351"/>
  <c r="M101" i="353"/>
  <c r="G4" i="265"/>
  <c r="AL52" i="353"/>
  <c r="AJ91" i="353"/>
  <c r="AH47" i="353"/>
  <c r="G98" i="351"/>
  <c r="G5" i="381"/>
  <c r="N32" i="353"/>
  <c r="AJ84" i="353"/>
  <c r="AP12" i="353"/>
  <c r="U83" i="353"/>
  <c r="G15" i="290"/>
  <c r="AR69" i="353"/>
  <c r="K27" i="351"/>
  <c r="G15" i="273"/>
  <c r="G10" i="14"/>
  <c r="G4" i="455"/>
  <c r="AR96" i="353"/>
  <c r="W27" i="353"/>
  <c r="E29" i="353"/>
  <c r="AH7" i="353"/>
  <c r="F79" i="353"/>
  <c r="X96" i="353"/>
  <c r="P69" i="351"/>
  <c r="P152" i="351"/>
  <c r="G5" i="419"/>
  <c r="J83" i="353"/>
  <c r="AF23" i="353"/>
  <c r="H159" i="351"/>
  <c r="G112" i="351"/>
  <c r="D76" i="146" a="1"/>
  <c r="D123" i="146" a="1"/>
  <c r="D49" i="146" a="1"/>
  <c r="D103" i="146" a="1"/>
  <c r="B50" i="350" a="1"/>
  <c r="D118" i="146" a="1"/>
  <c r="B16" i="350" a="1"/>
  <c r="B71" i="350" a="1"/>
  <c r="D67" i="146" a="1"/>
  <c r="D82" i="146" a="1"/>
  <c r="D4" i="146" a="1"/>
  <c r="D106" i="146" a="1"/>
  <c r="B22" i="350" a="1"/>
  <c r="B32" i="350" a="1"/>
  <c r="D56" i="146" a="1"/>
  <c r="D27" i="146" a="1"/>
  <c r="D130" i="146" a="1"/>
  <c r="D91" i="146" a="1"/>
  <c r="D30" i="146" a="1"/>
  <c r="D85" i="146" a="1"/>
  <c r="D61" i="146" a="1"/>
  <c r="D31" i="146" a="1"/>
  <c r="D105" i="146" a="1"/>
  <c r="B62" i="350" a="1"/>
  <c r="D94" i="146" a="1"/>
  <c r="B6" i="350" a="1"/>
  <c r="D120" i="146" a="1"/>
  <c r="D92" i="146" a="1"/>
  <c r="D102" i="146" a="1"/>
  <c r="B5" i="350" a="1"/>
  <c r="B37" i="350" a="1"/>
  <c r="D127" i="146" a="1"/>
  <c r="I3" i="134" a="1"/>
  <c r="D88" i="146" a="1"/>
  <c r="D128" i="146" a="1"/>
  <c r="D116" i="146" a="1"/>
  <c r="B39" i="350" a="1"/>
  <c r="D60" i="146" a="1"/>
  <c r="D1" i="146" a="1"/>
  <c r="B31" i="350" a="1"/>
  <c r="C14" i="6" a="1"/>
  <c r="B21" i="350" a="1"/>
  <c r="C15" i="6" a="1"/>
  <c r="D25" i="146" a="1"/>
  <c r="B46" i="350" a="1"/>
  <c r="D113" i="146" a="1"/>
  <c r="D57" i="146" a="1"/>
  <c r="D33" i="146" a="1"/>
  <c r="D39" i="146" a="1"/>
  <c r="B66" i="350" a="1"/>
  <c r="D77" i="146" a="1"/>
  <c r="B60" i="350" a="1"/>
  <c r="D22" i="146" a="1"/>
  <c r="D43" i="146" a="1"/>
  <c r="B10" i="350" a="1"/>
  <c r="B24" i="350" a="1"/>
  <c r="B36" i="350" a="1"/>
  <c r="B55" i="350" a="1"/>
  <c r="B41" i="350" a="1"/>
  <c r="D125" i="146" a="1"/>
  <c r="B15" i="350" a="1"/>
  <c r="D50" i="146" a="1"/>
  <c r="B61" i="350" a="1"/>
  <c r="B72" i="350" a="1"/>
  <c r="D84" i="146" a="1"/>
  <c r="D86" i="146" a="1"/>
  <c r="B7" i="350" a="1"/>
  <c r="D66" i="146" a="1"/>
  <c r="D44" i="146" a="1"/>
  <c r="B3" i="350" a="1"/>
  <c r="D41" i="146" a="1"/>
  <c r="D110" i="146" a="1"/>
  <c r="D121" i="146" a="1"/>
  <c r="B59" i="350" a="1"/>
  <c r="B51" i="350" a="1"/>
  <c r="B30" i="350" a="1"/>
  <c r="D5" i="146" a="1"/>
  <c r="B70" i="350" a="1"/>
  <c r="B17" i="350" a="1"/>
  <c r="D79" i="146" a="1"/>
  <c r="D26" i="146" a="1"/>
  <c r="D65" i="146" a="1"/>
  <c r="D93" i="146" a="1"/>
  <c r="B58" i="350" a="1"/>
  <c r="D70" i="146" a="1"/>
  <c r="B47" i="350" a="1"/>
  <c r="D59" i="146" a="1"/>
  <c r="B35" i="350" a="1"/>
  <c r="D124" i="146" a="1"/>
  <c r="D3" i="134" a="1"/>
  <c r="D14" i="146" a="1"/>
  <c r="D64" i="146" a="1"/>
  <c r="D80" i="146" a="1"/>
  <c r="D15" i="146" a="1"/>
  <c r="D58" i="146" a="1"/>
  <c r="D122" i="146" a="1"/>
  <c r="B26" i="350" a="1"/>
  <c r="B13" i="350" a="1"/>
  <c r="D95" i="146" a="1"/>
  <c r="D47" i="146" a="1"/>
  <c r="D63" i="146" a="1"/>
  <c r="D73" i="146" a="1"/>
  <c r="D20" i="146" a="1"/>
  <c r="D74" i="146" a="1"/>
  <c r="B19" i="350" a="1"/>
  <c r="D89" i="146" a="1"/>
  <c r="B53" i="350" a="1"/>
  <c r="D10" i="146" a="1"/>
  <c r="B52" i="350" a="1"/>
  <c r="D114" i="146" a="1"/>
  <c r="B57" i="350" a="1"/>
  <c r="D12" i="146" a="1"/>
  <c r="D78" i="146" a="1"/>
  <c r="B34" i="350" a="1"/>
  <c r="D69" i="146" a="1"/>
  <c r="D119" i="146" a="1"/>
  <c r="B42" i="350" a="1"/>
  <c r="B2" i="350" a="1"/>
  <c r="D45" i="146" a="1"/>
  <c r="D97" i="146" a="1"/>
  <c r="B8" i="350" a="1"/>
  <c r="B69" i="350" a="1"/>
  <c r="D48" i="146" a="1"/>
  <c r="D129" i="146" a="1"/>
  <c r="D7" i="146" a="1"/>
  <c r="B67" i="350" a="1"/>
  <c r="D107" i="146" a="1"/>
  <c r="B14" i="350" a="1"/>
  <c r="D28" i="146" a="1"/>
  <c r="D109" i="146" a="1"/>
  <c r="D3" i="146" a="1"/>
  <c r="B29" i="350" a="1"/>
  <c r="D23" i="146" a="1"/>
  <c r="B12" i="350" a="1"/>
  <c r="D6" i="146" a="1"/>
  <c r="D29" i="146" a="1"/>
  <c r="B54" i="350" a="1"/>
  <c r="D51" i="146" a="1"/>
  <c r="D42" i="146" a="1"/>
  <c r="D8" i="146" a="1"/>
  <c r="B68" i="350" a="1"/>
  <c r="D2" i="146" a="1"/>
  <c r="B33" i="350" a="1"/>
  <c r="D72" i="146" a="1"/>
  <c r="B18" i="350" a="1"/>
  <c r="D21" i="146" a="1"/>
  <c r="B38" i="350" a="1"/>
  <c r="D62" i="146" a="1"/>
  <c r="D87" i="146" a="1"/>
  <c r="B40" i="350" a="1"/>
  <c r="D19" i="146" a="1"/>
  <c r="B44" i="350" a="1"/>
  <c r="D40" i="146" a="1"/>
  <c r="D37" i="146" a="1"/>
  <c r="D104" i="146" a="1"/>
  <c r="D9" i="146" a="1"/>
  <c r="D99" i="146" a="1"/>
  <c r="B65" i="350" a="1"/>
  <c r="D126" i="146" a="1"/>
  <c r="D96" i="146" a="1"/>
  <c r="B4" i="350" a="1"/>
  <c r="B49" i="350" a="1"/>
  <c r="D112" i="146" a="1"/>
  <c r="D115" i="146" a="1"/>
  <c r="D90" i="146" a="1"/>
  <c r="D100" i="146" a="1"/>
  <c r="B43" i="350" a="1"/>
  <c r="B48" i="350" a="1"/>
  <c r="B28" i="350" a="1"/>
  <c r="B56" i="350" a="1"/>
  <c r="B64" i="350" a="1"/>
  <c r="D71" i="146" a="1"/>
  <c r="B63" i="350" a="1"/>
  <c r="B23" i="350" a="1"/>
  <c r="D81" i="146" a="1"/>
  <c r="B20" i="350" a="1"/>
  <c r="D111" i="146" a="1"/>
  <c r="D98" i="146" a="1"/>
  <c r="D13" i="146" a="1"/>
  <c r="D32" i="146" a="1"/>
  <c r="D68" i="146" a="1"/>
  <c r="B25" i="350" a="1"/>
  <c r="D24" i="146" a="1"/>
  <c r="D117" i="146" a="1"/>
  <c r="B73" i="350" a="1"/>
  <c r="B27" i="350" a="1"/>
  <c r="B9" i="350" a="1"/>
  <c r="B45" i="350" a="1"/>
  <c r="D108" i="146" a="1"/>
  <c r="D75" i="146" a="1"/>
  <c r="D38" i="146" a="1"/>
  <c r="D83" i="146" a="1"/>
  <c r="B11" i="350" a="1"/>
  <c r="D46" i="146" a="1"/>
  <c r="D11" i="146" a="1"/>
  <c r="D101" i="146" a="1"/>
  <c r="AL16" i="6" l="1"/>
  <c r="AL17" i="6"/>
  <c r="AL13" i="6"/>
  <c r="AL8" i="6"/>
  <c r="AL12" i="6"/>
  <c r="N2" i="375"/>
  <c r="AL29" i="6"/>
  <c r="AL25" i="6"/>
  <c r="AL24" i="6"/>
  <c r="AL4" i="6"/>
  <c r="D66" i="146"/>
  <c r="U36" i="6" s="1" a="1"/>
  <c r="U36" i="6" s="1"/>
  <c r="D38" i="146"/>
  <c r="AB8" i="6" s="1" a="1"/>
  <c r="AB8" i="6" s="1"/>
  <c r="D58" i="146"/>
  <c r="U9" i="6" s="1" a="1"/>
  <c r="U9" i="6" s="1"/>
  <c r="D108" i="146"/>
  <c r="U11" i="6" s="1" a="1"/>
  <c r="U11" i="6" s="1"/>
  <c r="B38" i="350"/>
  <c r="N39" i="6" s="1"/>
  <c r="B25" i="350"/>
  <c r="N26" i="6" s="1"/>
  <c r="D13" i="146"/>
  <c r="AB39" i="6" s="1" a="1"/>
  <c r="AB39" i="6" s="1"/>
  <c r="B4" i="350"/>
  <c r="N5" i="6" s="1"/>
  <c r="B33" i="350"/>
  <c r="N34" i="6" s="1"/>
  <c r="D73" i="146"/>
  <c r="U54" i="6" s="1" a="1"/>
  <c r="U54" i="6" s="1"/>
  <c r="D64" i="146"/>
  <c r="U27" i="6" s="1" a="1"/>
  <c r="U27" i="6" s="1"/>
  <c r="D107" i="146"/>
  <c r="U8" i="6" s="1" a="1"/>
  <c r="U8" i="6" s="1"/>
  <c r="D23" i="146"/>
  <c r="AB16" i="6" s="1" a="1"/>
  <c r="AB16" i="6" s="1"/>
  <c r="D124" i="146"/>
  <c r="U59" i="6" s="1" a="1"/>
  <c r="U59" i="6" s="1"/>
  <c r="D48" i="146"/>
  <c r="AB38" i="6" s="1" a="1"/>
  <c r="AB38" i="6" s="1"/>
  <c r="D69" i="146"/>
  <c r="U42" i="6" s="1" a="1"/>
  <c r="U42" i="6" s="1"/>
  <c r="D85" i="146"/>
  <c r="U16" i="6" s="1" a="1"/>
  <c r="U16" i="6" s="1"/>
  <c r="D59" i="146"/>
  <c r="U12" i="6" s="1" a="1"/>
  <c r="U12" i="6" s="1"/>
  <c r="D79" i="146"/>
  <c r="U72" i="6" s="1" a="1"/>
  <c r="U72" i="6" s="1"/>
  <c r="D91" i="146"/>
  <c r="U37" i="6" s="1" a="1"/>
  <c r="U37" i="6" s="1"/>
  <c r="D44" i="146"/>
  <c r="AB26" i="6" s="1" a="1"/>
  <c r="AB26" i="6" s="1"/>
  <c r="D39" i="146"/>
  <c r="AB11" i="6" s="1" a="1"/>
  <c r="AB11" i="6" s="1"/>
  <c r="D127" i="146"/>
  <c r="U68" i="6" s="1" a="1"/>
  <c r="U68" i="6" s="1"/>
  <c r="B71" i="350"/>
  <c r="N72" i="6" s="1"/>
  <c r="D40" i="146"/>
  <c r="AB14" i="6" s="1" a="1"/>
  <c r="AB14" i="6" s="1"/>
  <c r="B44" i="350"/>
  <c r="N45" i="6" s="1"/>
  <c r="D92" i="146"/>
  <c r="U34" i="6" s="1" a="1"/>
  <c r="U34" i="6" s="1"/>
  <c r="D81" i="146"/>
  <c r="U4" i="6" s="1" a="1"/>
  <c r="U4" i="6" s="1"/>
  <c r="B73" i="350"/>
  <c r="N74" i="6" s="1"/>
  <c r="B56" i="350"/>
  <c r="N57" i="6" s="1"/>
  <c r="B43" i="350"/>
  <c r="N44" i="6" s="1"/>
  <c r="D96" i="146"/>
  <c r="U49" i="6" s="1" a="1"/>
  <c r="U49" i="6" s="1"/>
  <c r="D2" i="146"/>
  <c r="AB6" i="6" s="1" a="1"/>
  <c r="AB6" i="6" s="1"/>
  <c r="D120" i="146"/>
  <c r="U47" i="6" s="1" a="1"/>
  <c r="U47" i="6" s="1"/>
  <c r="B6" i="350"/>
  <c r="N7" i="6" s="1"/>
  <c r="B19" i="350"/>
  <c r="N20" i="6" s="1"/>
  <c r="B62" i="350"/>
  <c r="N63" i="6" s="1"/>
  <c r="D129" i="146"/>
  <c r="U74" i="6" s="1" a="1"/>
  <c r="U74" i="6" s="1"/>
  <c r="B69" i="350"/>
  <c r="N70" i="6" s="1"/>
  <c r="B34" i="350"/>
  <c r="N35" i="6" s="1"/>
  <c r="B39" i="350"/>
  <c r="N40" i="6" s="1"/>
  <c r="B47" i="350"/>
  <c r="N48" i="6" s="1"/>
  <c r="B17" i="350"/>
  <c r="N18" i="6" s="1"/>
  <c r="B24" i="350"/>
  <c r="N25" i="6" s="1"/>
  <c r="B60" i="350"/>
  <c r="N61" i="6" s="1"/>
  <c r="D33" i="146"/>
  <c r="AB46" i="6" s="1" a="1"/>
  <c r="AB46" i="6" s="1"/>
  <c r="B22" i="350"/>
  <c r="N23" i="6" s="1"/>
  <c r="B16" i="350"/>
  <c r="N17" i="6" s="1"/>
  <c r="D101" i="146"/>
  <c r="U64" i="6" s="1" a="1"/>
  <c r="U64" i="6" s="1"/>
  <c r="D3" i="146"/>
  <c r="AB9" i="6" s="1" a="1"/>
  <c r="AB9" i="6" s="1"/>
  <c r="D109" i="146"/>
  <c r="U14" i="6" s="1" a="1"/>
  <c r="U14" i="6" s="1"/>
  <c r="B40" i="350"/>
  <c r="N41" i="6" s="1"/>
  <c r="B63" i="350"/>
  <c r="N64" i="6" s="1"/>
  <c r="D68" i="146"/>
  <c r="U39" i="6" s="1" a="1"/>
  <c r="U39" i="6" s="1"/>
  <c r="D100" i="146"/>
  <c r="U61" i="6" s="1" a="1"/>
  <c r="U61" i="6" s="1"/>
  <c r="D126" i="146"/>
  <c r="U65" i="6" s="1" a="1"/>
  <c r="U65" i="6" s="1"/>
  <c r="B68" i="350"/>
  <c r="N69" i="6" s="1"/>
  <c r="D28" i="146"/>
  <c r="AB31" i="6" s="1" a="1"/>
  <c r="AB31" i="6" s="1"/>
  <c r="B3" i="350"/>
  <c r="N4" i="6" s="1"/>
  <c r="C14" i="6"/>
  <c r="C2" i="6" s="1"/>
  <c r="C4" i="6" s="1"/>
  <c r="D3" i="134"/>
  <c r="D31" i="146"/>
  <c r="AB40" i="6" s="1" a="1"/>
  <c r="AB40" i="6" s="1"/>
  <c r="B8" i="350"/>
  <c r="N9" i="6" s="1"/>
  <c r="D78" i="146"/>
  <c r="U69" i="6" s="1" a="1"/>
  <c r="U69" i="6" s="1"/>
  <c r="B41" i="350"/>
  <c r="N42" i="6" s="1"/>
  <c r="B13" i="350"/>
  <c r="N14" i="6" s="1"/>
  <c r="B70" i="350"/>
  <c r="N71" i="6" s="1"/>
  <c r="D128" i="146"/>
  <c r="U71" i="6" s="1" a="1"/>
  <c r="U71" i="6" s="1"/>
  <c r="D27" i="146"/>
  <c r="AB28" i="6" s="1" a="1"/>
  <c r="AB28" i="6" s="1"/>
  <c r="D57" i="146"/>
  <c r="U6" i="6" s="1" a="1"/>
  <c r="U6" i="6" s="1"/>
  <c r="D106" i="146"/>
  <c r="U5" i="6" s="1" a="1"/>
  <c r="U5" i="6" s="1"/>
  <c r="D118" i="146"/>
  <c r="U41" i="6" s="1" a="1"/>
  <c r="U41" i="6" s="1"/>
  <c r="D6" i="146"/>
  <c r="AB18" i="6" s="1" a="1"/>
  <c r="AB18" i="6" s="1"/>
  <c r="D102" i="146"/>
  <c r="U67" i="6" s="1" a="1"/>
  <c r="U67" i="6" s="1"/>
  <c r="D86" i="146"/>
  <c r="U19" i="6" s="1" a="1"/>
  <c r="U19" i="6" s="1"/>
  <c r="B45" i="350"/>
  <c r="N46" i="6" s="1"/>
  <c r="D117" i="146"/>
  <c r="U35" i="6" s="1" a="1"/>
  <c r="U35" i="6" s="1"/>
  <c r="B18" i="350"/>
  <c r="N19" i="6" s="1"/>
  <c r="D90" i="146"/>
  <c r="U31" i="6" s="1" a="1"/>
  <c r="U31" i="6" s="1"/>
  <c r="B65" i="350"/>
  <c r="N66" i="6" s="1"/>
  <c r="D8" i="146"/>
  <c r="AB24" i="6" s="1" a="1"/>
  <c r="AB24" i="6" s="1"/>
  <c r="D63" i="146"/>
  <c r="U24" i="6" s="1" a="1"/>
  <c r="U24" i="6" s="1"/>
  <c r="B72" i="350"/>
  <c r="N73" i="6" s="1"/>
  <c r="D94" i="146"/>
  <c r="U43" i="6" s="1" a="1"/>
  <c r="U43" i="6" s="1"/>
  <c r="D1" i="146"/>
  <c r="AB3" i="6" s="1" a="1"/>
  <c r="AB3" i="6" s="1"/>
  <c r="D60" i="146"/>
  <c r="U15" i="6" s="1" a="1"/>
  <c r="U15" i="6" s="1"/>
  <c r="D97" i="146"/>
  <c r="U52" i="6" s="1" a="1"/>
  <c r="U52" i="6" s="1"/>
  <c r="D12" i="146"/>
  <c r="AB36" i="6" s="1" a="1"/>
  <c r="AB36" i="6" s="1"/>
  <c r="D74" i="146"/>
  <c r="U57" i="6" s="1" a="1"/>
  <c r="U57" i="6" s="1"/>
  <c r="D70" i="146"/>
  <c r="U45" i="6" s="1" a="1"/>
  <c r="U45" i="6" s="1"/>
  <c r="D5" i="146"/>
  <c r="AB15" i="6" s="1" a="1"/>
  <c r="AB15" i="6" s="1"/>
  <c r="B10" i="350"/>
  <c r="N11" i="6" s="1"/>
  <c r="D77" i="146"/>
  <c r="U66" i="6" s="1" a="1"/>
  <c r="U66" i="6" s="1"/>
  <c r="D113" i="146"/>
  <c r="U26" i="6" s="1" a="1"/>
  <c r="U26" i="6" s="1"/>
  <c r="B37" i="350"/>
  <c r="N38" i="6" s="1"/>
  <c r="B50" i="350"/>
  <c r="N51" i="6" s="1"/>
  <c r="B53" i="350"/>
  <c r="N54" i="6" s="1"/>
  <c r="D111" i="146"/>
  <c r="U20" i="6" s="1" a="1"/>
  <c r="U20" i="6" s="1"/>
  <c r="B11" i="350"/>
  <c r="N12" i="6" s="1"/>
  <c r="D87" i="146"/>
  <c r="U22" i="6" s="1" a="1"/>
  <c r="U22" i="6" s="1"/>
  <c r="D71" i="146"/>
  <c r="U48" i="6" s="1" a="1"/>
  <c r="U48" i="6" s="1"/>
  <c r="B28" i="350"/>
  <c r="N29" i="6" s="1"/>
  <c r="D115" i="146"/>
  <c r="U32" i="6" s="1" a="1"/>
  <c r="U32" i="6" s="1"/>
  <c r="D99" i="146"/>
  <c r="U58" i="6" s="1" a="1"/>
  <c r="U58" i="6" s="1"/>
  <c r="D42" i="146"/>
  <c r="AB20" i="6" s="1" a="1"/>
  <c r="AB20" i="6" s="1"/>
  <c r="B12" i="350"/>
  <c r="N13" i="6" s="1"/>
  <c r="B14" i="350"/>
  <c r="N15" i="6" s="1"/>
  <c r="B67" i="350"/>
  <c r="N68" i="6" s="1"/>
  <c r="D7" i="146"/>
  <c r="AB21" i="6" s="1" a="1"/>
  <c r="AB21" i="6" s="1"/>
  <c r="B15" i="350"/>
  <c r="N16" i="6" s="1"/>
  <c r="D45" i="146"/>
  <c r="AB29" i="6" s="1" a="1"/>
  <c r="AB29" i="6" s="1"/>
  <c r="B57" i="350"/>
  <c r="N58" i="6" s="1"/>
  <c r="B55" i="350"/>
  <c r="N56" i="6" s="1"/>
  <c r="B58" i="350"/>
  <c r="N59" i="6" s="1"/>
  <c r="B30" i="350"/>
  <c r="N31" i="6" s="1"/>
  <c r="D130" i="146"/>
  <c r="U77" i="6" s="1" a="1"/>
  <c r="U77" i="6" s="1"/>
  <c r="D56" i="146"/>
  <c r="U3" i="6" s="1" a="1"/>
  <c r="U3" i="6" s="1"/>
  <c r="B46" i="350"/>
  <c r="N47" i="6" s="1"/>
  <c r="D4" i="146"/>
  <c r="AB12" i="6" s="1" a="1"/>
  <c r="AB12" i="6" s="1"/>
  <c r="D103" i="146"/>
  <c r="U70" i="6" s="1" a="1"/>
  <c r="U70" i="6" s="1"/>
  <c r="D110" i="146"/>
  <c r="U17" i="6" s="1" a="1"/>
  <c r="U17" i="6" s="1"/>
  <c r="D11" i="146"/>
  <c r="AB33" i="6" s="1" a="1"/>
  <c r="AB33" i="6" s="1"/>
  <c r="D15" i="146"/>
  <c r="AB45" i="6" s="1" a="1"/>
  <c r="AB45" i="6" s="1"/>
  <c r="B9" i="350"/>
  <c r="N10" i="6" s="1"/>
  <c r="D21" i="146"/>
  <c r="AB10" i="6" s="1" a="1"/>
  <c r="AB10" i="6" s="1"/>
  <c r="D32" i="146"/>
  <c r="AB43" i="6" s="1" a="1"/>
  <c r="AB43" i="6" s="1"/>
  <c r="D112" i="146"/>
  <c r="U23" i="6" s="1" a="1"/>
  <c r="U23" i="6" s="1"/>
  <c r="D9" i="146"/>
  <c r="AB27" i="6" s="1" a="1"/>
  <c r="AB27" i="6" s="1"/>
  <c r="D51" i="146"/>
  <c r="AB47" i="6" s="1" a="1"/>
  <c r="AB47" i="6" s="1"/>
  <c r="D80" i="146"/>
  <c r="U75" i="6" s="1" a="1"/>
  <c r="U75" i="6" s="1"/>
  <c r="D89" i="146"/>
  <c r="U28" i="6" s="1" a="1"/>
  <c r="U28" i="6" s="1"/>
  <c r="B61" i="350"/>
  <c r="N62" i="6" s="1"/>
  <c r="D41" i="146"/>
  <c r="AB17" i="6" s="1" a="1"/>
  <c r="AB17" i="6" s="1"/>
  <c r="B35" i="350"/>
  <c r="N36" i="6" s="1"/>
  <c r="B2" i="350"/>
  <c r="N3" i="6" s="1"/>
  <c r="D114" i="146"/>
  <c r="U29" i="6" s="1" a="1"/>
  <c r="U29" i="6" s="1"/>
  <c r="D30" i="146"/>
  <c r="AB37" i="6" s="1" a="1"/>
  <c r="AB37" i="6" s="1"/>
  <c r="D93" i="146"/>
  <c r="U40" i="6" s="1" a="1"/>
  <c r="U40" i="6" s="1"/>
  <c r="X40" i="6" s="1"/>
  <c r="B51" i="350"/>
  <c r="N52" i="6" s="1"/>
  <c r="D88" i="146"/>
  <c r="U25" i="6" s="1" a="1"/>
  <c r="U25" i="6" s="1"/>
  <c r="B66" i="350"/>
  <c r="N67" i="6" s="1"/>
  <c r="D25" i="146"/>
  <c r="AB22" i="6" s="1" a="1"/>
  <c r="AB22" i="6" s="1"/>
  <c r="D82" i="146"/>
  <c r="U7" i="6" s="1" a="1"/>
  <c r="U7" i="6" s="1"/>
  <c r="D49" i="146"/>
  <c r="AB41" i="6" s="1" a="1"/>
  <c r="AB41" i="6" s="1"/>
  <c r="D46" i="146"/>
  <c r="AB32" i="6" s="1" a="1"/>
  <c r="AB32" i="6" s="1"/>
  <c r="D75" i="146"/>
  <c r="U60" i="6" s="1" a="1"/>
  <c r="U60" i="6" s="1"/>
  <c r="B20" i="350"/>
  <c r="N21" i="6" s="1"/>
  <c r="B23" i="350"/>
  <c r="N24" i="6" s="1"/>
  <c r="B64" i="350"/>
  <c r="N65" i="6" s="1"/>
  <c r="D72" i="146"/>
  <c r="U51" i="6" s="1" a="1"/>
  <c r="U51" i="6" s="1"/>
  <c r="D98" i="146"/>
  <c r="U55" i="6" s="1" a="1"/>
  <c r="U55" i="6" s="1"/>
  <c r="D104" i="146"/>
  <c r="U73" i="6" s="1" a="1"/>
  <c r="U73" i="6" s="1"/>
  <c r="B54" i="350"/>
  <c r="N55" i="6" s="1"/>
  <c r="D84" i="146"/>
  <c r="U13" i="6" s="1" a="1"/>
  <c r="U13" i="6" s="1"/>
  <c r="B29" i="350"/>
  <c r="N30" i="6" s="1"/>
  <c r="D14" i="146"/>
  <c r="AB42" i="6" s="1" a="1"/>
  <c r="AB42" i="6" s="1"/>
  <c r="D50" i="146"/>
  <c r="AB44" i="6" s="1" a="1"/>
  <c r="AB44" i="6" s="1"/>
  <c r="D61" i="146"/>
  <c r="U18" i="6" s="1" a="1"/>
  <c r="U18" i="6" s="1"/>
  <c r="B42" i="350"/>
  <c r="N43" i="6" s="1"/>
  <c r="B52" i="350"/>
  <c r="N53" i="6" s="1"/>
  <c r="D116" i="146"/>
  <c r="U38" i="6" s="1" a="1"/>
  <c r="U38" i="6" s="1"/>
  <c r="D65" i="146"/>
  <c r="U30" i="6" s="1" a="1"/>
  <c r="U30" i="6" s="1"/>
  <c r="B59" i="350"/>
  <c r="N60" i="6" s="1"/>
  <c r="D43" i="146"/>
  <c r="AB23" i="6" s="1" a="1"/>
  <c r="AB23" i="6" s="1"/>
  <c r="I3" i="134"/>
  <c r="C15" i="6"/>
  <c r="C20" i="6" s="1"/>
  <c r="B5" i="350"/>
  <c r="N6" i="6" s="1"/>
  <c r="D123" i="146"/>
  <c r="U56" i="6" s="1" a="1"/>
  <c r="U56" i="6" s="1"/>
  <c r="B26" i="350"/>
  <c r="N27" i="6" s="1"/>
  <c r="B7" i="350"/>
  <c r="N8" i="6" s="1"/>
  <c r="D19" i="146"/>
  <c r="AB4" i="6" s="1" a="1"/>
  <c r="AB4" i="6" s="1"/>
  <c r="D62" i="146"/>
  <c r="U21" i="6" s="1" a="1"/>
  <c r="U21" i="6" s="1"/>
  <c r="D24" i="146"/>
  <c r="AB19" i="6" s="1" a="1"/>
  <c r="AB19" i="6" s="1"/>
  <c r="B48" i="350"/>
  <c r="N49" i="6" s="1"/>
  <c r="B49" i="350"/>
  <c r="N50" i="6" s="1"/>
  <c r="D37" i="146"/>
  <c r="AB5" i="6" s="1" a="1"/>
  <c r="AB5" i="6" s="1"/>
  <c r="D29" i="146"/>
  <c r="AB34" i="6" s="1" a="1"/>
  <c r="AB34" i="6" s="1"/>
  <c r="D47" i="146"/>
  <c r="AB35" i="6" s="1" a="1"/>
  <c r="AB35" i="6" s="1"/>
  <c r="D95" i="146"/>
  <c r="U46" i="6" s="1" a="1"/>
  <c r="U46" i="6" s="1"/>
  <c r="B31" i="350"/>
  <c r="N32" i="6" s="1"/>
  <c r="D105" i="146"/>
  <c r="U76" i="6" s="1" a="1"/>
  <c r="U76" i="6" s="1"/>
  <c r="D125" i="146"/>
  <c r="U62" i="6" s="1" a="1"/>
  <c r="U62" i="6" s="1"/>
  <c r="D119" i="146"/>
  <c r="U44" i="6" s="1" a="1"/>
  <c r="U44" i="6" s="1"/>
  <c r="D10" i="146"/>
  <c r="AB30" i="6" s="1" a="1"/>
  <c r="AB30" i="6" s="1"/>
  <c r="B36" i="350"/>
  <c r="N37" i="6" s="1"/>
  <c r="D26" i="146"/>
  <c r="AB25" i="6" s="1" a="1"/>
  <c r="AB25" i="6" s="1"/>
  <c r="AE25" i="6" s="1"/>
  <c r="D121" i="146"/>
  <c r="U50" i="6" s="1" a="1"/>
  <c r="U50" i="6" s="1"/>
  <c r="D22" i="146"/>
  <c r="AB13" i="6" s="1" a="1"/>
  <c r="AB13" i="6" s="1"/>
  <c r="B32" i="350"/>
  <c r="N33" i="6" s="1"/>
  <c r="B21" i="350"/>
  <c r="N22" i="6" s="1"/>
  <c r="D67" i="146"/>
  <c r="U33" i="6" s="1" a="1"/>
  <c r="U33" i="6" s="1"/>
  <c r="D76" i="146"/>
  <c r="U63" i="6" s="1" a="1"/>
  <c r="U63" i="6" s="1"/>
  <c r="D83" i="146"/>
  <c r="U10" i="6" s="1" a="1"/>
  <c r="U10" i="6" s="1"/>
  <c r="D122" i="146"/>
  <c r="U53" i="6" s="1" a="1"/>
  <c r="U53" i="6" s="1"/>
  <c r="D20" i="146"/>
  <c r="AB7" i="6" s="1" a="1"/>
  <c r="AB7" i="6" s="1"/>
  <c r="B27" i="350"/>
  <c r="N28" i="6" s="1"/>
  <c r="AX6" i="6"/>
  <c r="BC6" i="6"/>
  <c r="BD6" i="6" s="1"/>
  <c r="BE6" i="6" s="1"/>
  <c r="AX13" i="6"/>
  <c r="BC13" i="6"/>
  <c r="BD13" i="6" s="1"/>
  <c r="BE13" i="6" s="1"/>
  <c r="AL20" i="6"/>
  <c r="BC11" i="6"/>
  <c r="BD11" i="6" s="1"/>
  <c r="BE11" i="6" s="1"/>
  <c r="AX11" i="6"/>
  <c r="AL21" i="6"/>
  <c r="AK15" i="6"/>
  <c r="AK16" i="6" s="1"/>
  <c r="AK17" i="6" s="1"/>
  <c r="AK18" i="6" s="1"/>
  <c r="AL15" i="6"/>
  <c r="AL9" i="6"/>
  <c r="AL23" i="6"/>
  <c r="AK23" i="6"/>
  <c r="AK24" i="6" s="1"/>
  <c r="AK25" i="6" s="1"/>
  <c r="AK26" i="6" s="1"/>
  <c r="BC12" i="6"/>
  <c r="BD12" i="6" s="1"/>
  <c r="BE12" i="6" s="1"/>
  <c r="AX12" i="6"/>
  <c r="BC7" i="6"/>
  <c r="BD7" i="6" s="1"/>
  <c r="BE7" i="6" s="1"/>
  <c r="AX7" i="6"/>
  <c r="AL3" i="6"/>
  <c r="AK3" i="6"/>
  <c r="AK4" i="6" s="1"/>
  <c r="AK5" i="6" s="1"/>
  <c r="AK6" i="6" s="1"/>
  <c r="AX9" i="6"/>
  <c r="BC9" i="6"/>
  <c r="BD9" i="6" s="1"/>
  <c r="BE9" i="6" s="1"/>
  <c r="BC10" i="6"/>
  <c r="BD10" i="6" s="1"/>
  <c r="BE10" i="6" s="1"/>
  <c r="AX10" i="6"/>
  <c r="AK11" i="6"/>
  <c r="AK12" i="6" s="1"/>
  <c r="AK13" i="6" s="1"/>
  <c r="AK14" i="6" s="1"/>
  <c r="AL11" i="6"/>
  <c r="AK7" i="6"/>
  <c r="AK8" i="6" s="1"/>
  <c r="AK9" i="6" s="1"/>
  <c r="AK10" i="6" s="1"/>
  <c r="AL7" i="6"/>
  <c r="AX14" i="6"/>
  <c r="BC14" i="6"/>
  <c r="BD14" i="6" s="1"/>
  <c r="BE14" i="6" s="1"/>
  <c r="AL28" i="6"/>
  <c r="BC8" i="6"/>
  <c r="BD8" i="6" s="1"/>
  <c r="BE8" i="6" s="1"/>
  <c r="AX8" i="6"/>
  <c r="AK27" i="6"/>
  <c r="AK28" i="6" s="1"/>
  <c r="AK29" i="6" s="1"/>
  <c r="AK30" i="6" s="1"/>
  <c r="AL27" i="6"/>
  <c r="AL19" i="6"/>
  <c r="AK19" i="6"/>
  <c r="AK20" i="6" s="1"/>
  <c r="AK21" i="6" s="1"/>
  <c r="AK22" i="6" s="1"/>
  <c r="AX4" i="6"/>
  <c r="BC4" i="6"/>
  <c r="BD4" i="6" s="1"/>
  <c r="BE4" i="6" s="1"/>
  <c r="AX5" i="6"/>
  <c r="BC5" i="6"/>
  <c r="BD5" i="6" s="1"/>
  <c r="BE5" i="6" s="1"/>
  <c r="Q56" i="6" l="1"/>
  <c r="Q25" i="6"/>
  <c r="X13" i="6"/>
  <c r="BF12" i="6"/>
  <c r="X52" i="6"/>
  <c r="AE13" i="6"/>
  <c r="BF6" i="6"/>
  <c r="AE7" i="6"/>
  <c r="BF11" i="6"/>
  <c r="Q73" i="6"/>
  <c r="X16" i="6"/>
  <c r="Q53" i="6"/>
  <c r="AE31" i="6"/>
  <c r="Q52" i="6"/>
  <c r="X22" i="6"/>
  <c r="BF10" i="6"/>
  <c r="X34" i="6"/>
  <c r="AE37" i="6"/>
  <c r="Q13" i="6"/>
  <c r="BF14" i="6"/>
  <c r="X73" i="6"/>
  <c r="Q49" i="6"/>
  <c r="AE43" i="6"/>
  <c r="X58" i="6"/>
  <c r="AE19" i="6"/>
  <c r="Q65" i="6"/>
  <c r="X19" i="6"/>
  <c r="X46" i="6"/>
  <c r="X28" i="6"/>
  <c r="X70" i="6"/>
  <c r="Q17" i="6"/>
  <c r="Q72" i="6"/>
  <c r="AE16" i="6"/>
  <c r="Q24" i="6"/>
  <c r="BF9" i="6"/>
  <c r="X7" i="6"/>
  <c r="AE22" i="6"/>
  <c r="AE46" i="6"/>
  <c r="BF7" i="6"/>
  <c r="Q33" i="6"/>
  <c r="AE28" i="6"/>
  <c r="Q61" i="6"/>
  <c r="W6" i="6"/>
  <c r="W7" i="6" s="1"/>
  <c r="W8" i="6" s="1"/>
  <c r="X6" i="6"/>
  <c r="Q51" i="6"/>
  <c r="P51" i="6"/>
  <c r="P52" i="6" s="1"/>
  <c r="P53" i="6" s="1"/>
  <c r="P54" i="6" s="1"/>
  <c r="Q23" i="6"/>
  <c r="P23" i="6"/>
  <c r="P24" i="6" s="1"/>
  <c r="P25" i="6" s="1"/>
  <c r="P26" i="6" s="1"/>
  <c r="P11" i="6"/>
  <c r="P12" i="6" s="1"/>
  <c r="P13" i="6" s="1"/>
  <c r="P14" i="6" s="1"/>
  <c r="Q11" i="6"/>
  <c r="X37" i="6"/>
  <c r="P59" i="6"/>
  <c r="P60" i="6" s="1"/>
  <c r="P61" i="6" s="1"/>
  <c r="P62" i="6" s="1"/>
  <c r="Q59" i="6"/>
  <c r="X45" i="6"/>
  <c r="W45" i="6"/>
  <c r="W46" i="6" s="1"/>
  <c r="W47" i="6" s="1"/>
  <c r="Q48" i="6"/>
  <c r="W12" i="6"/>
  <c r="W13" i="6" s="1"/>
  <c r="W14" i="6" s="1"/>
  <c r="X12" i="6"/>
  <c r="AE36" i="6"/>
  <c r="AD36" i="6"/>
  <c r="AD37" i="6" s="1"/>
  <c r="AD38" i="6" s="1"/>
  <c r="X69" i="6"/>
  <c r="W69" i="6"/>
  <c r="W70" i="6" s="1"/>
  <c r="W71" i="6" s="1"/>
  <c r="P35" i="6"/>
  <c r="P36" i="6" s="1"/>
  <c r="P37" i="6" s="1"/>
  <c r="P38" i="6" s="1"/>
  <c r="Q35" i="6"/>
  <c r="X42" i="6"/>
  <c r="W42" i="6"/>
  <c r="W43" i="6" s="1"/>
  <c r="W44" i="6" s="1"/>
  <c r="AD30" i="6"/>
  <c r="AD31" i="6" s="1"/>
  <c r="AD32" i="6" s="1"/>
  <c r="AE30" i="6"/>
  <c r="Q43" i="6"/>
  <c r="P43" i="6"/>
  <c r="P44" i="6" s="1"/>
  <c r="P45" i="6" s="1"/>
  <c r="P46" i="6" s="1"/>
  <c r="P3" i="6"/>
  <c r="P4" i="6" s="1"/>
  <c r="P5" i="6" s="1"/>
  <c r="P6" i="6" s="1"/>
  <c r="Q3" i="6"/>
  <c r="X18" i="6"/>
  <c r="W18" i="6"/>
  <c r="W19" i="6" s="1"/>
  <c r="W20" i="6" s="1"/>
  <c r="Q36" i="6"/>
  <c r="Q16" i="6"/>
  <c r="W15" i="6"/>
  <c r="W16" i="6" s="1"/>
  <c r="W17" i="6" s="1"/>
  <c r="X15" i="6"/>
  <c r="AE40" i="6"/>
  <c r="BF5" i="6"/>
  <c r="Q60" i="6"/>
  <c r="Q31" i="6"/>
  <c r="P31" i="6"/>
  <c r="P32" i="6" s="1"/>
  <c r="P33" i="6" s="1"/>
  <c r="P34" i="6" s="1"/>
  <c r="P71" i="6"/>
  <c r="P72" i="6" s="1"/>
  <c r="P73" i="6" s="1"/>
  <c r="P74" i="6" s="1"/>
  <c r="Q71" i="6"/>
  <c r="Q9" i="6"/>
  <c r="AD15" i="6"/>
  <c r="AD16" i="6" s="1"/>
  <c r="AD17" i="6" s="1"/>
  <c r="AE15" i="6"/>
  <c r="W57" i="6"/>
  <c r="W58" i="6" s="1"/>
  <c r="W59" i="6" s="1"/>
  <c r="X57" i="6"/>
  <c r="Q40" i="6"/>
  <c r="X76" i="6"/>
  <c r="AE21" i="6"/>
  <c r="AD21" i="6"/>
  <c r="AD22" i="6" s="1"/>
  <c r="AD23" i="6" s="1"/>
  <c r="AE3" i="6"/>
  <c r="AD3" i="6"/>
  <c r="AD4" i="6" s="1"/>
  <c r="AD5" i="6" s="1"/>
  <c r="P63" i="6"/>
  <c r="P64" i="6" s="1"/>
  <c r="P65" i="6" s="1"/>
  <c r="P66" i="6" s="1"/>
  <c r="Q63" i="6"/>
  <c r="BF8" i="6"/>
  <c r="Q32" i="6"/>
  <c r="AE42" i="6"/>
  <c r="AD42" i="6"/>
  <c r="AD43" i="6" s="1"/>
  <c r="AD44" i="6" s="1"/>
  <c r="Q68" i="6"/>
  <c r="X43" i="6"/>
  <c r="Q20" i="6"/>
  <c r="X63" i="6"/>
  <c r="W63" i="6"/>
  <c r="W64" i="6" s="1"/>
  <c r="W65" i="6" s="1"/>
  <c r="W27" i="6"/>
  <c r="W28" i="6" s="1"/>
  <c r="W29" i="6" s="1"/>
  <c r="X27" i="6"/>
  <c r="X54" i="6"/>
  <c r="W54" i="6"/>
  <c r="W55" i="6" s="1"/>
  <c r="W56" i="6" s="1"/>
  <c r="AE34" i="6"/>
  <c r="Q55" i="6"/>
  <c r="P55" i="6"/>
  <c r="P56" i="6" s="1"/>
  <c r="P57" i="6" s="1"/>
  <c r="P58" i="6" s="1"/>
  <c r="AD24" i="6"/>
  <c r="AD25" i="6" s="1"/>
  <c r="AD26" i="6" s="1"/>
  <c r="AE24" i="6"/>
  <c r="Q69" i="6"/>
  <c r="AD6" i="6"/>
  <c r="AD7" i="6" s="1"/>
  <c r="AD8" i="6" s="1"/>
  <c r="AE6" i="6"/>
  <c r="W66" i="6"/>
  <c r="W67" i="6" s="1"/>
  <c r="W68" i="6" s="1"/>
  <c r="X66" i="6"/>
  <c r="P7" i="6"/>
  <c r="P8" i="6" s="1"/>
  <c r="P9" i="6" s="1"/>
  <c r="P10" i="6" s="1"/>
  <c r="Q7" i="6"/>
  <c r="X72" i="6"/>
  <c r="W72" i="6"/>
  <c r="W73" i="6" s="1"/>
  <c r="W74" i="6" s="1"/>
  <c r="X24" i="6"/>
  <c r="W24" i="6"/>
  <c r="W25" i="6" s="1"/>
  <c r="W26" i="6" s="1"/>
  <c r="AD27" i="6"/>
  <c r="AD28" i="6" s="1"/>
  <c r="AD29" i="6" s="1"/>
  <c r="AE27" i="6"/>
  <c r="X49" i="6"/>
  <c r="Q5" i="6"/>
  <c r="BF13" i="6"/>
  <c r="X55" i="6"/>
  <c r="X31" i="6"/>
  <c r="X61" i="6"/>
  <c r="Q44" i="6"/>
  <c r="AE39" i="6"/>
  <c r="AD39" i="6"/>
  <c r="AD40" i="6" s="1"/>
  <c r="AD41" i="6" s="1"/>
  <c r="W33" i="6"/>
  <c r="W34" i="6" s="1"/>
  <c r="W35" i="6" s="1"/>
  <c r="X33" i="6"/>
  <c r="P15" i="6"/>
  <c r="P16" i="6" s="1"/>
  <c r="P17" i="6" s="1"/>
  <c r="P18" i="6" s="1"/>
  <c r="Q15" i="6"/>
  <c r="X75" i="6"/>
  <c r="W75" i="6"/>
  <c r="W76" i="6" s="1"/>
  <c r="W77" i="6" s="1"/>
  <c r="X51" i="6"/>
  <c r="W51" i="6"/>
  <c r="W52" i="6" s="1"/>
  <c r="W53" i="6" s="1"/>
  <c r="Q29" i="6"/>
  <c r="P19" i="6"/>
  <c r="P20" i="6" s="1"/>
  <c r="P21" i="6" s="1"/>
  <c r="P22" i="6" s="1"/>
  <c r="Q19" i="6"/>
  <c r="X39" i="6"/>
  <c r="W39" i="6"/>
  <c r="W40" i="6" s="1"/>
  <c r="W41" i="6" s="1"/>
  <c r="Q57" i="6"/>
  <c r="W3" i="6"/>
  <c r="W4" i="6" s="1"/>
  <c r="W5" i="6" s="1"/>
  <c r="X3" i="6"/>
  <c r="AE10" i="6"/>
  <c r="X48" i="6"/>
  <c r="W48" i="6"/>
  <c r="W49" i="6" s="1"/>
  <c r="W50" i="6" s="1"/>
  <c r="Q64" i="6"/>
  <c r="Q39" i="6"/>
  <c r="P39" i="6"/>
  <c r="P40" i="6" s="1"/>
  <c r="P41" i="6" s="1"/>
  <c r="P42" i="6" s="1"/>
  <c r="Q21" i="6"/>
  <c r="X9" i="6"/>
  <c r="W9" i="6"/>
  <c r="W10" i="6" s="1"/>
  <c r="W11" i="6" s="1"/>
  <c r="AE12" i="6"/>
  <c r="AD12" i="6"/>
  <c r="AD13" i="6" s="1"/>
  <c r="AD14" i="6" s="1"/>
  <c r="Q37" i="6"/>
  <c r="Q4" i="6"/>
  <c r="Q41" i="6"/>
  <c r="AD33" i="6"/>
  <c r="AD34" i="6" s="1"/>
  <c r="AD35" i="6" s="1"/>
  <c r="AE33" i="6"/>
  <c r="P47" i="6"/>
  <c r="P48" i="6" s="1"/>
  <c r="P49" i="6" s="1"/>
  <c r="P50" i="6" s="1"/>
  <c r="Q47" i="6"/>
  <c r="P67" i="6"/>
  <c r="P68" i="6" s="1"/>
  <c r="P69" i="6" s="1"/>
  <c r="P70" i="6" s="1"/>
  <c r="Q67" i="6"/>
  <c r="X25" i="6"/>
  <c r="W30" i="6"/>
  <c r="W31" i="6" s="1"/>
  <c r="W32" i="6" s="1"/>
  <c r="X30" i="6"/>
  <c r="BF4" i="6"/>
  <c r="Q28" i="6"/>
  <c r="X21" i="6"/>
  <c r="W21" i="6"/>
  <c r="W22" i="6" s="1"/>
  <c r="W23" i="6" s="1"/>
  <c r="X4" i="6"/>
  <c r="AE4" i="6"/>
  <c r="AE45" i="6"/>
  <c r="AD45" i="6"/>
  <c r="AD46" i="6" s="1"/>
  <c r="AD47" i="6" s="1"/>
  <c r="Q12" i="6"/>
  <c r="Q8" i="6"/>
  <c r="W60" i="6"/>
  <c r="W61" i="6" s="1"/>
  <c r="W62" i="6" s="1"/>
  <c r="X60" i="6"/>
  <c r="X67" i="6"/>
  <c r="AE9" i="6"/>
  <c r="AD9" i="6"/>
  <c r="AD10" i="6" s="1"/>
  <c r="AD11" i="6" s="1"/>
  <c r="Q45" i="6"/>
  <c r="X10" i="6"/>
  <c r="Q27" i="6"/>
  <c r="P27" i="6"/>
  <c r="P28" i="6" s="1"/>
  <c r="P29" i="6" s="1"/>
  <c r="P30" i="6" s="1"/>
  <c r="AE18" i="6"/>
  <c r="AD18" i="6"/>
  <c r="AD19" i="6" s="1"/>
  <c r="AD20" i="6" s="1"/>
  <c r="X64" i="6"/>
  <c r="X36" i="6"/>
  <c r="W36" i="6"/>
  <c r="W37" i="6" s="1"/>
  <c r="W38" i="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<sst xmlns="http://schemas.openxmlformats.org/spreadsheetml/2006/main" count="16724" uniqueCount="970">
  <si>
    <t>Type</t>
  </si>
  <si>
    <t>Have</t>
  </si>
  <si>
    <t>Pre</t>
  </si>
  <si>
    <t>New</t>
  </si>
  <si>
    <t>Total</t>
  </si>
  <si>
    <t>Missing</t>
  </si>
  <si>
    <t>Found</t>
  </si>
  <si>
    <t>Left</t>
  </si>
  <si>
    <t>LC</t>
  </si>
  <si>
    <t>PC</t>
  </si>
  <si>
    <t>EC</t>
  </si>
  <si>
    <t>CC</t>
  </si>
  <si>
    <t>RC</t>
  </si>
  <si>
    <t>Totals</t>
  </si>
  <si>
    <t>Missing: From once-only domains, time limited events</t>
  </si>
  <si>
    <t>Mora and Experience</t>
  </si>
  <si>
    <t>Talent Materials</t>
  </si>
  <si>
    <t>Weapon Ascension Materials</t>
  </si>
  <si>
    <t>Elite Mob Drops</t>
  </si>
  <si>
    <t>Common Mob Drops</t>
  </si>
  <si>
    <t>Total Weekly Boss Drops</t>
  </si>
  <si>
    <t>Mora Req</t>
  </si>
  <si>
    <t>Rarity</t>
  </si>
  <si>
    <t>Req</t>
  </si>
  <si>
    <t>Craft</t>
  </si>
  <si>
    <t>Material</t>
  </si>
  <si>
    <t>Boss</t>
  </si>
  <si>
    <t>Talent Levels Left</t>
  </si>
  <si>
    <t>Boss Mats in Inventory</t>
  </si>
  <si>
    <t>Boss Mats Req</t>
  </si>
  <si>
    <t>Total mora in inventory</t>
  </si>
  <si>
    <t>Mondstadt 1</t>
  </si>
  <si>
    <t>Mitachurl</t>
  </si>
  <si>
    <t>Slime</t>
  </si>
  <si>
    <t>Hurricane Seed</t>
  </si>
  <si>
    <t>Need</t>
  </si>
  <si>
    <t>Drop 1</t>
  </si>
  <si>
    <t>Drop 2</t>
  </si>
  <si>
    <t>Drop 3</t>
  </si>
  <si>
    <t>To Lv7</t>
  </si>
  <si>
    <t>To Lv8</t>
  </si>
  <si>
    <t>To Lv9</t>
  </si>
  <si>
    <t>To Lv10</t>
  </si>
  <si>
    <t>Total mora still Req</t>
  </si>
  <si>
    <t>Lightning Prism</t>
  </si>
  <si>
    <t>N/A</t>
  </si>
  <si>
    <t>Basalt Pillar</t>
  </si>
  <si>
    <t>Character</t>
  </si>
  <si>
    <t>Mondstadt 2</t>
  </si>
  <si>
    <t>Abyss Mage</t>
  </si>
  <si>
    <t>Hilichurl</t>
  </si>
  <si>
    <t>Hoarfrost Core</t>
  </si>
  <si>
    <t>Experience Req</t>
  </si>
  <si>
    <t>Everflame Seed</t>
  </si>
  <si>
    <t>Wanderer's Advice</t>
  </si>
  <si>
    <t>Cleansing Heart</t>
  </si>
  <si>
    <t>Adventurer's Experience</t>
  </si>
  <si>
    <t>Mondstadt 3</t>
  </si>
  <si>
    <t>Ruin Machine 1</t>
  </si>
  <si>
    <t>Samachurl</t>
  </si>
  <si>
    <t>Juvenile Jade</t>
  </si>
  <si>
    <t>Hero's Wit</t>
  </si>
  <si>
    <t>Crystalline Bloom</t>
  </si>
  <si>
    <t>Total experience in inventory</t>
  </si>
  <si>
    <t>Marionette Core</t>
  </si>
  <si>
    <t>Total experience still Req</t>
  </si>
  <si>
    <t>Liyue 1</t>
  </si>
  <si>
    <t>Fatui Cicin Mage</t>
  </si>
  <si>
    <t>Hilichurl Shooter</t>
  </si>
  <si>
    <t>Perpetual Heart</t>
  </si>
  <si>
    <t>Smoldering Pearl</t>
  </si>
  <si>
    <t>Weapon</t>
  </si>
  <si>
    <t>Dew of Repudiation</t>
  </si>
  <si>
    <t>Liyue 2</t>
  </si>
  <si>
    <t>Fatui Agent</t>
  </si>
  <si>
    <t>Fatui</t>
  </si>
  <si>
    <t>Storm Beads</t>
  </si>
  <si>
    <t>Enhancement Ore</t>
  </si>
  <si>
    <t>Riftborn Regalia</t>
  </si>
  <si>
    <t>Fine Enhancement Ore</t>
  </si>
  <si>
    <t>Dragonheir's False Fin</t>
  </si>
  <si>
    <t>Mystic Enhancement Ore</t>
  </si>
  <si>
    <t>Liyue 3</t>
  </si>
  <si>
    <t>Vishap</t>
  </si>
  <si>
    <t>Treasure Hoarder</t>
  </si>
  <si>
    <t>Runic Fang</t>
  </si>
  <si>
    <t xml:space="preserve"> </t>
  </si>
  <si>
    <t>Majestic Hooked Beak</t>
  </si>
  <si>
    <t>Thunderclap Fruitcore</t>
  </si>
  <si>
    <t>Inazuma 1</t>
  </si>
  <si>
    <t>Ruin Machine 2</t>
  </si>
  <si>
    <t>Whopperflower</t>
  </si>
  <si>
    <t>Perpetual Caliber</t>
  </si>
  <si>
    <t>Light Guiding Tetrahedron</t>
  </si>
  <si>
    <t>Quelled Creeper</t>
  </si>
  <si>
    <t>Inazuma 2</t>
  </si>
  <si>
    <t>Mirror Maiden</t>
  </si>
  <si>
    <t>Nobushi</t>
  </si>
  <si>
    <t>Pseudo-Stamens</t>
  </si>
  <si>
    <t>Evergloom Ring</t>
  </si>
  <si>
    <t>Novel Spare Clockwork Component — Coppelia</t>
  </si>
  <si>
    <t>Inazuma 3</t>
  </si>
  <si>
    <t>Rifthound</t>
  </si>
  <si>
    <t>Specter</t>
  </si>
  <si>
    <t>Novel Spare Clockwork Component — Coppelius</t>
  </si>
  <si>
    <t>Emperor’s Resolution</t>
  </si>
  <si>
    <t>Tourbillon Device</t>
  </si>
  <si>
    <t>Sumeru 1</t>
  </si>
  <si>
    <t>Shadowy Husk</t>
  </si>
  <si>
    <t>Floating Fungi</t>
  </si>
  <si>
    <t>Fontemer Unihorn</t>
  </si>
  <si>
    <t>Water That Failed To Transcend</t>
  </si>
  <si>
    <t>Cloudseam Scale</t>
  </si>
  <si>
    <t>Sumeru 2</t>
  </si>
  <si>
    <t>Activated Fungi</t>
  </si>
  <si>
    <t>Eremite</t>
  </si>
  <si>
    <t>Fragment of a Golden Melody</t>
  </si>
  <si>
    <t>Mark of the Binding Blessing</t>
  </si>
  <si>
    <t>Overripe Flamegranate</t>
  </si>
  <si>
    <t>Sumeru 3</t>
  </si>
  <si>
    <t>Ruin Machine 3</t>
  </si>
  <si>
    <t>Fontemer Aberrant</t>
  </si>
  <si>
    <t>Gold-Inscribed Secret Source Core</t>
  </si>
  <si>
    <t>Ensnaring Gaze</t>
  </si>
  <si>
    <t>Talisman of the Enigmatic Land</t>
  </si>
  <si>
    <t>Fontaine 1</t>
  </si>
  <si>
    <t>Primal Construct</t>
  </si>
  <si>
    <t>Clockwork Meka</t>
  </si>
  <si>
    <t>Fontaine 2</t>
  </si>
  <si>
    <t>Consecrated Beast</t>
  </si>
  <si>
    <t>Saurian</t>
  </si>
  <si>
    <t>Fontaine 3</t>
  </si>
  <si>
    <t>Hilichurl Rogue</t>
  </si>
  <si>
    <t>Sauroform Tribal Warrior</t>
  </si>
  <si>
    <t>Natlan 1</t>
  </si>
  <si>
    <t>Natlan 2</t>
  </si>
  <si>
    <t>Breacher Primus</t>
  </si>
  <si>
    <t>Natlan 3</t>
  </si>
  <si>
    <t>Fatui Operative</t>
  </si>
  <si>
    <t>Xuanwen Beast</t>
  </si>
  <si>
    <t>Golem Guard</t>
  </si>
  <si>
    <t>Wayob Manifestation</t>
  </si>
  <si>
    <t>Avatar of Lava</t>
  </si>
  <si>
    <t>Secret Source Automaton</t>
  </si>
  <si>
    <t>Tenebrous Mimiflora</t>
  </si>
  <si>
    <t>Element</t>
  </si>
  <si>
    <t>Talent Mat</t>
  </si>
  <si>
    <t>Weekly Boss</t>
  </si>
  <si>
    <t>Level</t>
  </si>
  <si>
    <t>Ascension</t>
  </si>
  <si>
    <t>Talent 1</t>
  </si>
  <si>
    <t>Talent 2</t>
  </si>
  <si>
    <t>Talent 3</t>
  </si>
  <si>
    <t>Traveller</t>
  </si>
  <si>
    <t>Anemo</t>
  </si>
  <si>
    <t>Mondstadt All</t>
  </si>
  <si>
    <t>Dvalin 3</t>
  </si>
  <si>
    <t>Geo</t>
  </si>
  <si>
    <t>Liyue All</t>
  </si>
  <si>
    <t>Dvalin 3/Boreas 2</t>
  </si>
  <si>
    <t>Electro</t>
  </si>
  <si>
    <t>Inazuma All</t>
  </si>
  <si>
    <t>Azhdaha 1</t>
  </si>
  <si>
    <t>Dendro</t>
  </si>
  <si>
    <t>Sumeru All</t>
  </si>
  <si>
    <t>Raiden 1</t>
  </si>
  <si>
    <t>Hydro</t>
  </si>
  <si>
    <t>Fontaine All</t>
  </si>
  <si>
    <t>Apep 1</t>
  </si>
  <si>
    <t>Traveller Talent Books Required</t>
  </si>
  <si>
    <t>Amount</t>
  </si>
  <si>
    <t>Talent</t>
  </si>
  <si>
    <t>Count</t>
  </si>
  <si>
    <t>Traveller Mora</t>
  </si>
  <si>
    <t>Region</t>
  </si>
  <si>
    <t>Day</t>
  </si>
  <si>
    <t>Mondstadt</t>
  </si>
  <si>
    <t>Weekly Boss Drops</t>
  </si>
  <si>
    <t>Dvalin</t>
  </si>
  <si>
    <t>Boreas</t>
  </si>
  <si>
    <t>Azhdaha</t>
  </si>
  <si>
    <t>Raiden</t>
  </si>
  <si>
    <t>Apep</t>
  </si>
  <si>
    <t>Liyue</t>
  </si>
  <si>
    <t>Inazuma</t>
  </si>
  <si>
    <t>Sumeru</t>
  </si>
  <si>
    <t>Fontaine</t>
  </si>
  <si>
    <t>Mora Calculator</t>
  </si>
  <si>
    <t>Exp Calculator</t>
  </si>
  <si>
    <t>Character Talent Books Required</t>
  </si>
  <si>
    <t>Weapon Ascension Materials Required</t>
  </si>
  <si>
    <t>Common</t>
  </si>
  <si>
    <t>Elite</t>
  </si>
  <si>
    <t>Weekly Boss Mats Required</t>
  </si>
  <si>
    <t>Weapon Name</t>
  </si>
  <si>
    <t>Ascension Mat Day</t>
  </si>
  <si>
    <t>Character Name</t>
  </si>
  <si>
    <t>Levelling</t>
  </si>
  <si>
    <t>Total Materials Required</t>
  </si>
  <si>
    <t>Status</t>
  </si>
  <si>
    <t>Start Level</t>
  </si>
  <si>
    <t>Experience</t>
  </si>
  <si>
    <t>Done</t>
  </si>
  <si>
    <t>End Level</t>
  </si>
  <si>
    <t>Mora</t>
  </si>
  <si>
    <t>Ascension Materials</t>
  </si>
  <si>
    <t>Start Ascension</t>
  </si>
  <si>
    <t>Mob Drops</t>
  </si>
  <si>
    <t>End Ascension</t>
  </si>
  <si>
    <t>Local Speciality</t>
  </si>
  <si>
    <t>Local Specialities</t>
  </si>
  <si>
    <t>Windwheel Aster</t>
  </si>
  <si>
    <t>Traveller Element</t>
  </si>
  <si>
    <t>Crown of Insight</t>
  </si>
  <si>
    <t>In Progress</t>
  </si>
  <si>
    <t>Elite Boss Drops</t>
  </si>
  <si>
    <t>Talent Books</t>
  </si>
  <si>
    <t>Amber</t>
  </si>
  <si>
    <t>Lisa</t>
  </si>
  <si>
    <t>Razor</t>
  </si>
  <si>
    <t>Xiangling</t>
  </si>
  <si>
    <t>Beidou</t>
  </si>
  <si>
    <t>Bennett</t>
  </si>
  <si>
    <t>Noelle</t>
  </si>
  <si>
    <t>Chongyun</t>
  </si>
  <si>
    <t>Jean</t>
  </si>
  <si>
    <t>Diluc</t>
  </si>
  <si>
    <t>Kaeya</t>
  </si>
  <si>
    <t>Barbara</t>
  </si>
  <si>
    <t>Xingqiu</t>
  </si>
  <si>
    <t>Ningguang</t>
  </si>
  <si>
    <t>Fischl</t>
  </si>
  <si>
    <t>Sucrose</t>
  </si>
  <si>
    <t>Qiqi</t>
  </si>
  <si>
    <t>Mona</t>
  </si>
  <si>
    <t>Keqing</t>
  </si>
  <si>
    <t>Venti</t>
  </si>
  <si>
    <t>Klee</t>
  </si>
  <si>
    <t>Diona</t>
  </si>
  <si>
    <t>Tartaglia</t>
  </si>
  <si>
    <t>Xinyan</t>
  </si>
  <si>
    <t>Zhongli</t>
  </si>
  <si>
    <t>Albedo</t>
  </si>
  <si>
    <t>Ganyu</t>
  </si>
  <si>
    <t>Xiao</t>
  </si>
  <si>
    <t>Hutao</t>
  </si>
  <si>
    <t>Rosaria</t>
  </si>
  <si>
    <t>Yanfei</t>
  </si>
  <si>
    <t>Eula</t>
  </si>
  <si>
    <t>Kaedehara Kazuha</t>
  </si>
  <si>
    <t>Kamisato Ayaka</t>
  </si>
  <si>
    <t>Yoimiya</t>
  </si>
  <si>
    <t>Sayu</t>
  </si>
  <si>
    <t>Raiden Shogun</t>
  </si>
  <si>
    <t>Kujou Sara</t>
  </si>
  <si>
    <t>Sangonomiya Kokomi</t>
  </si>
  <si>
    <t>Thoma</t>
  </si>
  <si>
    <t>Aloy</t>
  </si>
  <si>
    <t>Arataki Itto</t>
  </si>
  <si>
    <t>Gorou</t>
  </si>
  <si>
    <t>Shenhe</t>
  </si>
  <si>
    <t>Yunjin</t>
  </si>
  <si>
    <t>Yae Miko</t>
  </si>
  <si>
    <t>Kamisato Ayato</t>
  </si>
  <si>
    <t>Yelan</t>
  </si>
  <si>
    <t>Kuki Shinobu</t>
  </si>
  <si>
    <t>Shikanoin Heizou</t>
  </si>
  <si>
    <t>Tighnari</t>
  </si>
  <si>
    <t>Collei</t>
  </si>
  <si>
    <t>Dori</t>
  </si>
  <si>
    <t>Cyno</t>
  </si>
  <si>
    <t>Candace</t>
  </si>
  <si>
    <t>Nilou</t>
  </si>
  <si>
    <t>Nahida</t>
  </si>
  <si>
    <t>Layla</t>
  </si>
  <si>
    <t>Wanderer</t>
  </si>
  <si>
    <t>Faruzan</t>
  </si>
  <si>
    <t>Alhaitham</t>
  </si>
  <si>
    <t>Yaoyao</t>
  </si>
  <si>
    <t>Dehya</t>
  </si>
  <si>
    <t>Mika</t>
  </si>
  <si>
    <t>Baizhu</t>
  </si>
  <si>
    <t>Kaveh</t>
  </si>
  <si>
    <t>Kirara</t>
  </si>
  <si>
    <t>Lyney</t>
  </si>
  <si>
    <t>Lynette</t>
  </si>
  <si>
    <t>Freminet</t>
  </si>
  <si>
    <t>Neuvillette</t>
  </si>
  <si>
    <t>Wriothesley</t>
  </si>
  <si>
    <t>Furina</t>
  </si>
  <si>
    <t>Charlotte</t>
  </si>
  <si>
    <t>Navia</t>
  </si>
  <si>
    <t>Chevreuse</t>
  </si>
  <si>
    <t>Xianyun</t>
  </si>
  <si>
    <t>Gaming</t>
  </si>
  <si>
    <t>Chiori</t>
  </si>
  <si>
    <t>Arlecchino</t>
  </si>
  <si>
    <t>Clorinde</t>
  </si>
  <si>
    <t>Sethos</t>
  </si>
  <si>
    <t>Sigewinne</t>
  </si>
  <si>
    <t>Emilie</t>
  </si>
  <si>
    <t>Mualani</t>
  </si>
  <si>
    <t>Kachina</t>
  </si>
  <si>
    <t>Kinich</t>
  </si>
  <si>
    <t>Xilonen</t>
  </si>
  <si>
    <t>Chasca</t>
  </si>
  <si>
    <t>Ororon</t>
  </si>
  <si>
    <t>Mavuika</t>
  </si>
  <si>
    <t>Citlali</t>
  </si>
  <si>
    <t>Lan Yan</t>
  </si>
  <si>
    <t>Dull Blade</t>
  </si>
  <si>
    <t>Waster Greatsword</t>
  </si>
  <si>
    <t>Beginner's Protector</t>
  </si>
  <si>
    <t>Apprentice's Notes</t>
  </si>
  <si>
    <t>Hunter's Bow</t>
  </si>
  <si>
    <t>Silver Sword</t>
  </si>
  <si>
    <t>Old Merc's Pal</t>
  </si>
  <si>
    <t>Iron Point</t>
  </si>
  <si>
    <t>Pocket Grimoire</t>
  </si>
  <si>
    <t>Seasoned Hunter's Bow</t>
  </si>
  <si>
    <t>Cool Steel</t>
  </si>
  <si>
    <t>Dark Iron Sword</t>
  </si>
  <si>
    <t>Fillet Blade</t>
  </si>
  <si>
    <t>Harbinger of Dawn</t>
  </si>
  <si>
    <t>Skyrider Sword</t>
  </si>
  <si>
    <t>Traveler's Handy Sword</t>
  </si>
  <si>
    <t>Bloodtainted Greatsword</t>
  </si>
  <si>
    <t>Debate Club</t>
  </si>
  <si>
    <t>Ferrous Shadow</t>
  </si>
  <si>
    <t>Skyrider Greatsword</t>
  </si>
  <si>
    <t>White Iron Greatsword</t>
  </si>
  <si>
    <t>Black Tassel</t>
  </si>
  <si>
    <t>Halberd</t>
  </si>
  <si>
    <t>White Tassel</t>
  </si>
  <si>
    <t>Emerald Orb</t>
  </si>
  <si>
    <t>Magic Guide</t>
  </si>
  <si>
    <t>Otherworldly Story</t>
  </si>
  <si>
    <t>TTDS</t>
  </si>
  <si>
    <t>Twin Nephrite</t>
  </si>
  <si>
    <t>Messenger</t>
  </si>
  <si>
    <t>Raven Bow</t>
  </si>
  <si>
    <t>Recurve Bow</t>
  </si>
  <si>
    <t>Sharpshooter's Oath</t>
  </si>
  <si>
    <t>Slingshot</t>
  </si>
  <si>
    <t>Royal Longsword</t>
  </si>
  <si>
    <t>Royal Greatsword</t>
  </si>
  <si>
    <t>Royal Spear</t>
  </si>
  <si>
    <t>Royal Grimoire</t>
  </si>
  <si>
    <t>Royal Bow</t>
  </si>
  <si>
    <t>Blackcliff Longsword</t>
  </si>
  <si>
    <t>Blackcliff Slasher</t>
  </si>
  <si>
    <t>Blackcliff Pole</t>
  </si>
  <si>
    <t>Blackcliff Agate</t>
  </si>
  <si>
    <t>Blackcliff Warbow</t>
  </si>
  <si>
    <t>The Black Sword</t>
  </si>
  <si>
    <t>Serpent Spine</t>
  </si>
  <si>
    <t>Deathmatch</t>
  </si>
  <si>
    <t>Solar Pearl</t>
  </si>
  <si>
    <t>The Veridescent Hunt</t>
  </si>
  <si>
    <t>Prototype Rancour</t>
  </si>
  <si>
    <t>Prototype Archaic</t>
  </si>
  <si>
    <t>Prototype Starglitter</t>
  </si>
  <si>
    <t>Prototype Amber</t>
  </si>
  <si>
    <t>Iron Sting</t>
  </si>
  <si>
    <t>Whiteblind</t>
  </si>
  <si>
    <t>Prototype Crescent</t>
  </si>
  <si>
    <t>Crescent Pike</t>
  </si>
  <si>
    <t>Mappa Mare</t>
  </si>
  <si>
    <t>Compound Bow</t>
  </si>
  <si>
    <t>Favonius Sword</t>
  </si>
  <si>
    <t>The Flute</t>
  </si>
  <si>
    <t>Sacrificial Sword</t>
  </si>
  <si>
    <t>Lion's Roar</t>
  </si>
  <si>
    <t>Favonius Greatsword</t>
  </si>
  <si>
    <t>The Bell</t>
  </si>
  <si>
    <t>Sacrificial Greatsword</t>
  </si>
  <si>
    <t>Rainslasher</t>
  </si>
  <si>
    <t>Dragon's Bane</t>
  </si>
  <si>
    <t>Favonius Lance</t>
  </si>
  <si>
    <t>Favonius Codex</t>
  </si>
  <si>
    <t>The Widsith</t>
  </si>
  <si>
    <t>Sacrificial Fragments</t>
  </si>
  <si>
    <t>Eye of Perception</t>
  </si>
  <si>
    <t>Favonius Warbow</t>
  </si>
  <si>
    <t>The Stringless</t>
  </si>
  <si>
    <t>Sacrificial Bow</t>
  </si>
  <si>
    <t>Rust</t>
  </si>
  <si>
    <t>Sword of Descension</t>
  </si>
  <si>
    <t>Aquila Favonia</t>
  </si>
  <si>
    <t>Skyward Blade</t>
  </si>
  <si>
    <t>Skyward Pride</t>
  </si>
  <si>
    <t>Wolf's Gravestone</t>
  </si>
  <si>
    <t>Primordial Jade Winged-Spear</t>
  </si>
  <si>
    <t>Skyward Spine</t>
  </si>
  <si>
    <t>Skyward Atlas</t>
  </si>
  <si>
    <t>Lost Prayer to the Sacred Winds</t>
  </si>
  <si>
    <t>Skyward Harp</t>
  </si>
  <si>
    <t>Amos' Bow</t>
  </si>
  <si>
    <t>Festering Desire</t>
  </si>
  <si>
    <t>Memory of Dust</t>
  </si>
  <si>
    <t>The Unforged</t>
  </si>
  <si>
    <t>Vortex Vanquisher</t>
  </si>
  <si>
    <t>Snow-Tombed Starsilver</t>
  </si>
  <si>
    <t>Dragonspine Spear</t>
  </si>
  <si>
    <t>Frostbearer</t>
  </si>
  <si>
    <t>Summit Shaper</t>
  </si>
  <si>
    <t>Windblume Ode</t>
  </si>
  <si>
    <t>Primordial Jade Cutter</t>
  </si>
  <si>
    <t>Lithic Blade</t>
  </si>
  <si>
    <t>Lithic Spear</t>
  </si>
  <si>
    <t>Staff of Homa</t>
  </si>
  <si>
    <t>The Alley Flash</t>
  </si>
  <si>
    <t>Wine and Song</t>
  </si>
  <si>
    <t>Elegy for the End</t>
  </si>
  <si>
    <t>Alley Hunter</t>
  </si>
  <si>
    <t>Song of Broken Pines</t>
  </si>
  <si>
    <t>Dodoco Tales</t>
  </si>
  <si>
    <t>Mitternachts Waltz</t>
  </si>
  <si>
    <t>Freedom-Sworn</t>
  </si>
  <si>
    <t>Amenoma Kageuchi</t>
  </si>
  <si>
    <t>Katsuragikiri Nagamasa</t>
  </si>
  <si>
    <t>Kitain Cross Spear</t>
  </si>
  <si>
    <t>Hakushin Ring</t>
  </si>
  <si>
    <t>Hamayumi</t>
  </si>
  <si>
    <t>Mistsplitter Reforged</t>
  </si>
  <si>
    <t>Thundering Pulse</t>
  </si>
  <si>
    <t>"The Catch"</t>
  </si>
  <si>
    <t>Luxurious Sea-Lord</t>
  </si>
  <si>
    <t>Engulfing Lightning</t>
  </si>
  <si>
    <t>Everlasting Moonglow</t>
  </si>
  <si>
    <t>Akuoumaru</t>
  </si>
  <si>
    <t>Polar Star</t>
  </si>
  <si>
    <t>Wavebreaker's Fin</t>
  </si>
  <si>
    <t>Mouun's Moon</t>
  </si>
  <si>
    <t>Cinnabar Spindle</t>
  </si>
  <si>
    <t>Redhorn Stonethresher</t>
  </si>
  <si>
    <t>Calamity Queller</t>
  </si>
  <si>
    <t>Oathsworn Eye</t>
  </si>
  <si>
    <t>Kagura's Verity</t>
  </si>
  <si>
    <t>Haran Geppaku Futsu</t>
  </si>
  <si>
    <t>Fading Twilight</t>
  </si>
  <si>
    <t>Aqua Simulacra</t>
  </si>
  <si>
    <t>Kagotsurube Isshin</t>
  </si>
  <si>
    <t>Sapwood Blade</t>
  </si>
  <si>
    <t>Forest Regalia</t>
  </si>
  <si>
    <t>Moonpiercer</t>
  </si>
  <si>
    <t>Fruit of Fulfillment</t>
  </si>
  <si>
    <t>King's Squire</t>
  </si>
  <si>
    <t>End of the Line</t>
  </si>
  <si>
    <t>Hunter's Path</t>
  </si>
  <si>
    <t>Missive Windspear</t>
  </si>
  <si>
    <t>Staff of the Scarlet Sands</t>
  </si>
  <si>
    <t>Key of Khaj-Nisat</t>
  </si>
  <si>
    <t>Xiphos’ Moonlight</t>
  </si>
  <si>
    <t>Makhaira Aquamarine</t>
  </si>
  <si>
    <t>Wandering Evenstar</t>
  </si>
  <si>
    <t>A Thousand Floating Dreams</t>
  </si>
  <si>
    <t>Tullaytullah's Remembrance</t>
  </si>
  <si>
    <t>Toukabou Shigure</t>
  </si>
  <si>
    <t>Light of Foliar Incision</t>
  </si>
  <si>
    <t>Beacon of the Reed Sea</t>
  </si>
  <si>
    <t>Mailed Flower</t>
  </si>
  <si>
    <t>Jadefall's Splendor</t>
  </si>
  <si>
    <t>Ibis Piercer</t>
  </si>
  <si>
    <t>Wolf-Fang</t>
  </si>
  <si>
    <t>Talking Stick</t>
  </si>
  <si>
    <t>Ballad of the Fjords</t>
  </si>
  <si>
    <t>Sacrificial Jade</t>
  </si>
  <si>
    <t>Scion of the Blazing Sun</t>
  </si>
  <si>
    <t>Finale of the Deep</t>
  </si>
  <si>
    <t>Tidal Shadow</t>
  </si>
  <si>
    <t>Rightful Reward</t>
  </si>
  <si>
    <t>Flowing Purity</t>
  </si>
  <si>
    <t>Song of Stillness</t>
  </si>
  <si>
    <t>The First Great Magic</t>
  </si>
  <si>
    <t>Crossing of Fleuve Cendre</t>
  </si>
  <si>
    <t>Tome of the Eternal Flow</t>
  </si>
  <si>
    <t>The Dockhand's Assistant</t>
  </si>
  <si>
    <t>Portable Power Saw</t>
  </si>
  <si>
    <t>Cashflow Supervision</t>
  </si>
  <si>
    <t>Ballad of the Boundless Blue</t>
  </si>
  <si>
    <t>Prospector’s Drill</t>
  </si>
  <si>
    <t>Range Gauge</t>
  </si>
  <si>
    <t>Splendor of Tranquil Waters</t>
  </si>
  <si>
    <t>Sword of Narzissenkreuz</t>
  </si>
  <si>
    <t>Verdict</t>
  </si>
  <si>
    <t>Ultimate Overlord’s Mega Magic</t>
  </si>
  <si>
    <t>Crane’s Echoing Call</t>
  </si>
  <si>
    <t>Uraku Misugiri</t>
  </si>
  <si>
    <t>Dialogues of the Desert Sages</t>
  </si>
  <si>
    <t>Crimson Moon’s Semblance</t>
  </si>
  <si>
    <t>Absolution</t>
  </si>
  <si>
    <t>Cloudweaver</t>
  </si>
  <si>
    <t>Pouring Heartstrings</t>
  </si>
  <si>
    <t>Lumidouce Elegy</t>
  </si>
  <si>
    <t>Flute of Ezpitzal</t>
  </si>
  <si>
    <t>Earth Shaker</t>
  </si>
  <si>
    <t>Footprint of the Rainbow</t>
  </si>
  <si>
    <t>Ring of Yaxche</t>
  </si>
  <si>
    <t>Chain Breaker</t>
  </si>
  <si>
    <t>Surf's Up</t>
  </si>
  <si>
    <t>Fang of the Mountain King</t>
  </si>
  <si>
    <t>Ash-Graven Drinking Horn</t>
  </si>
  <si>
    <t>Sturdy Bone</t>
  </si>
  <si>
    <t>Peak Patrol Song</t>
  </si>
  <si>
    <t>Mountain-Bracing Bolt</t>
  </si>
  <si>
    <t>Fruitful Hook</t>
  </si>
  <si>
    <t>Astral Vulture’s Crimson</t>
  </si>
  <si>
    <t>The Calamity of Eshu</t>
  </si>
  <si>
    <t>Waveriding Whirl</t>
  </si>
  <si>
    <t>Flower-Wreathed Feathers</t>
  </si>
  <si>
    <t>A Thousand Blazing Suns</t>
  </si>
  <si>
    <t>Starcaller’s Watch</t>
  </si>
  <si>
    <t>Character Material Details</t>
  </si>
  <si>
    <t>Gem</t>
  </si>
  <si>
    <t>Boss Material</t>
  </si>
  <si>
    <t>Mob Drop</t>
  </si>
  <si>
    <t>Weekly Boss Material</t>
  </si>
  <si>
    <t>Pyro</t>
  </si>
  <si>
    <t>Small Lamp Grass</t>
  </si>
  <si>
    <t>Valberry</t>
  </si>
  <si>
    <t>Dvalin 2</t>
  </si>
  <si>
    <t>Wolfhook</t>
  </si>
  <si>
    <t>Jueyun Chili</t>
  </si>
  <si>
    <t>Noctilucous Jade</t>
  </si>
  <si>
    <t>Dvalin 1</t>
  </si>
  <si>
    <t>Cryo</t>
  </si>
  <si>
    <t>Cor Lapis</t>
  </si>
  <si>
    <t>Dandelion Seed</t>
  </si>
  <si>
    <t>Calla Lily</t>
  </si>
  <si>
    <t>Boreas 3</t>
  </si>
  <si>
    <t>Philanemo Mushroom</t>
  </si>
  <si>
    <t>Boreas 2</t>
  </si>
  <si>
    <t>Silk Flower</t>
  </si>
  <si>
    <t>Boreas 1</t>
  </si>
  <si>
    <t>Glaze Lily</t>
  </si>
  <si>
    <t>Violetgrass</t>
  </si>
  <si>
    <t>Cecilia</t>
  </si>
  <si>
    <t>Childe 2</t>
  </si>
  <si>
    <t>Starconch</t>
  </si>
  <si>
    <t>Childe 1</t>
  </si>
  <si>
    <t>Qingxin</t>
  </si>
  <si>
    <t>Childe 3</t>
  </si>
  <si>
    <t>Azhdaha 2</t>
  </si>
  <si>
    <t>Sea Ganoderma</t>
  </si>
  <si>
    <t>Azhdaha 3</t>
  </si>
  <si>
    <t>Sakura Bloom</t>
  </si>
  <si>
    <t>Naku Weed</t>
  </si>
  <si>
    <t>Crystal Marrow</t>
  </si>
  <si>
    <t>Amakumo Fruit</t>
  </si>
  <si>
    <t>Signora 1</t>
  </si>
  <si>
    <t>Dendrobium</t>
  </si>
  <si>
    <t>Signora 3</t>
  </si>
  <si>
    <t>Sango Pearl</t>
  </si>
  <si>
    <t>Signora 2</t>
  </si>
  <si>
    <t>Fluorescent Fungus</t>
  </si>
  <si>
    <t>Onikabuto</t>
  </si>
  <si>
    <t>Raiden 3</t>
  </si>
  <si>
    <t>Raiden 2</t>
  </si>
  <si>
    <t>Nilotpala Lotus</t>
  </si>
  <si>
    <t>Rukkhashava Mushrooms</t>
  </si>
  <si>
    <t>Kalpalata Lotus</t>
  </si>
  <si>
    <t>Scarab</t>
  </si>
  <si>
    <t>Henna Berry</t>
  </si>
  <si>
    <t>Padisarah</t>
  </si>
  <si>
    <t>Scaramouche 1</t>
  </si>
  <si>
    <t>Scaramouche 2</t>
  </si>
  <si>
    <t>Scaramouche 3</t>
  </si>
  <si>
    <t>Sand Grease Pupa</t>
  </si>
  <si>
    <t>Mourning Flower</t>
  </si>
  <si>
    <t>Apep 2</t>
  </si>
  <si>
    <t>Apep 3</t>
  </si>
  <si>
    <t>Rainbow Rose</t>
  </si>
  <si>
    <t>Lumidouce Bell</t>
  </si>
  <si>
    <t>Romaritime Flower</t>
  </si>
  <si>
    <t>Lumitoile</t>
  </si>
  <si>
    <t>Subdetection Unit</t>
  </si>
  <si>
    <t>Lakelight Lily</t>
  </si>
  <si>
    <t>Narwhal 3</t>
  </si>
  <si>
    <t>Beryl Conch</t>
  </si>
  <si>
    <t>Narwhal 1</t>
  </si>
  <si>
    <t>Spring of the First Dewdrop</t>
  </si>
  <si>
    <t>Narwhal 2</t>
  </si>
  <si>
    <t>Clearwater Jade</t>
  </si>
  <si>
    <t>Knave 1</t>
  </si>
  <si>
    <t>Trishiraite</t>
  </si>
  <si>
    <t>Knave 2</t>
  </si>
  <si>
    <t>Sprayfeather Gill</t>
  </si>
  <si>
    <t>Quenepa Berry</t>
  </si>
  <si>
    <t>Saurian Claw Succulent</t>
  </si>
  <si>
    <t>Knave 3</t>
  </si>
  <si>
    <t>Brilliant Chrysanthemum</t>
  </si>
  <si>
    <t>Withering Purpurbloom</t>
  </si>
  <si>
    <t>Glowing Hornshroom</t>
  </si>
  <si>
    <t>Weapon Material Details</t>
  </si>
  <si>
    <t>Ascension Material</t>
  </si>
  <si>
    <t>Common Mob Drop</t>
  </si>
  <si>
    <t>Elite Mob Drop</t>
  </si>
  <si>
    <t>Sword</t>
  </si>
  <si>
    <t>Claymore</t>
  </si>
  <si>
    <t>Polearm</t>
  </si>
  <si>
    <t>Catalyst</t>
  </si>
  <si>
    <t>Bow</t>
  </si>
  <si>
    <t>Weekly Boss Mat</t>
  </si>
  <si>
    <t>Natlan</t>
  </si>
  <si>
    <t>Character exp and mora per level</t>
  </si>
  <si>
    <t>Mats per character ascension</t>
  </si>
  <si>
    <t>Mats per character talent level</t>
  </si>
  <si>
    <t>Exp</t>
  </si>
  <si>
    <t>Cumulative Exp</t>
  </si>
  <si>
    <t>Cumulative Mora</t>
  </si>
  <si>
    <t>Book</t>
  </si>
  <si>
    <t>1*</t>
  </si>
  <si>
    <t>2*</t>
  </si>
  <si>
    <t>3*</t>
  </si>
  <si>
    <t>4*</t>
  </si>
  <si>
    <t>Boss Drop</t>
  </si>
  <si>
    <t>Teachings</t>
  </si>
  <si>
    <t>Guides</t>
  </si>
  <si>
    <t>Philosophies</t>
  </si>
  <si>
    <t>Weekly boss drop</t>
  </si>
  <si>
    <t>Crown</t>
  </si>
  <si>
    <t>Cumulative character ascension mats</t>
  </si>
  <si>
    <t>Cumulative character talent mats</t>
  </si>
  <si>
    <t>Mats per 1* weapon ascension</t>
  </si>
  <si>
    <t>Weapon ascension mats</t>
  </si>
  <si>
    <t>Common Mob</t>
  </si>
  <si>
    <t>Elite Mob</t>
  </si>
  <si>
    <t>1* Weapon exp and mora per level</t>
  </si>
  <si>
    <t>5*</t>
  </si>
  <si>
    <t>Cumulative Mats per 1* weapon ascension</t>
  </si>
  <si>
    <t>Mats per 2* weapon ascension</t>
  </si>
  <si>
    <t>2* Weapon exp and mora per level</t>
  </si>
  <si>
    <t>Cumulative Mats per 2* weapon ascension</t>
  </si>
  <si>
    <t>Mats per 3* weapon ascension</t>
  </si>
  <si>
    <t>3* Weapon exp and mora per level</t>
  </si>
  <si>
    <t>Cumulative Mats per 3* weapon ascension</t>
  </si>
  <si>
    <t>Mats per 4* weapon ascension</t>
  </si>
  <si>
    <t>4* Weapon exp and mora per level</t>
  </si>
  <si>
    <t>Cumulative Mats per 4* weapon ascension</t>
  </si>
  <si>
    <t>Mats per 5* weapon ascension</t>
  </si>
  <si>
    <t>5* Weapon exp and mora per level</t>
  </si>
  <si>
    <t>Cumulative Mats per 5* weapon ascension</t>
  </si>
  <si>
    <t>Tile of Decarabian's Tower</t>
  </si>
  <si>
    <t>Debris of Decarabian's City</t>
  </si>
  <si>
    <t>Fragment of Decarabian's Epic</t>
  </si>
  <si>
    <t>Scattered Piece of Decarabian's Dream</t>
  </si>
  <si>
    <t>Boreal Wolf's Milk Tooth</t>
  </si>
  <si>
    <t>Boreal Wolf's Cracked Tooth</t>
  </si>
  <si>
    <t>Boreal Wolf's Broken Fang</t>
  </si>
  <si>
    <t>Boreal Wolf's Nostalgia</t>
  </si>
  <si>
    <t>Fetters of the Dandelion Gladiator</t>
  </si>
  <si>
    <t>Chains of the Dandelion Gladiator</t>
  </si>
  <si>
    <t>Shackles of the Dandelion Gladiator</t>
  </si>
  <si>
    <t>Dream of the Dandelion Gladiator</t>
  </si>
  <si>
    <t>Luminous Sands from Guyun</t>
  </si>
  <si>
    <t>Lustrous Stone from Guyun</t>
  </si>
  <si>
    <t>Relic from Guyun</t>
  </si>
  <si>
    <t>Divine Body from Guyun</t>
  </si>
  <si>
    <t>Mist Veiled Lead Elixir</t>
  </si>
  <si>
    <t>Mist Veiled Mercury Elixir</t>
  </si>
  <si>
    <t>Mist Veiled Gold Elixir</t>
  </si>
  <si>
    <t>Mist Veiled Primo Elixir</t>
  </si>
  <si>
    <t>Grain of Aerosiderite</t>
  </si>
  <si>
    <t>Piece of Aerosiderite</t>
  </si>
  <si>
    <t>Bit of Aerosiderite</t>
  </si>
  <si>
    <t>Chunk of Aerosiderite</t>
  </si>
  <si>
    <t>Coral Branch of a Distant Sea</t>
  </si>
  <si>
    <t>Jeweled Branch of a Distant Sea</t>
  </si>
  <si>
    <t>Jade Branch of a Distant Sea</t>
  </si>
  <si>
    <t>Golden Branch of a Distant Sea</t>
  </si>
  <si>
    <t>Narukami's Wisdon</t>
  </si>
  <si>
    <t>Narukami's Joy</t>
  </si>
  <si>
    <t>Narukami's Affection</t>
  </si>
  <si>
    <t>Narukami's Valor</t>
  </si>
  <si>
    <t>Mask of the Wicked Lieutenant</t>
  </si>
  <si>
    <t>Mask of the Tiger's Bite</t>
  </si>
  <si>
    <t>Mask of the One-Horned</t>
  </si>
  <si>
    <t>Mask of the Kijin</t>
  </si>
  <si>
    <t>Copper Talisman of the Forest Dew</t>
  </si>
  <si>
    <t>Iron Talisman of the Forest Dew</t>
  </si>
  <si>
    <t>Silver Talisman of the Forest Dew</t>
  </si>
  <si>
    <t>Golden Talisman of the Forest Dew</t>
  </si>
  <si>
    <t>Oasis Garden's Reminiscence</t>
  </si>
  <si>
    <t>Oasis Garden's Kindness</t>
  </si>
  <si>
    <t>Oasis Garden's Mourning</t>
  </si>
  <si>
    <t>Oasis Garden's Truth</t>
  </si>
  <si>
    <t>Echo of Scorching Might</t>
  </si>
  <si>
    <t>Remnant Glow of Scorching Might</t>
  </si>
  <si>
    <t>Dream of Scorching Might</t>
  </si>
  <si>
    <t>Olden Days of Scorching Might</t>
  </si>
  <si>
    <t>Fragment of an Ancient Chord</t>
  </si>
  <si>
    <t>Chapter of an Ancient Chord</t>
  </si>
  <si>
    <t>Movement of an Ancient Chord</t>
  </si>
  <si>
    <t>Echo of an Ancient Chord</t>
  </si>
  <si>
    <t>Dross of Pure Sacred Dewdrop</t>
  </si>
  <si>
    <t>Sublimation of Pure Sacred Dewdrop</t>
  </si>
  <si>
    <t>Spring of Pure Sacred Dewdrop</t>
  </si>
  <si>
    <t>Essense of Pure Sacred Dewdrop</t>
  </si>
  <si>
    <t>Broken Goblet of the Pristine Sea</t>
  </si>
  <si>
    <t>Wine Goblet of the Pristine Sea</t>
  </si>
  <si>
    <t>Silver Goblet of the Pristine Sea</t>
  </si>
  <si>
    <t>Golden Goblet of the Pristine Sea</t>
  </si>
  <si>
    <t>Blazing Sacrificial Heart's Terror</t>
  </si>
  <si>
    <t>Blazing Sacrificial Heart's Hesitance</t>
  </si>
  <si>
    <t>Blazing Sacrificial Heart's Resolve</t>
  </si>
  <si>
    <t>Blazing Sacrificial Heart's Splendor</t>
  </si>
  <si>
    <t>Delirious Decadence of the Sacred Lord</t>
  </si>
  <si>
    <t>Delirious Desolation of the Sacred Lord</t>
  </si>
  <si>
    <t>Delirious Demeanor of the Sacred Lord</t>
  </si>
  <si>
    <t>Delirious Divinity of the Sacred Lord</t>
  </si>
  <si>
    <t>Night-Wind's Mystic Consideration</t>
  </si>
  <si>
    <t>Night-Wind's Mystic Premonition</t>
  </si>
  <si>
    <t>Night-Wind's Mystic Augury</t>
  </si>
  <si>
    <t>Night-Wind's Mystic Revelation</t>
  </si>
  <si>
    <t>Character Talent Mats</t>
  </si>
  <si>
    <t>Weekly Boss Mats</t>
  </si>
  <si>
    <t>Name</t>
  </si>
  <si>
    <t>Freedom</t>
  </si>
  <si>
    <t>Dvalin's Plume</t>
  </si>
  <si>
    <t>Resistance</t>
  </si>
  <si>
    <t>Dvalin's Claw</t>
  </si>
  <si>
    <t>Ballad</t>
  </si>
  <si>
    <t>Dvalin's Sigh</t>
  </si>
  <si>
    <t>Prosperity</t>
  </si>
  <si>
    <t>Tail of Boreas</t>
  </si>
  <si>
    <t>Diligence</t>
  </si>
  <si>
    <t>Ring of Boreas</t>
  </si>
  <si>
    <t>Gold</t>
  </si>
  <si>
    <t>Spirit Locket of Boreas</t>
  </si>
  <si>
    <t>Transience</t>
  </si>
  <si>
    <t>Tusk of Monoceros Caeli</t>
  </si>
  <si>
    <t>Elegance</t>
  </si>
  <si>
    <t>Shard of a Foul Legacy</t>
  </si>
  <si>
    <t>Light</t>
  </si>
  <si>
    <t>Shadow of the Warrior</t>
  </si>
  <si>
    <t>Admonition</t>
  </si>
  <si>
    <t>Dragon Lord's Crown</t>
  </si>
  <si>
    <t>Ingenuity</t>
  </si>
  <si>
    <t>Bloodjade Branch</t>
  </si>
  <si>
    <t>Praxis</t>
  </si>
  <si>
    <t>Gilded Scale</t>
  </si>
  <si>
    <t>Equity</t>
  </si>
  <si>
    <t>Molten Moment</t>
  </si>
  <si>
    <t>Justice</t>
  </si>
  <si>
    <t>Hellfire Butterfly</t>
  </si>
  <si>
    <t>Order</t>
  </si>
  <si>
    <t>Ashen Heart</t>
  </si>
  <si>
    <t>Contention</t>
  </si>
  <si>
    <t>Mudra of the Malefic General</t>
  </si>
  <si>
    <t>Kindling</t>
  </si>
  <si>
    <t>Tears of the Calamitous God</t>
  </si>
  <si>
    <t>Conflict</t>
  </si>
  <si>
    <t>The Meaning of Aeons</t>
  </si>
  <si>
    <t>Puppet Strings</t>
  </si>
  <si>
    <t>Mirror of Mushin</t>
  </si>
  <si>
    <t>Daka's Bell</t>
  </si>
  <si>
    <t>Worldspan Fern</t>
  </si>
  <si>
    <t>Primordial Greenbloom</t>
  </si>
  <si>
    <t>Everamber</t>
  </si>
  <si>
    <t>Lightless Silk String</t>
  </si>
  <si>
    <t>Lightless Eye of the Maelstrom</t>
  </si>
  <si>
    <t>Lightless Mass</t>
  </si>
  <si>
    <t>Fading Candle</t>
  </si>
  <si>
    <t>Silken Feather</t>
  </si>
  <si>
    <t>Denial and Judgment</t>
  </si>
  <si>
    <t>Boss Mob Drops</t>
  </si>
  <si>
    <t>Slime Condensate</t>
  </si>
  <si>
    <t>Slime Secretions</t>
  </si>
  <si>
    <t>Slime Concentrate</t>
  </si>
  <si>
    <t>Vayuda Turquoise</t>
  </si>
  <si>
    <t>Damaged Mask</t>
  </si>
  <si>
    <t>Stained Mask</t>
  </si>
  <si>
    <t>Ominous Mask</t>
  </si>
  <si>
    <t>Shivada Jade</t>
  </si>
  <si>
    <t>Divining Scroll</t>
  </si>
  <si>
    <t>Sealed Scroll</t>
  </si>
  <si>
    <t>Forbidden Scroll</t>
  </si>
  <si>
    <t>Nagadus Emerald</t>
  </si>
  <si>
    <t>Firm Arrowhead</t>
  </si>
  <si>
    <t>Sharp Arrowhead</t>
  </si>
  <si>
    <t>Weathered Arrowhead</t>
  </si>
  <si>
    <t>Vajrada Amethyst</t>
  </si>
  <si>
    <t>Recruit's Insignia</t>
  </si>
  <si>
    <t>Sergeant's Insignia</t>
  </si>
  <si>
    <t>Lieutenant's Insignia</t>
  </si>
  <si>
    <t>Prithiva Topaz</t>
  </si>
  <si>
    <t>Treasure Hoarder Insignia</t>
  </si>
  <si>
    <t>Silver Raven Insignia</t>
  </si>
  <si>
    <t>Golden Raven Insignia</t>
  </si>
  <si>
    <t>Varunada Lazurite</t>
  </si>
  <si>
    <t>Shimmering Nectar</t>
  </si>
  <si>
    <t>Energy Nectar</t>
  </si>
  <si>
    <t>Agnidus Agate</t>
  </si>
  <si>
    <t>Old Nobushi</t>
  </si>
  <si>
    <t>Kageuchi Nobushi</t>
  </si>
  <si>
    <t>Famed Nobushi</t>
  </si>
  <si>
    <t>Spectral Husk</t>
  </si>
  <si>
    <t>Spectral Heart</t>
  </si>
  <si>
    <t>Spectral Nucleus</t>
  </si>
  <si>
    <t>Fungal Spores</t>
  </si>
  <si>
    <t>Luminescent Pollen</t>
  </si>
  <si>
    <t>Crystalline Cyst Dust</t>
  </si>
  <si>
    <t>Faded Red Satin</t>
  </si>
  <si>
    <t>Trimmed Red Silk</t>
  </si>
  <si>
    <t>Rich Red Brocade</t>
  </si>
  <si>
    <t>Transoceanic Pearl</t>
  </si>
  <si>
    <t>Transoceanic Chunk</t>
  </si>
  <si>
    <t>Xenochromatic Crystal</t>
  </si>
  <si>
    <t>Mechanical Spur Gear</t>
  </si>
  <si>
    <t>Juvenile Fang</t>
  </si>
  <si>
    <t>Seasoned Fang</t>
  </si>
  <si>
    <t>Tyrant’s Fang</t>
  </si>
  <si>
    <t>Sentry’s Wooden Whistle</t>
  </si>
  <si>
    <t>Warrior’s Metal Whistle</t>
  </si>
  <si>
    <t>Saurian-Crowned Warrior’s Golden Whistle</t>
  </si>
  <si>
    <t>Heavy Horn</t>
  </si>
  <si>
    <t>Black Bronze Horn</t>
  </si>
  <si>
    <t>Black Crystal Horn</t>
  </si>
  <si>
    <t>Dead Ley Line Branch</t>
  </si>
  <si>
    <t>Dead Ley Line Leaves</t>
  </si>
  <si>
    <t>Ley Line Sprouts</t>
  </si>
  <si>
    <t>Chaos Device</t>
  </si>
  <si>
    <t>Chaos Circuit</t>
  </si>
  <si>
    <t>Chaos Core</t>
  </si>
  <si>
    <t>Mist Grass Pollen</t>
  </si>
  <si>
    <t>Mist Grass</t>
  </si>
  <si>
    <t>Mist Grass Wick</t>
  </si>
  <si>
    <t>Hunter's Sacrificial Knife</t>
  </si>
  <si>
    <t>Agent's Sacrificial Knife</t>
  </si>
  <si>
    <t>Inspector's Sacrificial Knife</t>
  </si>
  <si>
    <t>Fragile Bone Shard</t>
  </si>
  <si>
    <t>Sturdy Bone Shard</t>
  </si>
  <si>
    <t>Fossilized Bone Shard</t>
  </si>
  <si>
    <t>Chaos Gear</t>
  </si>
  <si>
    <t>Chaos Axis</t>
  </si>
  <si>
    <t>Chaos Oculus</t>
  </si>
  <si>
    <t>Dismal Prism</t>
  </si>
  <si>
    <t>Crystal Prism</t>
  </si>
  <si>
    <t>Polarizing Prism</t>
  </si>
  <si>
    <t>Concealed Rifthound</t>
  </si>
  <si>
    <t>Concealed Unguis</t>
  </si>
  <si>
    <t>Concealed Talon</t>
  </si>
  <si>
    <t>Gloomy Shadowy Husk</t>
  </si>
  <si>
    <t>Dark Shadowy Husk</t>
  </si>
  <si>
    <t>Deathly Shadowy Husk</t>
  </si>
  <si>
    <t>Chaos Storage</t>
  </si>
  <si>
    <t>Chaos Module</t>
  </si>
  <si>
    <t>Chaos Bolt</t>
  </si>
  <si>
    <t>Inactivated Activated Fungi</t>
  </si>
  <si>
    <t>Dormant Activated Fungi</t>
  </si>
  <si>
    <t>Robust Activated Fungi</t>
  </si>
  <si>
    <t>Damaged Prism</t>
  </si>
  <si>
    <t>Turbid Prism</t>
  </si>
  <si>
    <t>Radiant Prism</t>
  </si>
  <si>
    <t>Desiccated Shell</t>
  </si>
  <si>
    <t>Sturdy Shell</t>
  </si>
  <si>
    <t>Marked Shell</t>
  </si>
  <si>
    <t>A Flower Yet to Bloom</t>
  </si>
  <si>
    <t>Treasured Flower</t>
  </si>
  <si>
    <t>Wanderer's Blooming Flower</t>
  </si>
  <si>
    <t>Drop of Tainted Water</t>
  </si>
  <si>
    <t>Scoop of Tainted Water</t>
  </si>
  <si>
    <t>Newborn Tainted Hydro Eidolon</t>
  </si>
  <si>
    <t>Rift Core</t>
  </si>
  <si>
    <t>Foreign Synapse</t>
  </si>
  <si>
    <t>Alien Life Core</t>
  </si>
  <si>
    <t>Feathery Fin</t>
  </si>
  <si>
    <t>Lunar Fin</t>
  </si>
  <si>
    <t>Chasmlight Fin</t>
  </si>
  <si>
    <t>Ruined Hilt</t>
  </si>
  <si>
    <t>Splintered Hilt</t>
  </si>
  <si>
    <t>Still-Smoldering Hilt</t>
  </si>
  <si>
    <t>Shard of a Shattered Will</t>
  </si>
  <si>
    <t>Locus of a Clear Will</t>
  </si>
  <si>
    <t>Sigil of a Striding Will</t>
  </si>
  <si>
    <t>Ignited Stone</t>
  </si>
  <si>
    <t>Ignited Seed of Life</t>
  </si>
  <si>
    <t>Ignited Seeing Eye</t>
  </si>
  <si>
    <t>Axis of the Secret Source</t>
  </si>
  <si>
    <t>Sheath of the Secret Source</t>
  </si>
  <si>
    <t>Heart of the Secret Source</t>
  </si>
  <si>
    <t>Refractive Bud</t>
  </si>
  <si>
    <t>Bewildering Broadleaf</t>
  </si>
  <si>
    <t>Illusory Leafcoil</t>
  </si>
  <si>
    <t>Cornerstone of Stars and Flames</t>
  </si>
  <si>
    <t>Natlan All</t>
  </si>
  <si>
    <t>Eroded Horn</t>
  </si>
  <si>
    <t>Eroded Sunfire</t>
  </si>
  <si>
    <t>Eroded Scale-Feather</t>
  </si>
  <si>
    <t>Eroded Primal Fire 1</t>
  </si>
  <si>
    <t>Eroded Primal Fire 2</t>
  </si>
  <si>
    <t>Eroded Primal Fire 3</t>
  </si>
  <si>
    <t>Yumemizuki Mizuki</t>
  </si>
  <si>
    <t>Sunny Morning Sleep-In</t>
  </si>
  <si>
    <t>Varesa</t>
  </si>
  <si>
    <t>Sparkless Statue Core</t>
  </si>
  <si>
    <t>Skysplit Gembloom</t>
  </si>
  <si>
    <t>Iansan</t>
  </si>
  <si>
    <t>Dracolite</t>
  </si>
  <si>
    <t>Vivid Notions</t>
  </si>
  <si>
    <t>Cold-Cracked Shellshard</t>
  </si>
  <si>
    <t>Warm Back-Shell</t>
  </si>
  <si>
    <t>Blazing Prismshell</t>
  </si>
  <si>
    <t>Tamayuratei no Ohanashi</t>
  </si>
  <si>
    <t>Boss Drops</t>
  </si>
  <si>
    <t>Character Ascension Materials</t>
  </si>
  <si>
    <t>Escoffier</t>
  </si>
  <si>
    <t>Secret Source Airflow Accumulator</t>
  </si>
  <si>
    <t>Ifa</t>
  </si>
  <si>
    <t>Symphonist of Scents</t>
  </si>
  <si>
    <t>Tainted Hydro Phantasm</t>
  </si>
  <si>
    <t>Sequence of Solitude</t>
  </si>
  <si>
    <t>Furnace Shell Mountain Weasel</t>
  </si>
  <si>
    <t>Skirk</t>
  </si>
  <si>
    <t>Dahlia</t>
  </si>
  <si>
    <t>Azurelight</t>
  </si>
  <si>
    <t>Game before the Gate 1</t>
  </si>
  <si>
    <t>Game before the Gate 2</t>
  </si>
  <si>
    <t>Game before the Gate 3</t>
  </si>
  <si>
    <t>Ascended Sample: Rook</t>
  </si>
  <si>
    <t>Ascended Sample: Queen</t>
  </si>
  <si>
    <t>Ascended Sample: Knight</t>
  </si>
  <si>
    <t>Ineffa</t>
  </si>
  <si>
    <t>Fractured Halo</t>
  </si>
  <si>
    <t>Flame-Forged Insight</t>
  </si>
  <si>
    <t>Lauma</t>
  </si>
  <si>
    <t>Flins</t>
  </si>
  <si>
    <t>Aino</t>
  </si>
  <si>
    <t>Lightbearing Wings</t>
  </si>
  <si>
    <t>Fatui Oprichniki</t>
  </si>
  <si>
    <t>Moonfall Silver</t>
  </si>
  <si>
    <t>Nod Krai 1</t>
  </si>
  <si>
    <t>Nod Krai 2</t>
  </si>
  <si>
    <t>Nod Krai 3</t>
  </si>
  <si>
    <t>Moonlight</t>
  </si>
  <si>
    <t>Precision Kuuvahki Stamping D-uck-ie</t>
  </si>
  <si>
    <t>Frostcup Flower</t>
  </si>
  <si>
    <t>Landcruiser</t>
  </si>
  <si>
    <t>Vagrancy</t>
  </si>
  <si>
    <t>Portable Bearing</t>
  </si>
  <si>
    <t>Elysium</t>
  </si>
  <si>
    <t>6.0 Forge Sword</t>
  </si>
  <si>
    <t>6.0 Forge Clayymore</t>
  </si>
  <si>
    <t>6.0 Forge Polearm</t>
  </si>
  <si>
    <t>6.0 Forge Catalyst</t>
  </si>
  <si>
    <t>6.0 Forge Bow</t>
  </si>
  <si>
    <t>6.0 Polearm</t>
  </si>
  <si>
    <t>6.0 Catalyst</t>
  </si>
  <si>
    <t>City Sword</t>
  </si>
  <si>
    <t>6.0 Event Catalyst</t>
  </si>
  <si>
    <t>Mysterious Instrument Fragment</t>
  </si>
  <si>
    <t>Mysterious Instrument Replica</t>
  </si>
  <si>
    <t xml:space="preserve">Inheritance of the Tricky Instrument	</t>
  </si>
  <si>
    <t>Whimsical Instrument's Trusty Wish</t>
  </si>
  <si>
    <t>Ember of Long Night Flint</t>
  </si>
  <si>
    <t>Afterglow of Long Night Flint</t>
  </si>
  <si>
    <t>Flare of Long Night Flint</t>
  </si>
  <si>
    <t>Blaze of Long Night Flint</t>
  </si>
  <si>
    <t>Lost Glory of Far North Scion</t>
  </si>
  <si>
    <t>迷顽 of Far North Scion</t>
  </si>
  <si>
    <t>祷献 of Far North Scion</t>
  </si>
  <si>
    <t>煌熠 of Far North Scion</t>
  </si>
  <si>
    <t>Wasteland Wild Hunt</t>
  </si>
  <si>
    <t>Radiant Mutant</t>
  </si>
  <si>
    <t>Frostnight Scion</t>
  </si>
  <si>
    <t>Artificed Dynamic Gear</t>
  </si>
  <si>
    <t>Old Operative's Pocket Watch</t>
  </si>
  <si>
    <t>Operative's Standard Pocket Watch</t>
  </si>
  <si>
    <t>Operative's Constancy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</si>
</sst>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_-;\-* #,##0_-;_-* &quot;-&quot;??_-;_-@_-"/>
    <numFmt numFmtId="165" formatCode="0.0"/>
  </numFmts>
  <fonts count="6" x14ac:knownFonts="1">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sz val="11"/>
      <color rgb="FF9C0006"/>
      <name val="Calibri"/>
      <family val="2"/>
      <scheme val="minor"/>
    </font>
    <font>
      <sz val="11"/>
      <color rgb="FFFF0000"/>
      <name val="Calibri"/>
      <family val="2"/>
      <scheme val="minor"/>
    </font>
  </fonts>
  <fills count="6">
    <fill>
      <patternFill patternType="none"/>
    </fill>
    <fill>
      <patternFill patternType="gray125"/>
    </fill>
    <fill>
      <patternFill patternType="solid">
        <fgColor rgb="FF92D050"/>
        <bgColor indexed="64"/>
      </patternFill>
    </fill>
    <fill>
      <patternFill patternType="solid">
        <fgColor theme="1"/>
        <bgColor indexed="64"/>
      </patternFill>
    </fill>
    <fill>
      <patternFill patternType="solid">
        <fgColor theme="5" tint="0.39997558519241921"/>
        <bgColor indexed="64"/>
      </patternFill>
    </fill>
    <fill>
      <patternFill patternType="solid">
        <fgColor rgb="FFFFC7CE"/>
      </patternFill>
    </fill>
  </fills>
  <borders count="8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medium">
        <color indexed="64"/>
      </top>
      <bottom style="thick">
        <color indexed="64"/>
      </bottom>
      <diagonal/>
    </border>
    <border>
      <left/>
      <right style="medium">
        <color indexed="64"/>
      </right>
      <top style="thin">
        <color indexed="64"/>
      </top>
      <bottom style="thick">
        <color indexed="64"/>
      </bottom>
      <diagonal/>
    </border>
    <border>
      <left style="medium">
        <color indexed="64"/>
      </left>
      <right style="thin">
        <color indexed="64"/>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style="medium">
        <color indexed="64"/>
      </left>
      <right style="thin">
        <color indexed="64"/>
      </right>
      <top style="thin">
        <color indexed="64"/>
      </top>
      <bottom style="thick">
        <color indexed="64"/>
      </bottom>
      <diagonal/>
    </border>
    <border>
      <left style="medium">
        <color indexed="64"/>
      </left>
      <right style="thin">
        <color indexed="64"/>
      </right>
      <top style="thick">
        <color indexed="64"/>
      </top>
      <bottom/>
      <diagonal/>
    </border>
    <border>
      <left style="medium">
        <color indexed="64"/>
      </left>
      <right style="thin">
        <color indexed="64"/>
      </right>
      <top/>
      <bottom style="thick">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thin">
        <color indexed="64"/>
      </left>
      <right style="medium">
        <color indexed="64"/>
      </right>
      <top/>
      <bottom/>
      <diagonal/>
    </border>
    <border>
      <left style="thin">
        <color indexed="64"/>
      </left>
      <right style="thin">
        <color indexed="64"/>
      </right>
      <top/>
      <bottom/>
      <diagonal/>
    </border>
    <border>
      <left style="medium">
        <color indexed="64"/>
      </left>
      <right/>
      <top style="thin">
        <color indexed="64"/>
      </top>
      <bottom/>
      <diagonal/>
    </border>
    <border>
      <left/>
      <right style="thin">
        <color indexed="64"/>
      </right>
      <top style="medium">
        <color indexed="64"/>
      </top>
      <bottom style="thick">
        <color indexed="64"/>
      </bottom>
      <diagonal/>
    </border>
    <border>
      <left style="medium">
        <color indexed="64"/>
      </left>
      <right style="medium">
        <color indexed="64"/>
      </right>
      <top style="thin">
        <color indexed="64"/>
      </top>
      <bottom/>
      <diagonal/>
    </border>
    <border>
      <left style="medium">
        <color indexed="64"/>
      </left>
      <right style="thin">
        <color indexed="64"/>
      </right>
      <top style="thick">
        <color indexed="64"/>
      </top>
      <bottom style="thin">
        <color indexed="64"/>
      </bottom>
      <diagonal/>
    </border>
    <border>
      <left/>
      <right style="medium">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right style="thin">
        <color indexed="64"/>
      </right>
      <top style="thin">
        <color indexed="64"/>
      </top>
      <bottom/>
      <diagonal/>
    </border>
    <border>
      <left/>
      <right/>
      <top style="thin">
        <color indexed="64"/>
      </top>
      <bottom/>
      <diagonal/>
    </border>
  </borders>
  <cellStyleXfs count="3">
    <xf numFmtId="0" fontId="0" fillId="0" borderId="0"/>
    <xf numFmtId="43" fontId="2" fillId="0" borderId="0" applyFont="0" applyFill="0" applyBorder="0" applyAlignment="0" applyProtection="0"/>
    <xf numFmtId="0" fontId="4" fillId="5" borderId="0" applyNumberFormat="0" applyBorder="0" applyAlignment="0" applyProtection="0"/>
  </cellStyleXfs>
  <cellXfs count="243">
    <xf numFmtId="0" fontId="0" fillId="0" borderId="0" xfId="0"/>
    <xf numFmtId="0" fontId="0" fillId="0" borderId="1" xfId="0" applyBorder="1"/>
    <xf numFmtId="0" fontId="0" fillId="0" borderId="3" xfId="0" applyBorder="1"/>
    <xf numFmtId="0" fontId="0" fillId="0" borderId="4" xfId="0" applyBorder="1"/>
    <xf numFmtId="0" fontId="0" fillId="0" borderId="6" xfId="0" applyBorder="1"/>
    <xf numFmtId="0" fontId="0" fillId="0" borderId="11" xfId="0" applyBorder="1"/>
    <xf numFmtId="0" fontId="0" fillId="0" borderId="12" xfId="0" applyBorder="1"/>
    <xf numFmtId="0" fontId="0" fillId="0" borderId="14" xfId="0" applyBorder="1"/>
    <xf numFmtId="0" fontId="0" fillId="0" borderId="15" xfId="0" applyBorder="1"/>
    <xf numFmtId="0" fontId="0" fillId="0" borderId="17" xfId="0" applyBorder="1"/>
    <xf numFmtId="0" fontId="0" fillId="0" borderId="18" xfId="0" applyBorder="1"/>
    <xf numFmtId="0" fontId="0" fillId="0" borderId="13" xfId="0" applyBorder="1"/>
    <xf numFmtId="0" fontId="0" fillId="0" borderId="2" xfId="0" applyBorder="1"/>
    <xf numFmtId="0" fontId="0" fillId="0" borderId="16" xfId="0" applyBorder="1"/>
    <xf numFmtId="0" fontId="0" fillId="0" borderId="5" xfId="0" applyBorder="1"/>
    <xf numFmtId="3" fontId="0" fillId="0" borderId="4" xfId="0" applyNumberFormat="1" applyBorder="1"/>
    <xf numFmtId="3" fontId="0" fillId="0" borderId="18" xfId="0" applyNumberFormat="1" applyBorder="1"/>
    <xf numFmtId="3" fontId="0" fillId="0" borderId="6" xfId="0" applyNumberFormat="1" applyBorder="1"/>
    <xf numFmtId="0" fontId="0" fillId="3" borderId="18" xfId="0" applyFill="1" applyBorder="1"/>
    <xf numFmtId="0" fontId="0" fillId="0" borderId="20" xfId="0" applyBorder="1"/>
    <xf numFmtId="0" fontId="0" fillId="0" borderId="10" xfId="0" applyBorder="1"/>
    <xf numFmtId="0" fontId="0" fillId="0" borderId="26" xfId="0" applyBorder="1"/>
    <xf numFmtId="0" fontId="0" fillId="0" borderId="27" xfId="0" applyBorder="1"/>
    <xf numFmtId="3" fontId="0" fillId="0" borderId="28" xfId="0" applyNumberFormat="1" applyBorder="1"/>
    <xf numFmtId="3" fontId="0" fillId="0" borderId="15" xfId="0" applyNumberFormat="1" applyBorder="1"/>
    <xf numFmtId="0" fontId="0" fillId="2" borderId="4" xfId="0" applyFill="1" applyBorder="1"/>
    <xf numFmtId="0" fontId="0" fillId="2" borderId="18" xfId="0" applyFill="1" applyBorder="1"/>
    <xf numFmtId="0" fontId="0" fillId="2" borderId="15" xfId="0" applyFill="1" applyBorder="1"/>
    <xf numFmtId="3" fontId="0" fillId="2" borderId="4" xfId="0" applyNumberFormat="1" applyFill="1" applyBorder="1"/>
    <xf numFmtId="3" fontId="0" fillId="2" borderId="18" xfId="0" applyNumberFormat="1" applyFill="1" applyBorder="1"/>
    <xf numFmtId="0" fontId="0" fillId="0" borderId="0" xfId="0" applyAlignment="1">
      <alignment horizontal="center"/>
    </xf>
    <xf numFmtId="0" fontId="0" fillId="3" borderId="16" xfId="0" applyFill="1" applyBorder="1"/>
    <xf numFmtId="0" fontId="0" fillId="3" borderId="17" xfId="0" applyFill="1" applyBorder="1"/>
    <xf numFmtId="3" fontId="0" fillId="0" borderId="29" xfId="0" applyNumberFormat="1" applyBorder="1"/>
    <xf numFmtId="3" fontId="0" fillId="0" borderId="30" xfId="0" applyNumberFormat="1" applyBorder="1"/>
    <xf numFmtId="3" fontId="0" fillId="0" borderId="31" xfId="0" applyNumberFormat="1" applyBorder="1"/>
    <xf numFmtId="0" fontId="1" fillId="3" borderId="1" xfId="0" applyFont="1" applyFill="1" applyBorder="1"/>
    <xf numFmtId="0" fontId="0" fillId="3" borderId="1" xfId="0" applyFill="1" applyBorder="1"/>
    <xf numFmtId="0" fontId="0" fillId="0" borderId="33" xfId="0" applyBorder="1"/>
    <xf numFmtId="0" fontId="1" fillId="3" borderId="33" xfId="0" applyFont="1" applyFill="1" applyBorder="1"/>
    <xf numFmtId="0" fontId="0" fillId="0" borderId="2" xfId="0" applyBorder="1" applyAlignment="1">
      <alignment vertical="center"/>
    </xf>
    <xf numFmtId="0" fontId="0" fillId="0" borderId="5" xfId="0" applyBorder="1" applyAlignment="1">
      <alignment vertical="center"/>
    </xf>
    <xf numFmtId="0" fontId="0" fillId="0" borderId="16" xfId="0" applyBorder="1" applyAlignment="1">
      <alignment vertical="center"/>
    </xf>
    <xf numFmtId="0" fontId="0" fillId="2" borderId="9" xfId="0" applyFill="1" applyBorder="1" applyAlignment="1">
      <alignment horizontal="center"/>
    </xf>
    <xf numFmtId="0" fontId="0" fillId="0" borderId="47" xfId="0" applyBorder="1"/>
    <xf numFmtId="0" fontId="0" fillId="0" borderId="21" xfId="0" applyBorder="1"/>
    <xf numFmtId="0" fontId="0" fillId="0" borderId="45" xfId="0" applyBorder="1"/>
    <xf numFmtId="0" fontId="0" fillId="0" borderId="48" xfId="0" applyBorder="1"/>
    <xf numFmtId="0" fontId="0" fillId="0" borderId="49" xfId="0" applyBorder="1"/>
    <xf numFmtId="0" fontId="0" fillId="0" borderId="46" xfId="0" applyBorder="1"/>
    <xf numFmtId="0" fontId="0" fillId="0" borderId="31" xfId="0" applyBorder="1"/>
    <xf numFmtId="0" fontId="0" fillId="0" borderId="30" xfId="0" applyBorder="1"/>
    <xf numFmtId="0" fontId="0" fillId="0" borderId="36" xfId="0" applyBorder="1"/>
    <xf numFmtId="0" fontId="0" fillId="0" borderId="38" xfId="0" applyBorder="1"/>
    <xf numFmtId="0" fontId="0" fillId="0" borderId="37" xfId="0" applyBorder="1"/>
    <xf numFmtId="0" fontId="0" fillId="0" borderId="50" xfId="0" applyBorder="1"/>
    <xf numFmtId="0" fontId="0" fillId="0" borderId="29" xfId="0" applyBorder="1"/>
    <xf numFmtId="0" fontId="0" fillId="0" borderId="40" xfId="0" applyBorder="1"/>
    <xf numFmtId="0" fontId="0" fillId="0" borderId="23" xfId="0" applyBorder="1" applyAlignment="1">
      <alignment horizontal="center"/>
    </xf>
    <xf numFmtId="3" fontId="0" fillId="0" borderId="21" xfId="0" applyNumberFormat="1" applyBorder="1"/>
    <xf numFmtId="164" fontId="0" fillId="0" borderId="0" xfId="1" applyNumberFormat="1" applyFont="1"/>
    <xf numFmtId="0" fontId="0" fillId="0" borderId="0" xfId="0" applyAlignment="1">
      <alignment vertical="center"/>
    </xf>
    <xf numFmtId="3" fontId="0" fillId="2" borderId="15" xfId="0" applyNumberFormat="1" applyFill="1" applyBorder="1"/>
    <xf numFmtId="0" fontId="0" fillId="2" borderId="11" xfId="0" applyFill="1" applyBorder="1"/>
    <xf numFmtId="0" fontId="0" fillId="0" borderId="24" xfId="0" applyBorder="1"/>
    <xf numFmtId="0" fontId="0" fillId="2" borderId="3" xfId="0" applyFill="1" applyBorder="1"/>
    <xf numFmtId="0" fontId="0" fillId="0" borderId="13" xfId="0" applyBorder="1" applyAlignment="1">
      <alignment horizontal="center"/>
    </xf>
    <xf numFmtId="0" fontId="0" fillId="0" borderId="39" xfId="0" applyBorder="1" applyAlignment="1">
      <alignment horizontal="center"/>
    </xf>
    <xf numFmtId="0" fontId="0" fillId="2" borderId="1" xfId="0" applyFill="1" applyBorder="1"/>
    <xf numFmtId="0" fontId="0" fillId="2" borderId="5" xfId="0" applyFill="1" applyBorder="1"/>
    <xf numFmtId="0" fontId="0" fillId="0" borderId="34" xfId="0" applyBorder="1"/>
    <xf numFmtId="0" fontId="0" fillId="2" borderId="17" xfId="0" applyFill="1" applyBorder="1"/>
    <xf numFmtId="0" fontId="0" fillId="2" borderId="10" xfId="0" applyFill="1" applyBorder="1"/>
    <xf numFmtId="0" fontId="0" fillId="2" borderId="57" xfId="0" applyFill="1" applyBorder="1"/>
    <xf numFmtId="0" fontId="0" fillId="2" borderId="12" xfId="0" applyFill="1" applyBorder="1"/>
    <xf numFmtId="0" fontId="0" fillId="2" borderId="6" xfId="0" applyFill="1" applyBorder="1"/>
    <xf numFmtId="0" fontId="0" fillId="2" borderId="21" xfId="0" applyFill="1" applyBorder="1"/>
    <xf numFmtId="0" fontId="0" fillId="0" borderId="58" xfId="0" applyBorder="1"/>
    <xf numFmtId="0" fontId="0" fillId="0" borderId="60" xfId="0" applyBorder="1"/>
    <xf numFmtId="0" fontId="0" fillId="0" borderId="23" xfId="0" applyBorder="1"/>
    <xf numFmtId="3" fontId="0" fillId="0" borderId="34" xfId="0" applyNumberFormat="1" applyBorder="1"/>
    <xf numFmtId="0" fontId="0" fillId="3" borderId="48" xfId="0" applyFill="1" applyBorder="1"/>
    <xf numFmtId="0" fontId="0" fillId="3" borderId="34" xfId="0" applyFill="1" applyBorder="1"/>
    <xf numFmtId="3" fontId="0" fillId="0" borderId="58" xfId="0" applyNumberFormat="1" applyBorder="1"/>
    <xf numFmtId="0" fontId="0" fillId="0" borderId="0" xfId="0" applyAlignment="1">
      <alignment horizontal="center" vertical="center"/>
    </xf>
    <xf numFmtId="0" fontId="0" fillId="0" borderId="67" xfId="0" applyBorder="1"/>
    <xf numFmtId="0" fontId="0" fillId="0" borderId="69" xfId="0" applyBorder="1"/>
    <xf numFmtId="0" fontId="0" fillId="0" borderId="16" xfId="0" applyBorder="1" applyAlignment="1">
      <alignment horizontal="left"/>
    </xf>
    <xf numFmtId="0" fontId="0" fillId="0" borderId="17" xfId="0" applyBorder="1" applyAlignment="1">
      <alignment horizontal="left"/>
    </xf>
    <xf numFmtId="0" fontId="0" fillId="0" borderId="18" xfId="0" applyBorder="1" applyAlignment="1">
      <alignment horizontal="left"/>
    </xf>
    <xf numFmtId="0" fontId="0" fillId="3" borderId="38" xfId="0" applyFill="1" applyBorder="1"/>
    <xf numFmtId="0" fontId="0" fillId="3" borderId="68" xfId="0" applyFill="1" applyBorder="1"/>
    <xf numFmtId="0" fontId="0" fillId="3" borderId="19" xfId="0" applyFill="1" applyBorder="1"/>
    <xf numFmtId="0" fontId="0" fillId="3" borderId="68" xfId="0" applyFill="1" applyBorder="1" applyAlignment="1">
      <alignment horizontal="left"/>
    </xf>
    <xf numFmtId="0" fontId="0" fillId="3" borderId="69" xfId="0" applyFill="1" applyBorder="1"/>
    <xf numFmtId="0" fontId="0" fillId="3" borderId="67" xfId="0" applyFill="1" applyBorder="1"/>
    <xf numFmtId="0" fontId="0" fillId="3" borderId="6" xfId="0" applyFill="1" applyBorder="1"/>
    <xf numFmtId="0" fontId="1" fillId="3" borderId="17" xfId="0" applyFont="1" applyFill="1" applyBorder="1"/>
    <xf numFmtId="0" fontId="0" fillId="3" borderId="3" xfId="0" applyFill="1" applyBorder="1"/>
    <xf numFmtId="0" fontId="0" fillId="3" borderId="48" xfId="0" applyFill="1" applyBorder="1" applyAlignment="1">
      <alignment vertical="center"/>
    </xf>
    <xf numFmtId="0" fontId="0" fillId="3" borderId="33" xfId="0" applyFill="1" applyBorder="1"/>
    <xf numFmtId="0" fontId="0" fillId="0" borderId="5" xfId="0" applyBorder="1" applyAlignment="1">
      <alignment vertical="center" wrapText="1"/>
    </xf>
    <xf numFmtId="0" fontId="0" fillId="0" borderId="22" xfId="0" applyBorder="1"/>
    <xf numFmtId="0" fontId="0" fillId="3" borderId="24" xfId="0" applyFill="1" applyBorder="1"/>
    <xf numFmtId="0" fontId="1" fillId="3" borderId="34" xfId="0" applyFont="1" applyFill="1" applyBorder="1"/>
    <xf numFmtId="0" fontId="1" fillId="3" borderId="41" xfId="0" applyFont="1" applyFill="1" applyBorder="1"/>
    <xf numFmtId="0" fontId="1" fillId="3" borderId="11" xfId="0" applyFont="1" applyFill="1" applyBorder="1"/>
    <xf numFmtId="0" fontId="0" fillId="0" borderId="10" xfId="0" applyBorder="1" applyAlignment="1">
      <alignment vertical="center" wrapText="1"/>
    </xf>
    <xf numFmtId="0" fontId="0" fillId="0" borderId="41" xfId="0" applyBorder="1"/>
    <xf numFmtId="0" fontId="0" fillId="0" borderId="19" xfId="0" applyBorder="1"/>
    <xf numFmtId="0" fontId="1" fillId="3" borderId="24" xfId="0" applyFont="1" applyFill="1" applyBorder="1"/>
    <xf numFmtId="0" fontId="1" fillId="3" borderId="3" xfId="0" applyFont="1" applyFill="1" applyBorder="1"/>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49" fontId="1" fillId="3" borderId="34" xfId="0" applyNumberFormat="1" applyFont="1" applyFill="1" applyBorder="1" applyAlignment="1">
      <alignment horizontal="left" vertical="center"/>
    </xf>
    <xf numFmtId="49" fontId="0" fillId="0" borderId="17" xfId="0" applyNumberFormat="1" applyBorder="1" applyAlignment="1">
      <alignment horizontal="left" vertical="center"/>
    </xf>
    <xf numFmtId="49" fontId="1" fillId="3" borderId="17" xfId="0" applyNumberFormat="1" applyFont="1" applyFill="1" applyBorder="1" applyAlignment="1">
      <alignment horizontal="left" vertical="center"/>
    </xf>
    <xf numFmtId="1" fontId="0" fillId="0" borderId="17" xfId="0" applyNumberFormat="1" applyBorder="1" applyAlignment="1">
      <alignment horizontal="left" vertical="center"/>
    </xf>
    <xf numFmtId="0" fontId="0" fillId="0" borderId="20" xfId="0" applyBorder="1" applyAlignment="1">
      <alignment vertical="center" wrapText="1"/>
    </xf>
    <xf numFmtId="0" fontId="0" fillId="0" borderId="70" xfId="0" applyBorder="1"/>
    <xf numFmtId="0" fontId="0" fillId="0" borderId="71" xfId="0" applyBorder="1"/>
    <xf numFmtId="0" fontId="1" fillId="3" borderId="71" xfId="0" applyFont="1" applyFill="1" applyBorder="1"/>
    <xf numFmtId="0" fontId="0" fillId="3" borderId="10" xfId="0" applyFill="1" applyBorder="1" applyAlignment="1">
      <alignment horizontal="left" vertical="center" wrapText="1"/>
    </xf>
    <xf numFmtId="0" fontId="0" fillId="3" borderId="12" xfId="0" applyFill="1" applyBorder="1"/>
    <xf numFmtId="0" fontId="0" fillId="3" borderId="41" xfId="0" applyFill="1" applyBorder="1"/>
    <xf numFmtId="0" fontId="0" fillId="3" borderId="10" xfId="0" applyFill="1" applyBorder="1"/>
    <xf numFmtId="0" fontId="0" fillId="3" borderId="11" xfId="0" applyFill="1" applyBorder="1"/>
    <xf numFmtId="3" fontId="0" fillId="0" borderId="12" xfId="0" applyNumberFormat="1" applyBorder="1"/>
    <xf numFmtId="0" fontId="0" fillId="0" borderId="32" xfId="0" applyBorder="1" applyAlignment="1">
      <alignment vertical="center"/>
    </xf>
    <xf numFmtId="0" fontId="0" fillId="0" borderId="25" xfId="0" applyBorder="1" applyAlignment="1">
      <alignment horizontal="center" vertical="center"/>
    </xf>
    <xf numFmtId="3" fontId="0" fillId="0" borderId="0" xfId="0" applyNumberFormat="1"/>
    <xf numFmtId="0" fontId="0" fillId="3" borderId="0" xfId="0" applyFill="1"/>
    <xf numFmtId="0" fontId="0" fillId="0" borderId="72" xfId="0" applyBorder="1"/>
    <xf numFmtId="0" fontId="0" fillId="0" borderId="57" xfId="0" applyBorder="1"/>
    <xf numFmtId="0" fontId="0" fillId="0" borderId="74" xfId="0" applyBorder="1"/>
    <xf numFmtId="14" fontId="0" fillId="0" borderId="32" xfId="0" applyNumberFormat="1" applyBorder="1"/>
    <xf numFmtId="0" fontId="4" fillId="5" borderId="47" xfId="2" applyBorder="1"/>
    <xf numFmtId="0" fontId="0" fillId="0" borderId="14" xfId="0" applyBorder="1" applyAlignment="1">
      <alignment horizontal="center"/>
    </xf>
    <xf numFmtId="0" fontId="0" fillId="0" borderId="15" xfId="0" applyBorder="1" applyAlignment="1">
      <alignment horizontal="center"/>
    </xf>
    <xf numFmtId="0" fontId="0" fillId="0" borderId="61" xfId="0" applyBorder="1" applyAlignment="1">
      <alignment horizontal="center" vertical="center"/>
    </xf>
    <xf numFmtId="0" fontId="0" fillId="0" borderId="63" xfId="0" applyBorder="1" applyAlignment="1">
      <alignment horizontal="center"/>
    </xf>
    <xf numFmtId="0" fontId="0" fillId="0" borderId="62" xfId="0" applyBorder="1" applyAlignment="1">
      <alignment horizontal="center"/>
    </xf>
    <xf numFmtId="3" fontId="0" fillId="0" borderId="59" xfId="0" applyNumberFormat="1" applyBorder="1" applyAlignment="1">
      <alignment horizontal="center"/>
    </xf>
    <xf numFmtId="3" fontId="0" fillId="0" borderId="73" xfId="0" applyNumberFormat="1" applyBorder="1" applyAlignment="1">
      <alignment horizontal="center"/>
    </xf>
    <xf numFmtId="3" fontId="0" fillId="0" borderId="63" xfId="0" applyNumberFormat="1" applyBorder="1" applyAlignment="1">
      <alignment horizontal="center"/>
    </xf>
    <xf numFmtId="0" fontId="0" fillId="0" borderId="13" xfId="0" applyBorder="1" applyAlignment="1">
      <alignment horizontal="center" vertical="center"/>
    </xf>
    <xf numFmtId="0" fontId="0" fillId="0" borderId="32" xfId="0" applyBorder="1" applyAlignment="1">
      <alignment horizontal="center"/>
    </xf>
    <xf numFmtId="0" fontId="0" fillId="0" borderId="76" xfId="0" applyBorder="1"/>
    <xf numFmtId="0" fontId="0" fillId="0" borderId="77" xfId="0" applyBorder="1"/>
    <xf numFmtId="0" fontId="0" fillId="2" borderId="78" xfId="0" applyFill="1" applyBorder="1"/>
    <xf numFmtId="0" fontId="0" fillId="0" borderId="78" xfId="0" applyBorder="1"/>
    <xf numFmtId="3" fontId="0" fillId="0" borderId="77" xfId="0" applyNumberFormat="1" applyBorder="1"/>
    <xf numFmtId="0" fontId="0" fillId="0" borderId="79" xfId="0" applyBorder="1"/>
    <xf numFmtId="0" fontId="0" fillId="0" borderId="80" xfId="0" applyBorder="1"/>
    <xf numFmtId="0" fontId="1" fillId="3" borderId="79" xfId="0" applyFont="1" applyFill="1" applyBorder="1"/>
    <xf numFmtId="0" fontId="1" fillId="3" borderId="47" xfId="0" applyFont="1" applyFill="1" applyBorder="1"/>
    <xf numFmtId="0" fontId="0" fillId="3" borderId="80" xfId="0" applyFill="1" applyBorder="1"/>
    <xf numFmtId="0" fontId="0" fillId="0" borderId="32" xfId="0" applyBorder="1"/>
    <xf numFmtId="0" fontId="5" fillId="0" borderId="14" xfId="0" applyFont="1" applyBorder="1"/>
    <xf numFmtId="0" fontId="5" fillId="0" borderId="11" xfId="0" applyFont="1" applyBorder="1"/>
    <xf numFmtId="0" fontId="5" fillId="0" borderId="1" xfId="0" applyFont="1" applyBorder="1"/>
    <xf numFmtId="0" fontId="5" fillId="0" borderId="47" xfId="0" applyFont="1" applyBorder="1"/>
    <xf numFmtId="0" fontId="0" fillId="0" borderId="39" xfId="0" applyBorder="1" applyAlignment="1">
      <alignment horizontal="center" vertical="center"/>
    </xf>
    <xf numFmtId="0" fontId="0" fillId="3" borderId="5" xfId="0" applyFill="1" applyBorder="1"/>
    <xf numFmtId="0" fontId="0" fillId="3" borderId="30" xfId="0" applyFill="1" applyBorder="1"/>
    <xf numFmtId="0" fontId="0" fillId="2" borderId="47" xfId="0" applyFill="1" applyBorder="1"/>
    <xf numFmtId="0" fontId="4" fillId="5" borderId="3" xfId="2" applyBorder="1"/>
    <xf numFmtId="0" fontId="4" fillId="5" borderId="1" xfId="2" applyBorder="1"/>
    <xf numFmtId="0" fontId="0" fillId="0" borderId="10" xfId="0" applyBorder="1" applyAlignment="1">
      <alignment vertical="center"/>
    </xf>
    <xf numFmtId="3" fontId="0" fillId="0" borderId="33" xfId="0" applyNumberFormat="1" applyBorder="1"/>
    <xf numFmtId="0" fontId="0" fillId="0" borderId="13" xfId="0" applyBorder="1" applyAlignment="1">
      <alignment horizontal="center"/>
    </xf>
    <xf numFmtId="0" fontId="0" fillId="0" borderId="15" xfId="0" applyBorder="1" applyAlignment="1">
      <alignment horizontal="center"/>
    </xf>
    <xf numFmtId="0" fontId="0" fillId="0" borderId="25"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14" fontId="0" fillId="0" borderId="25" xfId="0" applyNumberFormat="1" applyBorder="1" applyAlignment="1">
      <alignment horizontal="center"/>
    </xf>
    <xf numFmtId="14" fontId="0" fillId="0" borderId="22" xfId="0" applyNumberFormat="1" applyBorder="1" applyAlignment="1">
      <alignment horizontal="center"/>
    </xf>
    <xf numFmtId="14" fontId="0" fillId="0" borderId="23" xfId="0" applyNumberFormat="1" applyBorder="1" applyAlignment="1">
      <alignment horizontal="center"/>
    </xf>
    <xf numFmtId="165" fontId="0" fillId="0" borderId="25" xfId="0" applyNumberFormat="1" applyBorder="1" applyAlignment="1">
      <alignment horizontal="center"/>
    </xf>
    <xf numFmtId="165" fontId="0" fillId="0" borderId="23" xfId="0" applyNumberFormat="1" applyBorder="1" applyAlignment="1">
      <alignment horizontal="center"/>
    </xf>
    <xf numFmtId="0" fontId="0" fillId="0" borderId="65" xfId="0" applyBorder="1" applyAlignment="1">
      <alignment horizontal="left" vertical="center"/>
    </xf>
    <xf numFmtId="0" fontId="0" fillId="0" borderId="51" xfId="0" applyBorder="1" applyAlignment="1">
      <alignment horizontal="left" vertical="center"/>
    </xf>
    <xf numFmtId="0" fontId="0" fillId="0" borderId="26" xfId="0" applyBorder="1" applyAlignment="1">
      <alignment horizontal="left" vertical="center"/>
    </xf>
    <xf numFmtId="0" fontId="0" fillId="0" borderId="2" xfId="0" applyBorder="1" applyAlignment="1">
      <alignment horizontal="left" vertical="center"/>
    </xf>
    <xf numFmtId="0" fontId="0" fillId="0" borderId="5" xfId="0" applyBorder="1" applyAlignment="1">
      <alignment horizontal="left" vertical="center"/>
    </xf>
    <xf numFmtId="0" fontId="0" fillId="0" borderId="16" xfId="0" applyBorder="1" applyAlignment="1">
      <alignment horizontal="left" vertical="center"/>
    </xf>
    <xf numFmtId="0" fontId="0" fillId="0" borderId="64" xfId="0" applyBorder="1" applyAlignment="1">
      <alignment horizontal="left" vertical="center"/>
    </xf>
    <xf numFmtId="0" fontId="0" fillId="0" borderId="7" xfId="0" applyBorder="1" applyAlignment="1">
      <alignment horizontal="left" vertical="center"/>
    </xf>
    <xf numFmtId="0" fontId="0" fillId="0" borderId="66" xfId="0" applyBorder="1" applyAlignment="1">
      <alignment horizontal="left" vertical="center"/>
    </xf>
    <xf numFmtId="0" fontId="0" fillId="0" borderId="35" xfId="0" applyBorder="1" applyAlignment="1">
      <alignment horizontal="left" vertical="center"/>
    </xf>
    <xf numFmtId="0" fontId="0" fillId="0" borderId="56" xfId="0" applyBorder="1" applyAlignment="1">
      <alignment horizontal="left" vertical="center"/>
    </xf>
    <xf numFmtId="0" fontId="0" fillId="0" borderId="53" xfId="0" applyBorder="1" applyAlignment="1">
      <alignment horizontal="left" vertical="center"/>
    </xf>
    <xf numFmtId="0" fontId="0" fillId="0" borderId="75" xfId="0" applyBorder="1" applyAlignment="1">
      <alignment horizontal="left" vertical="center"/>
    </xf>
    <xf numFmtId="0" fontId="0" fillId="4" borderId="25" xfId="0" applyFill="1" applyBorder="1" applyAlignment="1">
      <alignment horizontal="center"/>
    </xf>
    <xf numFmtId="0" fontId="0" fillId="4" borderId="22" xfId="0" applyFill="1" applyBorder="1" applyAlignment="1">
      <alignment horizontal="center"/>
    </xf>
    <xf numFmtId="0" fontId="0" fillId="4" borderId="23" xfId="0" applyFill="1" applyBorder="1" applyAlignment="1">
      <alignment horizontal="center"/>
    </xf>
    <xf numFmtId="0" fontId="0" fillId="0" borderId="35" xfId="0" applyBorder="1" applyAlignment="1">
      <alignment horizontal="center" vertical="center"/>
    </xf>
    <xf numFmtId="0" fontId="0" fillId="0" borderId="53" xfId="0" applyBorder="1" applyAlignment="1">
      <alignment horizontal="center" vertical="center"/>
    </xf>
    <xf numFmtId="0" fontId="0" fillId="0" borderId="56" xfId="0" applyBorder="1" applyAlignment="1">
      <alignment horizontal="center" vertical="center"/>
    </xf>
    <xf numFmtId="0" fontId="0" fillId="0" borderId="55" xfId="0" applyBorder="1" applyAlignment="1">
      <alignment horizontal="center"/>
    </xf>
    <xf numFmtId="0" fontId="0" fillId="0" borderId="54" xfId="0" applyBorder="1" applyAlignment="1">
      <alignment horizontal="center"/>
    </xf>
    <xf numFmtId="0" fontId="0" fillId="0" borderId="39" xfId="0" applyBorder="1" applyAlignment="1">
      <alignment horizontal="center"/>
    </xf>
    <xf numFmtId="0" fontId="0" fillId="0" borderId="35" xfId="0" applyBorder="1" applyAlignment="1">
      <alignment horizontal="center" vertical="center" wrapText="1"/>
    </xf>
    <xf numFmtId="0" fontId="0" fillId="0" borderId="56" xfId="0" applyBorder="1" applyAlignment="1">
      <alignment horizontal="center" vertical="center" wrapText="1"/>
    </xf>
    <xf numFmtId="0" fontId="0" fillId="0" borderId="53" xfId="0" applyBorder="1" applyAlignment="1">
      <alignment horizontal="center" vertical="center" wrapText="1"/>
    </xf>
    <xf numFmtId="0" fontId="0" fillId="4" borderId="42" xfId="0" applyFill="1" applyBorder="1" applyAlignment="1">
      <alignment horizontal="center"/>
    </xf>
    <xf numFmtId="0" fontId="0" fillId="4" borderId="43" xfId="0" applyFill="1" applyBorder="1" applyAlignment="1">
      <alignment horizontal="center"/>
    </xf>
    <xf numFmtId="0" fontId="0" fillId="4" borderId="44" xfId="0" applyFill="1" applyBorder="1" applyAlignment="1">
      <alignment horizontal="center"/>
    </xf>
    <xf numFmtId="0" fontId="0" fillId="0" borderId="0" xfId="0" applyAlignment="1">
      <alignment horizontal="center"/>
    </xf>
    <xf numFmtId="0" fontId="0" fillId="0" borderId="0" xfId="0" applyAlignment="1">
      <alignment horizontal="left" vertical="center"/>
    </xf>
    <xf numFmtId="0" fontId="0" fillId="0" borderId="0" xfId="0" applyAlignment="1">
      <alignment horizontal="center" vertical="center"/>
    </xf>
    <xf numFmtId="0" fontId="0" fillId="0" borderId="52" xfId="0" applyBorder="1" applyAlignment="1">
      <alignment horizontal="center"/>
    </xf>
    <xf numFmtId="0" fontId="0" fillId="0" borderId="19" xfId="0" applyBorder="1" applyAlignment="1">
      <alignment horizontal="center"/>
    </xf>
    <xf numFmtId="0" fontId="0" fillId="0" borderId="24" xfId="0" applyBorder="1" applyAlignment="1">
      <alignment horizontal="center"/>
    </xf>
    <xf numFmtId="0" fontId="0" fillId="0" borderId="46" xfId="0" applyBorder="1" applyAlignment="1">
      <alignment horizontal="center"/>
    </xf>
    <xf numFmtId="49" fontId="0" fillId="0" borderId="9" xfId="0" applyNumberFormat="1" applyBorder="1" applyAlignment="1">
      <alignment horizontal="center" vertical="center"/>
    </xf>
    <xf numFmtId="49" fontId="0" fillId="0" borderId="28" xfId="0" applyNumberFormat="1" applyBorder="1" applyAlignment="1">
      <alignment horizontal="center" vertical="center"/>
    </xf>
    <xf numFmtId="49" fontId="0" fillId="0" borderId="7" xfId="0" applyNumberFormat="1" applyBorder="1" applyAlignment="1">
      <alignment horizontal="center" vertical="center"/>
    </xf>
    <xf numFmtId="49" fontId="0" fillId="0" borderId="26" xfId="0" applyNumberFormat="1" applyBorder="1" applyAlignment="1">
      <alignment horizontal="center" vertical="center"/>
    </xf>
    <xf numFmtId="49" fontId="0" fillId="0" borderId="7" xfId="0" applyNumberFormat="1" applyBorder="1" applyAlignment="1">
      <alignment horizontal="center" vertical="center" wrapText="1"/>
    </xf>
    <xf numFmtId="49" fontId="0" fillId="0" borderId="26" xfId="0" applyNumberFormat="1"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7" xfId="0" applyBorder="1" applyAlignment="1">
      <alignment horizontal="left" vertical="center" wrapText="1"/>
    </xf>
    <xf numFmtId="0" fontId="0" fillId="0" borderId="51" xfId="0" applyBorder="1" applyAlignment="1">
      <alignment horizontal="left" vertical="center" wrapText="1"/>
    </xf>
    <xf numFmtId="0" fontId="0" fillId="0" borderId="7" xfId="0" applyBorder="1" applyAlignment="1">
      <alignment horizontal="center" vertical="center"/>
    </xf>
    <xf numFmtId="0" fontId="0" fillId="0" borderId="26"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51" xfId="0" applyBorder="1" applyAlignment="1">
      <alignment horizontal="center" vertical="center"/>
    </xf>
    <xf numFmtId="0" fontId="0" fillId="0" borderId="20" xfId="0" applyBorder="1" applyAlignment="1">
      <alignment horizontal="left" vertical="center"/>
    </xf>
    <xf numFmtId="0" fontId="0" fillId="0" borderId="45"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cellXfs>
  <cellStyles count="3">
    <cellStyle name="Bad" xfId="2" builtinId="27"/>
    <cellStyle name="Comma" xfId="1" builtinId="3"/>
    <cellStyle name="Normal" xfId="0" builtinId="0"/>
  </cellStyles>
  <dxfs count="741">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ont>
        <color theme="7" tint="0.39994506668294322"/>
      </font>
      <fill>
        <patternFill>
          <bgColor theme="7" tint="0.39994506668294322"/>
        </patternFill>
      </fill>
    </dxf>
    <dxf>
      <font>
        <color rgb="FF92D050"/>
      </font>
      <fill>
        <patternFill>
          <bgColor rgb="FF92D050"/>
        </patternFill>
      </fill>
    </dxf>
    <dxf>
      <fill>
        <patternFill>
          <bgColor rgb="FFE1CCF0"/>
        </patternFill>
      </fill>
    </dxf>
    <dxf>
      <fill>
        <patternFill>
          <bgColor theme="7" tint="0.79998168889431442"/>
        </patternFill>
      </fill>
    </dxf>
    <dxf>
      <fill>
        <patternFill>
          <bgColor theme="9" tint="0.79998168889431442"/>
        </patternFill>
      </fill>
    </dxf>
    <dxf>
      <fill>
        <patternFill>
          <bgColor rgb="FF8BFFBF"/>
        </patternFill>
      </fill>
    </dxf>
    <dxf>
      <fill>
        <patternFill>
          <bgColor theme="8" tint="0.39994506668294322"/>
        </patternFill>
      </fill>
    </dxf>
    <dxf>
      <fill>
        <patternFill>
          <bgColor theme="5" tint="0.59996337778862885"/>
        </patternFill>
      </fill>
    </dxf>
    <dxf>
      <font>
        <color theme="7" tint="0.39994506668294322"/>
      </font>
      <fill>
        <patternFill>
          <bgColor theme="7" tint="0.39994506668294322"/>
        </patternFill>
      </fill>
    </dxf>
    <dxf>
      <font>
        <color rgb="FF92D050"/>
      </font>
      <fill>
        <patternFill>
          <bgColor rgb="FF92D050"/>
        </patternFill>
      </fill>
    </dxf>
    <dxf>
      <fill>
        <patternFill>
          <bgColor rgb="FFE1CCF0"/>
        </patternFill>
      </fill>
    </dxf>
    <dxf>
      <fill>
        <patternFill>
          <bgColor theme="7" tint="0.79998168889431442"/>
        </patternFill>
      </fill>
    </dxf>
    <dxf>
      <fill>
        <patternFill>
          <bgColor theme="9" tint="0.79998168889431442"/>
        </patternFill>
      </fill>
    </dxf>
    <dxf>
      <fill>
        <patternFill>
          <bgColor rgb="FF8BFFBF"/>
        </patternFill>
      </fill>
    </dxf>
    <dxf>
      <fill>
        <patternFill>
          <bgColor theme="8" tint="0.39994506668294322"/>
        </patternFill>
      </fill>
    </dxf>
    <dxf>
      <fill>
        <patternFill>
          <bgColor theme="5" tint="0.59996337778862885"/>
        </patternFill>
      </fill>
    </dxf>
    <dxf>
      <fill>
        <patternFill>
          <bgColor theme="8" tint="0.59996337778862885"/>
        </patternFill>
      </fill>
    </dxf>
    <dxf>
      <font>
        <color auto="1"/>
      </font>
      <fill>
        <patternFill>
          <bgColor theme="5" tint="0.39994506668294322"/>
        </patternFill>
      </fill>
    </dxf>
    <dxf>
      <font>
        <color theme="0"/>
      </font>
      <fill>
        <patternFill>
          <bgColor rgb="FF0070C0"/>
        </patternFill>
      </fill>
    </dxf>
    <dxf>
      <font>
        <color theme="0"/>
      </font>
      <fill>
        <patternFill>
          <bgColor rgb="FF7030A0"/>
        </patternFill>
      </fill>
    </dxf>
    <dxf>
      <fill>
        <patternFill>
          <bgColor theme="7" tint="0.39994506668294322"/>
        </patternFill>
      </fill>
    </dxf>
    <dxf>
      <fill>
        <patternFill>
          <bgColor theme="9" tint="0.39994506668294322"/>
        </patternFill>
      </fill>
    </dxf>
    <dxf>
      <font>
        <color theme="0"/>
      </font>
      <fill>
        <patternFill>
          <bgColor rgb="FF00B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DEC8EE"/>
      <color rgb="FF9C0006"/>
      <color rgb="FFFFC7CE"/>
      <color rgb="FF8BFFBF"/>
      <color rgb="FFDCC5ED"/>
      <color rgb="FFE1CCF0"/>
      <color rgb="FFC8A5E3"/>
      <color rgb="FFB686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calcChain" Target="calcChain.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230" Type="http://schemas.openxmlformats.org/officeDocument/2006/relationships/worksheet" Target="worksheets/sheet230.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72" Type="http://schemas.openxmlformats.org/officeDocument/2006/relationships/worksheet" Target="worksheets/sheet272.xml"/><Relationship Id="rId293" Type="http://schemas.openxmlformats.org/officeDocument/2006/relationships/worksheet" Target="worksheets/sheet293.xml"/><Relationship Id="rId307" Type="http://schemas.openxmlformats.org/officeDocument/2006/relationships/worksheet" Target="worksheets/sheet307.xml"/><Relationship Id="rId328" Type="http://schemas.openxmlformats.org/officeDocument/2006/relationships/worksheet" Target="worksheets/sheet328.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worksheet" Target="worksheets/sheet262.xml"/><Relationship Id="rId283" Type="http://schemas.openxmlformats.org/officeDocument/2006/relationships/worksheet" Target="worksheets/sheet283.xml"/><Relationship Id="rId318" Type="http://schemas.openxmlformats.org/officeDocument/2006/relationships/worksheet" Target="worksheets/sheet318.xml"/><Relationship Id="rId339" Type="http://schemas.openxmlformats.org/officeDocument/2006/relationships/worksheet" Target="worksheets/sheet339.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350" Type="http://schemas.openxmlformats.org/officeDocument/2006/relationships/worksheet" Target="worksheets/sheet350.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273" Type="http://schemas.openxmlformats.org/officeDocument/2006/relationships/worksheet" Target="worksheets/sheet273.xml"/><Relationship Id="rId294" Type="http://schemas.openxmlformats.org/officeDocument/2006/relationships/worksheet" Target="worksheets/sheet294.xml"/><Relationship Id="rId308" Type="http://schemas.openxmlformats.org/officeDocument/2006/relationships/worksheet" Target="worksheets/sheet308.xml"/><Relationship Id="rId329" Type="http://schemas.openxmlformats.org/officeDocument/2006/relationships/worksheet" Target="worksheets/sheet329.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340" Type="http://schemas.openxmlformats.org/officeDocument/2006/relationships/worksheet" Target="worksheets/sheet340.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284" Type="http://schemas.openxmlformats.org/officeDocument/2006/relationships/worksheet" Target="worksheets/sheet284.xml"/><Relationship Id="rId319" Type="http://schemas.openxmlformats.org/officeDocument/2006/relationships/worksheet" Target="worksheets/sheet319.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330" Type="http://schemas.openxmlformats.org/officeDocument/2006/relationships/worksheet" Target="worksheets/sheet330.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351" Type="http://schemas.openxmlformats.org/officeDocument/2006/relationships/worksheet" Target="worksheets/sheet351.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4" Type="http://schemas.openxmlformats.org/officeDocument/2006/relationships/worksheet" Target="worksheets/sheet274.xml"/><Relationship Id="rId295" Type="http://schemas.openxmlformats.org/officeDocument/2006/relationships/worksheet" Target="worksheets/sheet295.xml"/><Relationship Id="rId309" Type="http://schemas.openxmlformats.org/officeDocument/2006/relationships/worksheet" Target="worksheets/sheet309.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320" Type="http://schemas.openxmlformats.org/officeDocument/2006/relationships/worksheet" Target="worksheets/sheet320.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worksheet" Target="worksheets/sheet341.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theme" Target="theme/theme1.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styles" Target="styles.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sharedStrings" Target="sharedStrings.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sheetMetadata" Target="metadata.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microsoft.com/office/2006/relationships/vbaProject" Target="vbaProject.bin"/><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173" Type="http://schemas.openxmlformats.org/officeDocument/2006/relationships/worksheet" Target="worksheets/sheet173.xml"/><Relationship Id="rId229" Type="http://schemas.openxmlformats.org/officeDocument/2006/relationships/worksheet" Target="worksheets/sheet229.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251" Type="http://schemas.openxmlformats.org/officeDocument/2006/relationships/worksheet" Target="worksheets/sheet25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4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8FC97-97E2-4D5F-BA32-FEEEB1FF1346}">
  <sheetPr codeName="Sheet208"/>
  <dimension ref="A1:I10"/>
  <sheetViews>
    <sheetView zoomScale="220" zoomScaleNormal="220" workbookViewId="0">
      <selection activeCell="G6" sqref="G6"/>
    </sheetView>
  </sheetViews>
  <sheetFormatPr defaultColWidth="8.85546875" defaultRowHeight="15" x14ac:dyDescent="0.25"/>
  <cols>
    <col min="1" max="1" width="6.28515625" bestFit="1" customWidth="1"/>
    <col min="2" max="2" width="5.42578125" bestFit="1" customWidth="1"/>
    <col min="3" max="4" width="5.140625" bestFit="1" customWidth="1"/>
    <col min="5" max="5" width="5.42578125" customWidth="1"/>
    <col min="6" max="6" width="7.7109375" hidden="1" customWidth="1"/>
    <col min="7" max="7" width="6.5703125" bestFit="1" customWidth="1"/>
    <col min="8" max="8" width="4.7109375" bestFit="1" customWidth="1"/>
    <col min="9" max="9" width="4" bestFit="1" customWidth="1"/>
  </cols>
  <sheetData>
    <row r="1" spans="1:9" ht="15.75" thickBot="1" x14ac:dyDescent="0.3">
      <c r="A1" s="179">
        <v>5.7</v>
      </c>
      <c r="B1" s="180"/>
      <c r="C1" s="176">
        <v>45826</v>
      </c>
      <c r="D1" s="177"/>
      <c r="E1" s="177"/>
      <c r="F1" s="177"/>
      <c r="G1" s="177"/>
      <c r="H1" s="178"/>
    </row>
    <row r="2" spans="1:9" ht="15.75" thickBot="1" x14ac:dyDescent="0.3">
      <c r="A2" s="136" t="s">
        <v>0</v>
      </c>
      <c r="B2" s="11" t="s">
        <v>1</v>
      </c>
      <c r="C2" s="7" t="s">
        <v>2</v>
      </c>
      <c r="D2" s="7" t="s">
        <v>3</v>
      </c>
      <c r="E2" s="7" t="s">
        <v>4</v>
      </c>
      <c r="F2" s="159" t="s">
        <v>5</v>
      </c>
      <c r="G2" s="7" t="s">
        <v>6</v>
      </c>
      <c r="H2" s="8" t="s">
        <v>7</v>
      </c>
    </row>
    <row r="3" spans="1:9" x14ac:dyDescent="0.25">
      <c r="A3" s="57" t="s">
        <v>8</v>
      </c>
      <c r="B3" s="20">
        <v>325</v>
      </c>
      <c r="C3" s="5">
        <v>325</v>
      </c>
      <c r="D3" s="5"/>
      <c r="E3" s="5">
        <f>C3+D3</f>
        <v>325</v>
      </c>
      <c r="F3" s="160">
        <v>0</v>
      </c>
      <c r="G3" s="5">
        <f>-(C3-B3-F3)</f>
        <v>0</v>
      </c>
      <c r="H3" s="6">
        <f>E3-B3-F3</f>
        <v>0</v>
      </c>
    </row>
    <row r="4" spans="1:9" x14ac:dyDescent="0.25">
      <c r="A4" s="54" t="s">
        <v>9</v>
      </c>
      <c r="B4" s="14">
        <v>851</v>
      </c>
      <c r="C4" s="1">
        <v>853</v>
      </c>
      <c r="D4" s="1"/>
      <c r="E4" s="5">
        <f t="shared" ref="E4:E6" si="0">C4+D4</f>
        <v>853</v>
      </c>
      <c r="F4" s="161">
        <v>2</v>
      </c>
      <c r="G4" s="1">
        <f t="shared" ref="G4:G7" si="1">-(C4-B4-F4)</f>
        <v>0</v>
      </c>
      <c r="H4" s="4">
        <f t="shared" ref="H4:H7" si="2">E4-B4-F4</f>
        <v>0</v>
      </c>
    </row>
    <row r="5" spans="1:9" x14ac:dyDescent="0.25">
      <c r="A5" s="54" t="s">
        <v>10</v>
      </c>
      <c r="B5" s="14">
        <v>2712</v>
      </c>
      <c r="C5" s="1">
        <v>2727</v>
      </c>
      <c r="D5" s="1"/>
      <c r="E5" s="5">
        <f t="shared" si="0"/>
        <v>2727</v>
      </c>
      <c r="F5" s="161">
        <v>15</v>
      </c>
      <c r="G5" s="1">
        <f>-(C5-B5-F5)</f>
        <v>0</v>
      </c>
      <c r="H5" s="4">
        <f t="shared" si="2"/>
        <v>0</v>
      </c>
    </row>
    <row r="6" spans="1:9" x14ac:dyDescent="0.25">
      <c r="A6" s="54" t="s">
        <v>11</v>
      </c>
      <c r="B6" s="14">
        <v>3306</v>
      </c>
      <c r="C6" s="1">
        <v>3337</v>
      </c>
      <c r="D6" s="1"/>
      <c r="E6" s="5">
        <f t="shared" si="0"/>
        <v>3337</v>
      </c>
      <c r="F6" s="161">
        <v>31</v>
      </c>
      <c r="G6" s="1">
        <f t="shared" si="1"/>
        <v>0</v>
      </c>
      <c r="H6" s="4">
        <f t="shared" si="2"/>
        <v>0</v>
      </c>
    </row>
    <row r="7" spans="1:9" ht="15.75" thickBot="1" x14ac:dyDescent="0.3">
      <c r="A7" s="135" t="s">
        <v>12</v>
      </c>
      <c r="B7" s="19">
        <v>316</v>
      </c>
      <c r="C7" s="44">
        <v>316</v>
      </c>
      <c r="D7" s="44"/>
      <c r="E7" s="5">
        <f t="shared" ref="E7" si="3">C7+D7</f>
        <v>316</v>
      </c>
      <c r="F7" s="162">
        <v>0</v>
      </c>
      <c r="G7" s="44">
        <f t="shared" si="1"/>
        <v>0</v>
      </c>
      <c r="H7" s="45">
        <f t="shared" si="2"/>
        <v>0</v>
      </c>
    </row>
    <row r="8" spans="1:9" ht="15.75" thickBot="1" x14ac:dyDescent="0.3">
      <c r="A8" s="158" t="s">
        <v>13</v>
      </c>
      <c r="B8" s="11">
        <f>SUM(B3:B7)</f>
        <v>7510</v>
      </c>
      <c r="C8" s="7">
        <f t="shared" ref="C8:H8" si="4">SUM(C3:C7)</f>
        <v>7558</v>
      </c>
      <c r="D8" s="7">
        <f>SUM(D3:D7)</f>
        <v>0</v>
      </c>
      <c r="E8" s="7">
        <f t="shared" si="4"/>
        <v>7558</v>
      </c>
      <c r="F8" s="159">
        <f t="shared" si="4"/>
        <v>48</v>
      </c>
      <c r="G8" s="7">
        <f t="shared" si="4"/>
        <v>0</v>
      </c>
      <c r="H8" s="8">
        <f t="shared" si="4"/>
        <v>0</v>
      </c>
      <c r="I8" s="158">
        <f>SUM(G8:H8)</f>
        <v>0</v>
      </c>
    </row>
    <row r="10" spans="1:9" x14ac:dyDescent="0.25">
      <c r="A10" s="61" t="s">
        <v>14</v>
      </c>
      <c r="B10" s="61"/>
      <c r="C10" s="61"/>
      <c r="D10" s="61"/>
      <c r="E10" s="61"/>
      <c r="F10" s="61"/>
      <c r="G10" s="61"/>
      <c r="H10" s="61"/>
    </row>
  </sheetData>
  <sortState xmlns:xlrd2="http://schemas.microsoft.com/office/spreadsheetml/2017/richdata2" ref="A3:B6">
    <sortCondition ref="B3:B6"/>
  </sortState>
  <mergeCells count="2">
    <mergeCell ref="C1:H1"/>
    <mergeCell ref="A1:B1"/>
  </mergeCells>
  <conditionalFormatting sqref="D8 I8">
    <cfRule type="duplicateValues" dxfId="740" priority="3"/>
  </conditionalFormatting>
  <conditionalFormatting sqref="G8">
    <cfRule type="expression" dxfId="739" priority="1">
      <formula>IF($G$8=$D$8,1,0)</formula>
    </cfRule>
  </conditionalFormatting>
  <conditionalFormatting sqref="H3:H7">
    <cfRule type="cellIs" dxfId="738" priority="2" operator="greater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29F56-C999-4990-9D25-2F673F7EC418}">
  <sheetPr codeName="Sheet2">
    <tabColor theme="5" tint="0.39997558519241921"/>
  </sheetPr>
  <dimension ref="A1:BF87"/>
  <sheetViews>
    <sheetView topLeftCell="B5" zoomScaleNormal="100" workbookViewId="0">
      <selection activeCell="B23" sqref="B23"/>
    </sheetView>
  </sheetViews>
  <sheetFormatPr defaultColWidth="9.140625" defaultRowHeight="15" x14ac:dyDescent="0.25"/>
  <cols>
    <col min="1" max="1" width="9.42578125" bestFit="1" customWidth="1"/>
    <col min="2" max="2" width="27.42578125" bestFit="1" customWidth="1"/>
    <col min="3" max="3" width="11" bestFit="1" customWidth="1"/>
    <col min="4" max="4" width="1.140625" customWidth="1"/>
    <col min="5" max="5" width="12" bestFit="1" customWidth="1"/>
    <col min="6" max="6" width="6.28515625" bestFit="1" customWidth="1"/>
    <col min="7" max="7" width="7.28515625" bestFit="1" customWidth="1"/>
    <col min="8" max="10" width="5.7109375" bestFit="1" customWidth="1"/>
    <col min="11" max="11" width="1.140625" customWidth="1"/>
    <col min="12" max="12" width="12" bestFit="1" customWidth="1"/>
    <col min="13" max="13" width="6.28515625" bestFit="1" customWidth="1"/>
    <col min="14" max="15" width="5.7109375" bestFit="1" customWidth="1"/>
    <col min="16" max="16" width="4.42578125" bestFit="1" customWidth="1"/>
    <col min="17" max="17" width="5.28515625" customWidth="1"/>
    <col min="18" max="18" width="1.140625" customWidth="1"/>
    <col min="19" max="19" width="17.140625" customWidth="1"/>
    <col min="20" max="20" width="6.28515625" bestFit="1" customWidth="1"/>
    <col min="21" max="22" width="5.7109375" bestFit="1" customWidth="1"/>
    <col min="23" max="23" width="4.7109375" bestFit="1" customWidth="1"/>
    <col min="24" max="24" width="5.42578125" bestFit="1" customWidth="1"/>
    <col min="25" max="25" width="1.140625" customWidth="1"/>
    <col min="26" max="26" width="17.140625" customWidth="1"/>
    <col min="27" max="27" width="6.28515625" bestFit="1" customWidth="1"/>
    <col min="28" max="29" width="5.7109375" bestFit="1" customWidth="1"/>
    <col min="30" max="30" width="4.7109375" bestFit="1" customWidth="1"/>
    <col min="31" max="31" width="5.42578125" bestFit="1" customWidth="1"/>
    <col min="32" max="32" width="1.140625" customWidth="1"/>
    <col min="33" max="33" width="17" bestFit="1" customWidth="1"/>
    <col min="34" max="34" width="8.5703125" bestFit="1" customWidth="1"/>
    <col min="35" max="35" width="10.140625" bestFit="1" customWidth="1"/>
    <col min="36" max="36" width="5.7109375" bestFit="1" customWidth="1"/>
    <col min="37" max="37" width="4.42578125" bestFit="1" customWidth="1"/>
    <col min="38" max="38" width="5.28515625" customWidth="1"/>
    <col min="39" max="39" width="1.140625" customWidth="1"/>
    <col min="40" max="40" width="23.7109375" customWidth="1"/>
    <col min="41" max="42" width="5.42578125" bestFit="1" customWidth="1"/>
    <col min="43" max="43" width="4.42578125" bestFit="1" customWidth="1"/>
    <col min="44" max="44" width="1.140625" customWidth="1"/>
    <col min="45" max="45" width="22" bestFit="1" customWidth="1"/>
    <col min="46" max="48" width="3" bestFit="1" customWidth="1"/>
    <col min="49" max="49" width="3.42578125" bestFit="1" customWidth="1"/>
    <col min="50" max="50" width="5.85546875" bestFit="1" customWidth="1"/>
    <col min="51" max="53" width="6.7109375" bestFit="1" customWidth="1"/>
    <col min="54" max="54" width="5.42578125" bestFit="1" customWidth="1"/>
    <col min="55" max="57" width="6.42578125" bestFit="1" customWidth="1"/>
    <col min="58" max="58" width="7.42578125" bestFit="1" customWidth="1"/>
  </cols>
  <sheetData>
    <row r="1" spans="1:58" ht="15.75" thickBot="1" x14ac:dyDescent="0.3">
      <c r="A1" s="194" t="s">
        <v>15</v>
      </c>
      <c r="B1" s="195"/>
      <c r="C1" s="196"/>
      <c r="E1" s="194" t="s">
        <v>16</v>
      </c>
      <c r="F1" s="195"/>
      <c r="G1" s="195"/>
      <c r="H1" s="195"/>
      <c r="I1" s="195"/>
      <c r="J1" s="196"/>
      <c r="L1" s="194" t="s">
        <v>17</v>
      </c>
      <c r="M1" s="195"/>
      <c r="N1" s="195"/>
      <c r="O1" s="195"/>
      <c r="P1" s="195"/>
      <c r="Q1" s="196"/>
      <c r="S1" s="194" t="s">
        <v>18</v>
      </c>
      <c r="T1" s="195"/>
      <c r="U1" s="195"/>
      <c r="V1" s="195"/>
      <c r="W1" s="195"/>
      <c r="X1" s="196"/>
      <c r="Z1" s="194" t="s">
        <v>19</v>
      </c>
      <c r="AA1" s="195"/>
      <c r="AB1" s="195"/>
      <c r="AC1" s="195"/>
      <c r="AD1" s="195"/>
      <c r="AE1" s="196"/>
      <c r="AG1" s="194" t="s">
        <v>906</v>
      </c>
      <c r="AH1" s="195"/>
      <c r="AI1" s="195"/>
      <c r="AJ1" s="195"/>
      <c r="AK1" s="195"/>
      <c r="AL1" s="196"/>
      <c r="AN1" s="206" t="s">
        <v>905</v>
      </c>
      <c r="AO1" s="207"/>
      <c r="AP1" s="207"/>
      <c r="AQ1" s="208"/>
      <c r="AS1" s="194" t="s">
        <v>20</v>
      </c>
      <c r="AT1" s="195"/>
      <c r="AU1" s="195"/>
      <c r="AV1" s="195"/>
      <c r="AW1" s="195"/>
      <c r="AX1" s="195"/>
      <c r="AY1" s="195"/>
      <c r="AZ1" s="195"/>
      <c r="BA1" s="195"/>
      <c r="BB1" s="195"/>
      <c r="BC1" s="195"/>
      <c r="BD1" s="195"/>
      <c r="BE1" s="195"/>
      <c r="BF1" s="196"/>
    </row>
    <row r="2" spans="1:58" ht="15.75" thickBot="1" x14ac:dyDescent="0.3">
      <c r="A2" s="173" t="s">
        <v>21</v>
      </c>
      <c r="B2" s="202"/>
      <c r="C2" s="24">
        <f ca="1">SUM(C6,C14)</f>
        <v>26055020</v>
      </c>
      <c r="E2" s="140" t="s">
        <v>0</v>
      </c>
      <c r="F2" s="141" t="s">
        <v>22</v>
      </c>
      <c r="G2" s="142" t="s">
        <v>4</v>
      </c>
      <c r="H2" s="143" t="s">
        <v>1</v>
      </c>
      <c r="I2" s="144" t="s">
        <v>23</v>
      </c>
      <c r="J2" s="145" t="s">
        <v>24</v>
      </c>
      <c r="L2" s="140" t="s">
        <v>0</v>
      </c>
      <c r="M2" s="141" t="s">
        <v>22</v>
      </c>
      <c r="N2" s="142" t="s">
        <v>4</v>
      </c>
      <c r="O2" s="143" t="s">
        <v>1</v>
      </c>
      <c r="P2" s="144" t="s">
        <v>23</v>
      </c>
      <c r="Q2" s="145" t="s">
        <v>24</v>
      </c>
      <c r="S2" s="146" t="s">
        <v>0</v>
      </c>
      <c r="T2" s="147" t="s">
        <v>22</v>
      </c>
      <c r="U2" s="67" t="s">
        <v>4</v>
      </c>
      <c r="V2" s="138" t="s">
        <v>1</v>
      </c>
      <c r="W2" s="138" t="s">
        <v>23</v>
      </c>
      <c r="X2" s="139" t="s">
        <v>24</v>
      </c>
      <c r="Z2" s="146" t="s">
        <v>0</v>
      </c>
      <c r="AA2" s="147" t="s">
        <v>22</v>
      </c>
      <c r="AB2" s="67" t="s">
        <v>4</v>
      </c>
      <c r="AC2" s="138" t="s">
        <v>1</v>
      </c>
      <c r="AD2" s="138" t="s">
        <v>23</v>
      </c>
      <c r="AE2" s="139" t="s">
        <v>24</v>
      </c>
      <c r="AG2" s="140" t="s">
        <v>0</v>
      </c>
      <c r="AH2" s="141" t="s">
        <v>22</v>
      </c>
      <c r="AI2" s="142" t="s">
        <v>4</v>
      </c>
      <c r="AJ2" s="143" t="s">
        <v>1</v>
      </c>
      <c r="AK2" s="144" t="s">
        <v>23</v>
      </c>
      <c r="AL2" s="145" t="s">
        <v>24</v>
      </c>
      <c r="AN2" s="129" t="s">
        <v>25</v>
      </c>
      <c r="AO2" s="163" t="s">
        <v>4</v>
      </c>
      <c r="AP2" s="138" t="s">
        <v>1</v>
      </c>
      <c r="AQ2" s="139" t="s">
        <v>23</v>
      </c>
      <c r="AS2" s="197" t="s">
        <v>26</v>
      </c>
      <c r="AT2" s="173" t="s">
        <v>27</v>
      </c>
      <c r="AU2" s="174"/>
      <c r="AV2" s="174"/>
      <c r="AW2" s="174"/>
      <c r="AX2" s="175"/>
      <c r="AY2" s="173" t="s">
        <v>28</v>
      </c>
      <c r="AZ2" s="174"/>
      <c r="BA2" s="174"/>
      <c r="BB2" s="175"/>
      <c r="BC2" s="173" t="s">
        <v>29</v>
      </c>
      <c r="BD2" s="174"/>
      <c r="BE2" s="174"/>
      <c r="BF2" s="175"/>
    </row>
    <row r="3" spans="1:58" ht="16.5" thickTop="1" thickBot="1" x14ac:dyDescent="0.3">
      <c r="A3" s="173" t="s">
        <v>30</v>
      </c>
      <c r="B3" s="202"/>
      <c r="C3" s="62">
        <v>10069253</v>
      </c>
      <c r="E3" s="181" t="s">
        <v>31</v>
      </c>
      <c r="F3" s="148">
        <v>2</v>
      </c>
      <c r="G3" s="152" cm="1">
        <f t="array" aca="1" ref="G3" ca="1">SUM(INDIRECT("'"&amp;_xlfn._xlws.FILTER(Character_Name_List,INDEX(Character_List,,7)=E3,)&amp;"'!J15"))+SUM('Traveller Lookups'!D3:F3)</f>
        <v>0</v>
      </c>
      <c r="H3" s="150">
        <v>21</v>
      </c>
      <c r="I3" s="149">
        <f ca="1">MAX(G3-H3,0)</f>
        <v>0</v>
      </c>
      <c r="J3" s="148">
        <f t="shared" ref="J3" ca="1" si="0">MAX(_xlfn.FLOOR.MATH(MIN(-(G3-H3),MAX((G5-H5)*9+(G4-H4)*3,0))/3),0)</f>
        <v>0</v>
      </c>
      <c r="L3" s="193" t="s">
        <v>31</v>
      </c>
      <c r="M3" s="148">
        <v>2</v>
      </c>
      <c r="N3" s="149">
        <f ca="1">'Weapon Ascension Mat Lookup'!B2</f>
        <v>0</v>
      </c>
      <c r="O3" s="150">
        <v>18</v>
      </c>
      <c r="P3" s="151">
        <f t="shared" ref="P3" ca="1" si="1">MAX(N3-O3,0)</f>
        <v>0</v>
      </c>
      <c r="Q3" s="148">
        <f t="shared" ref="Q3" ca="1" si="2">MAX(_xlfn.FLOOR.MATH(MIN(-(N3-O3),MAX((N6-O6)*27+(N5-O5)*9+(N4-O4)*3,0))/3),0)</f>
        <v>0</v>
      </c>
      <c r="S3" s="190" t="s">
        <v>32</v>
      </c>
      <c r="T3" s="57">
        <v>2</v>
      </c>
      <c r="U3" s="38" cm="1">
        <f t="array" aca="1" ref="U3" ca="1">_xlfn.XLOOKUP(Overview!T3&amp;Overview!S3,INDEX(Weapon_Elite_Materials_Totals,,1)&amp;INDEX(Weapon_Elite_Materials_Totals,,2),INDEX(Weapon_Elite_Materials_Totals,,3),,0,1)</f>
        <v>0</v>
      </c>
      <c r="V3" s="63">
        <v>2421</v>
      </c>
      <c r="W3" s="5">
        <f ca="1">MAX(U3-V3,0)</f>
        <v>0</v>
      </c>
      <c r="X3" s="6">
        <f t="shared" ref="X3" ca="1" si="3">MAX(_xlfn.FLOOR.MATH(MIN(-(U3-V3),MAX((U5-V5)*9+(U4-V4)*3,0))/3),0)</f>
        <v>0</v>
      </c>
      <c r="Z3" s="190" t="s">
        <v>33</v>
      </c>
      <c r="AA3" s="57">
        <v>1</v>
      </c>
      <c r="AB3" s="108" cm="1">
        <f t="array" aca="1" ref="AB3" ca="1">_xlfn.XLOOKUP(Overview!AA3&amp;Overview!Z3,INDEX(Character_Materials_Totals,,1)&amp;INDEX(Character_Materials_Totals,,2),INDEX(Character_Materials_Totals,,3),,0,1)+_xlfn.XLOOKUP(Overview!AA3&amp;Overview!Z3,INDEX(Weapon_Common_Materials_Totals,,1)&amp;INDEX(Weapon_Common_Materials_Totals,,2),INDEX(Weapon_Common_Materials_Totals,,3),,0,1)+IFERROR(_xlfn.XLOOKUP(AA3&amp;Z3,INDEX(Traveller_Talent_Mob_Drops,,2)&amp;INDEX(Traveller_Talent_Mob_Drops,,1),INDEX(Traveller_Talent_Mob_Drops,,3),,0,1),0)</f>
        <v>0</v>
      </c>
      <c r="AC3" s="63">
        <v>2452</v>
      </c>
      <c r="AD3" s="5">
        <f ca="1">MAX(AB3-AC3,0)</f>
        <v>0</v>
      </c>
      <c r="AE3" s="6">
        <f t="shared" ref="AE3" ca="1" si="4">MAX(_xlfn.FLOOR.MATH(MIN(-(AB3-AC3),MAX((AB5-AC5)*9+(AB4-AC4)*3,0))/3),0)</f>
        <v>0</v>
      </c>
      <c r="AG3" s="188" t="s">
        <v>793</v>
      </c>
      <c r="AH3" s="49">
        <v>2</v>
      </c>
      <c r="AI3" s="64" cm="1">
        <f t="array" aca="1" ref="AI3" ca="1">IFERROR(SUM(INDIRECT("'"&amp;_xlfn._xlws.FILTER(Character_Name_List,'Character Data Table'!$D$3:$D$107=AG3,)&amp;"'!J6")),0)</f>
        <v>0</v>
      </c>
      <c r="AJ3" s="65">
        <v>593</v>
      </c>
      <c r="AK3" s="2">
        <f t="shared" ref="AK3" ca="1" si="5">MAX(AI3-AJ3,0)</f>
        <v>0</v>
      </c>
      <c r="AL3" s="49">
        <f t="shared" ref="AL3" ca="1" si="6">MAX(_xlfn.FLOOR.MATH(MIN(-(AI3-AJ3),MAX((AI6-AJ6)*27+(AI5-AJ5)*9+(AI4-AJ4)*3,0))/3),0)</f>
        <v>0</v>
      </c>
      <c r="AN3" s="57" t="s">
        <v>34</v>
      </c>
      <c r="AO3" s="108" cm="1">
        <f t="array" aca="1" ref="AO3" ca="1">IFERROR(SUM(INDIRECT("'"&amp;_xlfn._xlws.FILTER(Character_Name_List,'Character Data Table'!$E$3:$E$107=AN3,)&amp;"'!J10")),0)</f>
        <v>0</v>
      </c>
      <c r="AP3" s="63">
        <v>61</v>
      </c>
      <c r="AQ3" s="6">
        <f ca="1">MAX(AO3-AP3,0)</f>
        <v>0</v>
      </c>
      <c r="AS3" s="198"/>
      <c r="AT3" s="66">
        <v>7</v>
      </c>
      <c r="AU3" s="67">
        <v>8</v>
      </c>
      <c r="AV3" s="67">
        <v>9</v>
      </c>
      <c r="AW3" s="67">
        <v>10</v>
      </c>
      <c r="AX3" s="8" t="s">
        <v>35</v>
      </c>
      <c r="AY3" s="11" t="s">
        <v>36</v>
      </c>
      <c r="AZ3" s="7" t="s">
        <v>37</v>
      </c>
      <c r="BA3" s="7" t="s">
        <v>38</v>
      </c>
      <c r="BB3" s="8" t="s">
        <v>1</v>
      </c>
      <c r="BC3" s="102" t="s">
        <v>39</v>
      </c>
      <c r="BD3" s="7" t="s">
        <v>40</v>
      </c>
      <c r="BE3" s="7" t="s">
        <v>41</v>
      </c>
      <c r="BF3" s="79" t="s">
        <v>42</v>
      </c>
    </row>
    <row r="4" spans="1:58" ht="15.75" thickBot="1" x14ac:dyDescent="0.3">
      <c r="A4" s="200" t="s">
        <v>43</v>
      </c>
      <c r="B4" s="201"/>
      <c r="C4" s="23">
        <f ca="1">C2-C3</f>
        <v>15985767</v>
      </c>
      <c r="E4" s="182"/>
      <c r="F4" s="51">
        <v>3</v>
      </c>
      <c r="G4" s="170" cm="1">
        <f t="array" aca="1" ref="G4" ca="1">SUM(INDIRECT("'"&amp;_xlfn._xlws.FILTER(Character_Name_List,INDEX(Character_List,,7)=E3,)&amp;"'!J16"))+SUM('Traveller Lookups'!D4:F4)</f>
        <v>0</v>
      </c>
      <c r="H4" s="68">
        <v>69</v>
      </c>
      <c r="I4" s="38">
        <f ca="1">MAX(G4-(H4+_xlfn.FLOOR.MATH(IF(I3=0,H3-G3,0)/3)),0)</f>
        <v>0</v>
      </c>
      <c r="J4" s="51">
        <f t="shared" ref="J4" ca="1" si="7">MAX(_xlfn.FLOOR.MATH(MIN(-(G4-H4),MAX((G5-H5)*3,0))/3),0)</f>
        <v>0</v>
      </c>
      <c r="L4" s="185"/>
      <c r="M4" s="51">
        <v>3</v>
      </c>
      <c r="N4" s="38">
        <f ca="1">'Weapon Ascension Mat Lookup'!B3</f>
        <v>0</v>
      </c>
      <c r="O4" s="68">
        <v>46</v>
      </c>
      <c r="P4" s="1">
        <f t="shared" ref="P4" ca="1" si="8">MAX(N4-(O4+_xlfn.FLOOR.MATH(IF(P3=0,O3-N3,0)/3)),0)</f>
        <v>0</v>
      </c>
      <c r="Q4" s="51">
        <f t="shared" ref="Q4" ca="1" si="9">MAX(_xlfn.FLOOR.MATH(MIN(-(N4-O4),MAX((N6-O6)*9+(N5-O5)*3,0))/3),0)</f>
        <v>0</v>
      </c>
      <c r="S4" s="191"/>
      <c r="T4" s="54">
        <v>3</v>
      </c>
      <c r="U4" s="38" cm="1">
        <f t="array" aca="1" ref="U4" ca="1">_xlfn.XLOOKUP(Overview!T4&amp;Overview!S3,INDEX(Weapon_Elite_Materials_Totals,,1)&amp;INDEX(Weapon_Elite_Materials_Totals,,2),INDEX(Weapon_Elite_Materials_Totals,,3),,0,1)</f>
        <v>0</v>
      </c>
      <c r="V4" s="68">
        <v>955</v>
      </c>
      <c r="W4" s="1">
        <f t="shared" ref="W4" ca="1" si="10">MAX(U4-(V4+_xlfn.FLOOR.MATH(IF(W3=0,V3-U3,0)/3)),0)</f>
        <v>0</v>
      </c>
      <c r="X4" s="4">
        <f t="shared" ref="X4" ca="1" si="11">MAX(_xlfn.FLOOR.MATH(MIN(-(U4-V4),MAX((U5-V5)*3,0))/3),0)</f>
        <v>0</v>
      </c>
      <c r="Z4" s="191"/>
      <c r="AA4" s="54">
        <v>2</v>
      </c>
      <c r="AB4" s="38" cm="1">
        <f t="array" aca="1" ref="AB4" ca="1">_xlfn.XLOOKUP(Overview!AA4&amp;Overview!Z3,INDEX(Character_Materials_Totals,,1)&amp;INDEX(Character_Materials_Totals,,2),INDEX(Character_Materials_Totals,,3),,0,1)+_xlfn.XLOOKUP(Overview!AA4&amp;Overview!Z3,INDEX(Weapon_Common_Materials_Totals,,1)&amp;INDEX(Weapon_Common_Materials_Totals,,2),INDEX(Weapon_Common_Materials_Totals,,3),,0,1)+IFERROR(_xlfn.XLOOKUP(AA4&amp;Z3,INDEX(Traveller_Talent_Mob_Drops,,2)&amp;INDEX(Traveller_Talent_Mob_Drops,,1),INDEX(Traveller_Talent_Mob_Drops,,3),,0,1),0)</f>
        <v>0</v>
      </c>
      <c r="AC4" s="68">
        <v>968</v>
      </c>
      <c r="AD4" s="1">
        <f t="shared" ref="AD4" ca="1" si="12">MAX(AB4-(AC4+_xlfn.FLOOR.MATH(IF(AD3=0,AC3-AB3,0)/3)),0)</f>
        <v>0</v>
      </c>
      <c r="AE4" s="4">
        <f t="shared" ref="AE4" ca="1" si="13">MAX(_xlfn.FLOOR.MATH(MIN(-(AB4-AC4),MAX((AB5-AC5)*3,0))/3),0)</f>
        <v>0</v>
      </c>
      <c r="AG4" s="182"/>
      <c r="AH4" s="51">
        <v>3</v>
      </c>
      <c r="AI4" s="38" cm="1">
        <f t="array" aca="1" ref="AI4" ca="1">IFERROR(SUM(INDIRECT("'"&amp;_xlfn._xlws.FILTER(Character_Name_List,'Character Data Table'!$D$3:$D$107=AG3,)&amp;"'!J7")),0)</f>
        <v>0</v>
      </c>
      <c r="AJ4" s="68">
        <v>341</v>
      </c>
      <c r="AK4" s="1">
        <f t="shared" ref="AK4" ca="1" si="14">MAX(AI4-(AJ4+_xlfn.FLOOR.MATH(IF(AK3=0,AJ3-AI3,0)/3)),0)</f>
        <v>0</v>
      </c>
      <c r="AL4" s="51">
        <f t="shared" ref="AL4" ca="1" si="15">MAX(_xlfn.FLOOR.MATH(MIN(-(AI4-AJ4),MAX((AI6-AJ6)*9+(AI5-AJ5)*3,0))/3),0)</f>
        <v>0</v>
      </c>
      <c r="AN4" s="54" t="s">
        <v>44</v>
      </c>
      <c r="AO4" s="38" cm="1">
        <f t="array" aca="1" ref="AO4" ca="1">IFERROR(SUM(INDIRECT("'"&amp;_xlfn._xlws.FILTER(Character_Name_List,'Character Data Table'!$E$3:$E$107=AN4,)&amp;"'!J10")),0)</f>
        <v>0</v>
      </c>
      <c r="AP4" s="68">
        <v>1</v>
      </c>
      <c r="AQ4" s="4">
        <f t="shared" ref="AQ4:AQ31" ca="1" si="16">MAX(AO4-AP4,0)</f>
        <v>0</v>
      </c>
      <c r="AS4" s="55" t="str" cm="1">
        <f t="array" ref="AS4:AS15">_xlfn._xlws.FILTER(IFERROR(_xlfn.UNIQUE(LEFT('Character Talent Mats'!D3:D39,LEN('Character Talent Mats'!D3:D39)-2)),""),IFERROR(_xlfn.UNIQUE(LEFT('Character Talent Mats'!D3:D39,LEN('Character Talent Mats'!D3:D39)-2)),"")&lt;&gt;"","")</f>
        <v>Dvalin</v>
      </c>
      <c r="AT4" s="14">
        <f ca="1">_xlfn.XLOOKUP(AS4,'Weekly Boss Talent Lookups'!A:A,'Weekly Boss Talent Lookups'!B:B,,0,1)+IFERROR(_xlfn.XLOOKUP(AS4,'Traveller Lookups'!$O$7:$O$11,'Traveller Lookups'!$P$7:$P$11,,0,1),0)</f>
        <v>1</v>
      </c>
      <c r="AU4" s="38">
        <f ca="1">_xlfn.XLOOKUP(AS4,'Weekly Boss Talent Lookups'!A:A,'Weekly Boss Talent Lookups'!C:C,,0,1)+IFERROR(_xlfn.XLOOKUP(AS4,'Traveller Lookups'!$O$13:$O$17,'Traveller Lookups'!$P$13:$P$17,,0,1),0)</f>
        <v>1</v>
      </c>
      <c r="AV4" s="38">
        <f ca="1">_xlfn.XLOOKUP(AS4,'Weekly Boss Talent Lookups'!A:A,'Weekly Boss Talent Lookups'!D:D,,0,1)+IFERROR(_xlfn.XLOOKUP(AS4,'Traveller Lookups'!$O$19:$O$23,'Traveller Lookups'!$P$19:$P$23,,0,1),0)</f>
        <v>1</v>
      </c>
      <c r="AW4" s="38">
        <f ca="1">_xlfn.XLOOKUP(AS4,'Weekly Boss Talent Lookups'!A:A,'Weekly Boss Talent Lookups'!E:E,,0,1)+IFERROR(_xlfn.XLOOKUP(AS4,'Traveller Lookups'!$O$25:$O$29,'Traveller Lookups'!$P$25:$P$29,,0,1),0)</f>
        <v>31</v>
      </c>
      <c r="AX4" s="4">
        <f ca="1">AT4+AU4+AV4*2+AW4*2</f>
        <v>66</v>
      </c>
      <c r="AY4" s="69">
        <v>25</v>
      </c>
      <c r="AZ4" s="68">
        <v>21</v>
      </c>
      <c r="BA4" s="68">
        <v>18</v>
      </c>
      <c r="BB4" s="4">
        <f>SUM(AY4:BA4)</f>
        <v>64</v>
      </c>
      <c r="BC4" s="85">
        <f ca="1">MAX((AT4)-BB4,0)</f>
        <v>0</v>
      </c>
      <c r="BD4" s="1">
        <f ca="1">MAX((AT4+AU4)-BB4,0)-BC4</f>
        <v>0</v>
      </c>
      <c r="BE4" s="1">
        <f t="shared" ref="BE4:BE9" ca="1" si="17">MAX((AT4+AU4+AV4*2)-BB4,0)-BD4-BC4</f>
        <v>0</v>
      </c>
      <c r="BF4" s="51">
        <f ca="1">MAX(AX4-BB4,0)-BE4-BD4-BC4</f>
        <v>2</v>
      </c>
    </row>
    <row r="5" spans="1:58" ht="15.75" thickBot="1" x14ac:dyDescent="0.3">
      <c r="E5" s="183"/>
      <c r="F5" s="50">
        <v>4</v>
      </c>
      <c r="G5" s="80" cm="1">
        <f t="array" aca="1" ref="G5" ca="1">SUM(INDIRECT("'"&amp;_xlfn._xlws.FILTER(Character_Name_List,INDEX(Character_List,,7)=E3,)&amp;"'!J17"))+SUM('Traveller Lookups'!D5:F5)</f>
        <v>0</v>
      </c>
      <c r="H5" s="71">
        <v>22</v>
      </c>
      <c r="I5" s="70">
        <f ca="1">MAX(G5-(H5+_xlfn.FLOOR.MATH(IF(I4=0,(H4+_xlfn.FLOOR.MATH(IF(I3=0,H3-G3,0)/3))-G4,0)/3)),0)</f>
        <v>0</v>
      </c>
      <c r="J5" s="50" t="s">
        <v>45</v>
      </c>
      <c r="L5" s="185"/>
      <c r="M5" s="51">
        <v>4</v>
      </c>
      <c r="N5" s="38">
        <f ca="1">'Weapon Ascension Mat Lookup'!B4</f>
        <v>0</v>
      </c>
      <c r="O5" s="68">
        <v>6</v>
      </c>
      <c r="P5" s="1">
        <f t="shared" ref="P5" ca="1" si="18">MAX(N5-(O5+_xlfn.FLOOR.MATH(IF(P4=0,(O4+_xlfn.FLOOR.MATH(IF(P3=0,O3-N3,0)/3))-N4,0)/3)),0)</f>
        <v>0</v>
      </c>
      <c r="Q5" s="51">
        <f t="shared" ref="Q5" ca="1" si="19">MAX(_xlfn.FLOOR.MATH(MIN(-(N5-O5),MAX((N6-O6)*3,0))/3),0)</f>
        <v>0</v>
      </c>
      <c r="S5" s="192"/>
      <c r="T5" s="53">
        <v>4</v>
      </c>
      <c r="U5" s="70" cm="1">
        <f t="array" aca="1" ref="U5" ca="1">_xlfn.XLOOKUP(Overview!T5&amp;Overview!S3,INDEX(Weapon_Elite_Materials_Totals,,1)&amp;INDEX(Weapon_Elite_Materials_Totals,,2),INDEX(Weapon_Elite_Materials_Totals,,3),,0,1)</f>
        <v>0</v>
      </c>
      <c r="V5" s="71">
        <v>156</v>
      </c>
      <c r="W5" s="9">
        <f t="shared" ref="W5" ca="1" si="20">MAX(U5-(V5+_xlfn.FLOOR.MATH(IF(W4=0,(V4+_xlfn.FLOOR.MATH(IF(W3=0,V3-U3,0)/3))-U4,0)/3)),0)</f>
        <v>0</v>
      </c>
      <c r="X5" s="50" t="s">
        <v>45</v>
      </c>
      <c r="Z5" s="192"/>
      <c r="AA5" s="53">
        <v>3</v>
      </c>
      <c r="AB5" s="70" cm="1">
        <f t="array" aca="1" ref="AB5" ca="1">_xlfn.XLOOKUP(Overview!AA5&amp;Overview!Z3,INDEX(Character_Materials_Totals,,1)&amp;INDEX(Character_Materials_Totals,,2),INDEX(Character_Materials_Totals,,3),,0,1)+_xlfn.XLOOKUP(Overview!AA5&amp;Overview!Z3,INDEX(Weapon_Common_Materials_Totals,,1)&amp;INDEX(Weapon_Common_Materials_Totals,,2),INDEX(Weapon_Common_Materials_Totals,,3),,0,1)+IFERROR(_xlfn.XLOOKUP(AA5&amp;Z3,INDEX(Traveller_Talent_Mob_Drops,,2)&amp;INDEX(Traveller_Talent_Mob_Drops,,1),INDEX(Traveller_Talent_Mob_Drops,,3),,0,1),0)</f>
        <v>0</v>
      </c>
      <c r="AC5" s="71">
        <v>379</v>
      </c>
      <c r="AD5" s="9">
        <f t="shared" ref="AD5" ca="1" si="21">MAX(AB5-(AC5+_xlfn.FLOOR.MATH(IF(AD4=0,(AC4+_xlfn.FLOOR.MATH(IF(AD3=0,AC3-AB3,0)/3))-AB4,0)/3)),0)</f>
        <v>0</v>
      </c>
      <c r="AE5" s="50" t="s">
        <v>45</v>
      </c>
      <c r="AG5" s="182"/>
      <c r="AH5" s="51">
        <v>4</v>
      </c>
      <c r="AI5" s="38" cm="1">
        <f t="array" aca="1" ref="AI5" ca="1">IFERROR(SUM(INDIRECT("'"&amp;_xlfn._xlws.FILTER(Character_Name_List,'Character Data Table'!$D$3:$D$107=AG3,)&amp;"'!J8")),0)</f>
        <v>0</v>
      </c>
      <c r="AJ5" s="68">
        <v>15</v>
      </c>
      <c r="AK5" s="1">
        <f t="shared" ref="AK5" ca="1" si="22">MAX(AI5-(AJ5+_xlfn.FLOOR.MATH(IF(AK4=0,(AJ4+_xlfn.FLOOR.MATH(IF(AK3=0,AJ3-AI3,0)/3))-AI4,0)/3)),0)</f>
        <v>0</v>
      </c>
      <c r="AL5" s="51">
        <f t="shared" ref="AL5" ca="1" si="23">MAX(_xlfn.FLOOR.MATH(MIN(-(AI5-AJ5),MAX((AI6-AJ6)*3,0))/3),0)</f>
        <v>0</v>
      </c>
      <c r="AN5" s="54" t="s">
        <v>46</v>
      </c>
      <c r="AO5" s="38" cm="1">
        <f t="array" aca="1" ref="AO5" ca="1">IFERROR(SUM(INDIRECT("'"&amp;_xlfn._xlws.FILTER(Character_Name_List,'Character Data Table'!$E$3:$E$107=AN5,)&amp;"'!J10")),0)</f>
        <v>0</v>
      </c>
      <c r="AP5" s="68">
        <v>2</v>
      </c>
      <c r="AQ5" s="4">
        <f t="shared" ca="1" si="16"/>
        <v>0</v>
      </c>
      <c r="AS5" s="55" t="str">
        <v>Boreas</v>
      </c>
      <c r="AT5" s="14">
        <f ca="1">_xlfn.XLOOKUP(AS5,'Weekly Boss Talent Lookups'!A:A,'Weekly Boss Talent Lookups'!B:B,,0,1)+IFERROR(_xlfn.XLOOKUP(AS5,'Traveller Lookups'!$O$7:$O$11,'Traveller Lookups'!$P$7:$P$11,,0,1),0)</f>
        <v>0</v>
      </c>
      <c r="AU5" s="38">
        <f ca="1">_xlfn.XLOOKUP(AS5,'Weekly Boss Talent Lookups'!A:A,'Weekly Boss Talent Lookups'!C:C,,0,1)+IFERROR(_xlfn.XLOOKUP(AS5,'Traveller Lookups'!$O$13:$O$17,'Traveller Lookups'!$P$13:$P$17,,0,1),0)</f>
        <v>0</v>
      </c>
      <c r="AV5" s="38">
        <f ca="1">_xlfn.XLOOKUP(AS5,'Weekly Boss Talent Lookups'!A:A,'Weekly Boss Talent Lookups'!D:D,,0,1)+IFERROR(_xlfn.XLOOKUP(AS5,'Traveller Lookups'!$O$19:$O$23,'Traveller Lookups'!$P$19:$P$23,,0,1),0)</f>
        <v>0</v>
      </c>
      <c r="AW5" s="38">
        <f ca="1">_xlfn.XLOOKUP(AS5,'Weekly Boss Talent Lookups'!A:A,'Weekly Boss Talent Lookups'!E:E,,0,1)+IFERROR(_xlfn.XLOOKUP(AS5,'Traveller Lookups'!$O$25:$O$29,'Traveller Lookups'!$P$25:$P$29,,0,1),0)</f>
        <v>33</v>
      </c>
      <c r="AX5" s="4">
        <f t="shared" ref="AX5:AX9" ca="1" si="24">AT5+AU5+AV5*2+AW5*2</f>
        <v>66</v>
      </c>
      <c r="AY5" s="72">
        <v>24</v>
      </c>
      <c r="AZ5" s="63">
        <v>24</v>
      </c>
      <c r="BA5" s="63">
        <v>19</v>
      </c>
      <c r="BB5" s="6">
        <f>SUM(AY5:BA5)</f>
        <v>67</v>
      </c>
      <c r="BC5" s="85">
        <f t="shared" ref="BC5:BC9" ca="1" si="25">MAX((AT5)-BB5,0)</f>
        <v>0</v>
      </c>
      <c r="BD5" s="1">
        <f t="shared" ref="BD5:BD9" ca="1" si="26">MAX((AT5+AU5)-BB5,0)-BC5</f>
        <v>0</v>
      </c>
      <c r="BE5" s="1">
        <f t="shared" ca="1" si="17"/>
        <v>0</v>
      </c>
      <c r="BF5" s="56">
        <f t="shared" ref="BF5:BF10" ca="1" si="27">MAX(AX5-BB5,0)-BE5-BD5-BC5</f>
        <v>0</v>
      </c>
    </row>
    <row r="6" spans="1:58" ht="15.75" thickBot="1" x14ac:dyDescent="0.3">
      <c r="A6" s="203" t="s">
        <v>47</v>
      </c>
      <c r="B6" s="11" t="s">
        <v>21</v>
      </c>
      <c r="C6" s="24" cm="1">
        <f t="array" aca="1" ref="C6" ca="1">SUM(INDIRECT("'"&amp;_xlfn._xlws.FILTER(Character_Name_List,Character_Name_List&lt;&gt;"",)&amp;"'!J5"))+'Traveller Level'!G5+SUM(INDIRECT("'Traveller "&amp;_xlfn.UNIQUE(_xlfn._xlws.FILTER(INDEX(Traveller_List,,1),INDEX(Traveller_List,,1)&lt;&gt;"",))&amp;"'!L4"))</f>
        <v>18357500</v>
      </c>
      <c r="E6" s="188" t="s">
        <v>48</v>
      </c>
      <c r="F6" s="49">
        <v>2</v>
      </c>
      <c r="G6" s="64" cm="1">
        <f t="array" aca="1" ref="G6" ca="1">SUM(INDIRECT("'"&amp;_xlfn._xlws.FILTER(Character_Name_List,INDEX(Character_List,,7)=E6,)&amp;"'!J15"))+SUM('Traveller Lookups'!D6:F6)</f>
        <v>0</v>
      </c>
      <c r="H6" s="65">
        <v>24</v>
      </c>
      <c r="I6" s="64">
        <f ca="1">MAX(G6-H6,0)</f>
        <v>0</v>
      </c>
      <c r="J6" s="49">
        <f t="shared" ref="J6" ca="1" si="28">MAX(_xlfn.FLOOR.MATH(MIN(-(G6-H6),MAX((G8-H8)*9+(G7-H7)*3,0))/3),0)</f>
        <v>0</v>
      </c>
      <c r="L6" s="186"/>
      <c r="M6" s="50">
        <v>5</v>
      </c>
      <c r="N6" s="70">
        <f ca="1">'Weapon Ascension Mat Lookup'!B5</f>
        <v>0</v>
      </c>
      <c r="O6" s="71">
        <v>0</v>
      </c>
      <c r="P6" s="9">
        <f t="shared" ref="P6" ca="1" si="29">MAX(N6-(O6+_xlfn.FLOOR.MATH(IF(P5=0,(O5+_xlfn.FLOOR.MATH(IF(P4=0,(O4+_xlfn.FLOOR.MATH(IF(P3=0,O3-N3,0)/3))-N4,0)/3))-N5,0)/3)),0)</f>
        <v>0</v>
      </c>
      <c r="Q6" s="50" t="s">
        <v>45</v>
      </c>
      <c r="S6" s="190" t="s">
        <v>49</v>
      </c>
      <c r="T6" s="57">
        <v>2</v>
      </c>
      <c r="U6" s="38" cm="1">
        <f t="array" aca="1" ref="U6" ca="1">_xlfn.XLOOKUP(Overview!T6&amp;Overview!S6,INDEX(Weapon_Elite_Materials_Totals,,1)&amp;INDEX(Weapon_Elite_Materials_Totals,,2),INDEX(Weapon_Elite_Materials_Totals,,3),,0,1)</f>
        <v>0</v>
      </c>
      <c r="V6" s="63">
        <v>1065</v>
      </c>
      <c r="W6" s="5">
        <f ca="1">MAX(U6-V6,0)</f>
        <v>0</v>
      </c>
      <c r="X6" s="6">
        <f t="shared" ref="X6" ca="1" si="30">MAX(_xlfn.FLOOR.MATH(MIN(-(U6-V6),MAX((U8-V8)*9+(U7-V7)*3,0))/3),0)</f>
        <v>0</v>
      </c>
      <c r="Z6" s="190" t="s">
        <v>50</v>
      </c>
      <c r="AA6" s="57">
        <v>1</v>
      </c>
      <c r="AB6" s="38" cm="1">
        <f t="array" aca="1" ref="AB6" ca="1">_xlfn.XLOOKUP(Overview!AA6&amp;Overview!Z6,INDEX(Character_Materials_Totals,,1)&amp;INDEX(Character_Materials_Totals,,2),INDEX(Character_Materials_Totals,,3),,0,1)+_xlfn.XLOOKUP(Overview!AA6&amp;Overview!Z6,INDEX(Weapon_Common_Materials_Totals,,1)&amp;INDEX(Weapon_Common_Materials_Totals,,2),INDEX(Weapon_Common_Materials_Totals,,3),,0,1)+IFERROR(_xlfn.XLOOKUP(AA6&amp;Z6,INDEX(Traveller_Talent_Mob_Drops,,2)&amp;INDEX(Traveller_Talent_Mob_Drops,,1),INDEX(Traveller_Talent_Mob_Drops,,3),,0,1),0)</f>
        <v>0</v>
      </c>
      <c r="AC6" s="63">
        <v>2263</v>
      </c>
      <c r="AD6" s="5">
        <f ca="1">MAX(AB6-AC6,0)</f>
        <v>0</v>
      </c>
      <c r="AE6" s="6">
        <f t="shared" ref="AE6" ca="1" si="31">MAX(_xlfn.FLOOR.MATH(MIN(-(AB6-AC6),MAX((AB8-AC8)*9+(AB7-AC7)*3,0))/3),0)</f>
        <v>0</v>
      </c>
      <c r="AG6" s="183"/>
      <c r="AH6" s="50">
        <v>5</v>
      </c>
      <c r="AI6" s="70" cm="1">
        <f t="array" aca="1" ref="AI6" ca="1">IFERROR(SUM(INDIRECT("'"&amp;_xlfn._xlws.FILTER(Character_Name_List,'Character Data Table'!$D$3:$D$107=AG3,)&amp;"'!J9")),0)</f>
        <v>0</v>
      </c>
      <c r="AJ6" s="71">
        <v>2</v>
      </c>
      <c r="AK6" s="9">
        <f t="shared" ref="AK6" ca="1" si="32">MAX(AI6-(AJ6+_xlfn.FLOOR.MATH(IF(AK5=0,(AJ5+_xlfn.FLOOR.MATH(IF(AK4=0,(AJ4+_xlfn.FLOOR.MATH(IF(AK3=0,AJ3-AI3,0)/3))-AI4,0)/3))-AI5,0)/3)),0)</f>
        <v>0</v>
      </c>
      <c r="AL6" s="50" t="s">
        <v>45</v>
      </c>
      <c r="AN6" s="54" t="s">
        <v>51</v>
      </c>
      <c r="AO6" s="38" cm="1">
        <f t="array" aca="1" ref="AO6" ca="1">IFERROR(SUM(INDIRECT("'"&amp;_xlfn._xlws.FILTER(Character_Name_List,'Character Data Table'!$E$3:$E$107=AN6,)&amp;"'!J10")),0)</f>
        <v>0</v>
      </c>
      <c r="AP6" s="68">
        <v>1</v>
      </c>
      <c r="AQ6" s="4">
        <f t="shared" ca="1" si="16"/>
        <v>0</v>
      </c>
      <c r="AS6" s="48" t="str">
        <v>Childe</v>
      </c>
      <c r="AT6" s="14">
        <f ca="1">_xlfn.XLOOKUP(AS6,'Weekly Boss Talent Lookups'!A:A,'Weekly Boss Talent Lookups'!B:B,,0,1)+IFERROR(_xlfn.XLOOKUP(AS6,'Traveller Lookups'!$O$7:$O$11,'Traveller Lookups'!$P$7:$P$11,,0,1),0)</f>
        <v>0</v>
      </c>
      <c r="AU6" s="38">
        <f ca="1">_xlfn.XLOOKUP(AS6,'Weekly Boss Talent Lookups'!A:A,'Weekly Boss Talent Lookups'!C:C,,0,1)+IFERROR(_xlfn.XLOOKUP(AS6,'Traveller Lookups'!$O$13:$O$17,'Traveller Lookups'!$P$13:$P$17,,0,1),0)</f>
        <v>0</v>
      </c>
      <c r="AV6" s="38">
        <f ca="1">_xlfn.XLOOKUP(AS6,'Weekly Boss Talent Lookups'!A:A,'Weekly Boss Talent Lookups'!D:D,,0,1)+IFERROR(_xlfn.XLOOKUP(AS6,'Traveller Lookups'!$O$19:$O$23,'Traveller Lookups'!$P$19:$P$23,,0,1),0)</f>
        <v>0</v>
      </c>
      <c r="AW6" s="38">
        <f ca="1">_xlfn.XLOOKUP(AS6,'Weekly Boss Talent Lookups'!A:A,'Weekly Boss Talent Lookups'!E:E,,0,1)+IFERROR(_xlfn.XLOOKUP(AS6,'Traveller Lookups'!$O$25:$O$29,'Traveller Lookups'!$P$25:$P$29,,0,1),0)</f>
        <v>27</v>
      </c>
      <c r="AX6" s="4">
        <f t="shared" ca="1" si="24"/>
        <v>54</v>
      </c>
      <c r="AY6" s="69">
        <v>21</v>
      </c>
      <c r="AZ6" s="68">
        <v>13</v>
      </c>
      <c r="BA6" s="68">
        <v>24</v>
      </c>
      <c r="BB6" s="4">
        <f t="shared" ref="BB6:BB9" si="33">SUM(AY6:BA6)</f>
        <v>58</v>
      </c>
      <c r="BC6" s="85">
        <f t="shared" ca="1" si="25"/>
        <v>0</v>
      </c>
      <c r="BD6" s="1">
        <f t="shared" ca="1" si="26"/>
        <v>0</v>
      </c>
      <c r="BE6" s="1">
        <f t="shared" ca="1" si="17"/>
        <v>0</v>
      </c>
      <c r="BF6" s="51">
        <f t="shared" ca="1" si="27"/>
        <v>0</v>
      </c>
    </row>
    <row r="7" spans="1:58" ht="15.75" thickBot="1" x14ac:dyDescent="0.3">
      <c r="A7" s="204"/>
      <c r="B7" s="21" t="s">
        <v>52</v>
      </c>
      <c r="C7" s="23" cm="1">
        <f t="array" aca="1" ref="C7" ca="1">SUM(INDIRECT("'"&amp;_xlfn._xlws.FILTER(Character_Name_List,Character_Name_List&lt;&gt;"",)&amp;"'!J4"))+'Traveller Level'!G4</f>
        <v>28511075</v>
      </c>
      <c r="E7" s="182"/>
      <c r="F7" s="51">
        <v>3</v>
      </c>
      <c r="G7" s="38" cm="1">
        <f t="array" aca="1" ref="G7" ca="1">SUM(INDIRECT("'"&amp;_xlfn._xlws.FILTER(Character_Name_List,INDEX(Character_List,,7)=E6,)&amp;"'!J16"))+SUM('Traveller Lookups'!D7:F7)</f>
        <v>0</v>
      </c>
      <c r="H7" s="68">
        <v>67</v>
      </c>
      <c r="I7" s="38">
        <f ca="1">MAX(G7-(H7+_xlfn.FLOOR.MATH(IF(I6=0,H6-G6,0)/3)),0)</f>
        <v>0</v>
      </c>
      <c r="J7" s="51">
        <f t="shared" ref="J7" ca="1" si="34">MAX(_xlfn.FLOOR.MATH(MIN(-(G7-H7),MAX((G8-H8)*3,0))/3),0)</f>
        <v>0</v>
      </c>
      <c r="L7" s="184" t="s">
        <v>48</v>
      </c>
      <c r="M7" s="49">
        <v>2</v>
      </c>
      <c r="N7" s="64">
        <f ca="1">'Weapon Ascension Mat Lookup'!B6</f>
        <v>0</v>
      </c>
      <c r="O7" s="65">
        <v>12</v>
      </c>
      <c r="P7" s="2">
        <f t="shared" ref="P7" ca="1" si="35">MAX(N7-O7,0)</f>
        <v>0</v>
      </c>
      <c r="Q7" s="49">
        <f t="shared" ref="Q7" ca="1" si="36">MAX(_xlfn.FLOOR.MATH(MIN(-(N7-O7),MAX((N10-O10)*27+(N9-O9)*9+(N8-O8)*3,0))/3),0)</f>
        <v>0</v>
      </c>
      <c r="S7" s="191"/>
      <c r="T7" s="54">
        <v>3</v>
      </c>
      <c r="U7" s="38" cm="1">
        <f t="array" aca="1" ref="U7" ca="1">_xlfn.XLOOKUP(Overview!T7&amp;Overview!S6,INDEX(Weapon_Elite_Materials_Totals,,1)&amp;INDEX(Weapon_Elite_Materials_Totals,,2),INDEX(Weapon_Elite_Materials_Totals,,3),,0,1)</f>
        <v>0</v>
      </c>
      <c r="V7" s="68">
        <v>369</v>
      </c>
      <c r="W7" s="1">
        <f t="shared" ref="W7" ca="1" si="37">MAX(U7-(V7+_xlfn.FLOOR.MATH(IF(W6=0,V6-U6,0)/3)),0)</f>
        <v>0</v>
      </c>
      <c r="X7" s="4">
        <f t="shared" ref="X7" ca="1" si="38">MAX(_xlfn.FLOOR.MATH(MIN(-(U7-V7),MAX((U8-V8)*3,0))/3),0)</f>
        <v>0</v>
      </c>
      <c r="Z7" s="191"/>
      <c r="AA7" s="54">
        <v>2</v>
      </c>
      <c r="AB7" s="38" cm="1">
        <f t="array" aca="1" ref="AB7" ca="1">_xlfn.XLOOKUP(Overview!AA7&amp;Overview!Z6,INDEX(Character_Materials_Totals,,1)&amp;INDEX(Character_Materials_Totals,,2),INDEX(Character_Materials_Totals,,3),,0,1)+_xlfn.XLOOKUP(Overview!AA7&amp;Overview!Z6,INDEX(Weapon_Common_Materials_Totals,,1)&amp;INDEX(Weapon_Common_Materials_Totals,,2),INDEX(Weapon_Common_Materials_Totals,,3),,0,1)+IFERROR(_xlfn.XLOOKUP(AA7&amp;Z6,INDEX(Traveller_Talent_Mob_Drops,,2)&amp;INDEX(Traveller_Talent_Mob_Drops,,1),INDEX(Traveller_Talent_Mob_Drops,,3),,0,1),0)</f>
        <v>0</v>
      </c>
      <c r="AC7" s="68">
        <v>941</v>
      </c>
      <c r="AD7" s="1">
        <f t="shared" ref="AD7" ca="1" si="39">MAX(AB7-(AC7+_xlfn.FLOOR.MATH(IF(AD6=0,AC6-AB6,0)/3)),0)</f>
        <v>0</v>
      </c>
      <c r="AE7" s="4">
        <f t="shared" ref="AE7" ca="1" si="40">MAX(_xlfn.FLOOR.MATH(MIN(-(AB7-AC7),MAX((AB8-AC8)*3,0))/3),0)</f>
        <v>0</v>
      </c>
      <c r="AG7" s="188" t="s">
        <v>790</v>
      </c>
      <c r="AH7" s="49">
        <v>2</v>
      </c>
      <c r="AI7" s="64" cm="1">
        <f t="array" aca="1" ref="AI7" ca="1">IFERROR(SUM(INDIRECT("'"&amp;_xlfn._xlws.FILTER(Character_Name_List,'Character Data Table'!$D$3:$D$107=AG7,)&amp;"'!J6")),0)</f>
        <v>0</v>
      </c>
      <c r="AJ7" s="65">
        <v>747</v>
      </c>
      <c r="AK7" s="2">
        <f t="shared" ref="AK7" ca="1" si="41">MAX(AI7-AJ7,0)</f>
        <v>0</v>
      </c>
      <c r="AL7" s="49">
        <f t="shared" ref="AL7" ca="1" si="42">MAX(_xlfn.FLOOR.MATH(MIN(-(AI7-AJ7),MAX((AI10-AJ10)*27+(AI9-AJ9)*9+(AI8-AJ8)*3,0))/3),0)</f>
        <v>0</v>
      </c>
      <c r="AN7" s="54" t="s">
        <v>53</v>
      </c>
      <c r="AO7" s="38" cm="1">
        <f t="array" aca="1" ref="AO7" ca="1">IFERROR(SUM(INDIRECT("'"&amp;_xlfn._xlws.FILTER(Character_Name_List,'Character Data Table'!$E$3:$E$107=AN7,)&amp;"'!J10")),0)</f>
        <v>0</v>
      </c>
      <c r="AP7" s="68">
        <v>11</v>
      </c>
      <c r="AQ7" s="4">
        <f t="shared" ca="1" si="16"/>
        <v>0</v>
      </c>
      <c r="AS7" s="48" t="str">
        <v>Azhdaha</v>
      </c>
      <c r="AT7" s="14">
        <f ca="1">_xlfn.XLOOKUP(AS7,'Weekly Boss Talent Lookups'!A:A,'Weekly Boss Talent Lookups'!B:B,,0,1)+IFERROR(_xlfn.XLOOKUP(AS7,'Traveller Lookups'!$O$7:$O$11,'Traveller Lookups'!$P$7:$P$11,,0,1),0)</f>
        <v>0</v>
      </c>
      <c r="AU7" s="38">
        <f ca="1">_xlfn.XLOOKUP(AS7,'Weekly Boss Talent Lookups'!A:A,'Weekly Boss Talent Lookups'!C:C,,0,1)+IFERROR(_xlfn.XLOOKUP(AS7,'Traveller Lookups'!$O$13:$O$17,'Traveller Lookups'!$P$13:$P$17,,0,1),0)</f>
        <v>0</v>
      </c>
      <c r="AV7" s="38">
        <f ca="1">_xlfn.XLOOKUP(AS7,'Weekly Boss Talent Lookups'!A:A,'Weekly Boss Talent Lookups'!D:D,,0,1)+IFERROR(_xlfn.XLOOKUP(AS7,'Traveller Lookups'!$O$19:$O$23,'Traveller Lookups'!$P$19:$P$23,,0,1),0)</f>
        <v>0</v>
      </c>
      <c r="AW7" s="38">
        <f ca="1">_xlfn.XLOOKUP(AS7,'Weekly Boss Talent Lookups'!A:A,'Weekly Boss Talent Lookups'!E:E,,0,1)+IFERROR(_xlfn.XLOOKUP(AS7,'Traveller Lookups'!$O$25:$O$29,'Traveller Lookups'!$P$25:$P$29,,0,1),0)</f>
        <v>24</v>
      </c>
      <c r="AX7" s="4">
        <f t="shared" ref="AX7" ca="1" si="43">AT7+AU7+AV7*2+AW7*2</f>
        <v>48</v>
      </c>
      <c r="AY7" s="69">
        <v>15</v>
      </c>
      <c r="AZ7" s="68">
        <v>20</v>
      </c>
      <c r="BA7" s="68">
        <v>17</v>
      </c>
      <c r="BB7" s="4">
        <f t="shared" si="33"/>
        <v>52</v>
      </c>
      <c r="BC7" s="85">
        <f t="shared" ca="1" si="25"/>
        <v>0</v>
      </c>
      <c r="BD7" s="1">
        <f t="shared" ca="1" si="26"/>
        <v>0</v>
      </c>
      <c r="BE7" s="1">
        <f t="shared" ca="1" si="17"/>
        <v>0</v>
      </c>
      <c r="BF7" s="51">
        <f t="shared" ca="1" si="27"/>
        <v>0</v>
      </c>
    </row>
    <row r="8" spans="1:58" ht="15.75" thickBot="1" x14ac:dyDescent="0.3">
      <c r="A8" s="204"/>
      <c r="B8" s="20" t="s">
        <v>54</v>
      </c>
      <c r="C8" s="74">
        <v>138</v>
      </c>
      <c r="E8" s="183"/>
      <c r="F8" s="50">
        <v>4</v>
      </c>
      <c r="G8" s="80" cm="1">
        <f t="array" aca="1" ref="G8" ca="1">SUM(INDIRECT("'"&amp;_xlfn._xlws.FILTER(Character_Name_List,INDEX(Character_List,,7)=E6,)&amp;"'!J17"))+SUM('Traveller Lookups'!D8:F8)</f>
        <v>0</v>
      </c>
      <c r="H8" s="71">
        <v>23</v>
      </c>
      <c r="I8" s="70">
        <f ca="1">MAX(G8-(H8+_xlfn.FLOOR.MATH(IF(I7=0,(H7+_xlfn.FLOOR.MATH(IF(I6=0,H6-G6,0)/3))-G7,0)/3)),0)</f>
        <v>0</v>
      </c>
      <c r="J8" s="50" t="s">
        <v>45</v>
      </c>
      <c r="L8" s="185"/>
      <c r="M8" s="51">
        <v>3</v>
      </c>
      <c r="N8" s="38">
        <f ca="1">'Weapon Ascension Mat Lookup'!B7</f>
        <v>0</v>
      </c>
      <c r="O8" s="68">
        <v>45</v>
      </c>
      <c r="P8" s="1">
        <f t="shared" ref="P8" ca="1" si="44">MAX(N8-(O8+_xlfn.FLOOR.MATH(IF(P7=0,O7-N7,0)/3)),0)</f>
        <v>0</v>
      </c>
      <c r="Q8" s="51">
        <f t="shared" ref="Q8" ca="1" si="45">MAX(_xlfn.FLOOR.MATH(MIN(-(N8-O8),MAX((N10-O10)*9+(N9-O9)*3,0))/3),0)</f>
        <v>0</v>
      </c>
      <c r="S8" s="192"/>
      <c r="T8" s="53">
        <v>4</v>
      </c>
      <c r="U8" s="70" cm="1">
        <f t="array" aca="1" ref="U8" ca="1">_xlfn.XLOOKUP(Overview!T8&amp;Overview!S6,INDEX(Weapon_Elite_Materials_Totals,,1)&amp;INDEX(Weapon_Elite_Materials_Totals,,2),INDEX(Weapon_Elite_Materials_Totals,,3),,0,1)</f>
        <v>0</v>
      </c>
      <c r="V8" s="71">
        <v>110</v>
      </c>
      <c r="W8" s="9">
        <f t="shared" ref="W8" ca="1" si="46">MAX(U8-(V8+_xlfn.FLOOR.MATH(IF(W7=0,(V7+_xlfn.FLOOR.MATH(IF(W6=0,V6-U6,0)/3))-U7,0)/3)),0)</f>
        <v>0</v>
      </c>
      <c r="X8" s="50" t="s">
        <v>45</v>
      </c>
      <c r="Z8" s="192"/>
      <c r="AA8" s="53">
        <v>3</v>
      </c>
      <c r="AB8" s="70" cm="1">
        <f t="array" aca="1" ref="AB8" ca="1">_xlfn.XLOOKUP(Overview!AA8&amp;Overview!Z6,INDEX(Character_Materials_Totals,,1)&amp;INDEX(Character_Materials_Totals,,2),INDEX(Character_Materials_Totals,,3),,0,1)+_xlfn.XLOOKUP(Overview!AA8&amp;Overview!Z6,INDEX(Weapon_Common_Materials_Totals,,1)&amp;INDEX(Weapon_Common_Materials_Totals,,2),INDEX(Weapon_Common_Materials_Totals,,3),,0,1)+IFERROR(_xlfn.XLOOKUP(AA8&amp;Z6,INDEX(Traveller_Talent_Mob_Drops,,2)&amp;INDEX(Traveller_Talent_Mob_Drops,,1),INDEX(Traveller_Talent_Mob_Drops,,3),,0,1),0)</f>
        <v>0</v>
      </c>
      <c r="AC8" s="71">
        <v>156</v>
      </c>
      <c r="AD8" s="9">
        <f t="shared" ref="AD8" ca="1" si="47">MAX(AB8-(AC8+_xlfn.FLOOR.MATH(IF(AD7=0,(AC7+_xlfn.FLOOR.MATH(IF(AD6=0,AC6-AB6,0)/3))-AB7,0)/3)),0)</f>
        <v>0</v>
      </c>
      <c r="AE8" s="50" t="s">
        <v>45</v>
      </c>
      <c r="AG8" s="182"/>
      <c r="AH8" s="51">
        <v>3</v>
      </c>
      <c r="AI8" s="38" cm="1">
        <f t="array" aca="1" ref="AI8" ca="1">IFERROR(SUM(INDIRECT("'"&amp;_xlfn._xlws.FILTER(Character_Name_List,'Character Data Table'!$D$3:$D$107=AG7,)&amp;"'!J7")),0)</f>
        <v>0</v>
      </c>
      <c r="AJ8" s="68">
        <v>239</v>
      </c>
      <c r="AK8" s="1">
        <f t="shared" ref="AK8" ca="1" si="48">MAX(AI8-(AJ8+_xlfn.FLOOR.MATH(IF(AK7=0,AJ7-AI7,0)/3)),0)</f>
        <v>0</v>
      </c>
      <c r="AL8" s="51">
        <f t="shared" ref="AL8" ca="1" si="49">MAX(_xlfn.FLOOR.MATH(MIN(-(AI8-AJ8),MAX((AI10-AJ10)*9+(AI9-AJ9)*3,0))/3),0)</f>
        <v>0</v>
      </c>
      <c r="AN8" s="54" t="s">
        <v>55</v>
      </c>
      <c r="AO8" s="38" cm="1">
        <f t="array" aca="1" ref="AO8" ca="1">IFERROR(SUM(INDIRECT("'"&amp;_xlfn._xlws.FILTER(Character_Name_List,'Character Data Table'!$E$3:$E$107=AN8,)&amp;"'!J10")),0)</f>
        <v>0</v>
      </c>
      <c r="AP8" s="68">
        <v>1</v>
      </c>
      <c r="AQ8" s="4">
        <f t="shared" ca="1" si="16"/>
        <v>0</v>
      </c>
      <c r="AS8" s="48" t="str">
        <v>Signora</v>
      </c>
      <c r="AT8" s="14">
        <f ca="1">_xlfn.XLOOKUP(AS8,'Weekly Boss Talent Lookups'!A:A,'Weekly Boss Talent Lookups'!B:B,,0,1)+IFERROR(_xlfn.XLOOKUP(AS8,'Traveller Lookups'!$O$7:$O$11,'Traveller Lookups'!$P$7:$P$11,,0,1),0)</f>
        <v>0</v>
      </c>
      <c r="AU8" s="38">
        <f ca="1">_xlfn.XLOOKUP(AS8,'Weekly Boss Talent Lookups'!A:A,'Weekly Boss Talent Lookups'!C:C,,0,1)+IFERROR(_xlfn.XLOOKUP(AS8,'Traveller Lookups'!$O$13:$O$17,'Traveller Lookups'!$P$13:$P$17,,0,1),0)</f>
        <v>0</v>
      </c>
      <c r="AV8" s="38">
        <f ca="1">_xlfn.XLOOKUP(AS8,'Weekly Boss Talent Lookups'!A:A,'Weekly Boss Talent Lookups'!D:D,,0,1)+IFERROR(_xlfn.XLOOKUP(AS8,'Traveller Lookups'!$O$19:$O$23,'Traveller Lookups'!$P$19:$P$23,,0,1),0)</f>
        <v>0</v>
      </c>
      <c r="AW8" s="38">
        <f ca="1">_xlfn.XLOOKUP(AS8,'Weekly Boss Talent Lookups'!A:A,'Weekly Boss Talent Lookups'!E:E,,0,1)+IFERROR(_xlfn.XLOOKUP(AS8,'Traveller Lookups'!$O$25:$O$29,'Traveller Lookups'!$P$25:$P$29,,0,1),0)</f>
        <v>27</v>
      </c>
      <c r="AX8" s="4">
        <f t="shared" ca="1" si="24"/>
        <v>54</v>
      </c>
      <c r="AY8" s="69">
        <v>10</v>
      </c>
      <c r="AZ8" s="68">
        <v>22</v>
      </c>
      <c r="BA8" s="68">
        <v>26</v>
      </c>
      <c r="BB8" s="4">
        <f t="shared" si="33"/>
        <v>58</v>
      </c>
      <c r="BC8" s="85">
        <f t="shared" ca="1" si="25"/>
        <v>0</v>
      </c>
      <c r="BD8" s="1">
        <f t="shared" ca="1" si="26"/>
        <v>0</v>
      </c>
      <c r="BE8" s="1">
        <f t="shared" ca="1" si="17"/>
        <v>0</v>
      </c>
      <c r="BF8" s="51">
        <f t="shared" ca="1" si="27"/>
        <v>0</v>
      </c>
    </row>
    <row r="9" spans="1:58" x14ac:dyDescent="0.25">
      <c r="A9" s="204"/>
      <c r="B9" s="14" t="s">
        <v>56</v>
      </c>
      <c r="C9" s="75">
        <v>2102</v>
      </c>
      <c r="E9" s="188" t="s">
        <v>57</v>
      </c>
      <c r="F9" s="49">
        <v>2</v>
      </c>
      <c r="G9" s="64" cm="1">
        <f t="array" aca="1" ref="G9" ca="1">SUM(INDIRECT("'"&amp;_xlfn._xlws.FILTER(Character_Name_List,INDEX(Character_List,,7)=E9,)&amp;"'!J15"))+SUM('Traveller Lookups'!D9:F9)</f>
        <v>0</v>
      </c>
      <c r="H9" s="65">
        <v>4</v>
      </c>
      <c r="I9" s="64">
        <f ca="1">MAX(G9-H9,0)</f>
        <v>0</v>
      </c>
      <c r="J9" s="49">
        <f t="shared" ref="J9" ca="1" si="50">MAX(_xlfn.FLOOR.MATH(MIN(-(G9-H9),MAX((G11-H11)*9+(G10-H10)*3,0))/3),0)</f>
        <v>0</v>
      </c>
      <c r="L9" s="185"/>
      <c r="M9" s="51">
        <v>4</v>
      </c>
      <c r="N9" s="38">
        <f ca="1">'Weapon Ascension Mat Lookup'!B8</f>
        <v>0</v>
      </c>
      <c r="O9" s="68">
        <v>9</v>
      </c>
      <c r="P9" s="1">
        <f t="shared" ref="P9" ca="1" si="51">MAX(N9-(O9+_xlfn.FLOOR.MATH(IF(P8=0,(O8+_xlfn.FLOOR.MATH(IF(P7=0,O7-N7,0)/3))-N8,0)/3)),0)</f>
        <v>0</v>
      </c>
      <c r="Q9" s="51">
        <f t="shared" ref="Q9" ca="1" si="52">MAX(_xlfn.FLOOR.MATH(MIN(-(N9-O9),MAX((N10-O10)*3,0))/3),0)</f>
        <v>0</v>
      </c>
      <c r="S9" s="190" t="s">
        <v>58</v>
      </c>
      <c r="T9" s="57">
        <v>2</v>
      </c>
      <c r="U9" s="38" cm="1">
        <f t="array" aca="1" ref="U9" ca="1">_xlfn.XLOOKUP(Overview!T9&amp;Overview!S9,INDEX(Weapon_Elite_Materials_Totals,,1)&amp;INDEX(Weapon_Elite_Materials_Totals,,2),INDEX(Weapon_Elite_Materials_Totals,,3),,0,1)</f>
        <v>0</v>
      </c>
      <c r="V9" s="63">
        <v>220</v>
      </c>
      <c r="W9" s="5">
        <f ca="1">MAX(U9-V9,0)</f>
        <v>0</v>
      </c>
      <c r="X9" s="6">
        <f t="shared" ref="X9" ca="1" si="53">MAX(_xlfn.FLOOR.MATH(MIN(-(U9-V9),MAX((U11-V11)*9+(U10-V10)*3,0))/3),0)</f>
        <v>0</v>
      </c>
      <c r="Z9" s="190" t="s">
        <v>59</v>
      </c>
      <c r="AA9" s="57">
        <v>1</v>
      </c>
      <c r="AB9" s="38" cm="1">
        <f t="array" aca="1" ref="AB9" ca="1">_xlfn.XLOOKUP(Overview!AA9&amp;Overview!Z9,INDEX(Character_Materials_Totals,,1)&amp;INDEX(Character_Materials_Totals,,2),INDEX(Character_Materials_Totals,,3),,0,1)+_xlfn.XLOOKUP(Overview!AA9&amp;Overview!Z9,INDEX(Weapon_Common_Materials_Totals,,1)&amp;INDEX(Weapon_Common_Materials_Totals,,2),INDEX(Weapon_Common_Materials_Totals,,3),,0,1)+IFERROR(_xlfn.XLOOKUP(AA9&amp;Z9,INDEX(Traveller_Talent_Mob_Drops,,2)&amp;INDEX(Traveller_Talent_Mob_Drops,,1),INDEX(Traveller_Talent_Mob_Drops,,3),,0,1),0)</f>
        <v>6</v>
      </c>
      <c r="AC9" s="63">
        <v>120</v>
      </c>
      <c r="AD9" s="5">
        <f ca="1">MAX(AB9-AC9,0)</f>
        <v>0</v>
      </c>
      <c r="AE9" s="6">
        <f t="shared" ref="AE9" ca="1" si="54">MAX(_xlfn.FLOOR.MATH(MIN(-(AB9-AC9),MAX((AB11-AC11)*9+(AB10-AC10)*3,0))/3),0)</f>
        <v>38</v>
      </c>
      <c r="AG9" s="182"/>
      <c r="AH9" s="51">
        <v>4</v>
      </c>
      <c r="AI9" s="38" cm="1">
        <f t="array" aca="1" ref="AI9" ca="1">IFERROR(SUM(INDIRECT("'"&amp;_xlfn._xlws.FILTER(Character_Name_List,'Character Data Table'!$D$3:$D$107=AG7,)&amp;"'!J8")),0)</f>
        <v>0</v>
      </c>
      <c r="AJ9" s="68">
        <v>2</v>
      </c>
      <c r="AK9" s="1">
        <f t="shared" ref="AK9" ca="1" si="55">MAX(AI9-(AJ9+_xlfn.FLOOR.MATH(IF(AK8=0,(AJ8+_xlfn.FLOOR.MATH(IF(AK7=0,AJ7-AI7,0)/3))-AI8,0)/3)),0)</f>
        <v>0</v>
      </c>
      <c r="AL9" s="51">
        <f t="shared" ref="AL9" ca="1" si="56">MAX(_xlfn.FLOOR.MATH(MIN(-(AI9-AJ9),MAX((AI10-AJ10)*3,0))/3),0)</f>
        <v>0</v>
      </c>
      <c r="AN9" s="54" t="s">
        <v>60</v>
      </c>
      <c r="AO9" s="38" cm="1">
        <f t="array" aca="1" ref="AO9" ca="1">IFERROR(SUM(INDIRECT("'"&amp;_xlfn._xlws.FILTER(Character_Name_List,'Character Data Table'!$E$3:$E$107=AN9,)&amp;"'!J10")),0)</f>
        <v>0</v>
      </c>
      <c r="AP9" s="68">
        <v>0</v>
      </c>
      <c r="AQ9" s="4">
        <f t="shared" ca="1" si="16"/>
        <v>0</v>
      </c>
      <c r="AS9" s="48" t="str">
        <v>Raiden</v>
      </c>
      <c r="AT9" s="14">
        <f ca="1">_xlfn.XLOOKUP(AS9,'Weekly Boss Talent Lookups'!A:A,'Weekly Boss Talent Lookups'!B:B,,0,1)+IFERROR(_xlfn.XLOOKUP(AS9,'Traveller Lookups'!$O$7:$O$11,'Traveller Lookups'!$P$7:$P$11,,0,1),0)</f>
        <v>0</v>
      </c>
      <c r="AU9" s="38">
        <f ca="1">_xlfn.XLOOKUP(AS9,'Weekly Boss Talent Lookups'!A:A,'Weekly Boss Talent Lookups'!C:C,,0,1)+IFERROR(_xlfn.XLOOKUP(AS9,'Traveller Lookups'!$O$13:$O$17,'Traveller Lookups'!$P$13:$P$17,,0,1),0)</f>
        <v>0</v>
      </c>
      <c r="AV9" s="38">
        <f ca="1">_xlfn.XLOOKUP(AS9,'Weekly Boss Talent Lookups'!A:A,'Weekly Boss Talent Lookups'!D:D,,0,1)+IFERROR(_xlfn.XLOOKUP(AS9,'Traveller Lookups'!$O$19:$O$23,'Traveller Lookups'!$P$19:$P$23,,0,1),0)</f>
        <v>0</v>
      </c>
      <c r="AW9" s="38">
        <f ca="1">_xlfn.XLOOKUP(AS9,'Weekly Boss Talent Lookups'!A:A,'Weekly Boss Talent Lookups'!E:E,,0,1)+IFERROR(_xlfn.XLOOKUP(AS9,'Traveller Lookups'!$O$25:$O$29,'Traveller Lookups'!$P$25:$P$29,,0,1),0)</f>
        <v>27</v>
      </c>
      <c r="AX9" s="4">
        <f t="shared" ca="1" si="24"/>
        <v>54</v>
      </c>
      <c r="AY9" s="69">
        <v>19</v>
      </c>
      <c r="AZ9" s="68">
        <v>24</v>
      </c>
      <c r="BA9" s="68">
        <v>15</v>
      </c>
      <c r="BB9" s="4">
        <f t="shared" si="33"/>
        <v>58</v>
      </c>
      <c r="BC9" s="85">
        <f t="shared" ca="1" si="25"/>
        <v>0</v>
      </c>
      <c r="BD9" s="1">
        <f t="shared" ca="1" si="26"/>
        <v>0</v>
      </c>
      <c r="BE9" s="1">
        <f t="shared" ca="1" si="17"/>
        <v>0</v>
      </c>
      <c r="BF9" s="51">
        <f t="shared" ca="1" si="27"/>
        <v>0</v>
      </c>
    </row>
    <row r="10" spans="1:58" ht="15.75" thickBot="1" x14ac:dyDescent="0.3">
      <c r="A10" s="204"/>
      <c r="B10" s="19" t="s">
        <v>61</v>
      </c>
      <c r="C10" s="76">
        <v>572</v>
      </c>
      <c r="E10" s="182"/>
      <c r="F10" s="51">
        <v>3</v>
      </c>
      <c r="G10" s="38" cm="1">
        <f t="array" aca="1" ref="G10" ca="1">SUM(INDIRECT("'"&amp;_xlfn._xlws.FILTER(Character_Name_List,INDEX(Character_List,,7)=E9,)&amp;"'!J16"))+SUM('Traveller Lookups'!D10:F10)</f>
        <v>0</v>
      </c>
      <c r="H10" s="68">
        <v>3</v>
      </c>
      <c r="I10" s="38">
        <f ca="1">MAX(G10-(H10+_xlfn.FLOOR.MATH(IF(I9=0,H9-G9,0)/3)),0)</f>
        <v>0</v>
      </c>
      <c r="J10" s="51">
        <f t="shared" ref="J10" ca="1" si="57">MAX(_xlfn.FLOOR.MATH(MIN(-(G10-H10),MAX((G11-H11)*3,0))/3),0)</f>
        <v>0</v>
      </c>
      <c r="L10" s="186"/>
      <c r="M10" s="50">
        <v>5</v>
      </c>
      <c r="N10" s="70">
        <f ca="1">'Weapon Ascension Mat Lookup'!B9</f>
        <v>0</v>
      </c>
      <c r="O10" s="71">
        <v>1</v>
      </c>
      <c r="P10" s="9">
        <f t="shared" ref="P10" ca="1" si="58">MAX(N10-(O10+_xlfn.FLOOR.MATH(IF(P9=0,(O9+_xlfn.FLOOR.MATH(IF(P8=0,(O8+_xlfn.FLOOR.MATH(IF(P7=0,O7-N7,0)/3))-N8,0)/3))-N9,0)/3)),0)</f>
        <v>0</v>
      </c>
      <c r="Q10" s="50" t="s">
        <v>45</v>
      </c>
      <c r="S10" s="191"/>
      <c r="T10" s="54">
        <v>3</v>
      </c>
      <c r="U10" s="38" cm="1">
        <f t="array" aca="1" ref="U10" ca="1">_xlfn.XLOOKUP(Overview!T10&amp;Overview!S9,INDEX(Weapon_Elite_Materials_Totals,,1)&amp;INDEX(Weapon_Elite_Materials_Totals,,2),INDEX(Weapon_Elite_Materials_Totals,,3),,0,1)</f>
        <v>0</v>
      </c>
      <c r="V10" s="68">
        <v>63</v>
      </c>
      <c r="W10" s="1">
        <f t="shared" ref="W10" ca="1" si="59">MAX(U10-(V10+_xlfn.FLOOR.MATH(IF(W9=0,V9-U9,0)/3)),0)</f>
        <v>0</v>
      </c>
      <c r="X10" s="4">
        <f t="shared" ref="X10" ca="1" si="60">MAX(_xlfn.FLOOR.MATH(MIN(-(U10-V10),MAX((U11-V11)*3,0))/3),0)</f>
        <v>0</v>
      </c>
      <c r="Z10" s="191"/>
      <c r="AA10" s="54">
        <v>2</v>
      </c>
      <c r="AB10" s="38" cm="1">
        <f t="array" aca="1" ref="AB10" ca="1">_xlfn.XLOOKUP(Overview!AA10&amp;Overview!Z9,INDEX(Character_Materials_Totals,,1)&amp;INDEX(Character_Materials_Totals,,2),INDEX(Character_Materials_Totals,,3),,0,1)+_xlfn.XLOOKUP(Overview!AA10&amp;Overview!Z9,INDEX(Weapon_Common_Materials_Totals,,1)&amp;INDEX(Weapon_Common_Materials_Totals,,2),INDEX(Weapon_Common_Materials_Totals,,3),,0,1)+IFERROR(_xlfn.XLOOKUP(AA10&amp;Z9,INDEX(Traveller_Talent_Mob_Drops,,2)&amp;INDEX(Traveller_Talent_Mob_Drops,,1),INDEX(Traveller_Talent_Mob_Drops,,3),,0,1),0)</f>
        <v>22</v>
      </c>
      <c r="AC10" s="68">
        <v>35</v>
      </c>
      <c r="AD10" s="1">
        <f t="shared" ref="AD10" ca="1" si="61">MAX(AB10-(AC10+_xlfn.FLOOR.MATH(IF(AD9=0,AC9-AB9,0)/3)),0)</f>
        <v>0</v>
      </c>
      <c r="AE10" s="4">
        <f t="shared" ref="AE10" ca="1" si="62">MAX(_xlfn.FLOOR.MATH(MIN(-(AB10-AC10),MAX((AB11-AC11)*3,0))/3),0)</f>
        <v>4</v>
      </c>
      <c r="AG10" s="183"/>
      <c r="AH10" s="50">
        <v>5</v>
      </c>
      <c r="AI10" s="70" cm="1">
        <f t="array" aca="1" ref="AI10" ca="1">IFERROR(SUM(INDIRECT("'"&amp;_xlfn._xlws.FILTER(Character_Name_List,'Character Data Table'!$D$3:$D$107=AG7,)&amp;"'!J9")),0)</f>
        <v>0</v>
      </c>
      <c r="AJ10" s="71">
        <v>1</v>
      </c>
      <c r="AK10" s="9">
        <f t="shared" ref="AK10" ca="1" si="63">MAX(AI10-(AJ10+_xlfn.FLOOR.MATH(IF(AK9=0,(AJ9+_xlfn.FLOOR.MATH(IF(AK8=0,(AJ8+_xlfn.FLOOR.MATH(IF(AK7=0,AJ7-AI7,0)/3))-AI8,0)/3))-AI9,0)/3)),0)</f>
        <v>0</v>
      </c>
      <c r="AL10" s="50" t="s">
        <v>45</v>
      </c>
      <c r="AN10" s="54" t="s">
        <v>62</v>
      </c>
      <c r="AO10" s="38" cm="1">
        <f t="array" aca="1" ref="AO10" ca="1">IFERROR(SUM(INDIRECT("'"&amp;_xlfn._xlws.FILTER(Character_Name_List,'Character Data Table'!$E$3:$E$107=AN10,)&amp;"'!J10")),0)</f>
        <v>0</v>
      </c>
      <c r="AP10" s="68">
        <v>1</v>
      </c>
      <c r="AQ10" s="4">
        <f t="shared" ca="1" si="16"/>
        <v>0</v>
      </c>
      <c r="AS10" s="133" t="str">
        <v>Scaramouche</v>
      </c>
      <c r="AT10" s="14">
        <f ca="1">_xlfn.XLOOKUP(AS10,'Weekly Boss Talent Lookups'!A:A,'Weekly Boss Talent Lookups'!B:B,,0,1)+IFERROR(_xlfn.XLOOKUP(AS10,'Traveller Lookups'!$O$7:$O$11,'Traveller Lookups'!$P$7:$P$11,,0,1),0)</f>
        <v>0</v>
      </c>
      <c r="AU10" s="38">
        <f ca="1">_xlfn.XLOOKUP(AS10,'Weekly Boss Talent Lookups'!A:A,'Weekly Boss Talent Lookups'!C:C,,0,1)+IFERROR(_xlfn.XLOOKUP(AS10,'Traveller Lookups'!$O$13:$O$17,'Traveller Lookups'!$P$13:$P$17,,0,1),0)</f>
        <v>0</v>
      </c>
      <c r="AV10" s="38">
        <f ca="1">_xlfn.XLOOKUP(AS10,'Weekly Boss Talent Lookups'!A:A,'Weekly Boss Talent Lookups'!D:D,,0,1)+IFERROR(_xlfn.XLOOKUP(AS10,'Traveller Lookups'!$O$19:$O$23,'Traveller Lookups'!$P$19:$P$23,,0,1),0)</f>
        <v>0</v>
      </c>
      <c r="AW10" s="38">
        <f ca="1">_xlfn.XLOOKUP(AS10,'Weekly Boss Talent Lookups'!A:A,'Weekly Boss Talent Lookups'!E:E,,0,1)+IFERROR(_xlfn.XLOOKUP(AS10,'Traveller Lookups'!$O$25:$O$29,'Traveller Lookups'!$P$25:$P$29,,0,1),0)</f>
        <v>30</v>
      </c>
      <c r="AX10" s="4">
        <f t="shared" ref="AX10" ca="1" si="64">AT10+AU10+AV10*2+AW10*2</f>
        <v>60</v>
      </c>
      <c r="AY10" s="69">
        <v>26</v>
      </c>
      <c r="AZ10" s="68">
        <v>22</v>
      </c>
      <c r="BA10" s="68">
        <v>18</v>
      </c>
      <c r="BB10" s="4">
        <f t="shared" ref="BB10" si="65">SUM(AY10:BA10)</f>
        <v>66</v>
      </c>
      <c r="BC10" s="85">
        <f ca="1">MAX((AT10)-BB10,0)</f>
        <v>0</v>
      </c>
      <c r="BD10" s="1">
        <f t="shared" ref="BD10:BD15" ca="1" si="66">MAX((AT10+AU10)-BB10,0)-BC10</f>
        <v>0</v>
      </c>
      <c r="BE10" s="1">
        <f t="shared" ref="BE10:BE15" ca="1" si="67">MAX((AT10+AU10+AV10*2)-BB10,0)-BD10-BC10</f>
        <v>0</v>
      </c>
      <c r="BF10" s="51">
        <f t="shared" ca="1" si="27"/>
        <v>0</v>
      </c>
    </row>
    <row r="11" spans="1:58" ht="15.75" thickBot="1" x14ac:dyDescent="0.3">
      <c r="A11" s="204"/>
      <c r="B11" s="11" t="s">
        <v>63</v>
      </c>
      <c r="C11" s="24">
        <f>1000*C8+5000*C9+20000*C10</f>
        <v>22088000</v>
      </c>
      <c r="E11" s="189"/>
      <c r="F11" s="78">
        <v>4</v>
      </c>
      <c r="G11" s="83" cm="1">
        <f t="array" aca="1" ref="G11" ca="1">SUM(INDIRECT("'"&amp;_xlfn._xlws.FILTER(Character_Name_List,INDEX(Character_List,,7)=E9,)&amp;"'!J17"))+SUM('Traveller Lookups'!D11:F11)</f>
        <v>36</v>
      </c>
      <c r="H11" s="73">
        <v>46</v>
      </c>
      <c r="I11" s="77">
        <f ca="1">MAX(G11-(H11+_xlfn.FLOOR.MATH(IF(I10=0,(H10+_xlfn.FLOOR.MATH(IF(I9=0,H9-G9,0)/3))-G10,0)/3)),0)</f>
        <v>0</v>
      </c>
      <c r="J11" s="78" t="s">
        <v>45</v>
      </c>
      <c r="L11" s="184" t="s">
        <v>57</v>
      </c>
      <c r="M11" s="49">
        <v>2</v>
      </c>
      <c r="N11" s="64">
        <f ca="1">'Weapon Ascension Mat Lookup'!B10</f>
        <v>0</v>
      </c>
      <c r="O11" s="65">
        <v>22</v>
      </c>
      <c r="P11" s="2">
        <f t="shared" ref="P11" ca="1" si="68">MAX(N11-O11,0)</f>
        <v>0</v>
      </c>
      <c r="Q11" s="49">
        <f t="shared" ref="Q11" ca="1" si="69">MAX(_xlfn.FLOOR.MATH(MIN(-(N11-O11),MAX((N14-O14)*27+(N13-O13)*9+(N12-O12)*3,0))/3),0)</f>
        <v>0</v>
      </c>
      <c r="S11" s="192"/>
      <c r="T11" s="53">
        <v>4</v>
      </c>
      <c r="U11" s="70" cm="1">
        <f t="array" aca="1" ref="U11" ca="1">_xlfn.XLOOKUP(Overview!T11&amp;Overview!S9,INDEX(Weapon_Elite_Materials_Totals,,1)&amp;INDEX(Weapon_Elite_Materials_Totals,,2),INDEX(Weapon_Elite_Materials_Totals,,3),,0,1)</f>
        <v>0</v>
      </c>
      <c r="V11" s="71">
        <v>10</v>
      </c>
      <c r="W11" s="9">
        <f t="shared" ref="W11" ca="1" si="70">MAX(U11-(V11+_xlfn.FLOOR.MATH(IF(W10=0,(V10+_xlfn.FLOOR.MATH(IF(W9=0,V9-U9,0)/3))-U10,0)/3)),0)</f>
        <v>0</v>
      </c>
      <c r="X11" s="50" t="s">
        <v>45</v>
      </c>
      <c r="Z11" s="192"/>
      <c r="AA11" s="53">
        <v>3</v>
      </c>
      <c r="AB11" s="70" cm="1">
        <f t="array" aca="1" ref="AB11" ca="1">_xlfn.XLOOKUP(Overview!AA11&amp;Overview!Z9,INDEX(Character_Materials_Totals,,1)&amp;INDEX(Character_Materials_Totals,,2),INDEX(Character_Materials_Totals,,3),,0,1)+_xlfn.XLOOKUP(Overview!AA11&amp;Overview!Z9,INDEX(Weapon_Common_Materials_Totals,,1)&amp;INDEX(Weapon_Common_Materials_Totals,,2),INDEX(Weapon_Common_Materials_Totals,,3),,0,1)+IFERROR(_xlfn.XLOOKUP(AA11&amp;Z9,INDEX(Traveller_Talent_Mob_Drops,,2)&amp;INDEX(Traveller_Talent_Mob_Drops,,1),INDEX(Traveller_Talent_Mob_Drops,,3),,0,1),0)</f>
        <v>31</v>
      </c>
      <c r="AC11" s="71">
        <v>8</v>
      </c>
      <c r="AD11" s="9">
        <f t="shared" ref="AD11" ca="1" si="71">MAX(AB11-(AC11+_xlfn.FLOOR.MATH(IF(AD10=0,(AC10+_xlfn.FLOOR.MATH(IF(AD9=0,AC9-AB9,0)/3))-AB10,0)/3)),0)</f>
        <v>6</v>
      </c>
      <c r="AE11" s="50" t="s">
        <v>45</v>
      </c>
      <c r="AG11" s="188" t="s">
        <v>778</v>
      </c>
      <c r="AH11" s="49">
        <v>2</v>
      </c>
      <c r="AI11" s="64" cm="1">
        <f t="array" aca="1" ref="AI11" ca="1">IFERROR(SUM(INDIRECT("'"&amp;_xlfn._xlws.FILTER(Character_Name_List,'Character Data Table'!$D$3:$D$107=AG11,)&amp;"'!J6")),0)</f>
        <v>0</v>
      </c>
      <c r="AJ11" s="65">
        <v>546</v>
      </c>
      <c r="AK11" s="2">
        <f t="shared" ref="AK11" ca="1" si="72">MAX(AI11-AJ11,0)</f>
        <v>0</v>
      </c>
      <c r="AL11" s="49">
        <f t="shared" ref="AL11" ca="1" si="73">MAX(_xlfn.FLOOR.MATH(MIN(-(AI11-AJ11),MAX((AI14-AJ14)*27+(AI13-AJ13)*9+(AI12-AJ12)*3,0))/3),0)</f>
        <v>0</v>
      </c>
      <c r="AN11" s="54" t="s">
        <v>64</v>
      </c>
      <c r="AO11" s="38" cm="1">
        <f t="array" aca="1" ref="AO11" ca="1">IFERROR(SUM(INDIRECT("'"&amp;_xlfn._xlws.FILTER(Character_Name_List,'Character Data Table'!$E$3:$E$107=AN11,)&amp;"'!J10")),0)</f>
        <v>0</v>
      </c>
      <c r="AP11" s="68">
        <v>0</v>
      </c>
      <c r="AQ11" s="4">
        <f t="shared" ca="1" si="16"/>
        <v>0</v>
      </c>
      <c r="AS11" s="133" t="str">
        <v>Apep</v>
      </c>
      <c r="AT11" s="14">
        <f ca="1">_xlfn.XLOOKUP(AS11,'Weekly Boss Talent Lookups'!A:A,'Weekly Boss Talent Lookups'!B:B,,0,1)+IFERROR(_xlfn.XLOOKUP(AS11,'Traveller Lookups'!$O$7:$O$11,'Traveller Lookups'!$P$7:$P$11,,0,1),0)</f>
        <v>0</v>
      </c>
      <c r="AU11" s="38">
        <f ca="1">_xlfn.XLOOKUP(AS11,'Weekly Boss Talent Lookups'!A:A,'Weekly Boss Talent Lookups'!C:C,,0,1)+IFERROR(_xlfn.XLOOKUP(AS11,'Traveller Lookups'!$O$13:$O$17,'Traveller Lookups'!$P$13:$P$17,,0,1),0)</f>
        <v>0</v>
      </c>
      <c r="AV11" s="38">
        <f ca="1">_xlfn.XLOOKUP(AS11,'Weekly Boss Talent Lookups'!A:A,'Weekly Boss Talent Lookups'!D:D,,0,1)+IFERROR(_xlfn.XLOOKUP(AS11,'Traveller Lookups'!$O$19:$O$23,'Traveller Lookups'!$P$19:$P$23,,0,1),0)</f>
        <v>0</v>
      </c>
      <c r="AW11" s="38">
        <f ca="1">_xlfn.XLOOKUP(AS11,'Weekly Boss Talent Lookups'!A:A,'Weekly Boss Talent Lookups'!E:E,,0,1)+IFERROR(_xlfn.XLOOKUP(AS11,'Traveller Lookups'!$O$25:$O$29,'Traveller Lookups'!$P$25:$P$29,,0,1),0)</f>
        <v>27</v>
      </c>
      <c r="AX11" s="4">
        <f t="shared" ref="AX11" ca="1" si="74">AT11+AU11+AV11*2+AW11*2</f>
        <v>54</v>
      </c>
      <c r="AY11" s="69">
        <v>15</v>
      </c>
      <c r="AZ11" s="68">
        <v>25</v>
      </c>
      <c r="BA11" s="68">
        <v>18</v>
      </c>
      <c r="BB11" s="4">
        <f t="shared" ref="BB11" si="75">SUM(AY11:BA11)</f>
        <v>58</v>
      </c>
      <c r="BC11" s="85">
        <f t="shared" ref="BC11" ca="1" si="76">MAX((AT11)-BB11,0)</f>
        <v>0</v>
      </c>
      <c r="BD11" s="1">
        <f t="shared" ca="1" si="66"/>
        <v>0</v>
      </c>
      <c r="BE11" s="1">
        <f t="shared" ca="1" si="67"/>
        <v>0</v>
      </c>
      <c r="BF11" s="51">
        <f t="shared" ref="BF11" ca="1" si="77">MAX(AX11-BB11,0)-BE11-BD11-BC11</f>
        <v>0</v>
      </c>
    </row>
    <row r="12" spans="1:58" ht="16.5" thickTop="1" thickBot="1" x14ac:dyDescent="0.3">
      <c r="A12" s="205"/>
      <c r="B12" s="11" t="s">
        <v>65</v>
      </c>
      <c r="C12" s="24">
        <f ca="1">C7-C11</f>
        <v>6423075</v>
      </c>
      <c r="E12" s="181" t="s">
        <v>66</v>
      </c>
      <c r="F12" s="148">
        <v>2</v>
      </c>
      <c r="G12" s="152" cm="1">
        <f t="array" aca="1" ref="G12" ca="1">SUM(INDIRECT("'"&amp;_xlfn._xlws.FILTER(Character_Name_List,INDEX(Character_List,,7)=E12,)&amp;"'!J15"))+SUM('Traveller Lookups'!D12:F12)</f>
        <v>0</v>
      </c>
      <c r="H12" s="150">
        <v>14</v>
      </c>
      <c r="I12" s="149">
        <f ca="1">MAX(G12-H12,0)</f>
        <v>0</v>
      </c>
      <c r="J12" s="148">
        <f t="shared" ref="J12" ca="1" si="78">MAX(_xlfn.FLOOR.MATH(MIN(-(G12-H12),MAX((G14-H14)*9+(G13-H13)*3,0))/3),0)</f>
        <v>0</v>
      </c>
      <c r="L12" s="185"/>
      <c r="M12" s="51">
        <v>3</v>
      </c>
      <c r="N12" s="38">
        <f ca="1">'Weapon Ascension Mat Lookup'!B11</f>
        <v>0</v>
      </c>
      <c r="O12" s="68">
        <v>82</v>
      </c>
      <c r="P12" s="1">
        <f t="shared" ref="P12" ca="1" si="79">MAX(N12-(O12+_xlfn.FLOOR.MATH(IF(P11=0,O11-N11,0)/3)),0)</f>
        <v>0</v>
      </c>
      <c r="Q12" s="51">
        <f t="shared" ref="Q12" ca="1" si="80">MAX(_xlfn.FLOOR.MATH(MIN(-(N12-O12),MAX((N14-O14)*9+(N13-O13)*3,0))/3),0)</f>
        <v>0</v>
      </c>
      <c r="S12" s="190" t="s">
        <v>67</v>
      </c>
      <c r="T12" s="57">
        <v>2</v>
      </c>
      <c r="U12" s="38" cm="1">
        <f t="array" aca="1" ref="U12" ca="1">_xlfn.XLOOKUP(Overview!T12&amp;Overview!S12,INDEX(Weapon_Elite_Materials_Totals,,1)&amp;INDEX(Weapon_Elite_Materials_Totals,,2),INDEX(Weapon_Elite_Materials_Totals,,3),,0,1)</f>
        <v>0</v>
      </c>
      <c r="V12" s="63">
        <v>336</v>
      </c>
      <c r="W12" s="5">
        <f ca="1">MAX(U12-V12,0)</f>
        <v>0</v>
      </c>
      <c r="X12" s="6">
        <f t="shared" ref="X12" ca="1" si="81">MAX(_xlfn.FLOOR.MATH(MIN(-(U12-V12),MAX((U14-V14)*9+(U13-V13)*3,0))/3),0)</f>
        <v>0</v>
      </c>
      <c r="Z12" s="190" t="s">
        <v>68</v>
      </c>
      <c r="AA12" s="57">
        <v>1</v>
      </c>
      <c r="AB12" s="38" cm="1">
        <f t="array" aca="1" ref="AB12" ca="1">_xlfn.XLOOKUP(Overview!AA12&amp;Overview!Z12,INDEX(Character_Materials_Totals,,1)&amp;INDEX(Character_Materials_Totals,,2),INDEX(Character_Materials_Totals,,3),,0,1)+_xlfn.XLOOKUP(Overview!AA12&amp;Overview!Z12,INDEX(Weapon_Common_Materials_Totals,,1)&amp;INDEX(Weapon_Common_Materials_Totals,,2),INDEX(Weapon_Common_Materials_Totals,,3),,0,1)+IFERROR(_xlfn.XLOOKUP(AA12&amp;Z12,INDEX(Traveller_Talent_Mob_Drops,,2)&amp;INDEX(Traveller_Talent_Mob_Drops,,1),INDEX(Traveller_Talent_Mob_Drops,,3),,0,1),0)</f>
        <v>10</v>
      </c>
      <c r="AC12" s="63">
        <v>942</v>
      </c>
      <c r="AD12" s="5">
        <f ca="1">MAX(AB12-AC12,0)</f>
        <v>0</v>
      </c>
      <c r="AE12" s="6">
        <f t="shared" ref="AE12" ca="1" si="82">MAX(_xlfn.FLOOR.MATH(MIN(-(AB12-AC12),MAX((AB14-AC14)*9+(AB13-AC13)*3,0))/3),0)</f>
        <v>0</v>
      </c>
      <c r="AG12" s="182"/>
      <c r="AH12" s="51">
        <v>3</v>
      </c>
      <c r="AI12" s="38" cm="1">
        <f t="array" aca="1" ref="AI12" ca="1">IFERROR(SUM(INDIRECT("'"&amp;_xlfn._xlws.FILTER(Character_Name_List,'Character Data Table'!$D$3:$D$107=AG11,)&amp;"'!J7")),0)</f>
        <v>0</v>
      </c>
      <c r="AJ12" s="68">
        <v>223</v>
      </c>
      <c r="AK12" s="1">
        <f t="shared" ref="AK12" ca="1" si="83">MAX(AI12-(AJ12+_xlfn.FLOOR.MATH(IF(AK11=0,AJ11-AI11,0)/3)),0)</f>
        <v>0</v>
      </c>
      <c r="AL12" s="51">
        <f t="shared" ref="AL12" ca="1" si="84">MAX(_xlfn.FLOOR.MATH(MIN(-(AI12-AJ12),MAX((AI14-AJ14)*9+(AI13-AJ13)*3,0))/3),0)</f>
        <v>0</v>
      </c>
      <c r="AN12" s="54" t="s">
        <v>69</v>
      </c>
      <c r="AO12" s="38" cm="1">
        <f t="array" aca="1" ref="AO12" ca="1">IFERROR(SUM(INDIRECT("'"&amp;_xlfn._xlws.FILTER(Character_Name_List,'Character Data Table'!$E$3:$E$107=AN12,)&amp;"'!J10")),0)</f>
        <v>0</v>
      </c>
      <c r="AP12" s="68">
        <v>0</v>
      </c>
      <c r="AQ12" s="4">
        <f t="shared" ca="1" si="16"/>
        <v>0</v>
      </c>
      <c r="AS12" s="133" t="str">
        <v>Narwhal</v>
      </c>
      <c r="AT12" s="14">
        <f ca="1">_xlfn.XLOOKUP(AS12,'Weekly Boss Talent Lookups'!A:A,'Weekly Boss Talent Lookups'!B:B,,0,1)+IFERROR(_xlfn.XLOOKUP(AS12,'Traveller Lookups'!$O$7:$O$11,'Traveller Lookups'!$P$7:$P$11,,0,1),0)</f>
        <v>0</v>
      </c>
      <c r="AU12" s="38">
        <f ca="1">_xlfn.XLOOKUP(AS12,'Weekly Boss Talent Lookups'!A:A,'Weekly Boss Talent Lookups'!C:C,,0,1)+IFERROR(_xlfn.XLOOKUP(AS12,'Traveller Lookups'!$O$13:$O$17,'Traveller Lookups'!$P$13:$P$17,,0,1),0)</f>
        <v>0</v>
      </c>
      <c r="AV12" s="38">
        <f ca="1">_xlfn.XLOOKUP(AS12,'Weekly Boss Talent Lookups'!A:A,'Weekly Boss Talent Lookups'!D:D,,0,1)+IFERROR(_xlfn.XLOOKUP(AS12,'Traveller Lookups'!$O$19:$O$23,'Traveller Lookups'!$P$19:$P$23,,0,1),0)</f>
        <v>0</v>
      </c>
      <c r="AW12" s="38">
        <f ca="1">_xlfn.XLOOKUP(AS12,'Weekly Boss Talent Lookups'!A:A,'Weekly Boss Talent Lookups'!E:E,,0,1)+IFERROR(_xlfn.XLOOKUP(AS12,'Traveller Lookups'!$O$25:$O$29,'Traveller Lookups'!$P$25:$P$29,,0,1),0)</f>
        <v>30</v>
      </c>
      <c r="AX12" s="4">
        <f t="shared" ref="AX12" ca="1" si="85">AT12+AU12+AV12*2+AW12*2</f>
        <v>60</v>
      </c>
      <c r="AY12" s="69">
        <v>22</v>
      </c>
      <c r="AZ12" s="68">
        <v>23</v>
      </c>
      <c r="BA12" s="68">
        <v>19</v>
      </c>
      <c r="BB12" s="4">
        <f t="shared" ref="BB12" si="86">SUM(AY12:BA12)</f>
        <v>64</v>
      </c>
      <c r="BC12" s="85">
        <f t="shared" ref="BC12" ca="1" si="87">MAX((AT12)-BB12,0)</f>
        <v>0</v>
      </c>
      <c r="BD12" s="1">
        <f t="shared" ca="1" si="66"/>
        <v>0</v>
      </c>
      <c r="BE12" s="1">
        <f t="shared" ca="1" si="67"/>
        <v>0</v>
      </c>
      <c r="BF12" s="51">
        <f t="shared" ref="BF12" ca="1" si="88">MAX(AX12-BB12,0)-BE12-BD12-BC12</f>
        <v>0</v>
      </c>
    </row>
    <row r="13" spans="1:58" ht="15.75" thickBot="1" x14ac:dyDescent="0.3">
      <c r="E13" s="182"/>
      <c r="F13" s="51">
        <v>3</v>
      </c>
      <c r="G13" s="38" cm="1">
        <f t="array" aca="1" ref="G13" ca="1">SUM(INDIRECT("'"&amp;_xlfn._xlws.FILTER(Character_Name_List,INDEX(Character_List,,7)=E12,)&amp;"'!J16"))+SUM('Traveller Lookups'!D13:F13)</f>
        <v>0</v>
      </c>
      <c r="H13" s="68">
        <v>30</v>
      </c>
      <c r="I13" s="38">
        <f ca="1">MAX(G13-(H13+_xlfn.FLOOR.MATH(IF(I12=0,H12-G12,0)/3)),0)</f>
        <v>0</v>
      </c>
      <c r="J13" s="51">
        <f t="shared" ref="J13" ca="1" si="89">MAX(_xlfn.FLOOR.MATH(MIN(-(G13-H13),MAX((G14-H14)*3,0))/3),0)</f>
        <v>0</v>
      </c>
      <c r="L13" s="185"/>
      <c r="M13" s="51">
        <v>4</v>
      </c>
      <c r="N13" s="38">
        <f ca="1">'Weapon Ascension Mat Lookup'!B12</f>
        <v>0</v>
      </c>
      <c r="O13" s="68">
        <v>15</v>
      </c>
      <c r="P13" s="1">
        <f t="shared" ref="P13" ca="1" si="90">MAX(N13-(O13+_xlfn.FLOOR.MATH(IF(P12=0,(O12+_xlfn.FLOOR.MATH(IF(P11=0,O11-N11,0)/3))-N12,0)/3)),0)</f>
        <v>0</v>
      </c>
      <c r="Q13" s="51">
        <f t="shared" ref="Q13" ca="1" si="91">MAX(_xlfn.FLOOR.MATH(MIN(-(N13-O13),MAX((N14-O14)*3,0))/3),0)</f>
        <v>0</v>
      </c>
      <c r="S13" s="191"/>
      <c r="T13" s="54">
        <v>3</v>
      </c>
      <c r="U13" s="38" cm="1">
        <f t="array" aca="1" ref="U13" ca="1">_xlfn.XLOOKUP(Overview!T13&amp;Overview!S12,INDEX(Weapon_Elite_Materials_Totals,,1)&amp;INDEX(Weapon_Elite_Materials_Totals,,2),INDEX(Weapon_Elite_Materials_Totals,,3),,0,1)</f>
        <v>0</v>
      </c>
      <c r="V13" s="68">
        <v>90</v>
      </c>
      <c r="W13" s="1">
        <f t="shared" ref="W13" ca="1" si="92">MAX(U13-(V13+_xlfn.FLOOR.MATH(IF(W12=0,V12-U12,0)/3)),0)</f>
        <v>0</v>
      </c>
      <c r="X13" s="4">
        <f t="shared" ref="X13" ca="1" si="93">MAX(_xlfn.FLOOR.MATH(MIN(-(U13-V13),MAX((U14-V14)*3,0))/3),0)</f>
        <v>0</v>
      </c>
      <c r="Z13" s="191"/>
      <c r="AA13" s="54">
        <v>2</v>
      </c>
      <c r="AB13" s="38" cm="1">
        <f t="array" aca="1" ref="AB13" ca="1">_xlfn.XLOOKUP(Overview!AA13&amp;Overview!Z12,INDEX(Character_Materials_Totals,,1)&amp;INDEX(Character_Materials_Totals,,2),INDEX(Character_Materials_Totals,,3),,0,1)+_xlfn.XLOOKUP(Overview!AA13&amp;Overview!Z12,INDEX(Weapon_Common_Materials_Totals,,1)&amp;INDEX(Weapon_Common_Materials_Totals,,2),INDEX(Weapon_Common_Materials_Totals,,3),,0,1)+IFERROR(_xlfn.XLOOKUP(AA13&amp;Z12,INDEX(Traveller_Talent_Mob_Drops,,2)&amp;INDEX(Traveller_Talent_Mob_Drops,,1),INDEX(Traveller_Talent_Mob_Drops,,3),,0,1),0)</f>
        <v>15</v>
      </c>
      <c r="AC13" s="68">
        <v>136</v>
      </c>
      <c r="AD13" s="1">
        <f t="shared" ref="AD13" ca="1" si="94">MAX(AB13-(AC13+_xlfn.FLOOR.MATH(IF(AD12=0,AC12-AB12,0)/3)),0)</f>
        <v>0</v>
      </c>
      <c r="AE13" s="4">
        <f t="shared" ref="AE13" ca="1" si="95">MAX(_xlfn.FLOOR.MATH(MIN(-(AB13-AC13),MAX((AB14-AC14)*3,0))/3),0)</f>
        <v>0</v>
      </c>
      <c r="AG13" s="182"/>
      <c r="AH13" s="51">
        <v>4</v>
      </c>
      <c r="AI13" s="38" cm="1">
        <f t="array" aca="1" ref="AI13" ca="1">IFERROR(SUM(INDIRECT("'"&amp;_xlfn._xlws.FILTER(Character_Name_List,'Character Data Table'!$D$3:$D$107=AG11,)&amp;"'!J8")),0)</f>
        <v>0</v>
      </c>
      <c r="AJ13" s="68">
        <v>0</v>
      </c>
      <c r="AK13" s="1">
        <f t="shared" ref="AK13" ca="1" si="96">MAX(AI13-(AJ13+_xlfn.FLOOR.MATH(IF(AK12=0,(AJ12+_xlfn.FLOOR.MATH(IF(AK11=0,AJ11-AI11,0)/3))-AI12,0)/3)),0)</f>
        <v>0</v>
      </c>
      <c r="AL13" s="51">
        <f t="shared" ref="AL13" ca="1" si="97">MAX(_xlfn.FLOOR.MATH(MIN(-(AI13-AJ13),MAX((AI14-AJ14)*3,0))/3),0)</f>
        <v>0</v>
      </c>
      <c r="AN13" s="54" t="s">
        <v>70</v>
      </c>
      <c r="AO13" s="38" cm="1">
        <f t="array" aca="1" ref="AO13" ca="1">IFERROR(SUM(INDIRECT("'"&amp;_xlfn._xlws.FILTER(Character_Name_List,'Character Data Table'!$E$3:$E$107=AN13,)&amp;"'!J10")),0)</f>
        <v>0</v>
      </c>
      <c r="AP13" s="68">
        <v>1</v>
      </c>
      <c r="AQ13" s="4">
        <f t="shared" ca="1" si="16"/>
        <v>0</v>
      </c>
      <c r="AS13" s="133" t="str">
        <v>Knave</v>
      </c>
      <c r="AT13" s="14">
        <f ca="1">_xlfn.XLOOKUP(AS13,'Weekly Boss Talent Lookups'!A:A,'Weekly Boss Talent Lookups'!B:B,,0,1)+IFERROR(_xlfn.XLOOKUP(AS13,'Traveller Lookups'!$O$7:$O$11,'Traveller Lookups'!$P$7:$P$11,,0,1),0)</f>
        <v>3</v>
      </c>
      <c r="AU13" s="38">
        <f ca="1">_xlfn.XLOOKUP(AS13,'Weekly Boss Talent Lookups'!A:A,'Weekly Boss Talent Lookups'!C:C,,0,1)+IFERROR(_xlfn.XLOOKUP(AS13,'Traveller Lookups'!$O$13:$O$17,'Traveller Lookups'!$P$13:$P$17,,0,1),0)</f>
        <v>3</v>
      </c>
      <c r="AV13" s="38">
        <f ca="1">_xlfn.XLOOKUP(AS13,'Weekly Boss Talent Lookups'!A:A,'Weekly Boss Talent Lookups'!D:D,,0,1)+IFERROR(_xlfn.XLOOKUP(AS13,'Traveller Lookups'!$O$19:$O$23,'Traveller Lookups'!$P$19:$P$23,,0,1),0)</f>
        <v>3</v>
      </c>
      <c r="AW13" s="38">
        <f ca="1">_xlfn.XLOOKUP(AS13,'Weekly Boss Talent Lookups'!A:A,'Weekly Boss Talent Lookups'!E:E,,0,1)+IFERROR(_xlfn.XLOOKUP(AS13,'Traveller Lookups'!$O$25:$O$29,'Traveller Lookups'!$P$25:$P$29,,0,1),0)</f>
        <v>27</v>
      </c>
      <c r="AX13" s="4">
        <f t="shared" ref="AX13" ca="1" si="98">AT13+AU13+AV13*2+AW13*2</f>
        <v>66</v>
      </c>
      <c r="AY13" s="69">
        <v>21</v>
      </c>
      <c r="AZ13" s="68">
        <v>14</v>
      </c>
      <c r="BA13" s="68">
        <v>12</v>
      </c>
      <c r="BB13" s="4">
        <f t="shared" ref="BB13" si="99">SUM(AY13:BA13)</f>
        <v>47</v>
      </c>
      <c r="BC13" s="85">
        <f ca="1">MAX((AT13)-BB13,0)</f>
        <v>0</v>
      </c>
      <c r="BD13" s="1">
        <f t="shared" ca="1" si="66"/>
        <v>0</v>
      </c>
      <c r="BE13" s="1">
        <f t="shared" ca="1" si="67"/>
        <v>0</v>
      </c>
      <c r="BF13" s="51">
        <f t="shared" ref="BF13" ca="1" si="100">MAX(AX13-BB13,0)-BE13-BD13-BC13</f>
        <v>19</v>
      </c>
    </row>
    <row r="14" spans="1:58" ht="15.75" thickBot="1" x14ac:dyDescent="0.3">
      <c r="A14" s="197" t="s">
        <v>71</v>
      </c>
      <c r="B14" s="11" t="s">
        <v>21</v>
      </c>
      <c r="C14" s="24" cm="1">
        <f t="array" aca="1" ref="C14" ca="1">IFERROR(SUM(INDIRECT("'"&amp;IF(ISNUMBER(FIND("'",_xlfn._xlws.FILTER(Weapon_Name_List,Weapon_Name_List&lt;&gt;"",))),LEFT(_xlfn._xlws.FILTER(Weapon_Name_List,Weapon_Name_List&lt;&gt;"",),FIND("'",_xlfn._xlws.FILTER(Weapon_Name_List,Weapon_Name_List&lt;&gt;"",)))&amp;"'"&amp;RIGHT(_xlfn._xlws.FILTER(Weapon_Name_List,Weapon_Name_List&lt;&gt;"",),LEN(_xlfn._xlws.FILTER(Weapon_Name_List,Weapon_Name_List&lt;&gt;"",))-FIND("'",_xlfn._xlws.FILTER(Weapon_Name_List,Weapon_Name_List&lt;&gt;"",))),_xlfn._xlws.FILTER(Weapon_Name_List,Weapon_Name_List&lt;&gt;"",))&amp;"'!G5")),0)</f>
        <v>7697520</v>
      </c>
      <c r="E14" s="183"/>
      <c r="F14" s="50">
        <v>4</v>
      </c>
      <c r="G14" s="80" cm="1">
        <f t="array" aca="1" ref="G14" ca="1">SUM(INDIRECT("'"&amp;_xlfn._xlws.FILTER(Character_Name_List,INDEX(Character_List,,7)=E12,)&amp;"'!J17"))+SUM('Traveller Lookups'!D14:F14)</f>
        <v>0</v>
      </c>
      <c r="H14" s="71">
        <v>4</v>
      </c>
      <c r="I14" s="70">
        <f ca="1">MAX(G14-(H14+_xlfn.FLOOR.MATH(IF(I13=0,(H13+_xlfn.FLOOR.MATH(IF(I12=0,H12-G12,0)/3))-G13,0)/3)),0)</f>
        <v>0</v>
      </c>
      <c r="J14" s="50" t="s">
        <v>45</v>
      </c>
      <c r="L14" s="187"/>
      <c r="M14" s="78">
        <v>5</v>
      </c>
      <c r="N14" s="77">
        <f ca="1">'Weapon Ascension Mat Lookup'!B13</f>
        <v>0</v>
      </c>
      <c r="O14" s="73">
        <v>1</v>
      </c>
      <c r="P14" s="134">
        <f t="shared" ref="P14" ca="1" si="101">MAX(N14-(O14+_xlfn.FLOOR.MATH(IF(P13=0,(O13+_xlfn.FLOOR.MATH(IF(P12=0,(O12+_xlfn.FLOOR.MATH(IF(P11=0,O11-N11,0)/3))-N12,0)/3))-N13,0)/3)),0)</f>
        <v>0</v>
      </c>
      <c r="Q14" s="78" t="s">
        <v>45</v>
      </c>
      <c r="S14" s="192"/>
      <c r="T14" s="53">
        <v>4</v>
      </c>
      <c r="U14" s="70" cm="1">
        <f t="array" aca="1" ref="U14" ca="1">_xlfn.XLOOKUP(Overview!T14&amp;Overview!S12,INDEX(Weapon_Elite_Materials_Totals,,1)&amp;INDEX(Weapon_Elite_Materials_Totals,,2),INDEX(Weapon_Elite_Materials_Totals,,3),,0,1)</f>
        <v>0</v>
      </c>
      <c r="V14" s="71">
        <v>31</v>
      </c>
      <c r="W14" s="9">
        <f t="shared" ref="W14" ca="1" si="102">MAX(U14-(V14+_xlfn.FLOOR.MATH(IF(W13=0,(V13+_xlfn.FLOOR.MATH(IF(W12=0,V12-U12,0)/3))-U13,0)/3)),0)</f>
        <v>0</v>
      </c>
      <c r="X14" s="50" t="s">
        <v>45</v>
      </c>
      <c r="Z14" s="192"/>
      <c r="AA14" s="53">
        <v>3</v>
      </c>
      <c r="AB14" s="70" cm="1">
        <f t="array" aca="1" ref="AB14" ca="1">_xlfn.XLOOKUP(Overview!AA14&amp;Overview!Z12,INDEX(Character_Materials_Totals,,1)&amp;INDEX(Character_Materials_Totals,,2),INDEX(Character_Materials_Totals,,3),,0,1)+_xlfn.XLOOKUP(Overview!AA14&amp;Overview!Z12,INDEX(Weapon_Common_Materials_Totals,,1)&amp;INDEX(Weapon_Common_Materials_Totals,,2),INDEX(Weapon_Common_Materials_Totals,,3),,0,1)+IFERROR(_xlfn.XLOOKUP(AA14&amp;Z12,INDEX(Traveller_Talent_Mob_Drops,,2)&amp;INDEX(Traveller_Talent_Mob_Drops,,1),INDEX(Traveller_Talent_Mob_Drops,,3),,0,1),0)</f>
        <v>45</v>
      </c>
      <c r="AC14" s="71">
        <v>45</v>
      </c>
      <c r="AD14" s="9">
        <f t="shared" ref="AD14" ca="1" si="103">MAX(AB14-(AC14+_xlfn.FLOOR.MATH(IF(AD13=0,(AC13+_xlfn.FLOOR.MATH(IF(AD12=0,AC12-AB12,0)/3))-AB13,0)/3)),0)</f>
        <v>0</v>
      </c>
      <c r="AE14" s="50" t="s">
        <v>45</v>
      </c>
      <c r="AG14" s="183"/>
      <c r="AH14" s="50">
        <v>5</v>
      </c>
      <c r="AI14" s="70" cm="1">
        <f t="array" aca="1" ref="AI14" ca="1">IFERROR(SUM(INDIRECT("'"&amp;_xlfn._xlws.FILTER(Character_Name_List,'Character Data Table'!$D$3:$D$107=AG11,)&amp;"'!J9")),0)</f>
        <v>0</v>
      </c>
      <c r="AJ14" s="71">
        <v>0</v>
      </c>
      <c r="AK14" s="9">
        <f t="shared" ref="AK14" ca="1" si="104">MAX(AI14-(AJ14+_xlfn.FLOOR.MATH(IF(AK13=0,(AJ13+_xlfn.FLOOR.MATH(IF(AK12=0,(AJ12+_xlfn.FLOOR.MATH(IF(AK11=0,AJ11-AI11,0)/3))-AI12,0)/3))-AI13,0)/3)),0)</f>
        <v>0</v>
      </c>
      <c r="AL14" s="50" t="s">
        <v>45</v>
      </c>
      <c r="AN14" s="54" t="s">
        <v>72</v>
      </c>
      <c r="AO14" s="38" cm="1">
        <f t="array" aca="1" ref="AO14" ca="1">IFERROR(SUM(INDIRECT("'"&amp;_xlfn._xlws.FILTER(Character_Name_List,'Character Data Table'!$E$3:$E$107=AN14,)&amp;"'!J10")),0)</f>
        <v>0</v>
      </c>
      <c r="AP14" s="68">
        <v>2</v>
      </c>
      <c r="AQ14" s="4">
        <f t="shared" ca="1" si="16"/>
        <v>0</v>
      </c>
      <c r="AS14" s="133" t="str">
        <v>Eroded Primal Fire</v>
      </c>
      <c r="AT14" s="14">
        <f ca="1">_xlfn.XLOOKUP(AS14,'Weekly Boss Talent Lookups'!A:A,'Weekly Boss Talent Lookups'!B:B,,0,1)+IFERROR(_xlfn.XLOOKUP(AS14,'Traveller Lookups'!$O$7:$O$11,'Traveller Lookups'!$P$7:$P$11,,0,1),0)</f>
        <v>3</v>
      </c>
      <c r="AU14" s="38">
        <f ca="1">_xlfn.XLOOKUP(AS14,'Weekly Boss Talent Lookups'!A:A,'Weekly Boss Talent Lookups'!C:C,,0,1)+IFERROR(_xlfn.XLOOKUP(AS14,'Traveller Lookups'!$O$13:$O$17,'Traveller Lookups'!$P$13:$P$17,,0,1),0)</f>
        <v>3</v>
      </c>
      <c r="AV14" s="38">
        <f ca="1">_xlfn.XLOOKUP(AS14,'Weekly Boss Talent Lookups'!A:A,'Weekly Boss Talent Lookups'!D:D,,0,1)+IFERROR(_xlfn.XLOOKUP(AS14,'Traveller Lookups'!$O$19:$O$23,'Traveller Lookups'!$P$19:$P$23,,0,1),0)</f>
        <v>9</v>
      </c>
      <c r="AW14" s="38">
        <f ca="1">_xlfn.XLOOKUP(AS14,'Weekly Boss Talent Lookups'!A:A,'Weekly Boss Talent Lookups'!E:E,,0,1)+IFERROR(_xlfn.XLOOKUP(AS14,'Traveller Lookups'!$O$25:$O$29,'Traveller Lookups'!$P$25:$P$29,,0,1),0)</f>
        <v>21</v>
      </c>
      <c r="AX14" s="4">
        <f t="shared" ref="AX14" ca="1" si="105">AT14+AU14+AV14*2+AW14*2</f>
        <v>66</v>
      </c>
      <c r="AY14" s="69">
        <v>8</v>
      </c>
      <c r="AZ14" s="68">
        <v>3</v>
      </c>
      <c r="BA14" s="68">
        <v>1</v>
      </c>
      <c r="BB14" s="4">
        <f t="shared" ref="BB14" si="106">SUM(AY14:BA14)</f>
        <v>12</v>
      </c>
      <c r="BC14" s="85">
        <f ca="1">MAX((AT14)-BB14,0)</f>
        <v>0</v>
      </c>
      <c r="BD14" s="1">
        <f t="shared" ca="1" si="66"/>
        <v>0</v>
      </c>
      <c r="BE14" s="1">
        <f t="shared" ca="1" si="67"/>
        <v>12</v>
      </c>
      <c r="BF14" s="51">
        <f t="shared" ref="BF14" ca="1" si="107">MAX(AX14-BB14,0)-BE14-BD14-BC14</f>
        <v>42</v>
      </c>
    </row>
    <row r="15" spans="1:58" ht="16.5" thickTop="1" thickBot="1" x14ac:dyDescent="0.3">
      <c r="A15" s="199"/>
      <c r="B15" s="21" t="s">
        <v>52</v>
      </c>
      <c r="C15" s="23" cm="1">
        <f t="array" aca="1" ref="C15" ca="1">IFERROR(SUM(INDIRECT("'"&amp;IF(ISNUMBER(FIND("'",_xlfn._xlws.FILTER(Weapon_Name_List,Weapon_Name_List&lt;&gt;"",))),LEFT(_xlfn._xlws.FILTER(Weapon_Name_List,Weapon_Name_List&lt;&gt;"",),FIND("'",_xlfn._xlws.FILTER(Weapon_Name_List,Weapon_Name_List&lt;&gt;"",)))&amp;"'"&amp;RIGHT(_xlfn._xlws.FILTER(Weapon_Name_List,Weapon_Name_List&lt;&gt;"",),LEN(_xlfn._xlws.FILTER(Weapon_Name_List,Weapon_Name_List&lt;&gt;"",))-FIND("'",_xlfn._xlws.FILTER(Weapon_Name_List,Weapon_Name_List&lt;&gt;"",))),_xlfn._xlws.FILTER(Weapon_Name_List,Weapon_Name_List&lt;&gt;"",))&amp;"'!G4")),0)</f>
        <v>66470100</v>
      </c>
      <c r="E15" s="188" t="s">
        <v>73</v>
      </c>
      <c r="F15" s="49">
        <v>2</v>
      </c>
      <c r="G15" s="64" cm="1">
        <f t="array" aca="1" ref="G15" ca="1">SUM(INDIRECT("'"&amp;_xlfn._xlws.FILTER(Character_Name_List,INDEX(Character_List,,7)=E15,)&amp;"'!J15"))+SUM('Traveller Lookups'!D15:F15)</f>
        <v>0</v>
      </c>
      <c r="H15" s="65">
        <v>20</v>
      </c>
      <c r="I15" s="64">
        <f ca="1">MAX(G15-H15,0)</f>
        <v>0</v>
      </c>
      <c r="J15" s="49">
        <f t="shared" ref="J15" ca="1" si="108">MAX(_xlfn.FLOOR.MATH(MIN(-(G15-H15),MAX((G17-H17)*9+(G16-H16)*3,0))/3),0)</f>
        <v>0</v>
      </c>
      <c r="L15" s="193" t="s">
        <v>66</v>
      </c>
      <c r="M15" s="148">
        <v>2</v>
      </c>
      <c r="N15" s="149">
        <f ca="1">'Weapon Ascension Mat Lookup'!B14</f>
        <v>0</v>
      </c>
      <c r="O15" s="150">
        <v>13</v>
      </c>
      <c r="P15" s="151">
        <f ca="1">MAX(N15-O15,0)</f>
        <v>0</v>
      </c>
      <c r="Q15" s="148">
        <f t="shared" ref="Q15" ca="1" si="109">MAX(_xlfn.FLOOR.MATH(MIN(-(N15-O15),MAX((N18-O18)*27+(N17-O17)*9+(N16-O16)*3,0))/3),0)</f>
        <v>0</v>
      </c>
      <c r="S15" s="190" t="s">
        <v>74</v>
      </c>
      <c r="T15" s="57">
        <v>2</v>
      </c>
      <c r="U15" s="38" cm="1">
        <f t="array" aca="1" ref="U15" ca="1">_xlfn.XLOOKUP(Overview!T15&amp;Overview!S15,INDEX(Weapon_Elite_Materials_Totals,,1)&amp;INDEX(Weapon_Elite_Materials_Totals,,2),INDEX(Weapon_Elite_Materials_Totals,,3),,0,1)</f>
        <v>0</v>
      </c>
      <c r="V15" s="63">
        <v>372</v>
      </c>
      <c r="W15" s="5">
        <f ca="1">MAX(U15-V15,0)</f>
        <v>0</v>
      </c>
      <c r="X15" s="6">
        <f t="shared" ref="X15" ca="1" si="110">MAX(_xlfn.FLOOR.MATH(MIN(-(U15-V15),MAX((U17-V17)*9+(U16-V16)*3,0))/3),0)</f>
        <v>0</v>
      </c>
      <c r="Z15" s="190" t="s">
        <v>75</v>
      </c>
      <c r="AA15" s="57">
        <v>1</v>
      </c>
      <c r="AB15" s="38" cm="1">
        <f t="array" aca="1" ref="AB15" ca="1">_xlfn.XLOOKUP(Overview!AA15&amp;Overview!Z15,INDEX(Character_Materials_Totals,,1)&amp;INDEX(Character_Materials_Totals,,2),INDEX(Character_Materials_Totals,,3),,0,1)+_xlfn.XLOOKUP(Overview!AA15&amp;Overview!Z15,INDEX(Weapon_Common_Materials_Totals,,1)&amp;INDEX(Weapon_Common_Materials_Totals,,2),INDEX(Weapon_Common_Materials_Totals,,3),,0,1)+IFERROR(_xlfn.XLOOKUP(AA15&amp;Z15,INDEX(Traveller_Talent_Mob_Drops,,2)&amp;INDEX(Traveller_Talent_Mob_Drops,,1),INDEX(Traveller_Talent_Mob_Drops,,3),,0,1),0)</f>
        <v>0</v>
      </c>
      <c r="AC15" s="63">
        <v>4826</v>
      </c>
      <c r="AD15" s="5">
        <f ca="1">MAX(AB15-AC15,0)</f>
        <v>0</v>
      </c>
      <c r="AE15" s="6">
        <f t="shared" ref="AE15" ca="1" si="111">MAX(_xlfn.FLOOR.MATH(MIN(-(AB15-AC15),MAX((AB17-AC17)*9+(AB16-AC16)*3,0))/3),0)</f>
        <v>0</v>
      </c>
      <c r="AG15" s="188" t="s">
        <v>782</v>
      </c>
      <c r="AH15" s="49">
        <v>2</v>
      </c>
      <c r="AI15" s="64" cm="1">
        <f t="array" aca="1" ref="AI15" ca="1">IFERROR(SUM(INDIRECT("'"&amp;_xlfn._xlws.FILTER(Character_Name_List,'Character Data Table'!$D$3:$D$107=AG15,)&amp;"'!J6")),0)</f>
        <v>0</v>
      </c>
      <c r="AJ15" s="65">
        <v>315</v>
      </c>
      <c r="AK15" s="2">
        <f ca="1">MAX(AI15-AJ15,0)</f>
        <v>0</v>
      </c>
      <c r="AL15" s="49">
        <f t="shared" ref="AL15" ca="1" si="112">MAX(_xlfn.FLOOR.MATH(MIN(-(AI15-AJ15),MAX((AI18-AJ18)*27+(AI17-AJ17)*9+(AI16-AJ16)*3,0))/3),0)</f>
        <v>0</v>
      </c>
      <c r="AN15" s="54" t="s">
        <v>76</v>
      </c>
      <c r="AO15" s="38" cm="1">
        <f t="array" aca="1" ref="AO15" ca="1">IFERROR(SUM(INDIRECT("'"&amp;_xlfn._xlws.FILTER(Character_Name_List,'Character Data Table'!$E$3:$E$107=AN15,)&amp;"'!J10")),0)</f>
        <v>0</v>
      </c>
      <c r="AP15" s="68">
        <v>0</v>
      </c>
      <c r="AQ15" s="4">
        <f t="shared" ca="1" si="16"/>
        <v>0</v>
      </c>
      <c r="AS15" s="133" t="str">
        <v>Game before the Gate</v>
      </c>
      <c r="AT15" s="14">
        <f ca="1">_xlfn.XLOOKUP(AS15,'Weekly Boss Talent Lookups'!A:A,'Weekly Boss Talent Lookups'!B:B,,0,1)+IFERROR(_xlfn.XLOOKUP(AS15,'Traveller Lookups'!$O$7:$O$11,'Traveller Lookups'!$P$7:$P$11,,0,1),0)</f>
        <v>3</v>
      </c>
      <c r="AU15" s="38">
        <f ca="1">_xlfn.XLOOKUP(AS15,'Weekly Boss Talent Lookups'!A:A,'Weekly Boss Talent Lookups'!C:C,,0,1)+IFERROR(_xlfn.XLOOKUP(AS15,'Traveller Lookups'!$O$13:$O$17,'Traveller Lookups'!$P$13:$P$17,,0,1),0)</f>
        <v>3</v>
      </c>
      <c r="AV15" s="38">
        <f ca="1">_xlfn.XLOOKUP(AS15,'Weekly Boss Talent Lookups'!A:A,'Weekly Boss Talent Lookups'!D:D,,0,1)+IFERROR(_xlfn.XLOOKUP(AS15,'Traveller Lookups'!$O$19:$O$23,'Traveller Lookups'!$P$19:$P$23,,0,1),0)</f>
        <v>3</v>
      </c>
      <c r="AW15" s="38">
        <f ca="1">_xlfn.XLOOKUP(AS15,'Weekly Boss Talent Lookups'!A:A,'Weekly Boss Talent Lookups'!E:E,,0,1)+IFERROR(_xlfn.XLOOKUP(AS15,'Traveller Lookups'!$O$25:$O$29,'Traveller Lookups'!$P$25:$P$29,,0,1),0)</f>
        <v>9</v>
      </c>
      <c r="AX15" s="4">
        <f t="shared" ref="AX15" ca="1" si="113">AT15+AU15+AV15*2+AW15*2</f>
        <v>30</v>
      </c>
      <c r="AY15" s="69">
        <v>1</v>
      </c>
      <c r="AZ15" s="68">
        <v>5</v>
      </c>
      <c r="BA15" s="68">
        <v>6</v>
      </c>
      <c r="BB15" s="4">
        <f t="shared" ref="BB15" si="114">SUM(AY15:BA15)</f>
        <v>12</v>
      </c>
      <c r="BC15" s="85">
        <f ca="1">MAX((AT15)-BB15,0)</f>
        <v>0</v>
      </c>
      <c r="BD15" s="1">
        <f t="shared" ca="1" si="66"/>
        <v>0</v>
      </c>
      <c r="BE15" s="1">
        <f t="shared" ca="1" si="67"/>
        <v>0</v>
      </c>
      <c r="BF15" s="51">
        <f t="shared" ref="BF15" ca="1" si="115">MAX(AX15-BB15,0)-BE15-BD15-BC15</f>
        <v>18</v>
      </c>
    </row>
    <row r="16" spans="1:58" ht="15.75" thickBot="1" x14ac:dyDescent="0.3">
      <c r="A16" s="199"/>
      <c r="B16" s="20" t="s">
        <v>77</v>
      </c>
      <c r="C16" s="74">
        <v>5054</v>
      </c>
      <c r="E16" s="182"/>
      <c r="F16" s="51">
        <v>3</v>
      </c>
      <c r="G16" s="38" cm="1">
        <f t="array" aca="1" ref="G16" ca="1">SUM(INDIRECT("'"&amp;_xlfn._xlws.FILTER(Character_Name_List,INDEX(Character_List,,7)=E15,)&amp;"'!J16"))+SUM('Traveller Lookups'!D16:F16)</f>
        <v>0</v>
      </c>
      <c r="H16" s="68">
        <v>51</v>
      </c>
      <c r="I16" s="38">
        <f ca="1">MAX(G16-(H16+_xlfn.FLOOR.MATH(IF(I15=0,H15-G15,0)/3)),0)</f>
        <v>0</v>
      </c>
      <c r="J16" s="51">
        <f t="shared" ref="J16" ca="1" si="116">MAX(_xlfn.FLOOR.MATH(MIN(-(G16-H16),MAX((G17-H17)*3,0))/3),0)</f>
        <v>0</v>
      </c>
      <c r="L16" s="185"/>
      <c r="M16" s="51">
        <v>3</v>
      </c>
      <c r="N16" s="38">
        <f ca="1">'Weapon Ascension Mat Lookup'!B15</f>
        <v>0</v>
      </c>
      <c r="O16" s="68">
        <v>41</v>
      </c>
      <c r="P16" s="1">
        <f ca="1">MAX(N16-(O16+_xlfn.FLOOR.MATH(IF(P15=0,O15-N15,0)/3)),0)</f>
        <v>0</v>
      </c>
      <c r="Q16" s="51">
        <f t="shared" ref="Q16" ca="1" si="117">MAX(_xlfn.FLOOR.MATH(MIN(-(N16-O16),MAX((N18-O18)*9+(N17-O17)*3,0))/3),0)</f>
        <v>0</v>
      </c>
      <c r="S16" s="191"/>
      <c r="T16" s="54">
        <v>3</v>
      </c>
      <c r="U16" s="38" cm="1">
        <f t="array" aca="1" ref="U16" ca="1">_xlfn.XLOOKUP(Overview!T16&amp;Overview!S15,INDEX(Weapon_Elite_Materials_Totals,,1)&amp;INDEX(Weapon_Elite_Materials_Totals,,2),INDEX(Weapon_Elite_Materials_Totals,,3),,0,1)</f>
        <v>0</v>
      </c>
      <c r="V16" s="68">
        <v>97</v>
      </c>
      <c r="W16" s="1">
        <f t="shared" ref="W16" ca="1" si="118">MAX(U16-(V16+_xlfn.FLOOR.MATH(IF(W15=0,V15-U15,0)/3)),0)</f>
        <v>0</v>
      </c>
      <c r="X16" s="4">
        <f t="shared" ref="X16" ca="1" si="119">MAX(_xlfn.FLOOR.MATH(MIN(-(U16-V16),MAX((U17-V17)*3,0))/3),0)</f>
        <v>0</v>
      </c>
      <c r="Z16" s="191"/>
      <c r="AA16" s="54">
        <v>2</v>
      </c>
      <c r="AB16" s="38" cm="1">
        <f t="array" aca="1" ref="AB16" ca="1">_xlfn.XLOOKUP(Overview!AA16&amp;Overview!Z15,INDEX(Character_Materials_Totals,,1)&amp;INDEX(Character_Materials_Totals,,2),INDEX(Character_Materials_Totals,,3),,0,1)+_xlfn.XLOOKUP(Overview!AA16&amp;Overview!Z15,INDEX(Weapon_Common_Materials_Totals,,1)&amp;INDEX(Weapon_Common_Materials_Totals,,2),INDEX(Weapon_Common_Materials_Totals,,3),,0,1)+IFERROR(_xlfn.XLOOKUP(AA16&amp;Z15,INDEX(Traveller_Talent_Mob_Drops,,2)&amp;INDEX(Traveller_Talent_Mob_Drops,,1),INDEX(Traveller_Talent_Mob_Drops,,3),,0,1),0)</f>
        <v>0</v>
      </c>
      <c r="AC16" s="68">
        <v>939</v>
      </c>
      <c r="AD16" s="1">
        <f t="shared" ref="AD16" ca="1" si="120">MAX(AB16-(AC16+_xlfn.FLOOR.MATH(IF(AD15=0,AC15-AB15,0)/3)),0)</f>
        <v>0</v>
      </c>
      <c r="AE16" s="4">
        <f t="shared" ref="AE16" ca="1" si="121">MAX(_xlfn.FLOOR.MATH(MIN(-(AB16-AC16),MAX((AB17-AC17)*3,0))/3),0)</f>
        <v>0</v>
      </c>
      <c r="AG16" s="182"/>
      <c r="AH16" s="51">
        <v>3</v>
      </c>
      <c r="AI16" s="38" cm="1">
        <f t="array" aca="1" ref="AI16" ca="1">IFERROR(SUM(INDIRECT("'"&amp;_xlfn._xlws.FILTER(Character_Name_List,'Character Data Table'!$D$3:$D$107=AG15,)&amp;"'!J7")),0)</f>
        <v>0</v>
      </c>
      <c r="AJ16" s="68">
        <v>9</v>
      </c>
      <c r="AK16" s="1">
        <f ca="1">MAX(AI16-(AJ16+_xlfn.FLOOR.MATH(IF(AK15=0,AJ15-AI15,0)/3)),0)</f>
        <v>0</v>
      </c>
      <c r="AL16" s="51">
        <f t="shared" ref="AL16" ca="1" si="122">MAX(_xlfn.FLOOR.MATH(MIN(-(AI16-AJ16),MAX((AI18-AJ18)*9+(AI17-AJ17)*3,0))/3),0)</f>
        <v>0</v>
      </c>
      <c r="AN16" s="54" t="s">
        <v>78</v>
      </c>
      <c r="AO16" s="38" cm="1">
        <f t="array" aca="1" ref="AO16" ca="1">IFERROR(SUM(INDIRECT("'"&amp;_xlfn._xlws.FILTER(Character_Name_List,'Character Data Table'!$E$3:$E$107=AN16,)&amp;"'!J10")),0)</f>
        <v>0</v>
      </c>
      <c r="AP16" s="68">
        <v>0</v>
      </c>
      <c r="AQ16" s="4">
        <f t="shared" ca="1" si="16"/>
        <v>0</v>
      </c>
      <c r="AS16" s="81"/>
      <c r="AT16" s="164"/>
      <c r="AU16" s="100"/>
      <c r="AV16" s="100"/>
      <c r="AW16" s="100"/>
      <c r="AX16" s="96"/>
      <c r="AY16" s="164"/>
      <c r="AZ16" s="37"/>
      <c r="BA16" s="37"/>
      <c r="BB16" s="96"/>
      <c r="BC16" s="95"/>
      <c r="BD16" s="37"/>
      <c r="BE16" s="37"/>
      <c r="BF16" s="165"/>
    </row>
    <row r="17" spans="1:50" ht="15.75" thickBot="1" x14ac:dyDescent="0.3">
      <c r="A17" s="199"/>
      <c r="B17" s="14" t="s">
        <v>79</v>
      </c>
      <c r="C17" s="75">
        <v>3111</v>
      </c>
      <c r="E17" s="183"/>
      <c r="F17" s="50">
        <v>4</v>
      </c>
      <c r="G17" s="80" cm="1">
        <f t="array" aca="1" ref="G17" ca="1">SUM(INDIRECT("'"&amp;_xlfn._xlws.FILTER(Character_Name_List,INDEX(Character_List,,7)=E15,)&amp;"'!J17"))+SUM('Traveller Lookups'!D17:F17)</f>
        <v>0</v>
      </c>
      <c r="H17" s="71">
        <v>7</v>
      </c>
      <c r="I17" s="70">
        <f ca="1">MAX(G17-(H17+_xlfn.FLOOR.MATH(IF(I16=0,(H16+_xlfn.FLOOR.MATH(IF(I15=0,H15-G15,0)/3))-G16,0)/3)),0)</f>
        <v>0</v>
      </c>
      <c r="J17" s="50" t="s">
        <v>45</v>
      </c>
      <c r="L17" s="185"/>
      <c r="M17" s="51">
        <v>4</v>
      </c>
      <c r="N17" s="38">
        <f ca="1">'Weapon Ascension Mat Lookup'!B16</f>
        <v>0</v>
      </c>
      <c r="O17" s="68">
        <v>4</v>
      </c>
      <c r="P17" s="1">
        <f ca="1">MAX(N17-(O17+_xlfn.FLOOR.MATH(IF(P16=0,(O16+_xlfn.FLOOR.MATH(IF(P15=0,O15-N15,0)/3))-N16,0)/3)),0)</f>
        <v>0</v>
      </c>
      <c r="Q17" s="51">
        <f t="shared" ref="Q17" ca="1" si="123">MAX(_xlfn.FLOOR.MATH(MIN(-(N17-O17),MAX((N18-O18)*3,0))/3),0)</f>
        <v>0</v>
      </c>
      <c r="S17" s="192"/>
      <c r="T17" s="53">
        <v>4</v>
      </c>
      <c r="U17" s="70" cm="1">
        <f t="array" aca="1" ref="U17" ca="1">_xlfn.XLOOKUP(Overview!T17&amp;Overview!S15,INDEX(Weapon_Elite_Materials_Totals,,1)&amp;INDEX(Weapon_Elite_Materials_Totals,,2),INDEX(Weapon_Elite_Materials_Totals,,3),,0,1)</f>
        <v>0</v>
      </c>
      <c r="V17" s="71">
        <v>37</v>
      </c>
      <c r="W17" s="9">
        <f t="shared" ref="W17" ca="1" si="124">MAX(U17-(V17+_xlfn.FLOOR.MATH(IF(W16=0,(V16+_xlfn.FLOOR.MATH(IF(W15=0,V15-U15,0)/3))-U16,0)/3)),0)</f>
        <v>0</v>
      </c>
      <c r="X17" s="50" t="s">
        <v>45</v>
      </c>
      <c r="Z17" s="192"/>
      <c r="AA17" s="53">
        <v>3</v>
      </c>
      <c r="AB17" s="70" cm="1">
        <f t="array" aca="1" ref="AB17" ca="1">_xlfn.XLOOKUP(Overview!AA17&amp;Overview!Z15,INDEX(Character_Materials_Totals,,1)&amp;INDEX(Character_Materials_Totals,,2),INDEX(Character_Materials_Totals,,3),,0,1)+_xlfn.XLOOKUP(Overview!AA17&amp;Overview!Z15,INDEX(Weapon_Common_Materials_Totals,,1)&amp;INDEX(Weapon_Common_Materials_Totals,,2),INDEX(Weapon_Common_Materials_Totals,,3),,0,1)+IFERROR(_xlfn.XLOOKUP(AA17&amp;Z15,INDEX(Traveller_Talent_Mob_Drops,,2)&amp;INDEX(Traveller_Talent_Mob_Drops,,1),INDEX(Traveller_Talent_Mob_Drops,,3),,0,1),0)</f>
        <v>0</v>
      </c>
      <c r="AC17" s="71">
        <v>65</v>
      </c>
      <c r="AD17" s="9">
        <f t="shared" ref="AD17" ca="1" si="125">MAX(AB17-(AC17+_xlfn.FLOOR.MATH(IF(AD16=0,(AC16+_xlfn.FLOOR.MATH(IF(AD15=0,AC15-AB15,0)/3))-AB16,0)/3)),0)</f>
        <v>0</v>
      </c>
      <c r="AE17" s="50" t="s">
        <v>45</v>
      </c>
      <c r="AG17" s="182"/>
      <c r="AH17" s="51">
        <v>4</v>
      </c>
      <c r="AI17" s="38" cm="1">
        <f t="array" aca="1" ref="AI17" ca="1">IFERROR(SUM(INDIRECT("'"&amp;_xlfn._xlws.FILTER(Character_Name_List,'Character Data Table'!$D$3:$D$107=AG15,)&amp;"'!J8")),0)</f>
        <v>0</v>
      </c>
      <c r="AJ17" s="68">
        <v>9</v>
      </c>
      <c r="AK17" s="1">
        <f ca="1">MAX(AI17-(AJ17+_xlfn.FLOOR.MATH(IF(AK16=0,(AJ16+_xlfn.FLOOR.MATH(IF(AK15=0,AJ15-AI15,0)/3))-AI16,0)/3)),0)</f>
        <v>0</v>
      </c>
      <c r="AL17" s="51">
        <f t="shared" ref="AL17" ca="1" si="126">MAX(_xlfn.FLOOR.MATH(MIN(-(AI17-AJ17),MAX((AI18-AJ18)*3,0))/3),0)</f>
        <v>0</v>
      </c>
      <c r="AN17" s="54" t="s">
        <v>80</v>
      </c>
      <c r="AO17" s="38" cm="1">
        <f t="array" aca="1" ref="AO17" ca="1">IFERROR(SUM(INDIRECT("'"&amp;_xlfn._xlws.FILTER(Character_Name_List,'Character Data Table'!$E$3:$E$107=AN17,)&amp;"'!J10")),0)</f>
        <v>0</v>
      </c>
      <c r="AP17" s="68">
        <v>0</v>
      </c>
      <c r="AQ17" s="4">
        <f t="shared" ca="1" si="16"/>
        <v>0</v>
      </c>
    </row>
    <row r="18" spans="1:50" ht="15.75" thickBot="1" x14ac:dyDescent="0.3">
      <c r="A18" s="199"/>
      <c r="B18" s="19" t="s">
        <v>81</v>
      </c>
      <c r="C18" s="76">
        <v>2336</v>
      </c>
      <c r="E18" s="188" t="s">
        <v>82</v>
      </c>
      <c r="F18" s="49">
        <v>2</v>
      </c>
      <c r="G18" s="64" cm="1">
        <f t="array" aca="1" ref="G18" ca="1">SUM(INDIRECT("'"&amp;_xlfn._xlws.FILTER(Character_Name_List,INDEX(Character_List,,7)=E18,)&amp;"'!J15"))+SUM('Traveller Lookups'!D18:F18)</f>
        <v>0</v>
      </c>
      <c r="H18" s="65">
        <v>27</v>
      </c>
      <c r="I18" s="64">
        <f ca="1">MAX(G18-H18,0)</f>
        <v>0</v>
      </c>
      <c r="J18" s="49">
        <f t="shared" ref="J18" ca="1" si="127">MAX(_xlfn.FLOOR.MATH(MIN(-(G18-H18),MAX((G20-H20)*9+(G19-H19)*3,0))/3),0)</f>
        <v>0</v>
      </c>
      <c r="L18" s="186"/>
      <c r="M18" s="50">
        <v>5</v>
      </c>
      <c r="N18" s="70">
        <f ca="1">'Weapon Ascension Mat Lookup'!B17</f>
        <v>0</v>
      </c>
      <c r="O18" s="71">
        <v>0</v>
      </c>
      <c r="P18" s="9">
        <f ca="1">MAX(N18-(O18+_xlfn.FLOOR.MATH(IF(P17=0,(O17+_xlfn.FLOOR.MATH(IF(P16=0,(O16+_xlfn.FLOOR.MATH(IF(P15=0,O15-N15,0)/3))-N16,0)/3))-N17,0)/3)),0)</f>
        <v>0</v>
      </c>
      <c r="Q18" s="50" t="s">
        <v>45</v>
      </c>
      <c r="S18" s="190" t="s">
        <v>83</v>
      </c>
      <c r="T18" s="57">
        <v>2</v>
      </c>
      <c r="U18" s="38" cm="1">
        <f t="array" aca="1" ref="U18" ca="1">_xlfn.XLOOKUP(Overview!T18&amp;Overview!S18,INDEX(Weapon_Elite_Materials_Totals,,1)&amp;INDEX(Weapon_Elite_Materials_Totals,,2),INDEX(Weapon_Elite_Materials_Totals,,3),,0,1)</f>
        <v>0</v>
      </c>
      <c r="V18" s="63">
        <v>412</v>
      </c>
      <c r="W18" s="5">
        <f ca="1">MAX(U18-V18,0)</f>
        <v>0</v>
      </c>
      <c r="X18" s="6">
        <f t="shared" ref="X18" ca="1" si="128">MAX(_xlfn.FLOOR.MATH(MIN(-(U18-V18),MAX((U20-V20)*9+(U19-V19)*3,0))/3),0)</f>
        <v>0</v>
      </c>
      <c r="Z18" s="190" t="s">
        <v>84</v>
      </c>
      <c r="AA18" s="57">
        <v>1</v>
      </c>
      <c r="AB18" s="38" cm="1">
        <f t="array" aca="1" ref="AB18" ca="1">_xlfn.XLOOKUP(Overview!AA18&amp;Overview!Z18,INDEX(Character_Materials_Totals,,1)&amp;INDEX(Character_Materials_Totals,,2),INDEX(Character_Materials_Totals,,3),,0,1)+_xlfn.XLOOKUP(Overview!AA18&amp;Overview!Z18,INDEX(Weapon_Common_Materials_Totals,,1)&amp;INDEX(Weapon_Common_Materials_Totals,,2),INDEX(Weapon_Common_Materials_Totals,,3),,0,1)+IFERROR(_xlfn.XLOOKUP(AA18&amp;Z18,INDEX(Traveller_Talent_Mob_Drops,,2)&amp;INDEX(Traveller_Talent_Mob_Drops,,1),INDEX(Traveller_Talent_Mob_Drops,,3),,0,1),0)</f>
        <v>0</v>
      </c>
      <c r="AC18" s="63">
        <v>2090</v>
      </c>
      <c r="AD18" s="5">
        <f ca="1">MAX(AB18-AC18,0)</f>
        <v>0</v>
      </c>
      <c r="AE18" s="6">
        <f t="shared" ref="AE18" ca="1" si="129">MAX(_xlfn.FLOOR.MATH(MIN(-(AB18-AC18),MAX((AB20-AC20)*9+(AB19-AC19)*3,0))/3),0)</f>
        <v>0</v>
      </c>
      <c r="AG18" s="183"/>
      <c r="AH18" s="50">
        <v>5</v>
      </c>
      <c r="AI18" s="70" cm="1">
        <f t="array" aca="1" ref="AI18" ca="1">IFERROR(SUM(INDIRECT("'"&amp;_xlfn._xlws.FILTER(Character_Name_List,'Character Data Table'!$D$3:$D$107=AG15,)&amp;"'!J9")),0)</f>
        <v>0</v>
      </c>
      <c r="AJ18" s="71">
        <v>6</v>
      </c>
      <c r="AK18" s="9">
        <f ca="1">MAX(AI18-(AJ18+_xlfn.FLOOR.MATH(IF(AK17=0,(AJ17+_xlfn.FLOOR.MATH(IF(AK16=0,(AJ16+_xlfn.FLOOR.MATH(IF(AK15=0,AJ15-AI15,0)/3))-AI16,0)/3))-AI17,0)/3)),0)</f>
        <v>0</v>
      </c>
      <c r="AL18" s="50" t="s">
        <v>45</v>
      </c>
      <c r="AN18" s="54" t="s">
        <v>85</v>
      </c>
      <c r="AO18" s="38" cm="1">
        <f t="array" aca="1" ref="AO18" ca="1">IFERROR(SUM(INDIRECT("'"&amp;_xlfn._xlws.FILTER(Character_Name_List,'Character Data Table'!$E$3:$E$107=AN18,)&amp;"'!J10")),0)</f>
        <v>0</v>
      </c>
      <c r="AP18" s="68">
        <v>0</v>
      </c>
      <c r="AQ18" s="4">
        <f t="shared" ca="1" si="16"/>
        <v>0</v>
      </c>
    </row>
    <row r="19" spans="1:50" ht="15.75" thickBot="1" x14ac:dyDescent="0.3">
      <c r="A19" s="199"/>
      <c r="B19" s="11" t="s">
        <v>63</v>
      </c>
      <c r="C19" s="24">
        <f>SUM(C16*400,C17*2000,C18*10000)</f>
        <v>31603600</v>
      </c>
      <c r="E19" s="182"/>
      <c r="F19" s="51">
        <v>3</v>
      </c>
      <c r="G19" s="38" cm="1">
        <f t="array" aca="1" ref="G19" ca="1">SUM(INDIRECT("'"&amp;_xlfn._xlws.FILTER(Character_Name_List,INDEX(Character_List,,7)=E18,)&amp;"'!J16"))+SUM('Traveller Lookups'!D19:F19)</f>
        <v>0</v>
      </c>
      <c r="H19" s="68">
        <v>54</v>
      </c>
      <c r="I19" s="38">
        <f ca="1">MAX(G19-(H19+_xlfn.FLOOR.MATH(IF(I18=0,H18-G18,0)/3)),0)</f>
        <v>0</v>
      </c>
      <c r="J19" s="51">
        <f t="shared" ref="J19" ca="1" si="130">MAX(_xlfn.FLOOR.MATH(MIN(-(G19-H19),MAX((G20-H20)*3,0))/3),0)</f>
        <v>0</v>
      </c>
      <c r="L19" s="184" t="s">
        <v>73</v>
      </c>
      <c r="M19" s="49">
        <v>2</v>
      </c>
      <c r="N19" s="64">
        <f ca="1">'Weapon Ascension Mat Lookup'!B18</f>
        <v>0</v>
      </c>
      <c r="O19" s="65">
        <v>7</v>
      </c>
      <c r="P19" s="2">
        <f t="shared" ref="P19" ca="1" si="131">MAX(N19-O19,0)</f>
        <v>0</v>
      </c>
      <c r="Q19" s="49">
        <f t="shared" ref="Q19" ca="1" si="132">MAX(_xlfn.FLOOR.MATH(MIN(-(N19-O19),MAX((N22-O22)*27+(N21-O21)*9+(N20-O20)*3,0))/3),0)</f>
        <v>0</v>
      </c>
      <c r="S19" s="191"/>
      <c r="T19" s="54">
        <v>3</v>
      </c>
      <c r="U19" s="38" cm="1">
        <f t="array" aca="1" ref="U19" ca="1">_xlfn.XLOOKUP(Overview!T19&amp;Overview!S18,INDEX(Weapon_Elite_Materials_Totals,,1)&amp;INDEX(Weapon_Elite_Materials_Totals,,2),INDEX(Weapon_Elite_Materials_Totals,,3),,0,1)</f>
        <v>0</v>
      </c>
      <c r="V19" s="68">
        <v>95</v>
      </c>
      <c r="W19" s="1">
        <f t="shared" ref="W19" ca="1" si="133">MAX(U19-(V19+_xlfn.FLOOR.MATH(IF(W18=0,V18-U18,0)/3)),0)</f>
        <v>0</v>
      </c>
      <c r="X19" s="4">
        <f t="shared" ref="X19" ca="1" si="134">MAX(_xlfn.FLOOR.MATH(MIN(-(U19-V19),MAX((U20-V20)*3,0))/3),0)</f>
        <v>0</v>
      </c>
      <c r="Z19" s="191"/>
      <c r="AA19" s="54">
        <v>2</v>
      </c>
      <c r="AB19" s="38" cm="1">
        <f t="array" aca="1" ref="AB19" ca="1">_xlfn.XLOOKUP(Overview!AA19&amp;Overview!Z18,INDEX(Character_Materials_Totals,,1)&amp;INDEX(Character_Materials_Totals,,2),INDEX(Character_Materials_Totals,,3),,0,1)+_xlfn.XLOOKUP(Overview!AA19&amp;Overview!Z18,INDEX(Weapon_Common_Materials_Totals,,1)&amp;INDEX(Weapon_Common_Materials_Totals,,2),INDEX(Weapon_Common_Materials_Totals,,3),,0,1)+IFERROR(_xlfn.XLOOKUP(AA19&amp;Z18,INDEX(Traveller_Talent_Mob_Drops,,2)&amp;INDEX(Traveller_Talent_Mob_Drops,,1),INDEX(Traveller_Talent_Mob_Drops,,3),,0,1),0)</f>
        <v>0</v>
      </c>
      <c r="AC19" s="68">
        <v>424</v>
      </c>
      <c r="AD19" s="1">
        <f t="shared" ref="AD19" ca="1" si="135">MAX(AB19-(AC19+_xlfn.FLOOR.MATH(IF(AD18=0,AC18-AB18,0)/3)),0)</f>
        <v>0</v>
      </c>
      <c r="AE19" s="4">
        <f t="shared" ref="AE19" ca="1" si="136">MAX(_xlfn.FLOOR.MATH(MIN(-(AB19-AC19),MAX((AB20-AC20)*3,0))/3),0)</f>
        <v>0</v>
      </c>
      <c r="AG19" s="182" t="s">
        <v>770</v>
      </c>
      <c r="AH19" s="56">
        <v>2</v>
      </c>
      <c r="AI19" s="108" cm="1">
        <f t="array" aca="1" ref="AI19" ca="1">IFERROR(SUM(INDIRECT("'"&amp;_xlfn._xlws.FILTER(Character_Name_List,'Character Data Table'!$D$3:$D$107=AG19,)&amp;"'!J6")),0)</f>
        <v>0</v>
      </c>
      <c r="AJ19" s="63">
        <v>226</v>
      </c>
      <c r="AK19" s="5">
        <f t="shared" ref="AK19" ca="1" si="137">MAX(AI19-AJ19,0)</f>
        <v>0</v>
      </c>
      <c r="AL19" s="56">
        <f t="shared" ref="AL19" ca="1" si="138">MAX(_xlfn.FLOOR.MATH(MIN(-(AI19-AJ19),MAX((AI22-AJ22)*27+(AI21-AJ21)*9+(AI20-AJ20)*3,0))/3),0)</f>
        <v>0</v>
      </c>
      <c r="AN19" s="54" t="s">
        <v>87</v>
      </c>
      <c r="AO19" s="38" cm="1">
        <f t="array" aca="1" ref="AO19" ca="1">IFERROR(SUM(INDIRECT("'"&amp;_xlfn._xlws.FILTER(Character_Name_List,'Character Data Table'!$E$3:$E$107=AN19,)&amp;"'!J10")),0)</f>
        <v>0</v>
      </c>
      <c r="AP19" s="68">
        <v>2</v>
      </c>
      <c r="AQ19" s="4">
        <f t="shared" ca="1" si="16"/>
        <v>0</v>
      </c>
      <c r="AW19" t="s">
        <v>86</v>
      </c>
    </row>
    <row r="20" spans="1:50" ht="15.75" thickBot="1" x14ac:dyDescent="0.3">
      <c r="A20" s="198"/>
      <c r="B20" s="11" t="s">
        <v>65</v>
      </c>
      <c r="C20" s="24">
        <f ca="1">C15-C19</f>
        <v>34866500</v>
      </c>
      <c r="E20" s="189"/>
      <c r="F20" s="78">
        <v>4</v>
      </c>
      <c r="G20" s="83" cm="1">
        <f t="array" aca="1" ref="G20" ca="1">SUM(INDIRECT("'"&amp;_xlfn._xlws.FILTER(Character_Name_List,INDEX(Character_List,,7)=E18,)&amp;"'!J17"))+SUM('Traveller Lookups'!D20:F20)</f>
        <v>0</v>
      </c>
      <c r="H20" s="73">
        <v>6</v>
      </c>
      <c r="I20" s="77">
        <f ca="1">MAX(G20-(H20+_xlfn.FLOOR.MATH(IF(I19=0,(H19+_xlfn.FLOOR.MATH(IF(I18=0,H18-G18,0)/3))-G19,0)/3)),0)</f>
        <v>0</v>
      </c>
      <c r="J20" s="78" t="s">
        <v>45</v>
      </c>
      <c r="L20" s="185"/>
      <c r="M20" s="51">
        <v>3</v>
      </c>
      <c r="N20" s="38">
        <f ca="1">'Weapon Ascension Mat Lookup'!B19</f>
        <v>0</v>
      </c>
      <c r="O20" s="68">
        <v>42</v>
      </c>
      <c r="P20" s="1">
        <f t="shared" ref="P20:P21" ca="1" si="139">MAX(N20-(O20+_xlfn.FLOOR.MATH(IF(P19=0,O19-N19,0)/3)),0)</f>
        <v>0</v>
      </c>
      <c r="Q20" s="51">
        <f t="shared" ref="Q20" ca="1" si="140">MAX(_xlfn.FLOOR.MATH(MIN(-(N20-O20),MAX((N22-O22)*9+(N21-O21)*3,0))/3),0)</f>
        <v>0</v>
      </c>
      <c r="S20" s="192"/>
      <c r="T20" s="53">
        <v>4</v>
      </c>
      <c r="U20" s="70" cm="1">
        <f t="array" aca="1" ref="U20" ca="1">_xlfn.XLOOKUP(Overview!T20&amp;Overview!S18,INDEX(Weapon_Elite_Materials_Totals,,1)&amp;INDEX(Weapon_Elite_Materials_Totals,,2),INDEX(Weapon_Elite_Materials_Totals,,3),,0,1)</f>
        <v>0</v>
      </c>
      <c r="V20" s="71">
        <v>24</v>
      </c>
      <c r="W20" s="9">
        <f t="shared" ref="W20" ca="1" si="141">MAX(U20-(V20+_xlfn.FLOOR.MATH(IF(W19=0,(V19+_xlfn.FLOOR.MATH(IF(W18=0,V18-U18,0)/3))-U19,0)/3)),0)</f>
        <v>0</v>
      </c>
      <c r="X20" s="50" t="s">
        <v>45</v>
      </c>
      <c r="Z20" s="192"/>
      <c r="AA20" s="53">
        <v>3</v>
      </c>
      <c r="AB20" s="70" cm="1">
        <f t="array" aca="1" ref="AB20" ca="1">_xlfn.XLOOKUP(Overview!AA20&amp;Overview!Z18,INDEX(Character_Materials_Totals,,1)&amp;INDEX(Character_Materials_Totals,,2),INDEX(Character_Materials_Totals,,3),,0,1)+_xlfn.XLOOKUP(Overview!AA20&amp;Overview!Z18,INDEX(Weapon_Common_Materials_Totals,,1)&amp;INDEX(Weapon_Common_Materials_Totals,,2),INDEX(Weapon_Common_Materials_Totals,,3),,0,1)+IFERROR(_xlfn.XLOOKUP(AA20&amp;Z18,INDEX(Traveller_Talent_Mob_Drops,,2)&amp;INDEX(Traveller_Talent_Mob_Drops,,1),INDEX(Traveller_Talent_Mob_Drops,,3),,0,1),0)</f>
        <v>0</v>
      </c>
      <c r="AC20" s="71">
        <v>93</v>
      </c>
      <c r="AD20" s="9">
        <f t="shared" ref="AD20" ca="1" si="142">MAX(AB20-(AC20+_xlfn.FLOOR.MATH(IF(AD19=0,(AC19+_xlfn.FLOOR.MATH(IF(AD18=0,AC18-AB18,0)/3))-AB19,0)/3)),0)</f>
        <v>0</v>
      </c>
      <c r="AE20" s="50" t="s">
        <v>45</v>
      </c>
      <c r="AG20" s="182"/>
      <c r="AH20" s="51">
        <v>3</v>
      </c>
      <c r="AI20" s="38" cm="1">
        <f t="array" aca="1" ref="AI20" ca="1">IFERROR(SUM(INDIRECT("'"&amp;_xlfn._xlws.FILTER(Character_Name_List,'Character Data Table'!$D$3:$D$107=AG19,)&amp;"'!J7")),0)</f>
        <v>0</v>
      </c>
      <c r="AJ20" s="68">
        <v>15</v>
      </c>
      <c r="AK20" s="1">
        <f t="shared" ref="AK20" ca="1" si="143">MAX(AI20-(AJ20+_xlfn.FLOOR.MATH(IF(AK19=0,AJ19-AI19,0)/3)),0)</f>
        <v>0</v>
      </c>
      <c r="AL20" s="51">
        <f t="shared" ref="AL20" ca="1" si="144">MAX(_xlfn.FLOOR.MATH(MIN(-(AI20-AJ20),MAX((AI22-AJ22)*9+(AI21-AJ21)*3,0))/3),0)</f>
        <v>0</v>
      </c>
      <c r="AN20" s="54" t="s">
        <v>88</v>
      </c>
      <c r="AO20" s="38" cm="1">
        <f t="array" aca="1" ref="AO20" ca="1">IFERROR(SUM(INDIRECT("'"&amp;_xlfn._xlws.FILTER(Character_Name_List,'Character Data Table'!$E$3:$E$107=AN20,)&amp;"'!J10")),0)</f>
        <v>0</v>
      </c>
      <c r="AP20" s="68">
        <v>0</v>
      </c>
      <c r="AQ20" s="4">
        <f t="shared" ca="1" si="16"/>
        <v>0</v>
      </c>
    </row>
    <row r="21" spans="1:50" ht="15.75" thickTop="1" x14ac:dyDescent="0.25">
      <c r="E21" s="181" t="s">
        <v>89</v>
      </c>
      <c r="F21" s="148">
        <v>2</v>
      </c>
      <c r="G21" s="152" cm="1">
        <f t="array" aca="1" ref="G21" ca="1">SUM(INDIRECT("'"&amp;_xlfn._xlws.FILTER(Character_Name_List,INDEX(Character_List,,7)=E21,)&amp;"'!J15"))+SUM('Traveller Lookups'!D21:F21)</f>
        <v>0</v>
      </c>
      <c r="H21" s="150">
        <v>3</v>
      </c>
      <c r="I21" s="149">
        <f ca="1">MAX(G21-H21,0)</f>
        <v>0</v>
      </c>
      <c r="J21" s="148">
        <f t="shared" ref="J21" ca="1" si="145">MAX(_xlfn.FLOOR.MATH(MIN(-(G21-H21),MAX((G23-H23)*9+(G22-H22)*3,0))/3),0)</f>
        <v>0</v>
      </c>
      <c r="L21" s="185"/>
      <c r="M21" s="51">
        <v>4</v>
      </c>
      <c r="N21" s="38">
        <f ca="1">'Weapon Ascension Mat Lookup'!B20</f>
        <v>0</v>
      </c>
      <c r="O21" s="68">
        <v>4</v>
      </c>
      <c r="P21" s="1">
        <f t="shared" ca="1" si="139"/>
        <v>0</v>
      </c>
      <c r="Q21" s="51">
        <f t="shared" ref="Q21" ca="1" si="146">MAX(_xlfn.FLOOR.MATH(MIN(-(N21-O21),MAX((N22-O22)*3,0))/3),0)</f>
        <v>0</v>
      </c>
      <c r="S21" s="190" t="s">
        <v>90</v>
      </c>
      <c r="T21" s="57">
        <v>2</v>
      </c>
      <c r="U21" s="38" cm="1">
        <f t="array" aca="1" ref="U21" ca="1">_xlfn.XLOOKUP(Overview!T21&amp;Overview!S21,INDEX(Weapon_Elite_Materials_Totals,,1)&amp;INDEX(Weapon_Elite_Materials_Totals,,2),INDEX(Weapon_Elite_Materials_Totals,,3),,0,1)</f>
        <v>0</v>
      </c>
      <c r="V21" s="63">
        <v>2778</v>
      </c>
      <c r="W21" s="5">
        <f ca="1">MAX(U21-V21,0)</f>
        <v>0</v>
      </c>
      <c r="X21" s="6">
        <f t="shared" ref="X21" ca="1" si="147">MAX(_xlfn.FLOOR.MATH(MIN(-(U21-V21),MAX((U23-V23)*9+(U22-V22)*3,0))/3),0)</f>
        <v>0</v>
      </c>
      <c r="Z21" s="190" t="s">
        <v>91</v>
      </c>
      <c r="AA21" s="57">
        <v>1</v>
      </c>
      <c r="AB21" s="38" cm="1">
        <f t="array" aca="1" ref="AB21" ca="1">_xlfn.XLOOKUP(Overview!AA21&amp;Overview!Z21,INDEX(Character_Materials_Totals,,1)&amp;INDEX(Character_Materials_Totals,,2),INDEX(Character_Materials_Totals,,3),,0,1)+_xlfn.XLOOKUP(Overview!AA21&amp;Overview!Z21,INDEX(Weapon_Common_Materials_Totals,,1)&amp;INDEX(Weapon_Common_Materials_Totals,,2),INDEX(Weapon_Common_Materials_Totals,,3),,0,1)+IFERROR(_xlfn.XLOOKUP(AA21&amp;Z21,INDEX(Traveller_Talent_Mob_Drops,,2)&amp;INDEX(Traveller_Talent_Mob_Drops,,1),INDEX(Traveller_Talent_Mob_Drops,,3),,0,1),0)</f>
        <v>0</v>
      </c>
      <c r="AC21" s="63">
        <v>19</v>
      </c>
      <c r="AD21" s="5">
        <f ca="1">MAX(AB21-AC21,0)</f>
        <v>0</v>
      </c>
      <c r="AE21" s="6">
        <f t="shared" ref="AE21" ca="1" si="148">MAX(_xlfn.FLOOR.MATH(MIN(-(AB21-AC21),MAX((AB23-AC23)*9+(AB22-AC22)*3,0))/3),0)</f>
        <v>0</v>
      </c>
      <c r="AG21" s="182"/>
      <c r="AH21" s="51">
        <v>4</v>
      </c>
      <c r="AI21" s="38" cm="1">
        <f t="array" aca="1" ref="AI21" ca="1">IFERROR(SUM(INDIRECT("'"&amp;_xlfn._xlws.FILTER(Character_Name_List,'Character Data Table'!$D$3:$D$107=AG19,)&amp;"'!J8")),0)</f>
        <v>0</v>
      </c>
      <c r="AJ21" s="68">
        <v>1</v>
      </c>
      <c r="AK21" s="1">
        <f t="shared" ref="AK21" ca="1" si="149">MAX(AI21-(AJ21+_xlfn.FLOOR.MATH(IF(AK20=0,(AJ20+_xlfn.FLOOR.MATH(IF(AK19=0,AJ19-AI19,0)/3))-AI20,0)/3)),0)</f>
        <v>0</v>
      </c>
      <c r="AL21" s="51">
        <f t="shared" ref="AL21" ca="1" si="150">MAX(_xlfn.FLOOR.MATH(MIN(-(AI21-AJ21),MAX((AI22-AJ22)*3,0))/3),0)</f>
        <v>0</v>
      </c>
      <c r="AN21" s="54" t="s">
        <v>92</v>
      </c>
      <c r="AO21" s="38" cm="1">
        <f t="array" aca="1" ref="AO21" ca="1">IFERROR(SUM(INDIRECT("'"&amp;_xlfn._xlws.FILTER(Character_Name_List,'Character Data Table'!$E$3:$E$107=AN21,)&amp;"'!J10")),0)</f>
        <v>0</v>
      </c>
      <c r="AP21" s="68">
        <v>1</v>
      </c>
      <c r="AQ21" s="4">
        <f t="shared" ca="1" si="16"/>
        <v>0</v>
      </c>
    </row>
    <row r="22" spans="1:50" ht="15.75" thickBot="1" x14ac:dyDescent="0.3">
      <c r="E22" s="182"/>
      <c r="F22" s="51">
        <v>3</v>
      </c>
      <c r="G22" s="38" cm="1">
        <f t="array" aca="1" ref="G22" ca="1">SUM(INDIRECT("'"&amp;_xlfn._xlws.FILTER(Character_Name_List,INDEX(Character_List,,7)=E21,)&amp;"'!J16"))+SUM('Traveller Lookups'!D22:F22)</f>
        <v>0</v>
      </c>
      <c r="H22" s="68">
        <v>14</v>
      </c>
      <c r="I22" s="38">
        <f ca="1">MAX(G22-(H22+_xlfn.FLOOR.MATH(IF(I21=0,H21-G21,0)/3)),0)</f>
        <v>0</v>
      </c>
      <c r="J22" s="51">
        <f t="shared" ref="J22" ca="1" si="151">MAX(_xlfn.FLOOR.MATH(MIN(-(G22-H22),MAX((G23-H23)*3,0))/3),0)</f>
        <v>0</v>
      </c>
      <c r="L22" s="186"/>
      <c r="M22" s="50">
        <v>5</v>
      </c>
      <c r="N22" s="70">
        <f ca="1">'Weapon Ascension Mat Lookup'!B21</f>
        <v>0</v>
      </c>
      <c r="O22" s="71">
        <v>0</v>
      </c>
      <c r="P22" s="9">
        <f t="shared" ref="P22" ca="1" si="152">MAX(N22-(O22+_xlfn.FLOOR.MATH(IF(P21=0,(O21+_xlfn.FLOOR.MATH(IF(P20=0,(O20+_xlfn.FLOOR.MATH(IF(P19=0,O19-N19,0)/3))-N20,0)/3))-N21,0)/3)),0)</f>
        <v>0</v>
      </c>
      <c r="Q22" s="50" t="s">
        <v>45</v>
      </c>
      <c r="S22" s="191"/>
      <c r="T22" s="54">
        <v>3</v>
      </c>
      <c r="U22" s="38" cm="1">
        <f t="array" aca="1" ref="U22" ca="1">_xlfn.XLOOKUP(Overview!T22&amp;Overview!S21,INDEX(Weapon_Elite_Materials_Totals,,1)&amp;INDEX(Weapon_Elite_Materials_Totals,,2),INDEX(Weapon_Elite_Materials_Totals,,3),,0,1)</f>
        <v>0</v>
      </c>
      <c r="V22" s="68">
        <v>652</v>
      </c>
      <c r="W22" s="1">
        <f t="shared" ref="W22" ca="1" si="153">MAX(U22-(V22+_xlfn.FLOOR.MATH(IF(W21=0,V21-U21,0)/3)),0)</f>
        <v>0</v>
      </c>
      <c r="X22" s="4">
        <f t="shared" ref="X22" ca="1" si="154">MAX(_xlfn.FLOOR.MATH(MIN(-(U22-V22),MAX((U23-V23)*3,0))/3),0)</f>
        <v>0</v>
      </c>
      <c r="Z22" s="191"/>
      <c r="AA22" s="54">
        <v>2</v>
      </c>
      <c r="AB22" s="38" cm="1">
        <f t="array" aca="1" ref="AB22" ca="1">_xlfn.XLOOKUP(Overview!AA22&amp;Overview!Z21,INDEX(Character_Materials_Totals,,1)&amp;INDEX(Character_Materials_Totals,,2),INDEX(Character_Materials_Totals,,3),,0,1)+_xlfn.XLOOKUP(Overview!AA22&amp;Overview!Z21,INDEX(Weapon_Common_Materials_Totals,,1)&amp;INDEX(Weapon_Common_Materials_Totals,,2),INDEX(Weapon_Common_Materials_Totals,,3),,0,1)+IFERROR(_xlfn.XLOOKUP(AA22&amp;Z21,INDEX(Traveller_Talent_Mob_Drops,,2)&amp;INDEX(Traveller_Talent_Mob_Drops,,1),INDEX(Traveller_Talent_Mob_Drops,,3),,0,1),0)</f>
        <v>0</v>
      </c>
      <c r="AC22" s="68">
        <v>14</v>
      </c>
      <c r="AD22" s="1">
        <f t="shared" ref="AD22" ca="1" si="155">MAX(AB22-(AC22+_xlfn.FLOOR.MATH(IF(AD21=0,AC21-AB21,0)/3)),0)</f>
        <v>0</v>
      </c>
      <c r="AE22" s="4">
        <f t="shared" ref="AE22" ca="1" si="156">MAX(_xlfn.FLOOR.MATH(MIN(-(AB22-AC22),MAX((AB23-AC23)*3,0))/3),0)</f>
        <v>0</v>
      </c>
      <c r="AG22" s="183"/>
      <c r="AH22" s="50">
        <v>5</v>
      </c>
      <c r="AI22" s="70" cm="1">
        <f t="array" aca="1" ref="AI22" ca="1">IFERROR(SUM(INDIRECT("'"&amp;_xlfn._xlws.FILTER(Character_Name_List,'Character Data Table'!$D$3:$D$107=AG19,)&amp;"'!J9")),0)</f>
        <v>0</v>
      </c>
      <c r="AJ22" s="71">
        <v>1</v>
      </c>
      <c r="AK22" s="9">
        <f t="shared" ref="AK22" ca="1" si="157">MAX(AI22-(AJ22+_xlfn.FLOOR.MATH(IF(AK21=0,(AJ21+_xlfn.FLOOR.MATH(IF(AK20=0,(AJ20+_xlfn.FLOOR.MATH(IF(AK19=0,AJ19-AI19,0)/3))-AI20,0)/3))-AI21,0)/3)),0)</f>
        <v>0</v>
      </c>
      <c r="AL22" s="50" t="s">
        <v>45</v>
      </c>
      <c r="AN22" s="54" t="s">
        <v>93</v>
      </c>
      <c r="AO22" s="38" cm="1">
        <f t="array" aca="1" ref="AO22" ca="1">IFERROR(SUM(INDIRECT("'"&amp;_xlfn._xlws.FILTER(Character_Name_List,'Character Data Table'!$E$3:$E$107=AN22,)&amp;"'!J10")),0)</f>
        <v>0</v>
      </c>
      <c r="AP22" s="68">
        <v>0</v>
      </c>
      <c r="AQ22" s="4">
        <f t="shared" ca="1" si="16"/>
        <v>0</v>
      </c>
    </row>
    <row r="23" spans="1:50" ht="15.75" thickBot="1" x14ac:dyDescent="0.3">
      <c r="E23" s="183"/>
      <c r="F23" s="50">
        <v>4</v>
      </c>
      <c r="G23" s="80" cm="1">
        <f t="array" aca="1" ref="G23" ca="1">SUM(INDIRECT("'"&amp;_xlfn._xlws.FILTER(Character_Name_List,INDEX(Character_List,,7)=E21,)&amp;"'!J17"))+SUM('Traveller Lookups'!D23:F23)</f>
        <v>0</v>
      </c>
      <c r="H23" s="71">
        <v>3</v>
      </c>
      <c r="I23" s="70">
        <f ca="1">MAX(G23-(H23+_xlfn.FLOOR.MATH(IF(I22=0,(H22+_xlfn.FLOOR.MATH(IF(I21=0,H21-G21,0)/3))-G22,0)/3)),0)</f>
        <v>0</v>
      </c>
      <c r="J23" s="50" t="s">
        <v>45</v>
      </c>
      <c r="L23" s="184" t="s">
        <v>82</v>
      </c>
      <c r="M23" s="49">
        <v>2</v>
      </c>
      <c r="N23" s="64">
        <f ca="1">'Weapon Ascension Mat Lookup'!B22</f>
        <v>0</v>
      </c>
      <c r="O23" s="65">
        <v>6</v>
      </c>
      <c r="P23" s="2">
        <f t="shared" ref="P23" ca="1" si="158">MAX(N23-O23,0)</f>
        <v>0</v>
      </c>
      <c r="Q23" s="49">
        <f t="shared" ref="Q23" ca="1" si="159">MAX(_xlfn.FLOOR.MATH(MIN(-(N23-O23),MAX((N26-O26)*27+(N25-O25)*9+(N24-O24)*3,0))/3),0)</f>
        <v>0</v>
      </c>
      <c r="S23" s="192"/>
      <c r="T23" s="53">
        <v>4</v>
      </c>
      <c r="U23" s="70" cm="1">
        <f t="array" aca="1" ref="U23" ca="1">_xlfn.XLOOKUP(Overview!T23&amp;Overview!S21,INDEX(Weapon_Elite_Materials_Totals,,1)&amp;INDEX(Weapon_Elite_Materials_Totals,,2),INDEX(Weapon_Elite_Materials_Totals,,3),,0,1)</f>
        <v>0</v>
      </c>
      <c r="V23" s="71">
        <v>71</v>
      </c>
      <c r="W23" s="9">
        <f t="shared" ref="W23" ca="1" si="160">MAX(U23-(V23+_xlfn.FLOOR.MATH(IF(W22=0,(V22+_xlfn.FLOOR.MATH(IF(W21=0,V21-U21,0)/3))-U22,0)/3)),0)</f>
        <v>0</v>
      </c>
      <c r="X23" s="50" t="s">
        <v>45</v>
      </c>
      <c r="Z23" s="192"/>
      <c r="AA23" s="53">
        <v>3</v>
      </c>
      <c r="AB23" s="70" cm="1">
        <f t="array" aca="1" ref="AB23" ca="1">_xlfn.XLOOKUP(Overview!AA23&amp;Overview!Z21,INDEX(Character_Materials_Totals,,1)&amp;INDEX(Character_Materials_Totals,,2),INDEX(Character_Materials_Totals,,3),,0,1)+_xlfn.XLOOKUP(Overview!AA23&amp;Overview!Z21,INDEX(Weapon_Common_Materials_Totals,,1)&amp;INDEX(Weapon_Common_Materials_Totals,,2),INDEX(Weapon_Common_Materials_Totals,,3),,0,1)+IFERROR(_xlfn.XLOOKUP(AA23&amp;Z21,INDEX(Traveller_Talent_Mob_Drops,,2)&amp;INDEX(Traveller_Talent_Mob_Drops,,1),INDEX(Traveller_Talent_Mob_Drops,,3),,0,1),0)</f>
        <v>0</v>
      </c>
      <c r="AC23" s="71">
        <v>4</v>
      </c>
      <c r="AD23" s="9">
        <f t="shared" ref="AD23" ca="1" si="161">MAX(AB23-(AC23+_xlfn.FLOOR.MATH(IF(AD22=0,(AC22+_xlfn.FLOOR.MATH(IF(AD21=0,AC21-AB21,0)/3))-AB22,0)/3)),0)</f>
        <v>0</v>
      </c>
      <c r="AE23" s="50" t="s">
        <v>45</v>
      </c>
      <c r="AG23" s="188" t="s">
        <v>774</v>
      </c>
      <c r="AH23" s="49">
        <v>2</v>
      </c>
      <c r="AI23" s="64" cm="1">
        <f t="array" aca="1" ref="AI23" ca="1">IFERROR(SUM(INDIRECT("'"&amp;_xlfn._xlws.FILTER(Character_Name_List,'Character Data Table'!$D$3:$D$107=AG23,)&amp;"'!J6")),0)</f>
        <v>0</v>
      </c>
      <c r="AJ23" s="65">
        <v>8</v>
      </c>
      <c r="AK23" s="2">
        <f t="shared" ref="AK23" ca="1" si="162">MAX(AI23-AJ23,0)</f>
        <v>0</v>
      </c>
      <c r="AL23" s="49">
        <f t="shared" ref="AL23" ca="1" si="163">MAX(_xlfn.FLOOR.MATH(MIN(-(AI23-AJ23),MAX((AI26-AJ26)*27+(AI25-AJ25)*9+(AI24-AJ24)*3,0))/3),0)</f>
        <v>0</v>
      </c>
      <c r="AN23" s="54" t="s">
        <v>94</v>
      </c>
      <c r="AO23" s="38" cm="1">
        <f t="array" aca="1" ref="AO23" ca="1">IFERROR(SUM(INDIRECT("'"&amp;_xlfn._xlws.FILTER(Character_Name_List,'Character Data Table'!$E$3:$E$107=AN23,)&amp;"'!J10")),0)</f>
        <v>0</v>
      </c>
      <c r="AP23" s="68">
        <v>1</v>
      </c>
      <c r="AQ23" s="4">
        <f t="shared" ca="1" si="16"/>
        <v>0</v>
      </c>
    </row>
    <row r="24" spans="1:50" x14ac:dyDescent="0.25">
      <c r="E24" s="188" t="s">
        <v>95</v>
      </c>
      <c r="F24" s="49">
        <v>2</v>
      </c>
      <c r="G24" s="64" cm="1">
        <f t="array" aca="1" ref="G24" ca="1">SUM(INDIRECT("'"&amp;_xlfn._xlws.FILTER(Character_Name_List,INDEX(Character_List,,7)=E24,)&amp;"'!J15"))+SUM('Traveller Lookups'!D24:F24)</f>
        <v>0</v>
      </c>
      <c r="H24" s="65">
        <v>15</v>
      </c>
      <c r="I24" s="64">
        <f ca="1">MAX(G24-H24,0)</f>
        <v>0</v>
      </c>
      <c r="J24" s="49">
        <f t="shared" ref="J24" ca="1" si="164">MAX(_xlfn.FLOOR.MATH(MIN(-(G24-H24),MAX((G26-H26)*9+(G25-H25)*3,0))/3),0)</f>
        <v>0</v>
      </c>
      <c r="L24" s="185"/>
      <c r="M24" s="51">
        <v>3</v>
      </c>
      <c r="N24" s="38">
        <f ca="1">'Weapon Ascension Mat Lookup'!B23</f>
        <v>0</v>
      </c>
      <c r="O24" s="68">
        <v>22</v>
      </c>
      <c r="P24" s="1">
        <f t="shared" ref="P24" ca="1" si="165">MAX(N24-(O24+_xlfn.FLOOR.MATH(IF(P23=0,O23-N23,0)/3)),0)</f>
        <v>0</v>
      </c>
      <c r="Q24" s="51">
        <f t="shared" ref="Q24" ca="1" si="166">MAX(_xlfn.FLOOR.MATH(MIN(-(N24-O24),MAX((N26-O26)*9+(N25-O25)*3,0))/3),0)</f>
        <v>0</v>
      </c>
      <c r="S24" s="190" t="s">
        <v>96</v>
      </c>
      <c r="T24" s="57">
        <v>2</v>
      </c>
      <c r="U24" s="38" cm="1">
        <f t="array" aca="1" ref="U24" ca="1">_xlfn.XLOOKUP(Overview!T24&amp;Overview!S24,INDEX(Weapon_Elite_Materials_Totals,,1)&amp;INDEX(Weapon_Elite_Materials_Totals,,2),INDEX(Weapon_Elite_Materials_Totals,,3),,0,1)</f>
        <v>0</v>
      </c>
      <c r="V24" s="63">
        <v>613</v>
      </c>
      <c r="W24" s="5">
        <f ca="1">MAX(U24-V24,0)</f>
        <v>0</v>
      </c>
      <c r="X24" s="6">
        <f t="shared" ref="X24" ca="1" si="167">MAX(_xlfn.FLOOR.MATH(MIN(-(U24-V24),MAX((U26-V26)*9+(U25-V25)*3,0))/3),0)</f>
        <v>0</v>
      </c>
      <c r="Z24" s="190" t="s">
        <v>97</v>
      </c>
      <c r="AA24" s="57">
        <v>1</v>
      </c>
      <c r="AB24" s="38" cm="1">
        <f t="array" aca="1" ref="AB24" ca="1">_xlfn.XLOOKUP(Overview!AA24&amp;Overview!Z24,INDEX(Character_Materials_Totals,,1)&amp;INDEX(Character_Materials_Totals,,2),INDEX(Character_Materials_Totals,,3),,0,1)+_xlfn.XLOOKUP(Overview!AA24&amp;Overview!Z24,INDEX(Weapon_Common_Materials_Totals,,1)&amp;INDEX(Weapon_Common_Materials_Totals,,2),INDEX(Weapon_Common_Materials_Totals,,3),,0,1)+IFERROR(_xlfn.XLOOKUP(AA24&amp;Z24,INDEX(Traveller_Talent_Mob_Drops,,2)&amp;INDEX(Traveller_Talent_Mob_Drops,,1),INDEX(Traveller_Talent_Mob_Drops,,3),,0,1),0)</f>
        <v>0</v>
      </c>
      <c r="AC24" s="63">
        <v>34</v>
      </c>
      <c r="AD24" s="5">
        <f ca="1">MAX(AB24-AC24,0)</f>
        <v>0</v>
      </c>
      <c r="AE24" s="6">
        <f t="shared" ref="AE24" ca="1" si="168">MAX(_xlfn.FLOOR.MATH(MIN(-(AB24-AC24),MAX((AB26-AC26)*9+(AB25-AC25)*3,0))/3),0)</f>
        <v>0</v>
      </c>
      <c r="AG24" s="182"/>
      <c r="AH24" s="51">
        <v>3</v>
      </c>
      <c r="AI24" s="38" cm="1">
        <f t="array" aca="1" ref="AI24" ca="1">IFERROR(SUM(INDIRECT("'"&amp;_xlfn._xlws.FILTER(Character_Name_List,'Character Data Table'!$D$3:$D$107=AG23,)&amp;"'!J7")),0)</f>
        <v>0</v>
      </c>
      <c r="AJ24" s="68">
        <v>5</v>
      </c>
      <c r="AK24" s="1">
        <f t="shared" ref="AK24" ca="1" si="169">MAX(AI24-(AJ24+_xlfn.FLOOR.MATH(IF(AK23=0,AJ23-AI23,0)/3)),0)</f>
        <v>0</v>
      </c>
      <c r="AL24" s="51">
        <f t="shared" ref="AL24" ca="1" si="170">MAX(_xlfn.FLOOR.MATH(MIN(-(AI24-AJ24),MAX((AI26-AJ26)*9+(AI25-AJ25)*3,0))/3),0)</f>
        <v>0</v>
      </c>
      <c r="AN24" s="54" t="s">
        <v>98</v>
      </c>
      <c r="AO24" s="38" cm="1">
        <f t="array" aca="1" ref="AO24" ca="1">IFERROR(SUM(INDIRECT("'"&amp;_xlfn._xlws.FILTER(Character_Name_List,'Character Data Table'!$E$3:$E$107=AN24,)&amp;"'!J10")),0)</f>
        <v>0</v>
      </c>
      <c r="AP24" s="68">
        <v>1</v>
      </c>
      <c r="AQ24" s="4">
        <f t="shared" ca="1" si="16"/>
        <v>0</v>
      </c>
    </row>
    <row r="25" spans="1:50" x14ac:dyDescent="0.25">
      <c r="E25" s="182"/>
      <c r="F25" s="51">
        <v>3</v>
      </c>
      <c r="G25" s="38" cm="1">
        <f t="array" aca="1" ref="G25" ca="1">SUM(INDIRECT("'"&amp;_xlfn._xlws.FILTER(Character_Name_List,INDEX(Character_List,,7)=E24,)&amp;"'!J16"))+SUM('Traveller Lookups'!D25:F25)</f>
        <v>0</v>
      </c>
      <c r="H25" s="68">
        <v>65</v>
      </c>
      <c r="I25" s="38">
        <f ca="1">MAX(G25-(H25+_xlfn.FLOOR.MATH(IF(I24=0,H24-G24,0)/3)),0)</f>
        <v>0</v>
      </c>
      <c r="J25" s="51">
        <f t="shared" ref="J25" ca="1" si="171">MAX(_xlfn.FLOOR.MATH(MIN(-(G25-H25),MAX((G26-H26)*3,0))/3),0)</f>
        <v>0</v>
      </c>
      <c r="L25" s="185"/>
      <c r="M25" s="51">
        <v>4</v>
      </c>
      <c r="N25" s="38">
        <f ca="1">'Weapon Ascension Mat Lookup'!B24</f>
        <v>0</v>
      </c>
      <c r="O25" s="68">
        <v>0</v>
      </c>
      <c r="P25" s="1">
        <f t="shared" ref="P25" ca="1" si="172">MAX(N25-(O25+_xlfn.FLOOR.MATH(IF(P24=0,(O24+_xlfn.FLOOR.MATH(IF(P23=0,O23-N23,0)/3))-N24,0)/3)),0)</f>
        <v>0</v>
      </c>
      <c r="Q25" s="51">
        <f t="shared" ref="Q25" ca="1" si="173">MAX(_xlfn.FLOOR.MATH(MIN(-(N25-O25),MAX((N26-O26)*3,0))/3),0)</f>
        <v>0</v>
      </c>
      <c r="S25" s="191"/>
      <c r="T25" s="54">
        <v>3</v>
      </c>
      <c r="U25" s="38" cm="1">
        <f t="array" aca="1" ref="U25" ca="1">_xlfn.XLOOKUP(Overview!T25&amp;Overview!S24,INDEX(Weapon_Elite_Materials_Totals,,1)&amp;INDEX(Weapon_Elite_Materials_Totals,,2),INDEX(Weapon_Elite_Materials_Totals,,3),,0,1)</f>
        <v>0</v>
      </c>
      <c r="V25" s="68">
        <v>227</v>
      </c>
      <c r="W25" s="1">
        <f t="shared" ref="W25" ca="1" si="174">MAX(U25-(V25+_xlfn.FLOOR.MATH(IF(W24=0,V24-U24,0)/3)),0)</f>
        <v>0</v>
      </c>
      <c r="X25" s="4">
        <f t="shared" ref="X25" ca="1" si="175">MAX(_xlfn.FLOOR.MATH(MIN(-(U25-V25),MAX((U26-V26)*3,0))/3),0)</f>
        <v>0</v>
      </c>
      <c r="Z25" s="191"/>
      <c r="AA25" s="54">
        <v>2</v>
      </c>
      <c r="AB25" s="38" cm="1">
        <f t="array" aca="1" ref="AB25" ca="1">_xlfn.XLOOKUP(Overview!AA25&amp;Overview!Z24,INDEX(Character_Materials_Totals,,1)&amp;INDEX(Character_Materials_Totals,,2),INDEX(Character_Materials_Totals,,3),,0,1)+_xlfn.XLOOKUP(Overview!AA25&amp;Overview!Z24,INDEX(Weapon_Common_Materials_Totals,,1)&amp;INDEX(Weapon_Common_Materials_Totals,,2),INDEX(Weapon_Common_Materials_Totals,,3),,0,1)+IFERROR(_xlfn.XLOOKUP(AA25&amp;Z24,INDEX(Traveller_Talent_Mob_Drops,,2)&amp;INDEX(Traveller_Talent_Mob_Drops,,1),INDEX(Traveller_Talent_Mob_Drops,,3),,0,1),0)</f>
        <v>0</v>
      </c>
      <c r="AC25" s="68">
        <v>26</v>
      </c>
      <c r="AD25" s="1">
        <f t="shared" ref="AD25" ca="1" si="176">MAX(AB25-(AC25+_xlfn.FLOOR.MATH(IF(AD24=0,AC24-AB24,0)/3)),0)</f>
        <v>0</v>
      </c>
      <c r="AE25" s="4">
        <f t="shared" ref="AE25" ca="1" si="177">MAX(_xlfn.FLOOR.MATH(MIN(-(AB25-AC25),MAX((AB26-AC26)*3,0))/3),0)</f>
        <v>0</v>
      </c>
      <c r="AG25" s="182"/>
      <c r="AH25" s="51">
        <v>4</v>
      </c>
      <c r="AI25" s="38" cm="1">
        <f t="array" aca="1" ref="AI25" ca="1">IFERROR(SUM(INDIRECT("'"&amp;_xlfn._xlws.FILTER(Character_Name_List,'Character Data Table'!$D$3:$D$107=AG23,)&amp;"'!J8")),0)</f>
        <v>0</v>
      </c>
      <c r="AJ25" s="68">
        <v>0</v>
      </c>
      <c r="AK25" s="1">
        <f t="shared" ref="AK25" ca="1" si="178">MAX(AI25-(AJ25+_xlfn.FLOOR.MATH(IF(AK24=0,(AJ24+_xlfn.FLOOR.MATH(IF(AK23=0,AJ23-AI23,0)/3))-AI24,0)/3)),0)</f>
        <v>0</v>
      </c>
      <c r="AL25" s="51">
        <f t="shared" ref="AL25" ca="1" si="179">MAX(_xlfn.FLOOR.MATH(MIN(-(AI25-AJ25),MAX((AI26-AJ26)*3,0))/3),0)</f>
        <v>0</v>
      </c>
      <c r="AN25" s="54" t="s">
        <v>99</v>
      </c>
      <c r="AO25" s="38" cm="1">
        <f t="array" aca="1" ref="AO25" ca="1">IFERROR(SUM(INDIRECT("'"&amp;_xlfn._xlws.FILTER(Character_Name_List,'Character Data Table'!$E$3:$E$107=AN25,)&amp;"'!J10")),0)</f>
        <v>0</v>
      </c>
      <c r="AP25" s="68">
        <v>0</v>
      </c>
      <c r="AQ25" s="4">
        <f t="shared" ca="1" si="16"/>
        <v>0</v>
      </c>
    </row>
    <row r="26" spans="1:50" ht="15.75" thickBot="1" x14ac:dyDescent="0.3">
      <c r="E26" s="183"/>
      <c r="F26" s="50">
        <v>4</v>
      </c>
      <c r="G26" s="80" cm="1">
        <f t="array" aca="1" ref="G26" ca="1">SUM(INDIRECT("'"&amp;_xlfn._xlws.FILTER(Character_Name_List,INDEX(Character_List,,7)=E24,)&amp;"'!J17"))+SUM('Traveller Lookups'!D26:F26)</f>
        <v>0</v>
      </c>
      <c r="H26" s="71">
        <v>32</v>
      </c>
      <c r="I26" s="70">
        <f ca="1">MAX(G26-(H26+_xlfn.FLOOR.MATH(IF(I25=0,(H25+_xlfn.FLOOR.MATH(IF(I24=0,H24-G24,0)/3))-G25,0)/3)),0)</f>
        <v>0</v>
      </c>
      <c r="J26" s="50" t="s">
        <v>45</v>
      </c>
      <c r="L26" s="187"/>
      <c r="M26" s="78">
        <v>5</v>
      </c>
      <c r="N26" s="77">
        <f ca="1">'Weapon Ascension Mat Lookup'!B25</f>
        <v>0</v>
      </c>
      <c r="O26" s="73">
        <v>0</v>
      </c>
      <c r="P26" s="134">
        <f t="shared" ref="P26" ca="1" si="180">MAX(N26-(O26+_xlfn.FLOOR.MATH(IF(P25=0,(O25+_xlfn.FLOOR.MATH(IF(P24=0,(O24+_xlfn.FLOOR.MATH(IF(P23=0,O23-N23,0)/3))-N24,0)/3))-N25,0)/3)),0)</f>
        <v>0</v>
      </c>
      <c r="Q26" s="78" t="s">
        <v>45</v>
      </c>
      <c r="S26" s="192"/>
      <c r="T26" s="53">
        <v>4</v>
      </c>
      <c r="U26" s="70" cm="1">
        <f t="array" aca="1" ref="U26" ca="1">_xlfn.XLOOKUP(Overview!T26&amp;Overview!S24,INDEX(Weapon_Elite_Materials_Totals,,1)&amp;INDEX(Weapon_Elite_Materials_Totals,,2),INDEX(Weapon_Elite_Materials_Totals,,3),,0,1)</f>
        <v>0</v>
      </c>
      <c r="V26" s="71">
        <v>63</v>
      </c>
      <c r="W26" s="9">
        <f t="shared" ref="W26" ca="1" si="181">MAX(U26-(V26+_xlfn.FLOOR.MATH(IF(W25=0,(V25+_xlfn.FLOOR.MATH(IF(W24=0,V24-U24,0)/3))-U25,0)/3)),0)</f>
        <v>0</v>
      </c>
      <c r="X26" s="50" t="s">
        <v>45</v>
      </c>
      <c r="Z26" s="192"/>
      <c r="AA26" s="53">
        <v>3</v>
      </c>
      <c r="AB26" s="70" cm="1">
        <f t="array" aca="1" ref="AB26" ca="1">_xlfn.XLOOKUP(Overview!AA26&amp;Overview!Z24,INDEX(Character_Materials_Totals,,1)&amp;INDEX(Character_Materials_Totals,,2),INDEX(Character_Materials_Totals,,3),,0,1)+_xlfn.XLOOKUP(Overview!AA26&amp;Overview!Z24,INDEX(Weapon_Common_Materials_Totals,,1)&amp;INDEX(Weapon_Common_Materials_Totals,,2),INDEX(Weapon_Common_Materials_Totals,,3),,0,1)+IFERROR(_xlfn.XLOOKUP(AA26&amp;Z24,INDEX(Traveller_Talent_Mob_Drops,,2)&amp;INDEX(Traveller_Talent_Mob_Drops,,1),INDEX(Traveller_Talent_Mob_Drops,,3),,0,1),0)</f>
        <v>0</v>
      </c>
      <c r="AC26" s="68">
        <v>9</v>
      </c>
      <c r="AD26" s="9">
        <f t="shared" ref="AD26" ca="1" si="182">MAX(AB26-(AC26+_xlfn.FLOOR.MATH(IF(AD25=0,(AC25+_xlfn.FLOOR.MATH(IF(AD24=0,AC24-AB24,0)/3))-AB25,0)/3)),0)</f>
        <v>0</v>
      </c>
      <c r="AE26" s="50" t="s">
        <v>45</v>
      </c>
      <c r="AG26" s="183"/>
      <c r="AH26" s="50">
        <v>5</v>
      </c>
      <c r="AI26" s="70" cm="1">
        <f t="array" aca="1" ref="AI26" ca="1">IFERROR(SUM(INDIRECT("'"&amp;_xlfn._xlws.FILTER(Character_Name_List,'Character Data Table'!$D$3:$D$107=AG23,)&amp;"'!J9")),0)</f>
        <v>0</v>
      </c>
      <c r="AJ26" s="71">
        <v>0</v>
      </c>
      <c r="AK26" s="9">
        <f t="shared" ref="AK26" ca="1" si="183">MAX(AI26-(AJ26+_xlfn.FLOOR.MATH(IF(AK25=0,(AJ25+_xlfn.FLOOR.MATH(IF(AK24=0,(AJ24+_xlfn.FLOOR.MATH(IF(AK23=0,AJ23-AI23,0)/3))-AI24,0)/3))-AI25,0)/3)),0)</f>
        <v>0</v>
      </c>
      <c r="AL26" s="50" t="s">
        <v>45</v>
      </c>
      <c r="AN26" s="54" t="s">
        <v>100</v>
      </c>
      <c r="AO26" s="38" cm="1">
        <f t="array" aca="1" ref="AO26" ca="1">IFERROR(SUM(INDIRECT("'"&amp;_xlfn._xlws.FILTER(Character_Name_List,'Character Data Table'!$E$3:$E$107=AN26,)&amp;"'!J10")),0)</f>
        <v>0</v>
      </c>
      <c r="AP26" s="68">
        <v>1</v>
      </c>
      <c r="AQ26" s="4">
        <f t="shared" ca="1" si="16"/>
        <v>0</v>
      </c>
    </row>
    <row r="27" spans="1:50" ht="15.75" thickTop="1" x14ac:dyDescent="0.25">
      <c r="E27" s="188" t="s">
        <v>101</v>
      </c>
      <c r="F27" s="49">
        <v>2</v>
      </c>
      <c r="G27" s="64" cm="1">
        <f t="array" aca="1" ref="G27" ca="1">SUM(INDIRECT("'"&amp;_xlfn._xlws.FILTER(Character_Name_List,INDEX(Character_List,,7)=E27,)&amp;"'!J15"))+SUM('Traveller Lookups'!D27:F27)</f>
        <v>0</v>
      </c>
      <c r="H27" s="65">
        <v>6</v>
      </c>
      <c r="I27" s="64">
        <f ca="1">MAX(G27-H27,0)</f>
        <v>0</v>
      </c>
      <c r="J27" s="49">
        <f t="shared" ref="J27" ca="1" si="184">MAX(_xlfn.FLOOR.MATH(MIN(-(G27-H27),MAX((G29-H29)*9+(G28-H28)*3,0))/3),0)</f>
        <v>0</v>
      </c>
      <c r="L27" s="193" t="s">
        <v>89</v>
      </c>
      <c r="M27" s="148">
        <v>2</v>
      </c>
      <c r="N27" s="149">
        <f ca="1">'Weapon Ascension Mat Lookup'!B26</f>
        <v>0</v>
      </c>
      <c r="O27" s="150">
        <v>14</v>
      </c>
      <c r="P27" s="151">
        <f t="shared" ref="P27" ca="1" si="185">MAX(N27-O27,0)</f>
        <v>0</v>
      </c>
      <c r="Q27" s="148">
        <f t="shared" ref="Q27" ca="1" si="186">MAX(_xlfn.FLOOR.MATH(MIN(-(N27-O27),MAX((N30-O30)*27+(N29-O29)*9+(N28-O28)*3,0))/3),0)</f>
        <v>0</v>
      </c>
      <c r="S27" s="190" t="s">
        <v>102</v>
      </c>
      <c r="T27" s="57">
        <v>2</v>
      </c>
      <c r="U27" s="38" cm="1">
        <f t="array" aca="1" ref="U27" ca="1">_xlfn.XLOOKUP(Overview!T27&amp;Overview!S27,INDEX(Weapon_Elite_Materials_Totals,,1)&amp;INDEX(Weapon_Elite_Materials_Totals,,2),INDEX(Weapon_Elite_Materials_Totals,,3),,0,1)</f>
        <v>0</v>
      </c>
      <c r="V27" s="63">
        <v>253</v>
      </c>
      <c r="W27" s="5">
        <f ca="1">MAX(U27-V27,0)</f>
        <v>0</v>
      </c>
      <c r="X27" s="6">
        <f t="shared" ref="X27" ca="1" si="187">MAX(_xlfn.FLOOR.MATH(MIN(-(U27-V27),MAX((U29-V29)*9+(U28-V28)*3,0))/3),0)</f>
        <v>0</v>
      </c>
      <c r="Z27" s="190" t="s">
        <v>103</v>
      </c>
      <c r="AA27" s="57">
        <v>1</v>
      </c>
      <c r="AB27" s="38" cm="1">
        <f t="array" aca="1" ref="AB27" ca="1">_xlfn.XLOOKUP(Overview!AA27&amp;Overview!Z27,INDEX(Character_Materials_Totals,,1)&amp;INDEX(Character_Materials_Totals,,2),INDEX(Character_Materials_Totals,,3),,0,1)+_xlfn.XLOOKUP(Overview!AA27&amp;Overview!Z27,INDEX(Weapon_Common_Materials_Totals,,1)&amp;INDEX(Weapon_Common_Materials_Totals,,2),INDEX(Weapon_Common_Materials_Totals,,3),,0,1)+IFERROR(_xlfn.XLOOKUP(AA27&amp;Z27,INDEX(Traveller_Talent_Mob_Drops,,2)&amp;INDEX(Traveller_Talent_Mob_Drops,,1),INDEX(Traveller_Talent_Mob_Drops,,3),,0,1),0)</f>
        <v>0</v>
      </c>
      <c r="AC27" s="63">
        <v>30</v>
      </c>
      <c r="AD27" s="5">
        <f ca="1">MAX(AB27-AC27,0)</f>
        <v>0</v>
      </c>
      <c r="AE27" s="6">
        <f t="shared" ref="AE27" ca="1" si="188">MAX(_xlfn.FLOOR.MATH(MIN(-(AB27-AC27),MAX((AB29-AC29)*9+(AB28-AC28)*3,0))/3),0)</f>
        <v>0</v>
      </c>
      <c r="AG27" s="188" t="s">
        <v>786</v>
      </c>
      <c r="AH27" s="49">
        <v>2</v>
      </c>
      <c r="AI27" s="64" cm="1">
        <f t="array" aca="1" ref="AI27" ca="1">IFERROR(SUM(INDIRECT("'"&amp;_xlfn._xlws.FILTER(Character_Name_List,'Character Data Table'!$D$3:$D$107=AG27,)&amp;"'!J6")),0)</f>
        <v>0</v>
      </c>
      <c r="AJ27" s="65">
        <v>72</v>
      </c>
      <c r="AK27" s="2">
        <f t="shared" ref="AK27" ca="1" si="189">MAX(AI27-AJ27,0)</f>
        <v>0</v>
      </c>
      <c r="AL27" s="49">
        <f t="shared" ref="AL27" ca="1" si="190">MAX(_xlfn.FLOOR.MATH(MIN(-(AI27-AJ27),MAX((AI30-AJ30)*27+(AI29-AJ29)*9+(AI28-AJ28)*3,0))/3),0)</f>
        <v>0</v>
      </c>
      <c r="AN27" s="54" t="s">
        <v>104</v>
      </c>
      <c r="AO27" s="38" cm="1">
        <f t="array" aca="1" ref="AO27" ca="1">IFERROR(SUM(INDIRECT("'"&amp;_xlfn._xlws.FILTER(Character_Name_List,'Character Data Table'!$E$3:$E$107=AN27,)&amp;"'!J10")),0)</f>
        <v>0</v>
      </c>
      <c r="AP27" s="68">
        <v>5</v>
      </c>
      <c r="AQ27" s="4">
        <f t="shared" ca="1" si="16"/>
        <v>0</v>
      </c>
    </row>
    <row r="28" spans="1:50" x14ac:dyDescent="0.25">
      <c r="E28" s="182"/>
      <c r="F28" s="51">
        <v>3</v>
      </c>
      <c r="G28" s="38" cm="1">
        <f t="array" aca="1" ref="G28" ca="1">SUM(INDIRECT("'"&amp;_xlfn._xlws.FILTER(Character_Name_List,INDEX(Character_List,,7)=E27,)&amp;"'!J16"))+SUM('Traveller Lookups'!D28:F28)</f>
        <v>0</v>
      </c>
      <c r="H28" s="68">
        <v>21</v>
      </c>
      <c r="I28" s="38">
        <f ca="1">MAX(G28-(H28+_xlfn.FLOOR.MATH(IF(I27=0,H27-G27,0)/3)),0)</f>
        <v>0</v>
      </c>
      <c r="J28" s="51">
        <f t="shared" ref="J28" ca="1" si="191">MAX(_xlfn.FLOOR.MATH(MIN(-(G28-H28),MAX((G29-H29)*3,0))/3),0)</f>
        <v>0</v>
      </c>
      <c r="L28" s="185"/>
      <c r="M28" s="51">
        <v>3</v>
      </c>
      <c r="N28" s="38">
        <f ca="1">'Weapon Ascension Mat Lookup'!B27</f>
        <v>0</v>
      </c>
      <c r="O28" s="68">
        <v>22</v>
      </c>
      <c r="P28" s="1">
        <f t="shared" ref="P28" ca="1" si="192">MAX(N28-(O28+_xlfn.FLOOR.MATH(IF(P27=0,O27-N27,0)/3)),0)</f>
        <v>0</v>
      </c>
      <c r="Q28" s="51">
        <f t="shared" ref="Q28" ca="1" si="193">MAX(_xlfn.FLOOR.MATH(MIN(-(N28-O28),MAX((N30-O30)*9+(N29-O29)*3,0))/3),0)</f>
        <v>0</v>
      </c>
      <c r="S28" s="191"/>
      <c r="T28" s="54">
        <v>3</v>
      </c>
      <c r="U28" s="38" cm="1">
        <f t="array" aca="1" ref="U28" ca="1">_xlfn.XLOOKUP(Overview!T28&amp;Overview!S27,INDEX(Weapon_Elite_Materials_Totals,,1)&amp;INDEX(Weapon_Elite_Materials_Totals,,2),INDEX(Weapon_Elite_Materials_Totals,,3),,0,1)</f>
        <v>0</v>
      </c>
      <c r="V28" s="68">
        <v>66</v>
      </c>
      <c r="W28" s="1">
        <f t="shared" ref="W28" ca="1" si="194">MAX(U28-(V28+_xlfn.FLOOR.MATH(IF(W27=0,V27-U27,0)/3)),0)</f>
        <v>0</v>
      </c>
      <c r="X28" s="4">
        <f t="shared" ref="X28" ca="1" si="195">MAX(_xlfn.FLOOR.MATH(MIN(-(U28-V28),MAX((U29-V29)*3,0))/3),0)</f>
        <v>0</v>
      </c>
      <c r="Z28" s="191"/>
      <c r="AA28" s="54">
        <v>2</v>
      </c>
      <c r="AB28" s="38" cm="1">
        <f t="array" aca="1" ref="AB28" ca="1">_xlfn.XLOOKUP(Overview!AA28&amp;Overview!Z27,INDEX(Character_Materials_Totals,,1)&amp;INDEX(Character_Materials_Totals,,2),INDEX(Character_Materials_Totals,,3),,0,1)+_xlfn.XLOOKUP(Overview!AA28&amp;Overview!Z27,INDEX(Weapon_Common_Materials_Totals,,1)&amp;INDEX(Weapon_Common_Materials_Totals,,2),INDEX(Weapon_Common_Materials_Totals,,3),,0,1)+IFERROR(_xlfn.XLOOKUP(AA28&amp;Z27,INDEX(Traveller_Talent_Mob_Drops,,2)&amp;INDEX(Traveller_Talent_Mob_Drops,,1),INDEX(Traveller_Talent_Mob_Drops,,3),,0,1),0)</f>
        <v>0</v>
      </c>
      <c r="AC28" s="68">
        <v>7</v>
      </c>
      <c r="AD28" s="1">
        <f t="shared" ref="AD28" ca="1" si="196">MAX(AB28-(AC28+_xlfn.FLOOR.MATH(IF(AD27=0,AC27-AB27,0)/3)),0)</f>
        <v>0</v>
      </c>
      <c r="AE28" s="4">
        <f t="shared" ref="AE28" ca="1" si="197">MAX(_xlfn.FLOOR.MATH(MIN(-(AB28-AC28),MAX((AB29-AC29)*3,0))/3),0)</f>
        <v>0</v>
      </c>
      <c r="AG28" s="182"/>
      <c r="AH28" s="51">
        <v>3</v>
      </c>
      <c r="AI28" s="38" cm="1">
        <f t="array" aca="1" ref="AI28" ca="1">IFERROR(SUM(INDIRECT("'"&amp;_xlfn._xlws.FILTER(Character_Name_List,'Character Data Table'!$D$3:$D$107=AG27,)&amp;"'!J7")),0)</f>
        <v>0</v>
      </c>
      <c r="AJ28" s="68">
        <v>22</v>
      </c>
      <c r="AK28" s="1">
        <f t="shared" ref="AK28:AK29" ca="1" si="198">MAX(AI28-(AJ28+_xlfn.FLOOR.MATH(IF(AK27=0,AJ27-AI27,0)/3)),0)</f>
        <v>0</v>
      </c>
      <c r="AL28" s="51">
        <f t="shared" ref="AL28" ca="1" si="199">MAX(_xlfn.FLOOR.MATH(MIN(-(AI28-AJ28),MAX((AI30-AJ30)*9+(AI29-AJ29)*3,0))/3),0)</f>
        <v>0</v>
      </c>
      <c r="AN28" s="54" t="s">
        <v>105</v>
      </c>
      <c r="AO28" s="38" cm="1">
        <f t="array" aca="1" ref="AO28" ca="1">IFERROR(SUM(INDIRECT("'"&amp;_xlfn._xlws.FILTER(Character_Name_List,'Character Data Table'!$E$3:$E$107=AN28,)&amp;"'!J10")),0)</f>
        <v>0</v>
      </c>
      <c r="AP28" s="68">
        <v>1</v>
      </c>
      <c r="AQ28" s="4">
        <f t="shared" ca="1" si="16"/>
        <v>0</v>
      </c>
    </row>
    <row r="29" spans="1:50" ht="15.75" thickBot="1" x14ac:dyDescent="0.3">
      <c r="E29" s="189"/>
      <c r="F29" s="78">
        <v>4</v>
      </c>
      <c r="G29" s="83" cm="1">
        <f t="array" aca="1" ref="G29" ca="1">SUM(INDIRECT("'"&amp;_xlfn._xlws.FILTER(Character_Name_List,INDEX(Character_List,,7)=E27,)&amp;"'!J17"))+SUM('Traveller Lookups'!D29:F29)</f>
        <v>0</v>
      </c>
      <c r="H29" s="73">
        <v>7</v>
      </c>
      <c r="I29" s="77">
        <f ca="1">MAX(G29-(H29+_xlfn.FLOOR.MATH(IF(I28=0,(H28+_xlfn.FLOOR.MATH(IF(I27=0,H27-G27,0)/3))-G28,0)/3)),0)</f>
        <v>0</v>
      </c>
      <c r="J29" s="78" t="s">
        <v>45</v>
      </c>
      <c r="L29" s="185"/>
      <c r="M29" s="51">
        <v>4</v>
      </c>
      <c r="N29" s="38">
        <f ca="1">'Weapon Ascension Mat Lookup'!B28</f>
        <v>0</v>
      </c>
      <c r="O29" s="68">
        <v>0</v>
      </c>
      <c r="P29" s="1">
        <f t="shared" ref="P29" ca="1" si="200">MAX(N29-(O29+_xlfn.FLOOR.MATH(IF(P28=0,(O28+_xlfn.FLOOR.MATH(IF(P27=0,O27-N27,0)/3))-N28,0)/3)),0)</f>
        <v>0</v>
      </c>
      <c r="Q29" s="51">
        <f t="shared" ref="Q29" ca="1" si="201">MAX(_xlfn.FLOOR.MATH(MIN(-(N29-O29),MAX((N30-O30)*3,0))/3),0)</f>
        <v>0</v>
      </c>
      <c r="S29" s="192"/>
      <c r="T29" s="53">
        <v>4</v>
      </c>
      <c r="U29" s="70" cm="1">
        <f t="array" aca="1" ref="U29" ca="1">_xlfn.XLOOKUP(Overview!T29&amp;Overview!S27,INDEX(Weapon_Elite_Materials_Totals,,1)&amp;INDEX(Weapon_Elite_Materials_Totals,,2),INDEX(Weapon_Elite_Materials_Totals,,3),,0,1)</f>
        <v>0</v>
      </c>
      <c r="V29" s="71">
        <v>27</v>
      </c>
      <c r="W29" s="9">
        <f t="shared" ref="W29" ca="1" si="202">MAX(U29-(V29+_xlfn.FLOOR.MATH(IF(W28=0,(V28+_xlfn.FLOOR.MATH(IF(W27=0,V27-U27,0)/3))-U28,0)/3)),0)</f>
        <v>0</v>
      </c>
      <c r="X29" s="50" t="s">
        <v>45</v>
      </c>
      <c r="Z29" s="192"/>
      <c r="AA29" s="53">
        <v>3</v>
      </c>
      <c r="AB29" s="70" cm="1">
        <f t="array" aca="1" ref="AB29" ca="1">_xlfn.XLOOKUP(Overview!AA29&amp;Overview!Z27,INDEX(Character_Materials_Totals,,1)&amp;INDEX(Character_Materials_Totals,,2),INDEX(Character_Materials_Totals,,3),,0,1)+_xlfn.XLOOKUP(Overview!AA29&amp;Overview!Z27,INDEX(Weapon_Common_Materials_Totals,,1)&amp;INDEX(Weapon_Common_Materials_Totals,,2),INDEX(Weapon_Common_Materials_Totals,,3),,0,1)+IFERROR(_xlfn.XLOOKUP(AA29&amp;Z27,INDEX(Traveller_Talent_Mob_Drops,,2)&amp;INDEX(Traveller_Talent_Mob_Drops,,1),INDEX(Traveller_Talent_Mob_Drops,,3),,0,1),0)</f>
        <v>0</v>
      </c>
      <c r="AC29" s="71">
        <v>1</v>
      </c>
      <c r="AD29" s="9">
        <f t="shared" ref="AD29" ca="1" si="203">MAX(AB29-(AC29+_xlfn.FLOOR.MATH(IF(AD28=0,(AC28+_xlfn.FLOOR.MATH(IF(AD27=0,AC27-AB27,0)/3))-AB28,0)/3)),0)</f>
        <v>0</v>
      </c>
      <c r="AE29" s="50" t="s">
        <v>45</v>
      </c>
      <c r="AG29" s="182"/>
      <c r="AH29" s="51">
        <v>4</v>
      </c>
      <c r="AI29" s="38" cm="1">
        <f t="array" aca="1" ref="AI29" ca="1">IFERROR(SUM(INDIRECT("'"&amp;_xlfn._xlws.FILTER(Character_Name_List,'Character Data Table'!$D$3:$D$107=AG27,)&amp;"'!J8")),0)</f>
        <v>0</v>
      </c>
      <c r="AJ29" s="68">
        <v>0</v>
      </c>
      <c r="AK29" s="1">
        <f t="shared" ca="1" si="198"/>
        <v>0</v>
      </c>
      <c r="AL29" s="51">
        <f t="shared" ref="AL29" ca="1" si="204">MAX(_xlfn.FLOOR.MATH(MIN(-(AI29-AJ29),MAX((AI30-AJ30)*3,0))/3),0)</f>
        <v>0</v>
      </c>
      <c r="AN29" s="54" t="s">
        <v>106</v>
      </c>
      <c r="AO29" s="38" cm="1">
        <f t="array" aca="1" ref="AO29" ca="1">IFERROR(SUM(INDIRECT("'"&amp;_xlfn._xlws.FILTER(Character_Name_List,'Character Data Table'!$E$3:$E$107=AN29,)&amp;"'!J10")),0)</f>
        <v>0</v>
      </c>
      <c r="AP29" s="68">
        <v>0</v>
      </c>
      <c r="AQ29" s="4">
        <f t="shared" ca="1" si="16"/>
        <v>0</v>
      </c>
    </row>
    <row r="30" spans="1:50" ht="16.5" thickTop="1" thickBot="1" x14ac:dyDescent="0.3">
      <c r="E30" s="181" t="s">
        <v>107</v>
      </c>
      <c r="F30" s="148">
        <v>2</v>
      </c>
      <c r="G30" s="152" cm="1">
        <f t="array" aca="1" ref="G30" ca="1">SUM(INDIRECT("'"&amp;_xlfn._xlws.FILTER(Character_Name_List,INDEX(Character_List,,7)=E30,)&amp;"'!J15"))+SUM('Traveller Lookups'!D30:F30)</f>
        <v>0</v>
      </c>
      <c r="H30" s="150">
        <v>6</v>
      </c>
      <c r="I30" s="149">
        <f ca="1">MAX(G30-H30,0)</f>
        <v>0</v>
      </c>
      <c r="J30" s="148">
        <f t="shared" ref="J30" ca="1" si="205">MAX(_xlfn.FLOOR.MATH(MIN(-(G30-H30),MAX((G32-H32)*9+(G31-H31)*3,0))/3),0)</f>
        <v>0</v>
      </c>
      <c r="L30" s="186"/>
      <c r="M30" s="50">
        <v>5</v>
      </c>
      <c r="N30" s="70">
        <f ca="1">'Weapon Ascension Mat Lookup'!B29</f>
        <v>0</v>
      </c>
      <c r="O30" s="71">
        <v>0</v>
      </c>
      <c r="P30" s="9">
        <f t="shared" ref="P30" ca="1" si="206">MAX(N30-(O30+_xlfn.FLOOR.MATH(IF(P29=0,(O29+_xlfn.FLOOR.MATH(IF(P28=0,(O28+_xlfn.FLOOR.MATH(IF(P27=0,O27-N27,0)/3))-N28,0)/3))-N29,0)/3)),0)</f>
        <v>0</v>
      </c>
      <c r="Q30" s="50" t="s">
        <v>45</v>
      </c>
      <c r="S30" s="190" t="s">
        <v>108</v>
      </c>
      <c r="T30" s="57">
        <v>2</v>
      </c>
      <c r="U30" s="38" cm="1">
        <f t="array" aca="1" ref="U30" ca="1">_xlfn.XLOOKUP(Overview!T30&amp;Overview!S30,INDEX(Weapon_Elite_Materials_Totals,,1)&amp;INDEX(Weapon_Elite_Materials_Totals,,2),INDEX(Weapon_Elite_Materials_Totals,,3),,0,1)</f>
        <v>0</v>
      </c>
      <c r="V30" s="63">
        <v>3</v>
      </c>
      <c r="W30" s="5">
        <f ca="1">MAX(U30-V30,0)</f>
        <v>0</v>
      </c>
      <c r="X30" s="6">
        <f t="shared" ref="X30" ca="1" si="207">MAX(_xlfn.FLOOR.MATH(MIN(-(U30-V30),MAX((U32-V32)*9+(U31-V31)*3,0))/3),0)</f>
        <v>0</v>
      </c>
      <c r="Z30" s="190" t="s">
        <v>109</v>
      </c>
      <c r="AA30" s="57">
        <v>1</v>
      </c>
      <c r="AB30" s="38" cm="1">
        <f t="array" aca="1" ref="AB30" ca="1">_xlfn.XLOOKUP(Overview!AA30&amp;Overview!Z30,INDEX(Character_Materials_Totals,,1)&amp;INDEX(Character_Materials_Totals,,2),INDEX(Character_Materials_Totals,,3),,0,1)+_xlfn.XLOOKUP(Overview!AA30&amp;Overview!Z30,INDEX(Weapon_Common_Materials_Totals,,1)&amp;INDEX(Weapon_Common_Materials_Totals,,2),INDEX(Weapon_Common_Materials_Totals,,3),,0,1)+IFERROR(_xlfn.XLOOKUP(AA30&amp;Z30,INDEX(Traveller_Talent_Mob_Drops,,2)&amp;INDEX(Traveller_Talent_Mob_Drops,,1),INDEX(Traveller_Talent_Mob_Drops,,3),,0,1),0)</f>
        <v>0</v>
      </c>
      <c r="AC30" s="63">
        <v>807</v>
      </c>
      <c r="AD30" s="5">
        <f ca="1">MAX(AB30-AC30,0)</f>
        <v>0</v>
      </c>
      <c r="AE30" s="6">
        <f t="shared" ref="AE30" ca="1" si="208">MAX(_xlfn.FLOOR.MATH(MIN(-(AB30-AC30),MAX((AB32-AC32)*9+(AB31-AC31)*3,0))/3),0)</f>
        <v>0</v>
      </c>
      <c r="AG30" s="183"/>
      <c r="AH30" s="50">
        <v>5</v>
      </c>
      <c r="AI30" s="70" cm="1">
        <f t="array" aca="1" ref="AI30" ca="1">IFERROR(SUM(INDIRECT("'"&amp;_xlfn._xlws.FILTER(Character_Name_List,'Character Data Table'!$D$3:$D$107=AG27,)&amp;"'!J9")),0)</f>
        <v>0</v>
      </c>
      <c r="AJ30" s="71">
        <v>0</v>
      </c>
      <c r="AK30" s="9">
        <f t="shared" ref="AK30" ca="1" si="209">MAX(AI30-(AJ30+_xlfn.FLOOR.MATH(IF(AK29=0,(AJ29+_xlfn.FLOOR.MATH(IF(AK28=0,(AJ28+_xlfn.FLOOR.MATH(IF(AK27=0,AJ27-AI27,0)/3))-AI28,0)/3))-AI29,0)/3)),0)</f>
        <v>0</v>
      </c>
      <c r="AL30" s="50" t="s">
        <v>45</v>
      </c>
      <c r="AN30" s="54" t="s">
        <v>110</v>
      </c>
      <c r="AO30" s="38" cm="1">
        <f t="array" aca="1" ref="AO30" ca="1">IFERROR(SUM(INDIRECT("'"&amp;_xlfn._xlws.FILTER(Character_Name_List,'Character Data Table'!$E$3:$E$107=AN30,)&amp;"'!J10")),0)</f>
        <v>0</v>
      </c>
      <c r="AP30" s="68">
        <v>0</v>
      </c>
      <c r="AQ30" s="4">
        <f t="shared" ca="1" si="16"/>
        <v>0</v>
      </c>
    </row>
    <row r="31" spans="1:50" x14ac:dyDescent="0.25">
      <c r="E31" s="182"/>
      <c r="F31" s="51">
        <v>3</v>
      </c>
      <c r="G31" s="38" cm="1">
        <f t="array" aca="1" ref="G31" ca="1">SUM(INDIRECT("'"&amp;_xlfn._xlws.FILTER(Character_Name_List,INDEX(Character_List,,7)=E30,)&amp;"'!J16"))+SUM('Traveller Lookups'!D31:F31)</f>
        <v>0</v>
      </c>
      <c r="H31" s="68">
        <v>97</v>
      </c>
      <c r="I31" s="38">
        <f ca="1">MAX(G31-(H31+_xlfn.FLOOR.MATH(IF(I30=0,H30-G30,0)/3)),0)</f>
        <v>0</v>
      </c>
      <c r="J31" s="51">
        <f t="shared" ref="J31" ca="1" si="210">MAX(_xlfn.FLOOR.MATH(MIN(-(G31-H31),MAX((G32-H32)*3,0))/3),0)</f>
        <v>0</v>
      </c>
      <c r="L31" s="184" t="s">
        <v>95</v>
      </c>
      <c r="M31" s="49">
        <v>2</v>
      </c>
      <c r="N31" s="64">
        <f ca="1">'Weapon Ascension Mat Lookup'!B30</f>
        <v>0</v>
      </c>
      <c r="O31" s="65">
        <v>1</v>
      </c>
      <c r="P31" s="2">
        <f t="shared" ref="P31" ca="1" si="211">MAX(N31-O31,0)</f>
        <v>0</v>
      </c>
      <c r="Q31" s="49">
        <f t="shared" ref="Q31" ca="1" si="212">MAX(_xlfn.FLOOR.MATH(MIN(-(N31-O31),MAX((N34-O34)*27+(N33-O33)*9+(N32-O32)*3,0))/3),0)</f>
        <v>0</v>
      </c>
      <c r="S31" s="191"/>
      <c r="T31" s="54">
        <v>3</v>
      </c>
      <c r="U31" s="38" cm="1">
        <f t="array" aca="1" ref="U31" ca="1">_xlfn.XLOOKUP(Overview!T31&amp;Overview!S30,INDEX(Weapon_Elite_Materials_Totals,,1)&amp;INDEX(Weapon_Elite_Materials_Totals,,2),INDEX(Weapon_Elite_Materials_Totals,,3),,0,1)</f>
        <v>0</v>
      </c>
      <c r="V31" s="68">
        <v>2</v>
      </c>
      <c r="W31" s="1">
        <f t="shared" ref="W31" ca="1" si="213">MAX(U31-(V31+_xlfn.FLOOR.MATH(IF(W30=0,V30-U30,0)/3)),0)</f>
        <v>0</v>
      </c>
      <c r="X31" s="4">
        <f t="shared" ref="X31" ca="1" si="214">MAX(_xlfn.FLOOR.MATH(MIN(-(U31-V31),MAX((U32-V32)*3,0))/3),0)</f>
        <v>0</v>
      </c>
      <c r="Z31" s="191"/>
      <c r="AA31" s="54">
        <v>2</v>
      </c>
      <c r="AB31" s="38" cm="1">
        <f t="array" aca="1" ref="AB31" ca="1">_xlfn.XLOOKUP(Overview!AA31&amp;Overview!Z30,INDEX(Character_Materials_Totals,,1)&amp;INDEX(Character_Materials_Totals,,2),INDEX(Character_Materials_Totals,,3),,0,1)+_xlfn.XLOOKUP(Overview!AA31&amp;Overview!Z30,INDEX(Weapon_Common_Materials_Totals,,1)&amp;INDEX(Weapon_Common_Materials_Totals,,2),INDEX(Weapon_Common_Materials_Totals,,3),,0,1)+IFERROR(_xlfn.XLOOKUP(AA31&amp;Z30,INDEX(Traveller_Talent_Mob_Drops,,2)&amp;INDEX(Traveller_Talent_Mob_Drops,,1),INDEX(Traveller_Talent_Mob_Drops,,3),,0,1),0)</f>
        <v>0</v>
      </c>
      <c r="AC31" s="68">
        <v>212</v>
      </c>
      <c r="AD31" s="1">
        <f t="shared" ref="AD31" ca="1" si="215">MAX(AB31-(AC31+_xlfn.FLOOR.MATH(IF(AD30=0,AC30-AB30,0)/3)),0)</f>
        <v>0</v>
      </c>
      <c r="AE31" s="4">
        <f t="shared" ref="AE31" ca="1" si="216">MAX(_xlfn.FLOOR.MATH(MIN(-(AB31-AC31),MAX((AB32-AC32)*3,0))/3),0)</f>
        <v>0</v>
      </c>
      <c r="AN31" s="54" t="s">
        <v>111</v>
      </c>
      <c r="AO31" s="38" cm="1">
        <f t="array" aca="1" ref="AO31" ca="1">IFERROR(SUM(INDIRECT("'"&amp;_xlfn._xlws.FILTER(Character_Name_List,'Character Data Table'!$E$3:$E$107=AN31,)&amp;"'!J10")),0)</f>
        <v>0</v>
      </c>
      <c r="AP31" s="68">
        <v>1</v>
      </c>
      <c r="AQ31" s="4">
        <f t="shared" ca="1" si="16"/>
        <v>0</v>
      </c>
      <c r="AX31" t="s">
        <v>86</v>
      </c>
    </row>
    <row r="32" spans="1:50" ht="15.75" thickBot="1" x14ac:dyDescent="0.3">
      <c r="E32" s="183"/>
      <c r="F32" s="50">
        <v>4</v>
      </c>
      <c r="G32" s="80" cm="1">
        <f t="array" aca="1" ref="G32" ca="1">SUM(INDIRECT("'"&amp;_xlfn._xlws.FILTER(Character_Name_List,INDEX(Character_List,,7)=E30,)&amp;"'!J17"))+SUM('Traveller Lookups'!D32:F32)</f>
        <v>0</v>
      </c>
      <c r="H32" s="71">
        <v>28</v>
      </c>
      <c r="I32" s="70">
        <f ca="1">MAX(G32-(H32+_xlfn.FLOOR.MATH(IF(I31=0,(H31+_xlfn.FLOOR.MATH(IF(I30=0,H30-G30,0)/3))-G31,0)/3)),0)</f>
        <v>0</v>
      </c>
      <c r="J32" s="50" t="s">
        <v>45</v>
      </c>
      <c r="L32" s="185"/>
      <c r="M32" s="51">
        <v>3</v>
      </c>
      <c r="N32" s="38">
        <f ca="1">'Weapon Ascension Mat Lookup'!B31</f>
        <v>0</v>
      </c>
      <c r="O32" s="68">
        <v>13</v>
      </c>
      <c r="P32" s="1">
        <f t="shared" ref="P32" ca="1" si="217">MAX(N32-(O32+_xlfn.FLOOR.MATH(IF(P31=0,O31-N31,0)/3)),0)</f>
        <v>0</v>
      </c>
      <c r="Q32" s="51">
        <f t="shared" ref="Q32" ca="1" si="218">MAX(_xlfn.FLOOR.MATH(MIN(-(N32-O32),MAX((N34-O34)*9+(N33-O33)*3,0))/3),0)</f>
        <v>0</v>
      </c>
      <c r="S32" s="192"/>
      <c r="T32" s="53">
        <v>4</v>
      </c>
      <c r="U32" s="70" cm="1">
        <f t="array" aca="1" ref="U32" ca="1">_xlfn.XLOOKUP(Overview!T32&amp;Overview!S30,INDEX(Weapon_Elite_Materials_Totals,,1)&amp;INDEX(Weapon_Elite_Materials_Totals,,2),INDEX(Weapon_Elite_Materials_Totals,,3),,0,1)</f>
        <v>0</v>
      </c>
      <c r="V32" s="71">
        <v>1</v>
      </c>
      <c r="W32" s="9">
        <f t="shared" ref="W32" ca="1" si="219">MAX(U32-(V32+_xlfn.FLOOR.MATH(IF(W31=0,(V31+_xlfn.FLOOR.MATH(IF(W30=0,V30-U30,0)/3))-U31,0)/3)),0)</f>
        <v>0</v>
      </c>
      <c r="X32" s="50" t="s">
        <v>45</v>
      </c>
      <c r="Z32" s="192"/>
      <c r="AA32" s="53">
        <v>3</v>
      </c>
      <c r="AB32" s="70" cm="1">
        <f t="array" aca="1" ref="AB32" ca="1">_xlfn.XLOOKUP(Overview!AA32&amp;Overview!Z30,INDEX(Character_Materials_Totals,,1)&amp;INDEX(Character_Materials_Totals,,2),INDEX(Character_Materials_Totals,,3),,0,1)+_xlfn.XLOOKUP(Overview!AA32&amp;Overview!Z30,INDEX(Weapon_Common_Materials_Totals,,1)&amp;INDEX(Weapon_Common_Materials_Totals,,2),INDEX(Weapon_Common_Materials_Totals,,3),,0,1)+IFERROR(_xlfn.XLOOKUP(AA32&amp;Z30,INDEX(Traveller_Talent_Mob_Drops,,2)&amp;INDEX(Traveller_Talent_Mob_Drops,,1),INDEX(Traveller_Talent_Mob_Drops,,3),,0,1),0)</f>
        <v>0</v>
      </c>
      <c r="AC32" s="71">
        <v>55</v>
      </c>
      <c r="AD32" s="9">
        <f t="shared" ref="AD32" ca="1" si="220">MAX(AB32-(AC32+_xlfn.FLOOR.MATH(IF(AD31=0,(AC31+_xlfn.FLOOR.MATH(IF(AD30=0,AC30-AB30,0)/3))-AB31,0)/3)),0)</f>
        <v>0</v>
      </c>
      <c r="AE32" s="50" t="s">
        <v>45</v>
      </c>
      <c r="AN32" s="135" t="s">
        <v>112</v>
      </c>
      <c r="AO32" s="153" cm="1">
        <f t="array" aca="1" ref="AO32" ca="1">IFERROR(SUM(INDIRECT("'"&amp;_xlfn._xlws.FILTER(Character_Name_List,'Character Data Table'!$E$3:$E$107=AN32,)&amp;"'!J10")),0)</f>
        <v>0</v>
      </c>
      <c r="AP32" s="166">
        <v>1</v>
      </c>
      <c r="AQ32" s="45">
        <f t="shared" ref="AQ32" ca="1" si="221">MAX(AO32-AP32,0)</f>
        <v>0</v>
      </c>
    </row>
    <row r="33" spans="5:43" x14ac:dyDescent="0.25">
      <c r="E33" s="188" t="s">
        <v>113</v>
      </c>
      <c r="F33" s="49">
        <v>2</v>
      </c>
      <c r="G33" s="64" cm="1">
        <f t="array" aca="1" ref="G33" ca="1">SUM(INDIRECT("'"&amp;_xlfn._xlws.FILTER(Character_Name_List,INDEX(Character_List,,7)=E33,)&amp;"'!J15"))+SUM('Traveller Lookups'!D33:F33)</f>
        <v>0</v>
      </c>
      <c r="H33" s="65">
        <v>8</v>
      </c>
      <c r="I33" s="64">
        <f ca="1">MAX(G33-H33,0)</f>
        <v>0</v>
      </c>
      <c r="J33" s="49">
        <f t="shared" ref="J33" ca="1" si="222">MAX(_xlfn.FLOOR.MATH(MIN(-(G33-H33),MAX((G35-H35)*9+(G34-H34)*3,0))/3),0)</f>
        <v>0</v>
      </c>
      <c r="L33" s="185"/>
      <c r="M33" s="51">
        <v>4</v>
      </c>
      <c r="N33" s="38">
        <f ca="1">'Weapon Ascension Mat Lookup'!B32</f>
        <v>0</v>
      </c>
      <c r="O33" s="68">
        <v>0</v>
      </c>
      <c r="P33" s="1">
        <f t="shared" ref="P33" ca="1" si="223">MAX(N33-(O33+_xlfn.FLOOR.MATH(IF(P32=0,(O32+_xlfn.FLOOR.MATH(IF(P31=0,O31-N31,0)/3))-N32,0)/3)),0)</f>
        <v>0</v>
      </c>
      <c r="Q33" s="51">
        <f t="shared" ref="Q33" ca="1" si="224">MAX(_xlfn.FLOOR.MATH(MIN(-(N33-O33),MAX((N34-O34)*3,0))/3),0)</f>
        <v>0</v>
      </c>
      <c r="S33" s="190" t="s">
        <v>114</v>
      </c>
      <c r="T33" s="57">
        <v>2</v>
      </c>
      <c r="U33" s="38" cm="1">
        <f t="array" aca="1" ref="U33" ca="1">_xlfn.XLOOKUP(Overview!T33&amp;Overview!S33,INDEX(Weapon_Elite_Materials_Totals,,1)&amp;INDEX(Weapon_Elite_Materials_Totals,,2),INDEX(Weapon_Elite_Materials_Totals,,3),,0,1)</f>
        <v>0</v>
      </c>
      <c r="V33" s="63">
        <v>178</v>
      </c>
      <c r="W33" s="5">
        <f ca="1">MAX(U33-V33,0)</f>
        <v>0</v>
      </c>
      <c r="X33" s="6">
        <f t="shared" ref="X33" ca="1" si="225">MAX(_xlfn.FLOOR.MATH(MIN(-(U33-V33),MAX((U35-V35)*9+(U34-V34)*3,0))/3),0)</f>
        <v>0</v>
      </c>
      <c r="Z33" s="190" t="s">
        <v>115</v>
      </c>
      <c r="AA33" s="57">
        <v>1</v>
      </c>
      <c r="AB33" s="38" cm="1">
        <f t="array" aca="1" ref="AB33" ca="1">_xlfn.XLOOKUP(Overview!AA33&amp;Overview!Z33,INDEX(Character_Materials_Totals,,1)&amp;INDEX(Character_Materials_Totals,,2),INDEX(Character_Materials_Totals,,3),,0,1)+_xlfn.XLOOKUP(Overview!AA33&amp;Overview!Z33,INDEX(Weapon_Common_Materials_Totals,,1)&amp;INDEX(Weapon_Common_Materials_Totals,,2),INDEX(Weapon_Common_Materials_Totals,,3),,0,1)+IFERROR(_xlfn.XLOOKUP(AA33&amp;Z33,INDEX(Traveller_Talent_Mob_Drops,,2)&amp;INDEX(Traveller_Talent_Mob_Drops,,1),INDEX(Traveller_Talent_Mob_Drops,,3),,0,1),0)</f>
        <v>0</v>
      </c>
      <c r="AC33" s="63">
        <v>1122</v>
      </c>
      <c r="AD33" s="5">
        <f ca="1">MAX(AB33-AC33,0)</f>
        <v>0</v>
      </c>
      <c r="AE33" s="6">
        <f t="shared" ref="AE33" ca="1" si="226">MAX(_xlfn.FLOOR.MATH(MIN(-(AB33-AC33),MAX((AB35-AC35)*9+(AB34-AC34)*3,0))/3),0)</f>
        <v>0</v>
      </c>
      <c r="AN33" s="135" t="s">
        <v>116</v>
      </c>
      <c r="AO33" s="153" cm="1">
        <f t="array" aca="1" ref="AO33" ca="1">IFERROR(SUM(INDIRECT("'"&amp;_xlfn._xlws.FILTER(Character_Name_List,'Character Data Table'!$E$3:$E$107=AN33,)&amp;"'!J10")),0)</f>
        <v>0</v>
      </c>
      <c r="AP33" s="166">
        <v>1</v>
      </c>
      <c r="AQ33" s="45">
        <f t="shared" ref="AQ33" ca="1" si="227">MAX(AO33-AP33,0)</f>
        <v>0</v>
      </c>
    </row>
    <row r="34" spans="5:43" ht="15.75" thickBot="1" x14ac:dyDescent="0.3">
      <c r="E34" s="182"/>
      <c r="F34" s="51">
        <v>3</v>
      </c>
      <c r="G34" s="38" cm="1">
        <f t="array" aca="1" ref="G34" ca="1">SUM(INDIRECT("'"&amp;_xlfn._xlws.FILTER(Character_Name_List,INDEX(Character_List,,7)=E33,)&amp;"'!J16"))+SUM('Traveller Lookups'!D34:F34)</f>
        <v>0</v>
      </c>
      <c r="H34" s="68">
        <v>72</v>
      </c>
      <c r="I34" s="38">
        <f ca="1">MAX(G34-(H34+_xlfn.FLOOR.MATH(IF(I33=0,H33-G33,0)/3)),0)</f>
        <v>0</v>
      </c>
      <c r="J34" s="51">
        <f t="shared" ref="J34" ca="1" si="228">MAX(_xlfn.FLOOR.MATH(MIN(-(G34-H34),MAX((G35-H35)*3,0))/3),0)</f>
        <v>0</v>
      </c>
      <c r="L34" s="186"/>
      <c r="M34" s="50">
        <v>5</v>
      </c>
      <c r="N34" s="70">
        <f ca="1">'Weapon Ascension Mat Lookup'!B33</f>
        <v>0</v>
      </c>
      <c r="O34" s="71">
        <v>0</v>
      </c>
      <c r="P34" s="9">
        <f t="shared" ref="P34" ca="1" si="229">MAX(N34-(O34+_xlfn.FLOOR.MATH(IF(P33=0,(O33+_xlfn.FLOOR.MATH(IF(P32=0,(O32+_xlfn.FLOOR.MATH(IF(P31=0,O31-N31,0)/3))-N32,0)/3))-N33,0)/3)),0)</f>
        <v>0</v>
      </c>
      <c r="Q34" s="50" t="s">
        <v>45</v>
      </c>
      <c r="S34" s="191"/>
      <c r="T34" s="54">
        <v>3</v>
      </c>
      <c r="U34" s="38" cm="1">
        <f t="array" aca="1" ref="U34" ca="1">_xlfn.XLOOKUP(Overview!T34&amp;Overview!S33,INDEX(Weapon_Elite_Materials_Totals,,1)&amp;INDEX(Weapon_Elite_Materials_Totals,,2),INDEX(Weapon_Elite_Materials_Totals,,3),,0,1)</f>
        <v>0</v>
      </c>
      <c r="V34" s="68">
        <v>100</v>
      </c>
      <c r="W34" s="1">
        <f t="shared" ref="W34" ca="1" si="230">MAX(U34-(V34+_xlfn.FLOOR.MATH(IF(W33=0,V33-U33,0)/3)),0)</f>
        <v>0</v>
      </c>
      <c r="X34" s="4">
        <f t="shared" ref="X34" ca="1" si="231">MAX(_xlfn.FLOOR.MATH(MIN(-(U34-V34),MAX((U35-V35)*3,0))/3),0)</f>
        <v>0</v>
      </c>
      <c r="Z34" s="191"/>
      <c r="AA34" s="54">
        <v>2</v>
      </c>
      <c r="AB34" s="38" cm="1">
        <f t="array" aca="1" ref="AB34" ca="1">_xlfn.XLOOKUP(Overview!AA34&amp;Overview!Z33,INDEX(Character_Materials_Totals,,1)&amp;INDEX(Character_Materials_Totals,,2),INDEX(Character_Materials_Totals,,3),,0,1)+_xlfn.XLOOKUP(Overview!AA34&amp;Overview!Z33,INDEX(Weapon_Common_Materials_Totals,,1)&amp;INDEX(Weapon_Common_Materials_Totals,,2),INDEX(Weapon_Common_Materials_Totals,,3),,0,1)+IFERROR(_xlfn.XLOOKUP(AA34&amp;Z33,INDEX(Traveller_Talent_Mob_Drops,,2)&amp;INDEX(Traveller_Talent_Mob_Drops,,1),INDEX(Traveller_Talent_Mob_Drops,,3),,0,1),0)</f>
        <v>0</v>
      </c>
      <c r="AC34" s="68">
        <v>160</v>
      </c>
      <c r="AD34" s="1">
        <f t="shared" ref="AD34" ca="1" si="232">MAX(AB34-(AC34+_xlfn.FLOOR.MATH(IF(AD33=0,AC33-AB33,0)/3)),0)</f>
        <v>0</v>
      </c>
      <c r="AE34" s="4">
        <f t="shared" ref="AE34" ca="1" si="233">MAX(_xlfn.FLOOR.MATH(MIN(-(AB34-AC34),MAX((AB35-AC35)*3,0))/3),0)</f>
        <v>0</v>
      </c>
      <c r="AN34" s="135" t="s">
        <v>117</v>
      </c>
      <c r="AO34" s="153" cm="1">
        <f t="array" aca="1" ref="AO34" ca="1">IFERROR(SUM(INDIRECT("'"&amp;_xlfn._xlws.FILTER(Character_Name_List,'Character Data Table'!$E$3:$E$107=AN34,)&amp;"'!J10")),0)</f>
        <v>0</v>
      </c>
      <c r="AP34" s="166">
        <v>1</v>
      </c>
      <c r="AQ34" s="45">
        <f t="shared" ref="AQ34:AQ35" ca="1" si="234">MAX(AO34-AP34,0)</f>
        <v>0</v>
      </c>
    </row>
    <row r="35" spans="5:43" ht="15.75" thickBot="1" x14ac:dyDescent="0.3">
      <c r="E35" s="183"/>
      <c r="F35" s="50">
        <v>4</v>
      </c>
      <c r="G35" s="80" cm="1">
        <f t="array" aca="1" ref="G35" ca="1">SUM(INDIRECT("'"&amp;_xlfn._xlws.FILTER(Character_Name_List,INDEX(Character_List,,7)=E33,)&amp;"'!J17"))+SUM('Traveller Lookups'!D35:F35)</f>
        <v>0</v>
      </c>
      <c r="H35" s="71">
        <v>19</v>
      </c>
      <c r="I35" s="70">
        <f ca="1">MAX(G35-(H35+_xlfn.FLOOR.MATH(IF(I34=0,(H34+_xlfn.FLOOR.MATH(IF(I33=0,H33-G33,0)/3))-G34,0)/3)),0)</f>
        <v>0</v>
      </c>
      <c r="J35" s="50" t="s">
        <v>45</v>
      </c>
      <c r="L35" s="184" t="s">
        <v>101</v>
      </c>
      <c r="M35" s="49">
        <v>2</v>
      </c>
      <c r="N35" s="64">
        <f ca="1">'Weapon Ascension Mat Lookup'!B34</f>
        <v>0</v>
      </c>
      <c r="O35" s="65">
        <v>8</v>
      </c>
      <c r="P35" s="2">
        <f t="shared" ref="P35" ca="1" si="235">MAX(N35-O35,0)</f>
        <v>0</v>
      </c>
      <c r="Q35" s="49">
        <f t="shared" ref="Q35" ca="1" si="236">MAX(_xlfn.FLOOR.MATH(MIN(-(N35-O35),MAX((N38-O38)*27+(N37-O37)*9+(N36-O36)*3,0))/3),0)</f>
        <v>0</v>
      </c>
      <c r="S35" s="192"/>
      <c r="T35" s="53">
        <v>4</v>
      </c>
      <c r="U35" s="70" cm="1">
        <f t="array" aca="1" ref="U35" ca="1">_xlfn.XLOOKUP(Overview!T35&amp;Overview!S33,INDEX(Weapon_Elite_Materials_Totals,,1)&amp;INDEX(Weapon_Elite_Materials_Totals,,2),INDEX(Weapon_Elite_Materials_Totals,,3),,0,1)</f>
        <v>0</v>
      </c>
      <c r="V35" s="71">
        <v>8</v>
      </c>
      <c r="W35" s="9">
        <f t="shared" ref="W35" ca="1" si="237">MAX(U35-(V35+_xlfn.FLOOR.MATH(IF(W34=0,(V34+_xlfn.FLOOR.MATH(IF(W33=0,V33-U33,0)/3))-U34,0)/3)),0)</f>
        <v>0</v>
      </c>
      <c r="X35" s="50" t="s">
        <v>45</v>
      </c>
      <c r="Z35" s="192"/>
      <c r="AA35" s="53">
        <v>3</v>
      </c>
      <c r="AB35" s="70" cm="1">
        <f t="array" aca="1" ref="AB35" ca="1">_xlfn.XLOOKUP(Overview!AA35&amp;Overview!Z33,INDEX(Character_Materials_Totals,,1)&amp;INDEX(Character_Materials_Totals,,2),INDEX(Character_Materials_Totals,,3),,0,1)+_xlfn.XLOOKUP(Overview!AA35&amp;Overview!Z33,INDEX(Weapon_Common_Materials_Totals,,1)&amp;INDEX(Weapon_Common_Materials_Totals,,2),INDEX(Weapon_Common_Materials_Totals,,3),,0,1)+IFERROR(_xlfn.XLOOKUP(AA35&amp;Z33,INDEX(Traveller_Talent_Mob_Drops,,2)&amp;INDEX(Traveller_Talent_Mob_Drops,,1),INDEX(Traveller_Talent_Mob_Drops,,3),,0,1),0)</f>
        <v>0</v>
      </c>
      <c r="AC35" s="71">
        <v>7</v>
      </c>
      <c r="AD35" s="9">
        <f t="shared" ref="AD35" ca="1" si="238">MAX(AB35-(AC35+_xlfn.FLOOR.MATH(IF(AD34=0,(AC34+_xlfn.FLOOR.MATH(IF(AD33=0,AC33-AB33,0)/3))-AB34,0)/3)),0)</f>
        <v>0</v>
      </c>
      <c r="AE35" s="50" t="s">
        <v>45</v>
      </c>
      <c r="AN35" s="135" t="s">
        <v>118</v>
      </c>
      <c r="AO35" s="153" cm="1">
        <f t="array" aca="1" ref="AO35" ca="1">IFERROR(SUM(INDIRECT("'"&amp;_xlfn._xlws.FILTER(Character_Name_List,'Character Data Table'!$E$3:$E$107=AN35,)&amp;"'!J10")),0)</f>
        <v>0</v>
      </c>
      <c r="AP35" s="166">
        <v>6</v>
      </c>
      <c r="AQ35" s="45">
        <f t="shared" ca="1" si="234"/>
        <v>0</v>
      </c>
    </row>
    <row r="36" spans="5:43" x14ac:dyDescent="0.25">
      <c r="E36" s="188" t="s">
        <v>119</v>
      </c>
      <c r="F36" s="49">
        <v>2</v>
      </c>
      <c r="G36" s="64" cm="1">
        <f t="array" aca="1" ref="G36" ca="1">SUM(INDIRECT("'"&amp;_xlfn._xlws.FILTER(Character_Name_List,INDEX(Character_List,,7)=E36,)&amp;"'!J15"))+SUM('Traveller Lookups'!D36:F36)</f>
        <v>0</v>
      </c>
      <c r="H36" s="65">
        <v>4</v>
      </c>
      <c r="I36" s="64">
        <f ca="1">MAX(G36-H36,0)</f>
        <v>0</v>
      </c>
      <c r="J36" s="49">
        <f t="shared" ref="J36" ca="1" si="239">MAX(_xlfn.FLOOR.MATH(MIN(-(G36-H36),MAX((G38-H38)*9+(G37-H37)*3,0))/3),0)</f>
        <v>0</v>
      </c>
      <c r="L36" s="185"/>
      <c r="M36" s="51">
        <v>3</v>
      </c>
      <c r="N36" s="38">
        <f ca="1">'Weapon Ascension Mat Lookup'!B35</f>
        <v>0</v>
      </c>
      <c r="O36" s="68">
        <v>12</v>
      </c>
      <c r="P36" s="1">
        <f t="shared" ref="P36" ca="1" si="240">MAX(N36-(O36+_xlfn.FLOOR.MATH(IF(P35=0,O35-N35,0)/3)),0)</f>
        <v>0</v>
      </c>
      <c r="Q36" s="51">
        <f t="shared" ref="Q36" ca="1" si="241">MAX(_xlfn.FLOOR.MATH(MIN(-(N36-O36),MAX((N38-O38)*9+(N37-O37)*3,0))/3),0)</f>
        <v>0</v>
      </c>
      <c r="S36" s="190" t="s">
        <v>120</v>
      </c>
      <c r="T36" s="57">
        <v>2</v>
      </c>
      <c r="U36" s="38" cm="1">
        <f t="array" aca="1" ref="U36" ca="1">_xlfn.XLOOKUP(Overview!T36&amp;Overview!S36,INDEX(Weapon_Elite_Materials_Totals,,1)&amp;INDEX(Weapon_Elite_Materials_Totals,,2),INDEX(Weapon_Elite_Materials_Totals,,3),,0,1)</f>
        <v>0</v>
      </c>
      <c r="V36" s="63">
        <v>506</v>
      </c>
      <c r="W36" s="5">
        <f ca="1">MAX(U36-V36,0)</f>
        <v>0</v>
      </c>
      <c r="X36" s="6">
        <f t="shared" ref="X36" ca="1" si="242">MAX(_xlfn.FLOOR.MATH(MIN(-(U36-V36),MAX((U38-V38)*9+(U37-V37)*3,0))/3),0)</f>
        <v>0</v>
      </c>
      <c r="Z36" s="190" t="s">
        <v>121</v>
      </c>
      <c r="AA36" s="57">
        <v>1</v>
      </c>
      <c r="AB36" s="38" cm="1">
        <f t="array" aca="1" ref="AB36" ca="1">_xlfn.XLOOKUP(Overview!AA36&amp;Overview!Z36,INDEX(Character_Materials_Totals,,1)&amp;INDEX(Character_Materials_Totals,,2),INDEX(Character_Materials_Totals,,3),,0,1)+_xlfn.XLOOKUP(Overview!AA36&amp;Overview!Z36,INDEX(Weapon_Common_Materials_Totals,,1)&amp;INDEX(Weapon_Common_Materials_Totals,,2),INDEX(Weapon_Common_Materials_Totals,,3),,0,1)+IFERROR(_xlfn.XLOOKUP(AA36&amp;Z36,INDEX(Traveller_Talent_Mob_Drops,,2)&amp;INDEX(Traveller_Talent_Mob_Drops,,1),INDEX(Traveller_Talent_Mob_Drops,,3),,0,1),0)</f>
        <v>10</v>
      </c>
      <c r="AC36" s="63">
        <v>75</v>
      </c>
      <c r="AD36" s="5">
        <f ca="1">MAX(AB36-AC36,0)</f>
        <v>0</v>
      </c>
      <c r="AE36" s="6">
        <f t="shared" ref="AE36" ca="1" si="243">MAX(_xlfn.FLOOR.MATH(MIN(-(AB36-AC36),MAX((AB38-AC38)*9+(AB37-AC37)*3,0))/3),0)</f>
        <v>0</v>
      </c>
      <c r="AN36" s="135" t="s">
        <v>122</v>
      </c>
      <c r="AO36" s="153" cm="1">
        <f t="array" aca="1" ref="AO36" ca="1">IFERROR(SUM(INDIRECT("'"&amp;_xlfn._xlws.FILTER(Character_Name_List,'Character Data Table'!$E$3:$E$107=AN36,)&amp;"'!J10")),0)</f>
        <v>0</v>
      </c>
      <c r="AP36" s="166">
        <v>7</v>
      </c>
      <c r="AQ36" s="45">
        <f t="shared" ref="AQ36" ca="1" si="244">MAX(AO36-AP36,0)</f>
        <v>0</v>
      </c>
    </row>
    <row r="37" spans="5:43" x14ac:dyDescent="0.25">
      <c r="E37" s="182"/>
      <c r="F37" s="51">
        <v>3</v>
      </c>
      <c r="G37" s="38" cm="1">
        <f t="array" aca="1" ref="G37" ca="1">SUM(INDIRECT("'"&amp;_xlfn._xlws.FILTER(Character_Name_List,INDEX(Character_List,,7)=E36,)&amp;"'!J16"))+SUM('Traveller Lookups'!D37:F37)</f>
        <v>0</v>
      </c>
      <c r="H37" s="68">
        <v>45</v>
      </c>
      <c r="I37" s="38">
        <f ca="1">MAX(G37-(H37+_xlfn.FLOOR.MATH(IF(I36=0,H36-G36,0)/3)),0)</f>
        <v>0</v>
      </c>
      <c r="J37" s="51">
        <f t="shared" ref="J37" ca="1" si="245">MAX(_xlfn.FLOOR.MATH(MIN(-(G37-H37),MAX((G38-H38)*3,0))/3),0)</f>
        <v>0</v>
      </c>
      <c r="L37" s="185"/>
      <c r="M37" s="51">
        <v>4</v>
      </c>
      <c r="N37" s="38">
        <f ca="1">'Weapon Ascension Mat Lookup'!B36</f>
        <v>0</v>
      </c>
      <c r="O37" s="68">
        <v>0</v>
      </c>
      <c r="P37" s="1">
        <f ca="1">MAX(N37-(O37+_xlfn.FLOOR.MATH(IF(P36=0,(O36+_xlfn.FLOOR.MATH(IF(P35=0,O35-N35,0)/3))-N36,0)/3)),0)</f>
        <v>0</v>
      </c>
      <c r="Q37" s="51">
        <f t="shared" ref="Q37" ca="1" si="246">MAX(_xlfn.FLOOR.MATH(MIN(-(N37-O37),MAX((N38-O38)*3,0))/3),0)</f>
        <v>0</v>
      </c>
      <c r="S37" s="191"/>
      <c r="T37" s="54">
        <v>3</v>
      </c>
      <c r="U37" s="38" cm="1">
        <f t="array" aca="1" ref="U37" ca="1">_xlfn.XLOOKUP(Overview!T37&amp;Overview!S36,INDEX(Weapon_Elite_Materials_Totals,,1)&amp;INDEX(Weapon_Elite_Materials_Totals,,2),INDEX(Weapon_Elite_Materials_Totals,,3),,0,1)</f>
        <v>0</v>
      </c>
      <c r="V37" s="68">
        <v>134</v>
      </c>
      <c r="W37" s="1">
        <f t="shared" ref="W37" ca="1" si="247">MAX(U37-(V37+_xlfn.FLOOR.MATH(IF(W36=0,V36-U36,0)/3)),0)</f>
        <v>0</v>
      </c>
      <c r="X37" s="4">
        <f t="shared" ref="X37" ca="1" si="248">MAX(_xlfn.FLOOR.MATH(MIN(-(U37-V37),MAX((U38-V38)*3,0))/3),0)</f>
        <v>0</v>
      </c>
      <c r="Z37" s="191"/>
      <c r="AA37" s="54">
        <v>2</v>
      </c>
      <c r="AB37" s="38" cm="1">
        <f t="array" aca="1" ref="AB37" ca="1">_xlfn.XLOOKUP(Overview!AA37&amp;Overview!Z36,INDEX(Character_Materials_Totals,,1)&amp;INDEX(Character_Materials_Totals,,2),INDEX(Character_Materials_Totals,,3),,0,1)+_xlfn.XLOOKUP(Overview!AA37&amp;Overview!Z36,INDEX(Weapon_Common_Materials_Totals,,1)&amp;INDEX(Weapon_Common_Materials_Totals,,2),INDEX(Weapon_Common_Materials_Totals,,3),,0,1)+IFERROR(_xlfn.XLOOKUP(AA37&amp;Z36,INDEX(Traveller_Talent_Mob_Drops,,2)&amp;INDEX(Traveller_Talent_Mob_Drops,,1),INDEX(Traveller_Talent_Mob_Drops,,3),,0,1),0)</f>
        <v>15</v>
      </c>
      <c r="AC37" s="68">
        <v>16</v>
      </c>
      <c r="AD37" s="1">
        <f t="shared" ref="AD37" ca="1" si="249">MAX(AB37-(AC37+_xlfn.FLOOR.MATH(IF(AD36=0,AC36-AB36,0)/3)),0)</f>
        <v>0</v>
      </c>
      <c r="AE37" s="4">
        <f t="shared" ref="AE37" ca="1" si="250">MAX(_xlfn.FLOOR.MATH(MIN(-(AB37-AC37),MAX((AB38-AC38)*3,0))/3),0)</f>
        <v>0</v>
      </c>
      <c r="AN37" s="135" t="s">
        <v>123</v>
      </c>
      <c r="AO37" s="153" cm="1">
        <f t="array" aca="1" ref="AO37" ca="1">IFERROR(SUM(INDIRECT("'"&amp;_xlfn._xlws.FILTER(Character_Name_List,'Character Data Table'!$E$3:$E$107=AN37,)&amp;"'!J10")),0)</f>
        <v>0</v>
      </c>
      <c r="AP37" s="166">
        <v>0</v>
      </c>
      <c r="AQ37" s="45">
        <f t="shared" ref="AQ37" ca="1" si="251">MAX(AO37-AP37,0)</f>
        <v>0</v>
      </c>
    </row>
    <row r="38" spans="5:43" ht="15.75" thickBot="1" x14ac:dyDescent="0.3">
      <c r="E38" s="189"/>
      <c r="F38" s="78">
        <v>4</v>
      </c>
      <c r="G38" s="83" cm="1">
        <f t="array" aca="1" ref="G38" ca="1">SUM(INDIRECT("'"&amp;_xlfn._xlws.FILTER(Character_Name_List,INDEX(Character_List,,7)=E36,)&amp;"'!J17"))+SUM('Traveller Lookups'!D38:F38)</f>
        <v>0</v>
      </c>
      <c r="H38" s="73">
        <v>16</v>
      </c>
      <c r="I38" s="77">
        <f ca="1">MAX(G38-(H38+_xlfn.FLOOR.MATH(IF(I37=0,(H37+_xlfn.FLOOR.MATH(IF(I36=0,H36-G36,0)/3))-G37,0)/3)),0)</f>
        <v>0</v>
      </c>
      <c r="J38" s="78" t="s">
        <v>45</v>
      </c>
      <c r="L38" s="187"/>
      <c r="M38" s="78">
        <v>5</v>
      </c>
      <c r="N38" s="77">
        <f ca="1">'Weapon Ascension Mat Lookup'!B37</f>
        <v>0</v>
      </c>
      <c r="O38" s="73">
        <v>0</v>
      </c>
      <c r="P38" s="134">
        <f ca="1">MAX(N38-(O38+_xlfn.FLOOR.MATH(IF(P37=0,(O37+_xlfn.FLOOR.MATH(IF(P36=0,(O36+_xlfn.FLOOR.MATH(IF(P35=0,O35-N35,0)/3))-N36,0)/3))-N37,0)/3)),0)</f>
        <v>0</v>
      </c>
      <c r="Q38" s="78" t="s">
        <v>45</v>
      </c>
      <c r="S38" s="192"/>
      <c r="T38" s="53">
        <v>4</v>
      </c>
      <c r="U38" s="70" cm="1">
        <f t="array" aca="1" ref="U38" ca="1">_xlfn.XLOOKUP(Overview!T38&amp;Overview!S36,INDEX(Weapon_Elite_Materials_Totals,,1)&amp;INDEX(Weapon_Elite_Materials_Totals,,2),INDEX(Weapon_Elite_Materials_Totals,,3),,0,1)</f>
        <v>0</v>
      </c>
      <c r="V38" s="71">
        <v>19</v>
      </c>
      <c r="W38" s="9">
        <f t="shared" ref="W38" ca="1" si="252">MAX(U38-(V38+_xlfn.FLOOR.MATH(IF(W37=0,(V37+_xlfn.FLOOR.MATH(IF(W36=0,V36-U36,0)/3))-U37,0)/3)),0)</f>
        <v>0</v>
      </c>
      <c r="X38" s="50" t="s">
        <v>45</v>
      </c>
      <c r="Z38" s="192"/>
      <c r="AA38" s="53">
        <v>3</v>
      </c>
      <c r="AB38" s="70" cm="1">
        <f t="array" aca="1" ref="AB38" ca="1">_xlfn.XLOOKUP(Overview!AA38&amp;Overview!Z36,INDEX(Character_Materials_Totals,,1)&amp;INDEX(Character_Materials_Totals,,2),INDEX(Character_Materials_Totals,,3),,0,1)+_xlfn.XLOOKUP(Overview!AA38&amp;Overview!Z36,INDEX(Weapon_Common_Materials_Totals,,1)&amp;INDEX(Weapon_Common_Materials_Totals,,2),INDEX(Weapon_Common_Materials_Totals,,3),,0,1)+IFERROR(_xlfn.XLOOKUP(AA38&amp;Z36,INDEX(Traveller_Talent_Mob_Drops,,2)&amp;INDEX(Traveller_Talent_Mob_Drops,,1),INDEX(Traveller_Talent_Mob_Drops,,3),,0,1),0)</f>
        <v>18</v>
      </c>
      <c r="AC38" s="71">
        <v>21</v>
      </c>
      <c r="AD38" s="9">
        <f t="shared" ref="AD38" ca="1" si="253">MAX(AB38-(AC38+_xlfn.FLOOR.MATH(IF(AD37=0,(AC37+_xlfn.FLOOR.MATH(IF(AD36=0,AC36-AB36,0)/3))-AB37,0)/3)),0)</f>
        <v>0</v>
      </c>
      <c r="AE38" s="50" t="s">
        <v>45</v>
      </c>
      <c r="AN38" s="135" t="s">
        <v>124</v>
      </c>
      <c r="AO38" s="153" cm="1">
        <f t="array" aca="1" ref="AO38" ca="1">IFERROR(SUM(INDIRECT("'"&amp;_xlfn._xlws.FILTER(Character_Name_List,'Character Data Table'!$E$3:$E$107=AN38,)&amp;"'!J10")),0)</f>
        <v>0</v>
      </c>
      <c r="AP38" s="166">
        <v>7</v>
      </c>
      <c r="AQ38" s="45">
        <f t="shared" ref="AQ38" ca="1" si="254">MAX(AO38-AP38,0)</f>
        <v>0</v>
      </c>
    </row>
    <row r="39" spans="5:43" ht="15.75" thickTop="1" x14ac:dyDescent="0.25">
      <c r="E39" s="181" t="s">
        <v>125</v>
      </c>
      <c r="F39" s="148">
        <v>2</v>
      </c>
      <c r="G39" s="152" cm="1">
        <f t="array" aca="1" ref="G39" ca="1">SUM(INDIRECT("'"&amp;_xlfn._xlws.FILTER(Character_Name_List,INDEX(Character_List,,7)=E39,)&amp;"'!J15"))+SUM('Traveller Lookups'!D39:F39)</f>
        <v>0</v>
      </c>
      <c r="H39" s="150">
        <v>31</v>
      </c>
      <c r="I39" s="149">
        <f ca="1">MAX(G39-H39,0)</f>
        <v>0</v>
      </c>
      <c r="J39" s="148">
        <f t="shared" ref="J39" ca="1" si="255">MAX(_xlfn.FLOOR.MATH(MIN(-(G39-H39),MAX((G41-H41)*9+(G40-H40)*3,0))/3),0)</f>
        <v>0</v>
      </c>
      <c r="L39" s="181" t="s">
        <v>107</v>
      </c>
      <c r="M39" s="148">
        <v>2</v>
      </c>
      <c r="N39" s="149">
        <f ca="1">'Weapon Ascension Mat Lookup'!B38</f>
        <v>0</v>
      </c>
      <c r="O39" s="150">
        <v>8</v>
      </c>
      <c r="P39" s="151">
        <f t="shared" ref="P39" ca="1" si="256">MAX(N39-O39,0)</f>
        <v>0</v>
      </c>
      <c r="Q39" s="148">
        <f t="shared" ref="Q39" ca="1" si="257">MAX(_xlfn.FLOOR.MATH(MIN(-(N39-O39),MAX((N42-O42)*27+(N41-O41)*9+(N40-O40)*3,0))/3),0)</f>
        <v>0</v>
      </c>
      <c r="S39" s="190" t="s">
        <v>126</v>
      </c>
      <c r="T39" s="57">
        <v>2</v>
      </c>
      <c r="U39" s="38" cm="1">
        <f t="array" aca="1" ref="U39" ca="1">_xlfn.XLOOKUP(Overview!T39&amp;Overview!S39,INDEX(Weapon_Elite_Materials_Totals,,1)&amp;INDEX(Weapon_Elite_Materials_Totals,,2),INDEX(Weapon_Elite_Materials_Totals,,3),,0,1)</f>
        <v>0</v>
      </c>
      <c r="V39" s="63">
        <v>467</v>
      </c>
      <c r="W39" s="5">
        <f ca="1">MAX(U39-V39,0)</f>
        <v>0</v>
      </c>
      <c r="X39" s="6">
        <f t="shared" ref="X39" ca="1" si="258">MAX(_xlfn.FLOOR.MATH(MIN(-(U39-V39),MAX((U41-V41)*9+(U40-V40)*3,0))/3),0)</f>
        <v>0</v>
      </c>
      <c r="Z39" s="190" t="s">
        <v>127</v>
      </c>
      <c r="AA39" s="57">
        <v>1</v>
      </c>
      <c r="AB39" s="38" cm="1">
        <f t="array" aca="1" ref="AB39" ca="1">_xlfn.XLOOKUP(Overview!AA39&amp;Overview!Z39,INDEX(Character_Materials_Totals,,1)&amp;INDEX(Character_Materials_Totals,,2),INDEX(Character_Materials_Totals,,3),,0,1)+_xlfn.XLOOKUP(Overview!AA39&amp;Overview!Z39,INDEX(Weapon_Common_Materials_Totals,,1)&amp;INDEX(Weapon_Common_Materials_Totals,,2),INDEX(Weapon_Common_Materials_Totals,,3),,0,1)+IFERROR(_xlfn.XLOOKUP(AA39&amp;Z39,INDEX(Traveller_Talent_Mob_Drops,,2)&amp;INDEX(Traveller_Talent_Mob_Drops,,1),INDEX(Traveller_Talent_Mob_Drops,,3),,0,1),0)</f>
        <v>0</v>
      </c>
      <c r="AC39" s="63">
        <v>43</v>
      </c>
      <c r="AD39" s="5">
        <f ca="1">MAX(AB39-AC39,0)</f>
        <v>0</v>
      </c>
      <c r="AE39" s="6">
        <f t="shared" ref="AE39" ca="1" si="259">MAX(_xlfn.FLOOR.MATH(MIN(-(AB39-AC39),MAX((AB41-AC41)*9+(AB40-AC40)*3,0))/3),0)</f>
        <v>0</v>
      </c>
      <c r="AN39" s="135" t="s">
        <v>896</v>
      </c>
      <c r="AO39" s="153" cm="1">
        <f t="array" aca="1" ref="AO39" ca="1">IFERROR(SUM(INDIRECT("'"&amp;_xlfn._xlws.FILTER(Character_Name_List,'Character Data Table'!$E$3:$E$107=AN39,)&amp;"'!J10")),0)</f>
        <v>0</v>
      </c>
      <c r="AP39" s="166">
        <v>2</v>
      </c>
      <c r="AQ39" s="45">
        <f t="shared" ref="AQ39" ca="1" si="260">MAX(AO39-AP39,0)</f>
        <v>0</v>
      </c>
    </row>
    <row r="40" spans="5:43" x14ac:dyDescent="0.25">
      <c r="E40" s="182"/>
      <c r="F40" s="51">
        <v>3</v>
      </c>
      <c r="G40" s="38" cm="1">
        <f t="array" aca="1" ref="G40" ca="1">SUM(INDIRECT("'"&amp;_xlfn._xlws.FILTER(Character_Name_List,INDEX(Character_List,,7)=E39,)&amp;"'!J16"))+SUM('Traveller Lookups'!D40:F40)</f>
        <v>0</v>
      </c>
      <c r="H40" s="68">
        <v>64</v>
      </c>
      <c r="I40" s="38">
        <f ca="1">MAX(G40-(H40+_xlfn.FLOOR.MATH(IF(I39=0,H39-G39,0)/3)),0)</f>
        <v>0</v>
      </c>
      <c r="J40" s="51">
        <f t="shared" ref="J40" ca="1" si="261">MAX(_xlfn.FLOOR.MATH(MIN(-(G40-H40),MAX((G41-H41)*3,0))/3),0)</f>
        <v>0</v>
      </c>
      <c r="L40" s="182"/>
      <c r="M40" s="51">
        <v>3</v>
      </c>
      <c r="N40" s="38">
        <f ca="1">'Weapon Ascension Mat Lookup'!B39</f>
        <v>0</v>
      </c>
      <c r="O40" s="68">
        <v>17</v>
      </c>
      <c r="P40" s="1">
        <f t="shared" ref="P40" ca="1" si="262">MAX(N40-(O40+_xlfn.FLOOR.MATH(IF(P39=0,O39-N39,0)/3)),0)</f>
        <v>0</v>
      </c>
      <c r="Q40" s="51">
        <f t="shared" ref="Q40" ca="1" si="263">MAX(_xlfn.FLOOR.MATH(MIN(-(N40-O40),MAX((N42-O42)*9+(N41-O41)*3,0))/3),0)</f>
        <v>0</v>
      </c>
      <c r="S40" s="191"/>
      <c r="T40" s="54">
        <v>3</v>
      </c>
      <c r="U40" s="38" cm="1">
        <f t="array" aca="1" ref="U40" ca="1">_xlfn.XLOOKUP(Overview!T40&amp;Overview!S39,INDEX(Weapon_Elite_Materials_Totals,,1)&amp;INDEX(Weapon_Elite_Materials_Totals,,2),INDEX(Weapon_Elite_Materials_Totals,,3),,0,1)</f>
        <v>0</v>
      </c>
      <c r="V40" s="68">
        <v>108</v>
      </c>
      <c r="W40" s="1">
        <f t="shared" ref="W40" ca="1" si="264">MAX(U40-(V40+_xlfn.FLOOR.MATH(IF(W39=0,V39-U39,0)/3)),0)</f>
        <v>0</v>
      </c>
      <c r="X40" s="4">
        <f t="shared" ref="X40" ca="1" si="265">MAX(_xlfn.FLOOR.MATH(MIN(-(U40-V40),MAX((U41-V41)*3,0))/3),0)</f>
        <v>0</v>
      </c>
      <c r="Z40" s="191"/>
      <c r="AA40" s="54">
        <v>2</v>
      </c>
      <c r="AB40" s="38" cm="1">
        <f t="array" aca="1" ref="AB40" ca="1">_xlfn.XLOOKUP(Overview!AA40&amp;Overview!Z39,INDEX(Character_Materials_Totals,,1)&amp;INDEX(Character_Materials_Totals,,2),INDEX(Character_Materials_Totals,,3),,0,1)+_xlfn.XLOOKUP(Overview!AA40&amp;Overview!Z39,INDEX(Weapon_Common_Materials_Totals,,1)&amp;INDEX(Weapon_Common_Materials_Totals,,2),INDEX(Weapon_Common_Materials_Totals,,3),,0,1)+IFERROR(_xlfn.XLOOKUP(AA40&amp;Z39,INDEX(Traveller_Talent_Mob_Drops,,2)&amp;INDEX(Traveller_Talent_Mob_Drops,,1),INDEX(Traveller_Talent_Mob_Drops,,3),,0,1),0)</f>
        <v>0</v>
      </c>
      <c r="AC40" s="68">
        <v>29</v>
      </c>
      <c r="AD40" s="1">
        <f t="shared" ref="AD40" ca="1" si="266">MAX(AB40-(AC40+_xlfn.FLOOR.MATH(IF(AD39=0,AC39-AB39,0)/3)),0)</f>
        <v>0</v>
      </c>
      <c r="AE40" s="4">
        <f t="shared" ref="AE40" ca="1" si="267">MAX(_xlfn.FLOOR.MATH(MIN(-(AB40-AC40),MAX((AB41-AC41)*3,0))/3),0)</f>
        <v>0</v>
      </c>
      <c r="AN40" s="135" t="s">
        <v>908</v>
      </c>
      <c r="AO40" s="153" cm="1">
        <f t="array" aca="1" ref="AO40" ca="1">IFERROR(SUM(INDIRECT("'"&amp;_xlfn._xlws.FILTER(Character_Name_List,'Character Data Table'!$E$3:$E$107=AN40,)&amp;"'!J10")),0)</f>
        <v>20</v>
      </c>
      <c r="AP40" s="166">
        <v>45</v>
      </c>
      <c r="AQ40" s="45">
        <f t="shared" ref="AQ40" ca="1" si="268">MAX(AO40-AP40,0)</f>
        <v>0</v>
      </c>
    </row>
    <row r="41" spans="5:43" ht="15.75" thickBot="1" x14ac:dyDescent="0.3">
      <c r="E41" s="183"/>
      <c r="F41" s="50">
        <v>4</v>
      </c>
      <c r="G41" s="80" cm="1">
        <f t="array" aca="1" ref="G41" ca="1">SUM(INDIRECT("'"&amp;_xlfn._xlws.FILTER(Character_Name_List,INDEX(Character_List,,7)=E39,)&amp;"'!J17"))+SUM('Traveller Lookups'!D41:F41)</f>
        <v>0</v>
      </c>
      <c r="H41" s="71">
        <v>2</v>
      </c>
      <c r="I41" s="70">
        <f ca="1">MAX(G41-(H41+_xlfn.FLOOR.MATH(IF(I40=0,(H40+_xlfn.FLOOR.MATH(IF(I39=0,H39-G39,0)/3))-G40,0)/3)),0)</f>
        <v>0</v>
      </c>
      <c r="J41" s="50" t="s">
        <v>45</v>
      </c>
      <c r="L41" s="182"/>
      <c r="M41" s="51">
        <v>4</v>
      </c>
      <c r="N41" s="38">
        <f ca="1">'Weapon Ascension Mat Lookup'!B40</f>
        <v>0</v>
      </c>
      <c r="O41" s="68">
        <v>4</v>
      </c>
      <c r="P41" s="1">
        <f t="shared" ref="P41" ca="1" si="269">MAX(N41-(O41+_xlfn.FLOOR.MATH(IF(P40=0,(O40+_xlfn.FLOOR.MATH(IF(P39=0,O39-N39,0)/3))-N40,0)/3)),0)</f>
        <v>0</v>
      </c>
      <c r="Q41" s="51">
        <f t="shared" ref="Q41" ca="1" si="270">MAX(_xlfn.FLOOR.MATH(MIN(-(N41-O41),MAX((N42-O42)*3,0))/3),0)</f>
        <v>0</v>
      </c>
      <c r="S41" s="192"/>
      <c r="T41" s="53">
        <v>4</v>
      </c>
      <c r="U41" s="70" cm="1">
        <f t="array" aca="1" ref="U41" ca="1">_xlfn.XLOOKUP(Overview!T41&amp;Overview!S39,INDEX(Weapon_Elite_Materials_Totals,,1)&amp;INDEX(Weapon_Elite_Materials_Totals,,2),INDEX(Weapon_Elite_Materials_Totals,,3),,0,1)</f>
        <v>0</v>
      </c>
      <c r="V41" s="71">
        <v>32</v>
      </c>
      <c r="W41" s="9">
        <f t="shared" ref="W41" ca="1" si="271">MAX(U41-(V41+_xlfn.FLOOR.MATH(IF(W40=0,(V40+_xlfn.FLOOR.MATH(IF(W39=0,V39-U39,0)/3))-U40,0)/3)),0)</f>
        <v>0</v>
      </c>
      <c r="X41" s="50" t="s">
        <v>45</v>
      </c>
      <c r="Z41" s="192"/>
      <c r="AA41" s="53">
        <v>3</v>
      </c>
      <c r="AB41" s="70" cm="1">
        <f t="array" aca="1" ref="AB41" ca="1">_xlfn.XLOOKUP(Overview!AA41&amp;Overview!Z39,INDEX(Character_Materials_Totals,,1)&amp;INDEX(Character_Materials_Totals,,2),INDEX(Character_Materials_Totals,,3),,0,1)+_xlfn.XLOOKUP(Overview!AA41&amp;Overview!Z39,INDEX(Weapon_Common_Materials_Totals,,1)&amp;INDEX(Weapon_Common_Materials_Totals,,2),INDEX(Weapon_Common_Materials_Totals,,3),,0,1)+IFERROR(_xlfn.XLOOKUP(AA41&amp;Z39,INDEX(Traveller_Talent_Mob_Drops,,2)&amp;INDEX(Traveller_Talent_Mob_Drops,,1),INDEX(Traveller_Talent_Mob_Drops,,3),,0,1),0)</f>
        <v>0</v>
      </c>
      <c r="AC41" s="71">
        <v>27</v>
      </c>
      <c r="AD41" s="9">
        <f t="shared" ref="AD41" ca="1" si="272">MAX(AB41-(AC41+_xlfn.FLOOR.MATH(IF(AD40=0,(AC40+_xlfn.FLOOR.MATH(IF(AD39=0,AC39-AB39,0)/3))-AB40,0)/3)),0)</f>
        <v>0</v>
      </c>
      <c r="AE41" s="50" t="s">
        <v>45</v>
      </c>
      <c r="AN41" s="90"/>
      <c r="AO41" s="82"/>
      <c r="AP41" s="32">
        <v>1</v>
      </c>
      <c r="AQ41" s="18"/>
    </row>
    <row r="42" spans="5:43" ht="15.75" thickBot="1" x14ac:dyDescent="0.3">
      <c r="E42" s="188" t="s">
        <v>128</v>
      </c>
      <c r="F42" s="49">
        <v>2</v>
      </c>
      <c r="G42" s="64" cm="1">
        <f t="array" aca="1" ref="G42" ca="1">SUM(INDIRECT("'"&amp;_xlfn._xlws.FILTER(Character_Name_List,INDEX(Character_List,,7)=E42,)&amp;"'!J15"))+SUM('Traveller Lookups'!D42:F42)</f>
        <v>0</v>
      </c>
      <c r="H42" s="65">
        <v>12</v>
      </c>
      <c r="I42" s="64">
        <f ca="1">MAX(G42-H42,0)</f>
        <v>0</v>
      </c>
      <c r="J42" s="49">
        <f t="shared" ref="J42" ca="1" si="273">MAX(_xlfn.FLOOR.MATH(MIN(-(G42-H42),MAX((G44-H44)*9+(G43-H43)*3,0))/3),0)</f>
        <v>0</v>
      </c>
      <c r="L42" s="183"/>
      <c r="M42" s="50">
        <v>5</v>
      </c>
      <c r="N42" s="70">
        <f ca="1">'Weapon Ascension Mat Lookup'!B41</f>
        <v>0</v>
      </c>
      <c r="O42" s="71">
        <v>0</v>
      </c>
      <c r="P42" s="9">
        <f t="shared" ref="P42" ca="1" si="274">MAX(N42-(O42+_xlfn.FLOOR.MATH(IF(P41=0,(O41+_xlfn.FLOOR.MATH(IF(P40=0,(O40+_xlfn.FLOOR.MATH(IF(P39=0,O39-N39,0)/3))-N40,0)/3))-N41,0)/3)),0)</f>
        <v>0</v>
      </c>
      <c r="Q42" s="50" t="s">
        <v>45</v>
      </c>
      <c r="S42" s="190" t="s">
        <v>129</v>
      </c>
      <c r="T42" s="57">
        <v>2</v>
      </c>
      <c r="U42" s="38" cm="1">
        <f t="array" aca="1" ref="U42" ca="1">_xlfn.XLOOKUP(Overview!T42&amp;Overview!S42,INDEX(Weapon_Elite_Materials_Totals,,1)&amp;INDEX(Weapon_Elite_Materials_Totals,,2),INDEX(Weapon_Elite_Materials_Totals,,3),,0,1)</f>
        <v>0</v>
      </c>
      <c r="V42" s="63">
        <v>46</v>
      </c>
      <c r="W42" s="5">
        <f ca="1">MAX(U42-V42,0)</f>
        <v>0</v>
      </c>
      <c r="X42" s="6">
        <f t="shared" ref="X42" ca="1" si="275">MAX(_xlfn.FLOOR.MATH(MIN(-(U42-V42),MAX((U44-V44)*9+(U43-V43)*3,0))/3),0)</f>
        <v>0</v>
      </c>
      <c r="Z42" s="190" t="s">
        <v>130</v>
      </c>
      <c r="AA42" s="57">
        <v>1</v>
      </c>
      <c r="AB42" s="38" cm="1">
        <f t="array" aca="1" ref="AB42" ca="1">_xlfn.XLOOKUP(Overview!AA42&amp;Overview!Z42,INDEX(Character_Materials_Totals,,1)&amp;INDEX(Character_Materials_Totals,,2),INDEX(Character_Materials_Totals,,3),,0,1)+_xlfn.XLOOKUP(Overview!AA42&amp;Overview!Z42,INDEX(Weapon_Common_Materials_Totals,,1)&amp;INDEX(Weapon_Common_Materials_Totals,,2),INDEX(Weapon_Common_Materials_Totals,,3),,0,1)+IFERROR(_xlfn.XLOOKUP(AA42&amp;Z42,INDEX(Traveller_Talent_Mob_Drops,,2)&amp;INDEX(Traveller_Talent_Mob_Drops,,1),INDEX(Traveller_Talent_Mob_Drops,,3),,0,1),0)</f>
        <v>0</v>
      </c>
      <c r="AC42" s="63">
        <v>722</v>
      </c>
      <c r="AD42" s="5">
        <f ca="1">MAX(AB42-AC42,0)</f>
        <v>0</v>
      </c>
      <c r="AE42" s="6">
        <f t="shared" ref="AE42" ca="1" si="276">MAX(_xlfn.FLOOR.MATH(MIN(-(AB42-AC42),MAX((AB44-AC44)*9+(AB43-AC43)*3,0))/3),0)</f>
        <v>0</v>
      </c>
    </row>
    <row r="43" spans="5:43" x14ac:dyDescent="0.25">
      <c r="E43" s="182"/>
      <c r="F43" s="51">
        <v>3</v>
      </c>
      <c r="G43" s="38" cm="1">
        <f t="array" aca="1" ref="G43" ca="1">SUM(INDIRECT("'"&amp;_xlfn._xlws.FILTER(Character_Name_List,INDEX(Character_List,,7)=E42,)&amp;"'!J16"))+SUM('Traveller Lookups'!D43:F43)</f>
        <v>0</v>
      </c>
      <c r="H43" s="68">
        <v>19</v>
      </c>
      <c r="I43" s="38">
        <f ca="1">MAX(G43-(H43+_xlfn.FLOOR.MATH(IF(I42=0,H42-G42,0)/3)),0)</f>
        <v>0</v>
      </c>
      <c r="J43" s="51">
        <f t="shared" ref="J43" ca="1" si="277">MAX(_xlfn.FLOOR.MATH(MIN(-(G43-H43),MAX((G44-H44)*3,0))/3),0)</f>
        <v>0</v>
      </c>
      <c r="L43" s="184" t="s">
        <v>113</v>
      </c>
      <c r="M43" s="49">
        <v>2</v>
      </c>
      <c r="N43" s="64">
        <f ca="1">'Weapon Ascension Mat Lookup'!B42</f>
        <v>0</v>
      </c>
      <c r="O43" s="65">
        <v>44</v>
      </c>
      <c r="P43" s="2">
        <f t="shared" ref="P43" ca="1" si="278">MAX(N43-O43,0)</f>
        <v>0</v>
      </c>
      <c r="Q43" s="49">
        <f t="shared" ref="Q43" ca="1" si="279">MAX(_xlfn.FLOOR.MATH(MIN(-(N43-O43),MAX((N46-O46)*27+(N45-O45)*9+(N44-O44)*3,0))/3),0)</f>
        <v>0</v>
      </c>
      <c r="S43" s="191"/>
      <c r="T43" s="54">
        <v>3</v>
      </c>
      <c r="U43" s="38" cm="1">
        <f t="array" aca="1" ref="U43" ca="1">_xlfn.XLOOKUP(Overview!T43&amp;Overview!S42,INDEX(Weapon_Elite_Materials_Totals,,1)&amp;INDEX(Weapon_Elite_Materials_Totals,,2),INDEX(Weapon_Elite_Materials_Totals,,3),,0,1)</f>
        <v>0</v>
      </c>
      <c r="V43" s="68">
        <v>15</v>
      </c>
      <c r="W43" s="1">
        <f t="shared" ref="W43" ca="1" si="280">MAX(U43-(V43+_xlfn.FLOOR.MATH(IF(W42=0,V42-U42,0)/3)),0)</f>
        <v>0</v>
      </c>
      <c r="X43" s="4">
        <f t="shared" ref="X43" ca="1" si="281">MAX(_xlfn.FLOOR.MATH(MIN(-(U43-V43),MAX((U44-V44)*3,0))/3),0)</f>
        <v>0</v>
      </c>
      <c r="Z43" s="191"/>
      <c r="AA43" s="54">
        <v>2</v>
      </c>
      <c r="AB43" s="38" cm="1">
        <f t="array" aca="1" ref="AB43" ca="1">_xlfn.XLOOKUP(Overview!AA43&amp;Overview!Z42,INDEX(Character_Materials_Totals,,1)&amp;INDEX(Character_Materials_Totals,,2),INDEX(Character_Materials_Totals,,3),,0,1)+_xlfn.XLOOKUP(Overview!AA43&amp;Overview!Z42,INDEX(Weapon_Common_Materials_Totals,,1)&amp;INDEX(Weapon_Common_Materials_Totals,,2),INDEX(Weapon_Common_Materials_Totals,,3),,0,1)+IFERROR(_xlfn.XLOOKUP(AA43&amp;Z42,INDEX(Traveller_Talent_Mob_Drops,,2)&amp;INDEX(Traveller_Talent_Mob_Drops,,1),INDEX(Traveller_Talent_Mob_Drops,,3),,0,1),0)</f>
        <v>0</v>
      </c>
      <c r="AC43" s="68">
        <v>197</v>
      </c>
      <c r="AD43" s="1">
        <f t="shared" ref="AD43" ca="1" si="282">MAX(AB43-(AC43+_xlfn.FLOOR.MATH(IF(AD42=0,AC42-AB42,0)/3)),0)</f>
        <v>0</v>
      </c>
      <c r="AE43" s="4">
        <f t="shared" ref="AE43" ca="1" si="283">MAX(_xlfn.FLOOR.MATH(MIN(-(AB43-AC43),MAX((AB44-AC44)*3,0))/3),0)</f>
        <v>0</v>
      </c>
    </row>
    <row r="44" spans="5:43" ht="15.75" thickBot="1" x14ac:dyDescent="0.3">
      <c r="E44" s="183"/>
      <c r="F44" s="50">
        <v>4</v>
      </c>
      <c r="G44" s="80" cm="1">
        <f t="array" aca="1" ref="G44" ca="1">SUM(INDIRECT("'"&amp;_xlfn._xlws.FILTER(Character_Name_List,INDEX(Character_List,,7)=E42,)&amp;"'!J17"))+SUM('Traveller Lookups'!D44:F44)</f>
        <v>0</v>
      </c>
      <c r="H44" s="71">
        <v>0</v>
      </c>
      <c r="I44" s="70">
        <f ca="1">MAX(G44-(H44+_xlfn.FLOOR.MATH(IF(I43=0,(H43+_xlfn.FLOOR.MATH(IF(I42=0,H42-G42,0)/3))-G43,0)/3)),0)</f>
        <v>0</v>
      </c>
      <c r="J44" s="50" t="s">
        <v>45</v>
      </c>
      <c r="L44" s="185"/>
      <c r="M44" s="51">
        <v>3</v>
      </c>
      <c r="N44" s="38">
        <f ca="1">'Weapon Ascension Mat Lookup'!B43</f>
        <v>0</v>
      </c>
      <c r="O44" s="68">
        <v>70</v>
      </c>
      <c r="P44" s="1">
        <f t="shared" ref="P44" ca="1" si="284">MAX(N44-(O44+_xlfn.FLOOR.MATH(IF(P43=0,O43-N43,0)/3)),0)</f>
        <v>0</v>
      </c>
      <c r="Q44" s="51">
        <f t="shared" ref="Q44" ca="1" si="285">MAX(_xlfn.FLOOR.MATH(MIN(-(N44-O44),MAX((N46-O46)*9+(N45-O45)*3,0))/3),0)</f>
        <v>0</v>
      </c>
      <c r="S44" s="192"/>
      <c r="T44" s="53">
        <v>4</v>
      </c>
      <c r="U44" s="70" cm="1">
        <f t="array" aca="1" ref="U44" ca="1">_xlfn.XLOOKUP(Overview!T44&amp;Overview!S42,INDEX(Weapon_Elite_Materials_Totals,,1)&amp;INDEX(Weapon_Elite_Materials_Totals,,2),INDEX(Weapon_Elite_Materials_Totals,,3),,0,1)</f>
        <v>0</v>
      </c>
      <c r="V44" s="71">
        <v>4</v>
      </c>
      <c r="W44" s="9">
        <f t="shared" ref="W44" ca="1" si="286">MAX(U44-(V44+_xlfn.FLOOR.MATH(IF(W43=0,(V43+_xlfn.FLOOR.MATH(IF(W42=0,V42-U42,0)/3))-U43,0)/3)),0)</f>
        <v>0</v>
      </c>
      <c r="X44" s="50" t="s">
        <v>45</v>
      </c>
      <c r="Z44" s="192"/>
      <c r="AA44" s="53">
        <v>3</v>
      </c>
      <c r="AB44" s="70" cm="1">
        <f t="array" aca="1" ref="AB44" ca="1">_xlfn.XLOOKUP(Overview!AA44&amp;Overview!Z42,INDEX(Character_Materials_Totals,,1)&amp;INDEX(Character_Materials_Totals,,2),INDEX(Character_Materials_Totals,,3),,0,1)+_xlfn.XLOOKUP(Overview!AA44&amp;Overview!Z42,INDEX(Weapon_Common_Materials_Totals,,1)&amp;INDEX(Weapon_Common_Materials_Totals,,2),INDEX(Weapon_Common_Materials_Totals,,3),,0,1)+IFERROR(_xlfn.XLOOKUP(AA44&amp;Z42,INDEX(Traveller_Talent_Mob_Drops,,2)&amp;INDEX(Traveller_Talent_Mob_Drops,,1),INDEX(Traveller_Talent_Mob_Drops,,3),,0,1),0)</f>
        <v>0</v>
      </c>
      <c r="AC44" s="71">
        <v>42</v>
      </c>
      <c r="AD44" s="9">
        <f t="shared" ref="AD44" ca="1" si="287">MAX(AB44-(AC44+_xlfn.FLOOR.MATH(IF(AD43=0,(AC43+_xlfn.FLOOR.MATH(IF(AD42=0,AC42-AB42,0)/3))-AB43,0)/3)),0)</f>
        <v>0</v>
      </c>
      <c r="AE44" s="50" t="s">
        <v>45</v>
      </c>
    </row>
    <row r="45" spans="5:43" x14ac:dyDescent="0.25">
      <c r="E45" s="188" t="s">
        <v>131</v>
      </c>
      <c r="F45" s="49">
        <v>2</v>
      </c>
      <c r="G45" s="64" cm="1">
        <f t="array" aca="1" ref="G45" ca="1">SUM(INDIRECT("'"&amp;_xlfn._xlws.FILTER(Character_Name_List,INDEX(Character_List,,7)=E45,)&amp;"'!J15"))+SUM('Traveller Lookups'!D45:F45)</f>
        <v>0</v>
      </c>
      <c r="H45" s="65">
        <v>15</v>
      </c>
      <c r="I45" s="64">
        <f ca="1">MAX(G45-H45,0)</f>
        <v>0</v>
      </c>
      <c r="J45" s="49">
        <f t="shared" ref="J45" ca="1" si="288">MAX(_xlfn.FLOOR.MATH(MIN(-(G45-H45),MAX((G47-H47)*9+(G46-H46)*3,0))/3),0)</f>
        <v>0</v>
      </c>
      <c r="L45" s="185"/>
      <c r="M45" s="51">
        <v>4</v>
      </c>
      <c r="N45" s="38">
        <f ca="1">'Weapon Ascension Mat Lookup'!B44</f>
        <v>0</v>
      </c>
      <c r="O45" s="68">
        <v>13</v>
      </c>
      <c r="P45" s="1">
        <f t="shared" ref="P45" ca="1" si="289">MAX(N45-(O45+_xlfn.FLOOR.MATH(IF(P44=0,(O44+_xlfn.FLOOR.MATH(IF(P43=0,O43-N43,0)/3))-N44,0)/3)),0)</f>
        <v>0</v>
      </c>
      <c r="Q45" s="51">
        <f t="shared" ref="Q45" ca="1" si="290">MAX(_xlfn.FLOOR.MATH(MIN(-(N45-O45),MAX((N46-O46)*3,0))/3),0)</f>
        <v>0</v>
      </c>
      <c r="S45" s="190" t="s">
        <v>132</v>
      </c>
      <c r="T45" s="57">
        <v>2</v>
      </c>
      <c r="U45" s="38" cm="1">
        <f t="array" aca="1" ref="U45" ca="1">_xlfn.XLOOKUP(Overview!T45&amp;Overview!S45,INDEX(Weapon_Elite_Materials_Totals,,1)&amp;INDEX(Weapon_Elite_Materials_Totals,,2),INDEX(Weapon_Elite_Materials_Totals,,3),,0,1)</f>
        <v>0</v>
      </c>
      <c r="V45" s="63">
        <v>303</v>
      </c>
      <c r="W45" s="5">
        <f ca="1">MAX(U45-V45,0)</f>
        <v>0</v>
      </c>
      <c r="X45" s="6">
        <f t="shared" ref="X45" ca="1" si="291">MAX(_xlfn.FLOOR.MATH(MIN(-(U45-V45),MAX((U47-V47)*9+(U46-V46)*3,0))/3),0)</f>
        <v>0</v>
      </c>
      <c r="Z45" s="190" t="s">
        <v>133</v>
      </c>
      <c r="AA45" s="57">
        <v>1</v>
      </c>
      <c r="AB45" s="38" cm="1">
        <f t="array" aca="1" ref="AB45" ca="1">_xlfn.XLOOKUP(Overview!AA45&amp;Overview!Z45,INDEX(Character_Materials_Totals,,1)&amp;INDEX(Character_Materials_Totals,,2),INDEX(Character_Materials_Totals,,3),,0,1)+_xlfn.XLOOKUP(Overview!AA45&amp;Overview!Z45,INDEX(Weapon_Common_Materials_Totals,,1)&amp;INDEX(Weapon_Common_Materials_Totals,,2),INDEX(Weapon_Common_Materials_Totals,,3),,0,1)+IFERROR(_xlfn.XLOOKUP(AA45&amp;Z45,INDEX(Traveller_Talent_Mob_Drops,,2)&amp;INDEX(Traveller_Talent_Mob_Drops,,1),INDEX(Traveller_Talent_Mob_Drops,,3),,0,1),0)</f>
        <v>0</v>
      </c>
      <c r="AC45" s="63">
        <v>2634</v>
      </c>
      <c r="AD45" s="5">
        <f ca="1">MAX(AB45-AC45,0)</f>
        <v>0</v>
      </c>
      <c r="AE45" s="6">
        <f t="shared" ref="AE45" ca="1" si="292">MAX(_xlfn.FLOOR.MATH(MIN(-(AB45-AC45),MAX((AB47-AC47)*9+(AB46-AC46)*3,0))/3),0)</f>
        <v>0</v>
      </c>
    </row>
    <row r="46" spans="5:43" ht="15.75" thickBot="1" x14ac:dyDescent="0.3">
      <c r="E46" s="182"/>
      <c r="F46" s="51">
        <v>3</v>
      </c>
      <c r="G46" s="38" cm="1">
        <f t="array" aca="1" ref="G46" ca="1">SUM(INDIRECT("'"&amp;_xlfn._xlws.FILTER(Character_Name_List,INDEX(Character_List,,7)=E45,)&amp;"'!J16"))+SUM('Traveller Lookups'!D46:F46)</f>
        <v>0</v>
      </c>
      <c r="H46" s="68">
        <v>57</v>
      </c>
      <c r="I46" s="38">
        <f ca="1">MAX(G46-(H46+_xlfn.FLOOR.MATH(IF(I45=0,H45-G45,0)/3)),0)</f>
        <v>0</v>
      </c>
      <c r="J46" s="51">
        <f t="shared" ref="J46" ca="1" si="293">MAX(_xlfn.FLOOR.MATH(MIN(-(G46-H46),MAX((G47-H47)*3,0))/3),0)</f>
        <v>0</v>
      </c>
      <c r="L46" s="186"/>
      <c r="M46" s="50">
        <v>5</v>
      </c>
      <c r="N46" s="70">
        <f ca="1">'Weapon Ascension Mat Lookup'!B45</f>
        <v>0</v>
      </c>
      <c r="O46" s="71">
        <v>2</v>
      </c>
      <c r="P46" s="9">
        <f t="shared" ref="P46" ca="1" si="294">MAX(N46-(O46+_xlfn.FLOOR.MATH(IF(P45=0,(O45+_xlfn.FLOOR.MATH(IF(P44=0,(O44+_xlfn.FLOOR.MATH(IF(P43=0,O43-N43,0)/3))-N44,0)/3))-N45,0)/3)),0)</f>
        <v>0</v>
      </c>
      <c r="Q46" s="50" t="s">
        <v>45</v>
      </c>
      <c r="S46" s="191"/>
      <c r="T46" s="54">
        <v>3</v>
      </c>
      <c r="U46" s="38" cm="1">
        <f t="array" aca="1" ref="U46" ca="1">_xlfn.XLOOKUP(Overview!T46&amp;Overview!S45,INDEX(Weapon_Elite_Materials_Totals,,1)&amp;INDEX(Weapon_Elite_Materials_Totals,,2),INDEX(Weapon_Elite_Materials_Totals,,3),,0,1)</f>
        <v>0</v>
      </c>
      <c r="V46" s="68">
        <v>68</v>
      </c>
      <c r="W46" s="1">
        <f t="shared" ref="W46" ca="1" si="295">MAX(U46-(V46+_xlfn.FLOOR.MATH(IF(W45=0,V45-U45,0)/3)),0)</f>
        <v>0</v>
      </c>
      <c r="X46" s="4">
        <f t="shared" ref="X46" ca="1" si="296">MAX(_xlfn.FLOOR.MATH(MIN(-(U46-V46),MAX((U47-V47)*3,0))/3),0)</f>
        <v>0</v>
      </c>
      <c r="Z46" s="191"/>
      <c r="AA46" s="54">
        <v>2</v>
      </c>
      <c r="AB46" s="38" cm="1">
        <f t="array" aca="1" ref="AB46" ca="1">_xlfn.XLOOKUP(Overview!AA46&amp;Overview!Z45,INDEX(Character_Materials_Totals,,1)&amp;INDEX(Character_Materials_Totals,,2),INDEX(Character_Materials_Totals,,3),,0,1)+_xlfn.XLOOKUP(Overview!AA46&amp;Overview!Z45,INDEX(Weapon_Common_Materials_Totals,,1)&amp;INDEX(Weapon_Common_Materials_Totals,,2),INDEX(Weapon_Common_Materials_Totals,,3),,0,1)+IFERROR(_xlfn.XLOOKUP(AA46&amp;Z45,INDEX(Traveller_Talent_Mob_Drops,,2)&amp;INDEX(Traveller_Talent_Mob_Drops,,1),INDEX(Traveller_Talent_Mob_Drops,,3),,0,1),0)</f>
        <v>0</v>
      </c>
      <c r="AC46" s="68">
        <v>323</v>
      </c>
      <c r="AD46" s="1">
        <f t="shared" ref="AD46" ca="1" si="297">MAX(AB46-(AC46+_xlfn.FLOOR.MATH(IF(AD45=0,AC45-AB45,0)/3)),0)</f>
        <v>0</v>
      </c>
      <c r="AE46" s="4">
        <f t="shared" ref="AE46" ca="1" si="298">MAX(_xlfn.FLOOR.MATH(MIN(-(AB46-AC46),MAX((AB47-AC47)*3,0))/3),0)</f>
        <v>0</v>
      </c>
    </row>
    <row r="47" spans="5:43" ht="15.75" thickBot="1" x14ac:dyDescent="0.3">
      <c r="E47" s="189"/>
      <c r="F47" s="78">
        <v>4</v>
      </c>
      <c r="G47" s="83" cm="1">
        <f t="array" aca="1" ref="G47" ca="1">SUM(INDIRECT("'"&amp;_xlfn._xlws.FILTER(Character_Name_List,INDEX(Character_List,,7)=E45,)&amp;"'!J17"))+SUM('Traveller Lookups'!D47:F47)</f>
        <v>0</v>
      </c>
      <c r="H47" s="73">
        <v>2</v>
      </c>
      <c r="I47" s="77">
        <f ca="1">MAX(G47-(H47+_xlfn.FLOOR.MATH(IF(I46=0,(H46+_xlfn.FLOOR.MATH(IF(I45=0,H45-G45,0)/3))-G46,0)/3)),0)</f>
        <v>0</v>
      </c>
      <c r="J47" s="78" t="s">
        <v>45</v>
      </c>
      <c r="L47" s="184" t="s">
        <v>119</v>
      </c>
      <c r="M47" s="49">
        <v>2</v>
      </c>
      <c r="N47" s="64">
        <f ca="1">'Weapon Ascension Mat Lookup'!B46</f>
        <v>0</v>
      </c>
      <c r="O47" s="65">
        <v>26</v>
      </c>
      <c r="P47" s="2">
        <f t="shared" ref="P47" ca="1" si="299">MAX(N47-O47,0)</f>
        <v>0</v>
      </c>
      <c r="Q47" s="49">
        <f t="shared" ref="Q47" ca="1" si="300">MAX(_xlfn.FLOOR.MATH(MIN(-(N47-O47),MAX((N50-O50)*27+(N49-O49)*9+(N48-O48)*3,0))/3),0)</f>
        <v>0</v>
      </c>
      <c r="S47" s="192"/>
      <c r="T47" s="53">
        <v>4</v>
      </c>
      <c r="U47" s="70" cm="1">
        <f t="array" aca="1" ref="U47" ca="1">_xlfn.XLOOKUP(Overview!T47&amp;Overview!S45,INDEX(Weapon_Elite_Materials_Totals,,1)&amp;INDEX(Weapon_Elite_Materials_Totals,,2),INDEX(Weapon_Elite_Materials_Totals,,3),,0,1)</f>
        <v>0</v>
      </c>
      <c r="V47" s="71">
        <v>22</v>
      </c>
      <c r="W47" s="9">
        <f t="shared" ref="W47" ca="1" si="301">MAX(U47-(V47+_xlfn.FLOOR.MATH(IF(W46=0,(V46+_xlfn.FLOOR.MATH(IF(W45=0,V45-U45,0)/3))-U46,0)/3)),0)</f>
        <v>0</v>
      </c>
      <c r="X47" s="50" t="s">
        <v>45</v>
      </c>
      <c r="Z47" s="192"/>
      <c r="AA47" s="53">
        <v>3</v>
      </c>
      <c r="AB47" s="70" cm="1">
        <f t="array" aca="1" ref="AB47" ca="1">_xlfn.XLOOKUP(Overview!AA47&amp;Overview!Z45,INDEX(Character_Materials_Totals,,1)&amp;INDEX(Character_Materials_Totals,,2),INDEX(Character_Materials_Totals,,3),,0,1)+_xlfn.XLOOKUP(Overview!AA47&amp;Overview!Z45,INDEX(Weapon_Common_Materials_Totals,,1)&amp;INDEX(Weapon_Common_Materials_Totals,,2),INDEX(Weapon_Common_Materials_Totals,,3),,0,1)+IFERROR(_xlfn.XLOOKUP(AA47&amp;Z45,INDEX(Traveller_Talent_Mob_Drops,,2)&amp;INDEX(Traveller_Talent_Mob_Drops,,1),INDEX(Traveller_Talent_Mob_Drops,,3),,0,1),0)</f>
        <v>51</v>
      </c>
      <c r="AC47" s="71">
        <v>99</v>
      </c>
      <c r="AD47" s="9">
        <f t="shared" ref="AD47" ca="1" si="302">MAX(AB47-(AC47+_xlfn.FLOOR.MATH(IF(AD46=0,(AC46+_xlfn.FLOOR.MATH(IF(AD45=0,AC45-AB45,0)/3))-AB46,0)/3)),0)</f>
        <v>0</v>
      </c>
      <c r="AE47" s="50" t="s">
        <v>45</v>
      </c>
    </row>
    <row r="48" spans="5:43" ht="15.75" thickTop="1" x14ac:dyDescent="0.25">
      <c r="E48" s="181" t="s">
        <v>134</v>
      </c>
      <c r="F48" s="148">
        <v>2</v>
      </c>
      <c r="G48" s="152" cm="1">
        <f t="array" aca="1" ref="G48" ca="1">SUM(INDIRECT("'"&amp;_xlfn._xlws.FILTER(Character_Name_List,INDEX(Character_List,,7)=E48,)&amp;"'!J15"))+SUM('Traveller Lookups'!D48:F48)</f>
        <v>0</v>
      </c>
      <c r="H48" s="150">
        <v>29</v>
      </c>
      <c r="I48" s="149">
        <f ca="1">MAX(G48-H48,0)</f>
        <v>0</v>
      </c>
      <c r="J48" s="148">
        <f t="shared" ref="J48" ca="1" si="303">MAX(_xlfn.FLOOR.MATH(MIN(-(G48-H48),MAX((G50-H50)*9+(G49-H49)*3,0))/3),0)</f>
        <v>0</v>
      </c>
      <c r="L48" s="185"/>
      <c r="M48" s="51">
        <v>3</v>
      </c>
      <c r="N48" s="38">
        <f ca="1">'Weapon Ascension Mat Lookup'!B47</f>
        <v>0</v>
      </c>
      <c r="O48" s="68">
        <v>31</v>
      </c>
      <c r="P48" s="1">
        <f t="shared" ref="P48" ca="1" si="304">MAX(N48-(O48+_xlfn.FLOOR.MATH(IF(P47=0,O47-N47,0)/3)),0)</f>
        <v>0</v>
      </c>
      <c r="Q48" s="51">
        <f t="shared" ref="Q48" ca="1" si="305">MAX(_xlfn.FLOOR.MATH(MIN(-(N48-O48),MAX((N50-O50)*9+(N49-O49)*3,0))/3),0)</f>
        <v>0</v>
      </c>
      <c r="S48" s="190" t="s">
        <v>911</v>
      </c>
      <c r="T48" s="57">
        <v>2</v>
      </c>
      <c r="U48" s="38" cm="1">
        <f t="array" aca="1" ref="U48" ca="1">_xlfn.XLOOKUP(Overview!T48&amp;Overview!S48,INDEX(Weapon_Elite_Materials_Totals,,1)&amp;INDEX(Weapon_Elite_Materials_Totals,,2),INDEX(Weapon_Elite_Materials_Totals,,3),,0,1)</f>
        <v>0</v>
      </c>
      <c r="V48" s="63">
        <v>768</v>
      </c>
      <c r="W48" s="5">
        <f ca="1">MAX(U48-V48,0)</f>
        <v>0</v>
      </c>
      <c r="X48" s="6">
        <f t="shared" ref="X48" ca="1" si="306">MAX(_xlfn.FLOOR.MATH(MIN(-(U48-V48),MAX((U50-V50)*9+(U49-V49)*3,0))/3),0)</f>
        <v>0</v>
      </c>
    </row>
    <row r="49" spans="5:24" x14ac:dyDescent="0.25">
      <c r="E49" s="182"/>
      <c r="F49" s="51">
        <v>3</v>
      </c>
      <c r="G49" s="38" cm="1">
        <f t="array" aca="1" ref="G49" ca="1">SUM(INDIRECT("'"&amp;_xlfn._xlws.FILTER(Character_Name_List,INDEX(Character_List,,7)=E48,)&amp;"'!J16"))+SUM('Traveller Lookups'!D49:F49)</f>
        <v>0</v>
      </c>
      <c r="H49" s="68">
        <v>24</v>
      </c>
      <c r="I49" s="38">
        <f ca="1">MAX(G49-(H49+_xlfn.FLOOR.MATH(IF(I48=0,H48-G48,0)/3)),0)</f>
        <v>0</v>
      </c>
      <c r="J49" s="51">
        <f t="shared" ref="J49" ca="1" si="307">MAX(_xlfn.FLOOR.MATH(MIN(-(G49-H49),MAX((G50-H50)*3,0))/3),0)</f>
        <v>0</v>
      </c>
      <c r="L49" s="185"/>
      <c r="M49" s="51">
        <v>4</v>
      </c>
      <c r="N49" s="38">
        <f ca="1">'Weapon Ascension Mat Lookup'!B48</f>
        <v>0</v>
      </c>
      <c r="O49" s="68">
        <v>3</v>
      </c>
      <c r="P49" s="1">
        <f t="shared" ref="P49" ca="1" si="308">MAX(N49-(O49+_xlfn.FLOOR.MATH(IF(P48=0,(O48+_xlfn.FLOOR.MATH(IF(P47=0,O47-N47,0)/3))-N48,0)/3)),0)</f>
        <v>0</v>
      </c>
      <c r="Q49" s="51">
        <f t="shared" ref="Q49" ca="1" si="309">MAX(_xlfn.FLOOR.MATH(MIN(-(N49-O49),MAX((N50-O50)*3,0))/3),0)</f>
        <v>0</v>
      </c>
      <c r="S49" s="191"/>
      <c r="T49" s="54">
        <v>3</v>
      </c>
      <c r="U49" s="38" cm="1">
        <f t="array" aca="1" ref="U49" ca="1">_xlfn.XLOOKUP(Overview!T49&amp;Overview!S48,INDEX(Weapon_Elite_Materials_Totals,,1)&amp;INDEX(Weapon_Elite_Materials_Totals,,2),INDEX(Weapon_Elite_Materials_Totals,,3),,0,1)</f>
        <v>0</v>
      </c>
      <c r="V49" s="68">
        <v>183</v>
      </c>
      <c r="W49" s="1">
        <f t="shared" ref="W49" ca="1" si="310">MAX(U49-(V49+_xlfn.FLOOR.MATH(IF(W48=0,V48-U48,0)/3)),0)</f>
        <v>0</v>
      </c>
      <c r="X49" s="4">
        <f t="shared" ref="X49" ca="1" si="311">MAX(_xlfn.FLOOR.MATH(MIN(-(U49-V49),MAX((U50-V50)*3,0))/3),0)</f>
        <v>0</v>
      </c>
    </row>
    <row r="50" spans="5:24" ht="15.75" thickBot="1" x14ac:dyDescent="0.3">
      <c r="E50" s="183"/>
      <c r="F50" s="50">
        <v>4</v>
      </c>
      <c r="G50" s="80" cm="1">
        <f t="array" aca="1" ref="G50" ca="1">SUM(INDIRECT("'"&amp;_xlfn._xlws.FILTER(Character_Name_List,INDEX(Character_List,,7)=E48,)&amp;"'!J17"))+SUM('Traveller Lookups'!D50:F50)</f>
        <v>0</v>
      </c>
      <c r="H50" s="71">
        <v>30</v>
      </c>
      <c r="I50" s="70">
        <f ca="1">MAX(G50-(H50+_xlfn.FLOOR.MATH(IF(I49=0,(H49+_xlfn.FLOOR.MATH(IF(I48=0,H48-G48,0)/3))-G49,0)/3)),0)</f>
        <v>0</v>
      </c>
      <c r="J50" s="50" t="s">
        <v>45</v>
      </c>
      <c r="L50" s="187"/>
      <c r="M50" s="78">
        <v>5</v>
      </c>
      <c r="N50" s="77">
        <f ca="1">'Weapon Ascension Mat Lookup'!B49</f>
        <v>0</v>
      </c>
      <c r="O50" s="73">
        <v>0</v>
      </c>
      <c r="P50" s="134">
        <f t="shared" ref="P50" ca="1" si="312">MAX(N50-(O50+_xlfn.FLOOR.MATH(IF(P49=0,(O49+_xlfn.FLOOR.MATH(IF(P48=0,(O48+_xlfn.FLOOR.MATH(IF(P47=0,O47-N47,0)/3))-N48,0)/3))-N49,0)/3)),0)</f>
        <v>0</v>
      </c>
      <c r="Q50" s="78" t="s">
        <v>45</v>
      </c>
      <c r="S50" s="192"/>
      <c r="T50" s="53">
        <v>4</v>
      </c>
      <c r="U50" s="70" cm="1">
        <f t="array" aca="1" ref="U50" ca="1">_xlfn.XLOOKUP(Overview!T50&amp;Overview!S48,INDEX(Weapon_Elite_Materials_Totals,,1)&amp;INDEX(Weapon_Elite_Materials_Totals,,2),INDEX(Weapon_Elite_Materials_Totals,,3),,0,1)</f>
        <v>0</v>
      </c>
      <c r="V50" s="71">
        <v>15</v>
      </c>
      <c r="W50" s="9">
        <f t="shared" ref="W50" ca="1" si="313">MAX(U50-(V50+_xlfn.FLOOR.MATH(IF(W49=0,(V49+_xlfn.FLOOR.MATH(IF(W48=0,V48-U48,0)/3))-U49,0)/3)),0)</f>
        <v>0</v>
      </c>
      <c r="X50" s="50" t="s">
        <v>45</v>
      </c>
    </row>
    <row r="51" spans="5:24" ht="15.75" thickTop="1" x14ac:dyDescent="0.25">
      <c r="E51" s="188" t="s">
        <v>135</v>
      </c>
      <c r="F51" s="49">
        <v>2</v>
      </c>
      <c r="G51" s="64" cm="1">
        <f t="array" aca="1" ref="G51" ca="1">SUM(INDIRECT("'"&amp;_xlfn._xlws.FILTER(Character_Name_List,INDEX(Character_List,,7)=E51,)&amp;"'!J15"))+SUM('Traveller Lookups'!D51:F51)</f>
        <v>0</v>
      </c>
      <c r="H51" s="65">
        <v>91</v>
      </c>
      <c r="I51" s="64">
        <f ca="1">MAX(G51-H51,0)</f>
        <v>0</v>
      </c>
      <c r="J51" s="49">
        <f t="shared" ref="J51" ca="1" si="314">MAX(_xlfn.FLOOR.MATH(MIN(-(G51-H51),MAX((G53-H53)*9+(G52-H52)*3,0))/3),0)</f>
        <v>0</v>
      </c>
      <c r="L51" s="181" t="s">
        <v>125</v>
      </c>
      <c r="M51" s="148">
        <v>2</v>
      </c>
      <c r="N51" s="149">
        <f ca="1">'Weapon Ascension Mat Lookup'!B50</f>
        <v>0</v>
      </c>
      <c r="O51" s="150">
        <v>5</v>
      </c>
      <c r="P51" s="151">
        <f t="shared" ref="P51" ca="1" si="315">MAX(N51-O51,0)</f>
        <v>0</v>
      </c>
      <c r="Q51" s="148">
        <f t="shared" ref="Q51" ca="1" si="316">MAX(_xlfn.FLOOR.MATH(MIN(-(N51-O51),MAX((N54-O54)*27+(N53-O53)*9+(N52-O52)*3,0))/3),0)</f>
        <v>0</v>
      </c>
      <c r="S51" s="190" t="s">
        <v>136</v>
      </c>
      <c r="T51" s="57">
        <v>2</v>
      </c>
      <c r="U51" s="38" cm="1">
        <f t="array" aca="1" ref="U51" ca="1">_xlfn.XLOOKUP(Overview!T51&amp;Overview!S51,INDEX(Weapon_Elite_Materials_Totals,,1)&amp;INDEX(Weapon_Elite_Materials_Totals,,2),INDEX(Weapon_Elite_Materials_Totals,,3),,0,1)</f>
        <v>0</v>
      </c>
      <c r="V51" s="63">
        <v>269</v>
      </c>
      <c r="W51" s="5">
        <f ca="1">MAX(U51-V51,0)</f>
        <v>0</v>
      </c>
      <c r="X51" s="6">
        <f t="shared" ref="X51" ca="1" si="317">MAX(_xlfn.FLOOR.MATH(MIN(-(U51-V51),MAX((U53-V53)*9+(U52-V52)*3,0))/3),0)</f>
        <v>0</v>
      </c>
    </row>
    <row r="52" spans="5:24" x14ac:dyDescent="0.25">
      <c r="E52" s="182"/>
      <c r="F52" s="51">
        <v>3</v>
      </c>
      <c r="G52" s="38" cm="1">
        <f t="array" aca="1" ref="G52" ca="1">SUM(INDIRECT("'"&amp;_xlfn._xlws.FILTER(Character_Name_List,INDEX(Character_List,,7)=E51,)&amp;"'!J16"))+SUM('Traveller Lookups'!D52:F52)</f>
        <v>0</v>
      </c>
      <c r="H52" s="68">
        <v>86</v>
      </c>
      <c r="I52" s="38">
        <f ca="1">MAX(G52-(H52+_xlfn.FLOOR.MATH(IF(I51=0,H51-G51,0)/3)),0)</f>
        <v>0</v>
      </c>
      <c r="J52" s="51">
        <f t="shared" ref="J52" ca="1" si="318">MAX(_xlfn.FLOOR.MATH(MIN(-(G52-H52),MAX((G53-H53)*3,0))/3),0)</f>
        <v>0</v>
      </c>
      <c r="L52" s="182"/>
      <c r="M52" s="51">
        <v>3</v>
      </c>
      <c r="N52" s="38">
        <f ca="1">'Weapon Ascension Mat Lookup'!B51</f>
        <v>0</v>
      </c>
      <c r="O52" s="68">
        <v>8</v>
      </c>
      <c r="P52" s="1">
        <f t="shared" ref="P52" ca="1" si="319">MAX(N52-(O52+_xlfn.FLOOR.MATH(IF(P51=0,O51-N51,0)/3)),0)</f>
        <v>0</v>
      </c>
      <c r="Q52" s="51">
        <f t="shared" ref="Q52" ca="1" si="320">MAX(_xlfn.FLOOR.MATH(MIN(-(N52-O52),MAX((N54-O54)*9+(N53-O53)*3,0))/3),0)</f>
        <v>0</v>
      </c>
      <c r="S52" s="191"/>
      <c r="T52" s="54">
        <v>3</v>
      </c>
      <c r="U52" s="38" cm="1">
        <f t="array" aca="1" ref="U52" ca="1">_xlfn.XLOOKUP(Overview!T52&amp;Overview!S51,INDEX(Weapon_Elite_Materials_Totals,,1)&amp;INDEX(Weapon_Elite_Materials_Totals,,2),INDEX(Weapon_Elite_Materials_Totals,,3),,0,1)</f>
        <v>0</v>
      </c>
      <c r="V52" s="68">
        <v>70</v>
      </c>
      <c r="W52" s="1">
        <f t="shared" ref="W52" ca="1" si="321">MAX(U52-(V52+_xlfn.FLOOR.MATH(IF(W51=0,V51-U51,0)/3)),0)</f>
        <v>0</v>
      </c>
      <c r="X52" s="4">
        <f t="shared" ref="X52" ca="1" si="322">MAX(_xlfn.FLOOR.MATH(MIN(-(U52-V52),MAX((U53-V53)*3,0))/3),0)</f>
        <v>0</v>
      </c>
    </row>
    <row r="53" spans="5:24" ht="15.75" thickBot="1" x14ac:dyDescent="0.3">
      <c r="E53" s="183"/>
      <c r="F53" s="50">
        <v>4</v>
      </c>
      <c r="G53" s="80" cm="1">
        <f t="array" aca="1" ref="G53" ca="1">SUM(INDIRECT("'"&amp;_xlfn._xlws.FILTER(Character_Name_List,INDEX(Character_List,,7)=E51,)&amp;"'!J17"))+SUM('Traveller Lookups'!D53:F53)</f>
        <v>0</v>
      </c>
      <c r="H53" s="71">
        <v>8</v>
      </c>
      <c r="I53" s="70">
        <f ca="1">MAX(G53-(H53+_xlfn.FLOOR.MATH(IF(I52=0,(H52+_xlfn.FLOOR.MATH(IF(I51=0,H51-G51,0)/3))-G52,0)/3)),0)</f>
        <v>0</v>
      </c>
      <c r="J53" s="50" t="s">
        <v>45</v>
      </c>
      <c r="L53" s="182"/>
      <c r="M53" s="51">
        <v>4</v>
      </c>
      <c r="N53" s="38">
        <f ca="1">'Weapon Ascension Mat Lookup'!B52</f>
        <v>0</v>
      </c>
      <c r="O53" s="68">
        <v>1</v>
      </c>
      <c r="P53" s="1">
        <f t="shared" ref="P53" ca="1" si="323">MAX(N53-(O53+_xlfn.FLOOR.MATH(IF(P52=0,(O52+_xlfn.FLOOR.MATH(IF(P51=0,O51-N51,0)/3))-N52,0)/3)),0)</f>
        <v>0</v>
      </c>
      <c r="Q53" s="51">
        <f t="shared" ref="Q53" ca="1" si="324">MAX(_xlfn.FLOOR.MATH(MIN(-(N53-O53),MAX((N54-O54)*3,0))/3),0)</f>
        <v>0</v>
      </c>
      <c r="S53" s="192"/>
      <c r="T53" s="53">
        <v>4</v>
      </c>
      <c r="U53" s="70" cm="1">
        <f t="array" aca="1" ref="U53" ca="1">_xlfn.XLOOKUP(Overview!T53&amp;Overview!S51,INDEX(Weapon_Elite_Materials_Totals,,1)&amp;INDEX(Weapon_Elite_Materials_Totals,,2),INDEX(Weapon_Elite_Materials_Totals,,3),,0,1)</f>
        <v>0</v>
      </c>
      <c r="V53" s="71">
        <v>23</v>
      </c>
      <c r="W53" s="9">
        <f t="shared" ref="W53" ca="1" si="325">MAX(U53-(V53+_xlfn.FLOOR.MATH(IF(W52=0,(V52+_xlfn.FLOOR.MATH(IF(W51=0,V51-U51,0)/3))-U52,0)/3)),0)</f>
        <v>0</v>
      </c>
      <c r="X53" s="50" t="s">
        <v>45</v>
      </c>
    </row>
    <row r="54" spans="5:24" ht="15.75" thickBot="1" x14ac:dyDescent="0.3">
      <c r="E54" s="188" t="s">
        <v>137</v>
      </c>
      <c r="F54" s="49">
        <v>2</v>
      </c>
      <c r="G54" s="64" cm="1">
        <f t="array" aca="1" ref="G54" ca="1">SUM(INDIRECT("'"&amp;_xlfn._xlws.FILTER(Character_Name_List,INDEX(Character_List,,7)=E54,)&amp;"'!J15"))+SUM('Traveller Lookups'!D54:F54)</f>
        <v>0</v>
      </c>
      <c r="H54" s="65">
        <v>23</v>
      </c>
      <c r="I54" s="64">
        <f ca="1">MAX(G54-H54,0)</f>
        <v>0</v>
      </c>
      <c r="J54" s="49">
        <f t="shared" ref="J54" ca="1" si="326">MAX(_xlfn.FLOOR.MATH(MIN(-(G54-H54),MAX((G56-H56)*9+(G55-H55)*3,0))/3),0)</f>
        <v>0</v>
      </c>
      <c r="L54" s="183"/>
      <c r="M54" s="50">
        <v>5</v>
      </c>
      <c r="N54" s="70">
        <f ca="1">'Weapon Ascension Mat Lookup'!B53</f>
        <v>0</v>
      </c>
      <c r="O54" s="71">
        <v>0</v>
      </c>
      <c r="P54" s="9">
        <f t="shared" ref="P54" ca="1" si="327">MAX(N54-(O54+_xlfn.FLOOR.MATH(IF(P53=0,(O53+_xlfn.FLOOR.MATH(IF(P52=0,(O52+_xlfn.FLOOR.MATH(IF(P51=0,O51-N51,0)/3))-N52,0)/3))-N53,0)/3)),0)</f>
        <v>0</v>
      </c>
      <c r="Q54" s="50" t="s">
        <v>45</v>
      </c>
      <c r="S54" s="190" t="s">
        <v>138</v>
      </c>
      <c r="T54" s="57">
        <v>2</v>
      </c>
      <c r="U54" s="38" cm="1">
        <f t="array" aca="1" ref="U54" ca="1">_xlfn.XLOOKUP(Overview!T54&amp;Overview!S54,INDEX(Weapon_Elite_Materials_Totals,,1)&amp;INDEX(Weapon_Elite_Materials_Totals,,2),INDEX(Weapon_Elite_Materials_Totals,,3),,0,1)</f>
        <v>0</v>
      </c>
      <c r="V54" s="63">
        <v>294</v>
      </c>
      <c r="W54" s="5">
        <f ca="1">MAX(U54-V54,0)</f>
        <v>0</v>
      </c>
      <c r="X54" s="6">
        <f t="shared" ref="X54" ca="1" si="328">MAX(_xlfn.FLOOR.MATH(MIN(-(U54-V54),MAX((U56-V56)*9+(U55-V55)*3,0))/3),0)</f>
        <v>0</v>
      </c>
    </row>
    <row r="55" spans="5:24" x14ac:dyDescent="0.25">
      <c r="E55" s="182"/>
      <c r="F55" s="51">
        <v>3</v>
      </c>
      <c r="G55" s="38" cm="1">
        <f t="array" aca="1" ref="G55" ca="1">SUM(INDIRECT("'"&amp;_xlfn._xlws.FILTER(Character_Name_List,INDEX(Character_List,,7)=E54,)&amp;"'!J16"))+SUM('Traveller Lookups'!D55:F55)</f>
        <v>0</v>
      </c>
      <c r="H55" s="68">
        <v>71</v>
      </c>
      <c r="I55" s="38">
        <f ca="1">MAX(G55-(H55+_xlfn.FLOOR.MATH(IF(I54=0,H54-G54,0)/3)),0)</f>
        <v>0</v>
      </c>
      <c r="J55" s="51">
        <f t="shared" ref="J55" ca="1" si="329">MAX(_xlfn.FLOOR.MATH(MIN(-(G55-H55),MAX((G56-H56)*3,0))/3),0)</f>
        <v>0</v>
      </c>
      <c r="L55" s="184" t="s">
        <v>128</v>
      </c>
      <c r="M55" s="49">
        <v>2</v>
      </c>
      <c r="N55" s="64">
        <f ca="1">'Weapon Ascension Mat Lookup'!B54</f>
        <v>0</v>
      </c>
      <c r="O55" s="65">
        <v>11</v>
      </c>
      <c r="P55" s="2">
        <f t="shared" ref="P55" ca="1" si="330">MAX(N55-O55,0)</f>
        <v>0</v>
      </c>
      <c r="Q55" s="49">
        <f t="shared" ref="Q55" ca="1" si="331">MAX(_xlfn.FLOOR.MATH(MIN(-(N55-O55),MAX((N58-O58)*27+(N57-O57)*9+(N56-O56)*3,0))/3),0)</f>
        <v>0</v>
      </c>
      <c r="S55" s="191"/>
      <c r="T55" s="54">
        <v>3</v>
      </c>
      <c r="U55" s="38" cm="1">
        <f t="array" aca="1" ref="U55" ca="1">_xlfn.XLOOKUP(Overview!T55&amp;Overview!S54,INDEX(Weapon_Elite_Materials_Totals,,1)&amp;INDEX(Weapon_Elite_Materials_Totals,,2),INDEX(Weapon_Elite_Materials_Totals,,3),,0,1)</f>
        <v>0</v>
      </c>
      <c r="V55" s="68">
        <v>82</v>
      </c>
      <c r="W55" s="1">
        <f t="shared" ref="W55" ca="1" si="332">MAX(U55-(V55+_xlfn.FLOOR.MATH(IF(W54=0,V54-U54,0)/3)),0)</f>
        <v>0</v>
      </c>
      <c r="X55" s="4">
        <f t="shared" ref="X55" ca="1" si="333">MAX(_xlfn.FLOOR.MATH(MIN(-(U55-V55),MAX((U56-V56)*3,0))/3),0)</f>
        <v>0</v>
      </c>
    </row>
    <row r="56" spans="5:24" ht="15.75" thickBot="1" x14ac:dyDescent="0.3">
      <c r="E56" s="189"/>
      <c r="F56" s="78">
        <v>4</v>
      </c>
      <c r="G56" s="83" cm="1">
        <f t="array" aca="1" ref="G56" ca="1">SUM(INDIRECT("'"&amp;_xlfn._xlws.FILTER(Character_Name_List,INDEX(Character_List,,7)=E54,)&amp;"'!J17"))+SUM('Traveller Lookups'!D56:F56)</f>
        <v>36</v>
      </c>
      <c r="H56" s="73">
        <v>68</v>
      </c>
      <c r="I56" s="77">
        <f ca="1">MAX(G56-(H56+_xlfn.FLOOR.MATH(IF(I55=0,(H55+_xlfn.FLOOR.MATH(IF(I54=0,H54-G54,0)/3))-G55,0)/3)),0)</f>
        <v>0</v>
      </c>
      <c r="J56" s="78" t="s">
        <v>45</v>
      </c>
      <c r="L56" s="185"/>
      <c r="M56" s="51">
        <v>3</v>
      </c>
      <c r="N56" s="38">
        <f ca="1">'Weapon Ascension Mat Lookup'!B55</f>
        <v>0</v>
      </c>
      <c r="O56" s="68">
        <v>6</v>
      </c>
      <c r="P56" s="1">
        <f t="shared" ref="P56" ca="1" si="334">MAX(N56-(O56+_xlfn.FLOOR.MATH(IF(P55=0,O55-N55,0)/3)),0)</f>
        <v>0</v>
      </c>
      <c r="Q56" s="51">
        <f t="shared" ref="Q56" ca="1" si="335">MAX(_xlfn.FLOOR.MATH(MIN(-(N56-O56),MAX((N58-O58)*9+(N57-O57)*3,0))/3),0)</f>
        <v>0</v>
      </c>
      <c r="S56" s="192"/>
      <c r="T56" s="53">
        <v>4</v>
      </c>
      <c r="U56" s="70" cm="1">
        <f t="array" aca="1" ref="U56" ca="1">_xlfn.XLOOKUP(Overview!T56&amp;Overview!S54,INDEX(Weapon_Elite_Materials_Totals,,1)&amp;INDEX(Weapon_Elite_Materials_Totals,,2),INDEX(Weapon_Elite_Materials_Totals,,3),,0,1)</f>
        <v>0</v>
      </c>
      <c r="V56" s="71">
        <v>14</v>
      </c>
      <c r="W56" s="9">
        <f t="shared" ref="W56" ca="1" si="336">MAX(U56-(V56+_xlfn.FLOOR.MATH(IF(W55=0,(V55+_xlfn.FLOOR.MATH(IF(W54=0,V54-U54,0)/3))-U55,0)/3)),0)</f>
        <v>0</v>
      </c>
      <c r="X56" s="50" t="s">
        <v>45</v>
      </c>
    </row>
    <row r="57" spans="5:24" ht="15.75" thickTop="1" x14ac:dyDescent="0.25">
      <c r="E57" s="181" t="s">
        <v>932</v>
      </c>
      <c r="F57" s="148">
        <v>2</v>
      </c>
      <c r="G57" s="152" cm="1">
        <f t="array" aca="1" ref="G57" ca="1">SUM(INDIRECT("'"&amp;_xlfn._xlws.FILTER(Character_Name_List,INDEX(Character_List,,7)=E57,)&amp;"'!J15"))+SUM('Traveller Lookups'!D57:F57)</f>
        <v>9</v>
      </c>
      <c r="H57" s="150">
        <v>0</v>
      </c>
      <c r="I57" s="149">
        <f ca="1">MAX(G57-H57,0)</f>
        <v>9</v>
      </c>
      <c r="J57" s="148">
        <f t="shared" ref="J57" ca="1" si="337">MAX(_xlfn.FLOOR.MATH(MIN(-(G57-H57),MAX((G59-H59)*9+(G58-H58)*3,0))/3),0)</f>
        <v>0</v>
      </c>
      <c r="L57" s="185"/>
      <c r="M57" s="51">
        <v>4</v>
      </c>
      <c r="N57" s="38">
        <f ca="1">'Weapon Ascension Mat Lookup'!B56</f>
        <v>0</v>
      </c>
      <c r="O57" s="68">
        <v>1</v>
      </c>
      <c r="P57" s="1">
        <f t="shared" ref="P57" ca="1" si="338">MAX(N57-(O57+_xlfn.FLOOR.MATH(IF(P56=0,(O56+_xlfn.FLOOR.MATH(IF(P55=0,O55-N55,0)/3))-N56,0)/3)),0)</f>
        <v>0</v>
      </c>
      <c r="Q57" s="51">
        <f t="shared" ref="Q57" ca="1" si="339">MAX(_xlfn.FLOOR.MATH(MIN(-(N57-O57),MAX((N58-O58)*3,0))/3),0)</f>
        <v>0</v>
      </c>
      <c r="S57" s="190" t="s">
        <v>139</v>
      </c>
      <c r="T57" s="57">
        <v>2</v>
      </c>
      <c r="U57" s="38" cm="1">
        <f t="array" aca="1" ref="U57" ca="1">_xlfn.XLOOKUP(Overview!T57&amp;Overview!S57,INDEX(Weapon_Elite_Materials_Totals,,1)&amp;INDEX(Weapon_Elite_Materials_Totals,,2),INDEX(Weapon_Elite_Materials_Totals,,3),,0,1)</f>
        <v>0</v>
      </c>
      <c r="V57" s="63">
        <v>2</v>
      </c>
      <c r="W57" s="5">
        <f ca="1">MAX(U57-V57,0)</f>
        <v>0</v>
      </c>
      <c r="X57" s="6">
        <f t="shared" ref="X57" ca="1" si="340">MAX(_xlfn.FLOOR.MATH(MIN(-(U57-V57),MAX((U59-V59)*9+(U58-V58)*3,0))/3),0)</f>
        <v>0</v>
      </c>
    </row>
    <row r="58" spans="5:24" ht="15.75" thickBot="1" x14ac:dyDescent="0.3">
      <c r="E58" s="182"/>
      <c r="F58" s="51">
        <v>3</v>
      </c>
      <c r="G58" s="38" cm="1">
        <f t="array" aca="1" ref="G58" ca="1">SUM(INDIRECT("'"&amp;_xlfn._xlws.FILTER(Character_Name_List,INDEX(Character_List,,7)=E57,)&amp;"'!J16"))+SUM('Traveller Lookups'!D58:F58)</f>
        <v>63</v>
      </c>
      <c r="H58" s="68">
        <v>0</v>
      </c>
      <c r="I58" s="38">
        <f ca="1">MAX(G58-(H58+_xlfn.FLOOR.MATH(IF(I57=0,H57-G57,0)/3)),0)</f>
        <v>63</v>
      </c>
      <c r="J58" s="51">
        <f t="shared" ref="J58" ca="1" si="341">MAX(_xlfn.FLOOR.MATH(MIN(-(G58-H58),MAX((G59-H59)*3,0))/3),0)</f>
        <v>0</v>
      </c>
      <c r="L58" s="186"/>
      <c r="M58" s="50">
        <v>5</v>
      </c>
      <c r="N58" s="70">
        <f ca="1">'Weapon Ascension Mat Lookup'!B57</f>
        <v>0</v>
      </c>
      <c r="O58" s="71">
        <v>0</v>
      </c>
      <c r="P58" s="9">
        <f t="shared" ref="P58" ca="1" si="342">MAX(N58-(O58+_xlfn.FLOOR.MATH(IF(P57=0,(O57+_xlfn.FLOOR.MATH(IF(P56=0,(O56+_xlfn.FLOOR.MATH(IF(P55=0,O55-N55,0)/3))-N56,0)/3))-N57,0)/3)),0)</f>
        <v>0</v>
      </c>
      <c r="Q58" s="50" t="s">
        <v>45</v>
      </c>
      <c r="S58" s="191"/>
      <c r="T58" s="54">
        <v>3</v>
      </c>
      <c r="U58" s="38" cm="1">
        <f t="array" aca="1" ref="U58" ca="1">_xlfn.XLOOKUP(Overview!T58&amp;Overview!S57,INDEX(Weapon_Elite_Materials_Totals,,1)&amp;INDEX(Weapon_Elite_Materials_Totals,,2),INDEX(Weapon_Elite_Materials_Totals,,3),,0,1)</f>
        <v>0</v>
      </c>
      <c r="V58" s="68">
        <v>2</v>
      </c>
      <c r="W58" s="1">
        <f t="shared" ref="W58" ca="1" si="343">MAX(U58-(V58+_xlfn.FLOOR.MATH(IF(W57=0,V57-U57,0)/3)),0)</f>
        <v>0</v>
      </c>
      <c r="X58" s="4">
        <f t="shared" ref="X58" ca="1" si="344">MAX(_xlfn.FLOOR.MATH(MIN(-(U58-V58),MAX((U59-V59)*3,0))/3),0)</f>
        <v>0</v>
      </c>
    </row>
    <row r="59" spans="5:24" ht="15.75" thickBot="1" x14ac:dyDescent="0.3">
      <c r="E59" s="183"/>
      <c r="F59" s="50">
        <v>4</v>
      </c>
      <c r="G59" s="80" cm="1">
        <f t="array" aca="1" ref="G59" ca="1">SUM(INDIRECT("'"&amp;_xlfn._xlws.FILTER(Character_Name_List,INDEX(Character_List,,7)=E57,)&amp;"'!J17"))+SUM('Traveller Lookups'!D59:F59)</f>
        <v>66</v>
      </c>
      <c r="H59" s="71">
        <v>0</v>
      </c>
      <c r="I59" s="70">
        <f ca="1">MAX(G59-(H59+_xlfn.FLOOR.MATH(IF(I58=0,(H58+_xlfn.FLOOR.MATH(IF(I57=0,H57-G57,0)/3))-G58,0)/3)),0)</f>
        <v>66</v>
      </c>
      <c r="J59" s="50" t="s">
        <v>45</v>
      </c>
      <c r="L59" s="184" t="s">
        <v>131</v>
      </c>
      <c r="M59" s="49">
        <v>2</v>
      </c>
      <c r="N59" s="64">
        <f ca="1">'Weapon Ascension Mat Lookup'!B58</f>
        <v>0</v>
      </c>
      <c r="O59" s="65">
        <v>2</v>
      </c>
      <c r="P59" s="2">
        <f t="shared" ref="P59" ca="1" si="345">MAX(N59-O59,0)</f>
        <v>0</v>
      </c>
      <c r="Q59" s="49">
        <f t="shared" ref="Q59" ca="1" si="346">MAX(_xlfn.FLOOR.MATH(MIN(-(N59-O59),MAX((N62-O62)*27+(N61-O61)*9+(N60-O60)*3,0))/3),0)</f>
        <v>0</v>
      </c>
      <c r="S59" s="192"/>
      <c r="T59" s="53">
        <v>4</v>
      </c>
      <c r="U59" s="70" cm="1">
        <f t="array" aca="1" ref="U59" ca="1">_xlfn.XLOOKUP(Overview!T59&amp;Overview!S57,INDEX(Weapon_Elite_Materials_Totals,,1)&amp;INDEX(Weapon_Elite_Materials_Totals,,2),INDEX(Weapon_Elite_Materials_Totals,,3),,0,1)</f>
        <v>0</v>
      </c>
      <c r="V59" s="71">
        <v>3</v>
      </c>
      <c r="W59" s="9">
        <f t="shared" ref="W59" ca="1" si="347">MAX(U59-(V59+_xlfn.FLOOR.MATH(IF(W58=0,(V58+_xlfn.FLOOR.MATH(IF(W57=0,V57-U57,0)/3))-U58,0)/3)),0)</f>
        <v>0</v>
      </c>
      <c r="X59" s="50" t="s">
        <v>45</v>
      </c>
    </row>
    <row r="60" spans="5:24" x14ac:dyDescent="0.25">
      <c r="E60" s="188" t="s">
        <v>933</v>
      </c>
      <c r="F60" s="49">
        <v>2</v>
      </c>
      <c r="G60" s="64" cm="1">
        <f t="array" aca="1" ref="G60" ca="1">SUM(INDIRECT("'"&amp;_xlfn._xlws.FILTER(Character_Name_List,INDEX(Character_List,,7)=E60,)&amp;"'!J15"))+SUM('Traveller Lookups'!D60:F60)</f>
        <v>9</v>
      </c>
      <c r="H60" s="65">
        <v>0</v>
      </c>
      <c r="I60" s="64">
        <f ca="1">MAX(G60-H60,0)</f>
        <v>9</v>
      </c>
      <c r="J60" s="49">
        <f t="shared" ref="J60" ca="1" si="348">MAX(_xlfn.FLOOR.MATH(MIN(-(G60-H60),MAX((G62-H62)*9+(G61-H61)*3,0))/3),0)</f>
        <v>0</v>
      </c>
      <c r="L60" s="185"/>
      <c r="M60" s="51">
        <v>3</v>
      </c>
      <c r="N60" s="38">
        <f ca="1">'Weapon Ascension Mat Lookup'!B59</f>
        <v>0</v>
      </c>
      <c r="O60" s="68">
        <v>31</v>
      </c>
      <c r="P60" s="1">
        <f t="shared" ref="P60" ca="1" si="349">MAX(N60-(O60+_xlfn.FLOOR.MATH(IF(P59=0,O59-N59,0)/3)),0)</f>
        <v>0</v>
      </c>
      <c r="Q60" s="51">
        <f t="shared" ref="Q60" ca="1" si="350">MAX(_xlfn.FLOOR.MATH(MIN(-(N60-O60),MAX((N62-O62)*9+(N61-O61)*3,0))/3),0)</f>
        <v>0</v>
      </c>
      <c r="S60" s="190" t="s">
        <v>140</v>
      </c>
      <c r="T60" s="57">
        <v>2</v>
      </c>
      <c r="U60" s="38" cm="1">
        <f t="array" aca="1" ref="U60" ca="1">_xlfn.XLOOKUP(Overview!T60&amp;Overview!S60,INDEX(Weapon_Elite_Materials_Totals,,1)&amp;INDEX(Weapon_Elite_Materials_Totals,,2),INDEX(Weapon_Elite_Materials_Totals,,3),,0,1)</f>
        <v>0</v>
      </c>
      <c r="V60" s="63">
        <v>7</v>
      </c>
      <c r="W60" s="5">
        <f ca="1">MAX(U60-V60,0)</f>
        <v>0</v>
      </c>
      <c r="X60" s="6">
        <f t="shared" ref="X60" ca="1" si="351">MAX(_xlfn.FLOOR.MATH(MIN(-(U60-V60),MAX((U62-V62)*9+(U61-V61)*3,0))/3),0)</f>
        <v>0</v>
      </c>
    </row>
    <row r="61" spans="5:24" x14ac:dyDescent="0.25">
      <c r="E61" s="182"/>
      <c r="F61" s="51">
        <v>3</v>
      </c>
      <c r="G61" s="38" cm="1">
        <f t="array" aca="1" ref="G61" ca="1">SUM(INDIRECT("'"&amp;_xlfn._xlws.FILTER(Character_Name_List,INDEX(Character_List,,7)=E60,)&amp;"'!J16"))+SUM('Traveller Lookups'!D61:F61)</f>
        <v>63</v>
      </c>
      <c r="H61" s="68">
        <v>0</v>
      </c>
      <c r="I61" s="38">
        <f ca="1">MAX(G61-(H61+_xlfn.FLOOR.MATH(IF(I60=0,H60-G60,0)/3)),0)</f>
        <v>63</v>
      </c>
      <c r="J61" s="51">
        <f t="shared" ref="J61" ca="1" si="352">MAX(_xlfn.FLOOR.MATH(MIN(-(G61-H61),MAX((G62-H62)*3,0))/3),0)</f>
        <v>0</v>
      </c>
      <c r="L61" s="185"/>
      <c r="M61" s="51">
        <v>4</v>
      </c>
      <c r="N61" s="38">
        <f ca="1">'Weapon Ascension Mat Lookup'!B60</f>
        <v>0</v>
      </c>
      <c r="O61" s="68">
        <v>2</v>
      </c>
      <c r="P61" s="1">
        <f t="shared" ref="P61" ca="1" si="353">MAX(N61-(O61+_xlfn.FLOOR.MATH(IF(P60=0,(O60+_xlfn.FLOOR.MATH(IF(P59=0,O59-N59,0)/3))-N60,0)/3)),0)</f>
        <v>0</v>
      </c>
      <c r="Q61" s="51">
        <f t="shared" ref="Q61" ca="1" si="354">MAX(_xlfn.FLOOR.MATH(MIN(-(N61-O61),MAX((N62-O62)*3,0))/3),0)</f>
        <v>0</v>
      </c>
      <c r="S61" s="191"/>
      <c r="T61" s="54">
        <v>3</v>
      </c>
      <c r="U61" s="38" cm="1">
        <f t="array" aca="1" ref="U61" ca="1">_xlfn.XLOOKUP(Overview!T61&amp;Overview!S60,INDEX(Weapon_Elite_Materials_Totals,,1)&amp;INDEX(Weapon_Elite_Materials_Totals,,2),INDEX(Weapon_Elite_Materials_Totals,,3),,0,1)</f>
        <v>0</v>
      </c>
      <c r="V61" s="68">
        <v>2</v>
      </c>
      <c r="W61" s="1">
        <f t="shared" ref="W61" ca="1" si="355">MAX(U61-(V61+_xlfn.FLOOR.MATH(IF(W60=0,V60-U60,0)/3)),0)</f>
        <v>0</v>
      </c>
      <c r="X61" s="4">
        <f t="shared" ref="X61" ca="1" si="356">MAX(_xlfn.FLOOR.MATH(MIN(-(U61-V61),MAX((U62-V62)*3,0))/3),0)</f>
        <v>0</v>
      </c>
    </row>
    <row r="62" spans="5:24" ht="15.75" thickBot="1" x14ac:dyDescent="0.3">
      <c r="E62" s="183"/>
      <c r="F62" s="50">
        <v>4</v>
      </c>
      <c r="G62" s="80" cm="1">
        <f t="array" aca="1" ref="G62" ca="1">SUM(INDIRECT("'"&amp;_xlfn._xlws.FILTER(Character_Name_List,INDEX(Character_List,,7)=E60,)&amp;"'!J17"))+SUM('Traveller Lookups'!D62:F62)</f>
        <v>66</v>
      </c>
      <c r="H62" s="71">
        <v>0</v>
      </c>
      <c r="I62" s="70">
        <f ca="1">MAX(G62-(H62+_xlfn.FLOOR.MATH(IF(I61=0,(H61+_xlfn.FLOOR.MATH(IF(I60=0,H60-G60,0)/3))-G61,0)/3)),0)</f>
        <v>66</v>
      </c>
      <c r="J62" s="50" t="s">
        <v>45</v>
      </c>
      <c r="L62" s="187"/>
      <c r="M62" s="78">
        <v>5</v>
      </c>
      <c r="N62" s="77">
        <f ca="1">'Weapon Ascension Mat Lookup'!B61</f>
        <v>0</v>
      </c>
      <c r="O62" s="73">
        <v>0</v>
      </c>
      <c r="P62" s="134">
        <f t="shared" ref="P62" ca="1" si="357">MAX(N62-(O62+_xlfn.FLOOR.MATH(IF(P61=0,(O61+_xlfn.FLOOR.MATH(IF(P60=0,(O60+_xlfn.FLOOR.MATH(IF(P59=0,O59-N59,0)/3))-N60,0)/3))-N61,0)/3)),0)</f>
        <v>0</v>
      </c>
      <c r="Q62" s="78" t="s">
        <v>45</v>
      </c>
      <c r="S62" s="192"/>
      <c r="T62" s="53">
        <v>4</v>
      </c>
      <c r="U62" s="70" cm="1">
        <f t="array" aca="1" ref="U62" ca="1">_xlfn.XLOOKUP(Overview!T62&amp;Overview!S60,INDEX(Weapon_Elite_Materials_Totals,,1)&amp;INDEX(Weapon_Elite_Materials_Totals,,2),INDEX(Weapon_Elite_Materials_Totals,,3),,0,1)</f>
        <v>0</v>
      </c>
      <c r="V62" s="71">
        <v>1</v>
      </c>
      <c r="W62" s="9">
        <f t="shared" ref="W62" ca="1" si="358">MAX(U62-(V62+_xlfn.FLOOR.MATH(IF(W61=0,(V61+_xlfn.FLOOR.MATH(IF(W60=0,V60-U60,0)/3))-U61,0)/3)),0)</f>
        <v>0</v>
      </c>
      <c r="X62" s="50" t="s">
        <v>45</v>
      </c>
    </row>
    <row r="63" spans="5:24" ht="15.75" thickTop="1" x14ac:dyDescent="0.25">
      <c r="E63" s="188" t="s">
        <v>934</v>
      </c>
      <c r="F63" s="49">
        <v>2</v>
      </c>
      <c r="G63" s="64" cm="1">
        <f t="array" aca="1" ref="G63" ca="1">SUM(INDIRECT("'"&amp;_xlfn._xlws.FILTER(Character_Name_List,INDEX(Character_List,,7)=E63,)&amp;"'!J15"))+SUM('Traveller Lookups'!D63:F63)</f>
        <v>9</v>
      </c>
      <c r="H63" s="65">
        <v>0</v>
      </c>
      <c r="I63" s="64">
        <f ca="1">MAX(G63-H63,0)</f>
        <v>9</v>
      </c>
      <c r="J63" s="49">
        <f t="shared" ref="J63" ca="1" si="359">MAX(_xlfn.FLOOR.MATH(MIN(-(G63-H63),MAX((G65-H65)*9+(G64-H64)*3,0))/3),0)</f>
        <v>0</v>
      </c>
      <c r="L63" s="181" t="s">
        <v>134</v>
      </c>
      <c r="M63" s="148">
        <v>2</v>
      </c>
      <c r="N63" s="149">
        <f ca="1">'Weapon Ascension Mat Lookup'!B62</f>
        <v>0</v>
      </c>
      <c r="O63" s="150">
        <v>8</v>
      </c>
      <c r="P63" s="151">
        <f t="shared" ref="P63" ca="1" si="360">MAX(N63-O63,0)</f>
        <v>0</v>
      </c>
      <c r="Q63" s="148">
        <f t="shared" ref="Q63" ca="1" si="361">MAX(_xlfn.FLOOR.MATH(MIN(-(N63-O63),MAX((N66-O66)*27+(N65-O65)*9+(N64-O64)*3,0))/3),0)</f>
        <v>0</v>
      </c>
      <c r="S63" s="190" t="s">
        <v>141</v>
      </c>
      <c r="T63" s="57">
        <v>2</v>
      </c>
      <c r="U63" s="38" cm="1">
        <f t="array" aca="1" ref="U63" ca="1">_xlfn.XLOOKUP(Overview!T63&amp;Overview!S63,INDEX(Weapon_Elite_Materials_Totals,,1)&amp;INDEX(Weapon_Elite_Materials_Totals,,2),INDEX(Weapon_Elite_Materials_Totals,,3),,0,1)</f>
        <v>0</v>
      </c>
      <c r="V63" s="63">
        <v>385</v>
      </c>
      <c r="W63" s="5">
        <f ca="1">MAX(U63-V63,0)</f>
        <v>0</v>
      </c>
      <c r="X63" s="6">
        <f t="shared" ref="X63" ca="1" si="362">MAX(_xlfn.FLOOR.MATH(MIN(-(U63-V63),MAX((U65-V65)*9+(U64-V64)*3,0))/3),0)</f>
        <v>0</v>
      </c>
    </row>
    <row r="64" spans="5:24" x14ac:dyDescent="0.25">
      <c r="E64" s="182"/>
      <c r="F64" s="51">
        <v>3</v>
      </c>
      <c r="G64" s="38" cm="1">
        <f t="array" aca="1" ref="G64" ca="1">SUM(INDIRECT("'"&amp;_xlfn._xlws.FILTER(Character_Name_List,INDEX(Character_List,,7)=E63,)&amp;"'!J16"))+SUM('Traveller Lookups'!D64:F64)</f>
        <v>63</v>
      </c>
      <c r="H64" s="68">
        <v>0</v>
      </c>
      <c r="I64" s="38">
        <f ca="1">MAX(G64-(H64+_xlfn.FLOOR.MATH(IF(I63=0,H63-G63,0)/3)),0)</f>
        <v>63</v>
      </c>
      <c r="J64" s="51">
        <f t="shared" ref="J64" ca="1" si="363">MAX(_xlfn.FLOOR.MATH(MIN(-(G64-H64),MAX((G65-H65)*3,0))/3),0)</f>
        <v>0</v>
      </c>
      <c r="L64" s="182"/>
      <c r="M64" s="51">
        <v>3</v>
      </c>
      <c r="N64" s="38">
        <f ca="1">'Weapon Ascension Mat Lookup'!B63</f>
        <v>0</v>
      </c>
      <c r="O64" s="68">
        <v>16</v>
      </c>
      <c r="P64" s="1">
        <f t="shared" ref="P64" ca="1" si="364">MAX(N64-(O64+_xlfn.FLOOR.MATH(IF(P63=0,O63-N63,0)/3)),0)</f>
        <v>0</v>
      </c>
      <c r="Q64" s="51">
        <f t="shared" ref="Q64" ca="1" si="365">MAX(_xlfn.FLOOR.MATH(MIN(-(N64-O64),MAX((N66-O66)*9+(N65-O65)*3,0))/3),0)</f>
        <v>0</v>
      </c>
      <c r="S64" s="191"/>
      <c r="T64" s="54">
        <v>3</v>
      </c>
      <c r="U64" s="38" cm="1">
        <f t="array" aca="1" ref="U64" ca="1">_xlfn.XLOOKUP(Overview!T64&amp;Overview!S63,INDEX(Weapon_Elite_Materials_Totals,,1)&amp;INDEX(Weapon_Elite_Materials_Totals,,2),INDEX(Weapon_Elite_Materials_Totals,,3),,0,1)</f>
        <v>0</v>
      </c>
      <c r="V64" s="68">
        <v>103</v>
      </c>
      <c r="W64" s="1">
        <f t="shared" ref="W64" ca="1" si="366">MAX(U64-(V64+_xlfn.FLOOR.MATH(IF(W63=0,V63-U63,0)/3)),0)</f>
        <v>0</v>
      </c>
      <c r="X64" s="4">
        <f t="shared" ref="X64" ca="1" si="367">MAX(_xlfn.FLOOR.MATH(MIN(-(U64-V64),MAX((U65-V65)*3,0))/3),0)</f>
        <v>0</v>
      </c>
    </row>
    <row r="65" spans="5:24" ht="15.75" thickBot="1" x14ac:dyDescent="0.3">
      <c r="E65" s="189"/>
      <c r="F65" s="78">
        <v>4</v>
      </c>
      <c r="G65" s="83" cm="1">
        <f t="array" aca="1" ref="G65" ca="1">SUM(INDIRECT("'"&amp;_xlfn._xlws.FILTER(Character_Name_List,INDEX(Character_List,,7)=E63,)&amp;"'!J17"))+SUM('Traveller Lookups'!D65:F65)</f>
        <v>66</v>
      </c>
      <c r="H65" s="73">
        <v>0</v>
      </c>
      <c r="I65" s="77">
        <f ca="1">MAX(G65-(H65+_xlfn.FLOOR.MATH(IF(I64=0,(H64+_xlfn.FLOOR.MATH(IF(I63=0,H63-G63,0)/3))-G64,0)/3)),0)</f>
        <v>66</v>
      </c>
      <c r="J65" s="78" t="s">
        <v>45</v>
      </c>
      <c r="L65" s="182"/>
      <c r="M65" s="51">
        <v>4</v>
      </c>
      <c r="N65" s="38">
        <f ca="1">'Weapon Ascension Mat Lookup'!B64</f>
        <v>0</v>
      </c>
      <c r="O65" s="68">
        <v>14</v>
      </c>
      <c r="P65" s="1">
        <f t="shared" ref="P65" ca="1" si="368">MAX(N65-(O65+_xlfn.FLOOR.MATH(IF(P64=0,(O64+_xlfn.FLOOR.MATH(IF(P63=0,O63-N63,0)/3))-N64,0)/3)),0)</f>
        <v>0</v>
      </c>
      <c r="Q65" s="51">
        <f t="shared" ref="Q65" ca="1" si="369">MAX(_xlfn.FLOOR.MATH(MIN(-(N65-O65),MAX((N66-O66)*3,0))/3),0)</f>
        <v>0</v>
      </c>
      <c r="S65" s="192"/>
      <c r="T65" s="53">
        <v>4</v>
      </c>
      <c r="U65" s="70" cm="1">
        <f t="array" aca="1" ref="U65" ca="1">_xlfn.XLOOKUP(Overview!T65&amp;Overview!S63,INDEX(Weapon_Elite_Materials_Totals,,1)&amp;INDEX(Weapon_Elite_Materials_Totals,,2),INDEX(Weapon_Elite_Materials_Totals,,3),,0,1)</f>
        <v>0</v>
      </c>
      <c r="V65" s="71">
        <v>21</v>
      </c>
      <c r="W65" s="9">
        <f t="shared" ref="W65" ca="1" si="370">MAX(U65-(V65+_xlfn.FLOOR.MATH(IF(W64=0,(V64+_xlfn.FLOOR.MATH(IF(W63=0,V63-U63,0)/3))-U64,0)/3)),0)</f>
        <v>0</v>
      </c>
      <c r="X65" s="50" t="s">
        <v>45</v>
      </c>
    </row>
    <row r="66" spans="5:24" ht="16.5" thickTop="1" thickBot="1" x14ac:dyDescent="0.3">
      <c r="L66" s="183"/>
      <c r="M66" s="50">
        <v>5</v>
      </c>
      <c r="N66" s="70">
        <f ca="1">'Weapon Ascension Mat Lookup'!B65</f>
        <v>0</v>
      </c>
      <c r="O66" s="71">
        <v>6</v>
      </c>
      <c r="P66" s="9">
        <f t="shared" ref="P66" ca="1" si="371">MAX(N66-(O66+_xlfn.FLOOR.MATH(IF(P65=0,(O65+_xlfn.FLOOR.MATH(IF(P64=0,(O64+_xlfn.FLOOR.MATH(IF(P63=0,O63-N63,0)/3))-N64,0)/3))-N65,0)/3)),0)</f>
        <v>0</v>
      </c>
      <c r="Q66" s="50" t="s">
        <v>45</v>
      </c>
      <c r="S66" s="190" t="s">
        <v>142</v>
      </c>
      <c r="T66" s="57">
        <v>2</v>
      </c>
      <c r="U66" s="38" cm="1">
        <f t="array" aca="1" ref="U66" ca="1">_xlfn.XLOOKUP(Overview!T66&amp;Overview!S66,INDEX(Weapon_Elite_Materials_Totals,,1)&amp;INDEX(Weapon_Elite_Materials_Totals,,2),INDEX(Weapon_Elite_Materials_Totals,,3),,0,1)</f>
        <v>0</v>
      </c>
      <c r="V66" s="63">
        <v>122</v>
      </c>
      <c r="W66" s="5">
        <f ca="1">MAX(U66-V66,0)</f>
        <v>0</v>
      </c>
      <c r="X66" s="6">
        <f t="shared" ref="X66" ca="1" si="372">MAX(_xlfn.FLOOR.MATH(MIN(-(U66-V66),MAX((U68-V68)*9+(U67-V67)*3,0))/3),0)</f>
        <v>0</v>
      </c>
    </row>
    <row r="67" spans="5:24" x14ac:dyDescent="0.25">
      <c r="L67" s="184" t="s">
        <v>135</v>
      </c>
      <c r="M67" s="49">
        <v>2</v>
      </c>
      <c r="N67" s="64">
        <f ca="1">'Weapon Ascension Mat Lookup'!B66</f>
        <v>3</v>
      </c>
      <c r="O67" s="65">
        <v>4</v>
      </c>
      <c r="P67" s="2">
        <f t="shared" ref="P67" ca="1" si="373">MAX(N67-O67,0)</f>
        <v>0</v>
      </c>
      <c r="Q67" s="49">
        <f ca="1">MAX(_xlfn.FLOOR.MATH(MIN(-(N67-O67),MAX((N70-O70)*27+(N69-O69)*9+(N68-O68)*3,0))/3),0)</f>
        <v>0</v>
      </c>
      <c r="S67" s="191"/>
      <c r="T67" s="54">
        <v>3</v>
      </c>
      <c r="U67" s="38" cm="1">
        <f t="array" aca="1" ref="U67" ca="1">_xlfn.XLOOKUP(Overview!T67&amp;Overview!S66,INDEX(Weapon_Elite_Materials_Totals,,1)&amp;INDEX(Weapon_Elite_Materials_Totals,,2),INDEX(Weapon_Elite_Materials_Totals,,3),,0,1)</f>
        <v>0</v>
      </c>
      <c r="V67" s="68">
        <v>39</v>
      </c>
      <c r="W67" s="1">
        <f t="shared" ref="W67" ca="1" si="374">MAX(U67-(V67+_xlfn.FLOOR.MATH(IF(W66=0,V66-U66,0)/3)),0)</f>
        <v>0</v>
      </c>
      <c r="X67" s="4">
        <f t="shared" ref="X67" ca="1" si="375">MAX(_xlfn.FLOOR.MATH(MIN(-(U67-V67),MAX((U68-V68)*3,0))/3),0)</f>
        <v>0</v>
      </c>
    </row>
    <row r="68" spans="5:24" ht="15.75" thickBot="1" x14ac:dyDescent="0.3">
      <c r="L68" s="185"/>
      <c r="M68" s="51">
        <v>3</v>
      </c>
      <c r="N68" s="38">
        <f ca="1">'Weapon Ascension Mat Lookup'!B67</f>
        <v>9</v>
      </c>
      <c r="O68" s="68">
        <v>11</v>
      </c>
      <c r="P68" s="1">
        <f ca="1">MAX(N68-(O68+_xlfn.FLOOR.MATH(IF(P67=0,O67-N67,0)/3)),0)</f>
        <v>0</v>
      </c>
      <c r="Q68" s="51">
        <f ca="1">MAX(_xlfn.FLOOR.MATH(MIN(-(N68-O68),MAX((N70-O70)*9+(N69-O69)*3,0))/3),0)</f>
        <v>0</v>
      </c>
      <c r="S68" s="192"/>
      <c r="T68" s="53">
        <v>4</v>
      </c>
      <c r="U68" s="70" cm="1">
        <f t="array" aca="1" ref="U68" ca="1">_xlfn.XLOOKUP(Overview!T68&amp;Overview!S66,INDEX(Weapon_Elite_Materials_Totals,,1)&amp;INDEX(Weapon_Elite_Materials_Totals,,2),INDEX(Weapon_Elite_Materials_Totals,,3),,0,1)</f>
        <v>0</v>
      </c>
      <c r="V68" s="71">
        <v>13</v>
      </c>
      <c r="W68" s="9">
        <f t="shared" ref="W68" ca="1" si="376">MAX(U68-(V68+_xlfn.FLOOR.MATH(IF(W67=0,(V67+_xlfn.FLOOR.MATH(IF(W66=0,V66-U66,0)/3))-U67,0)/3)),0)</f>
        <v>0</v>
      </c>
      <c r="X68" s="50" t="s">
        <v>45</v>
      </c>
    </row>
    <row r="69" spans="5:24" x14ac:dyDescent="0.25">
      <c r="L69" s="185"/>
      <c r="M69" s="51">
        <v>4</v>
      </c>
      <c r="N69" s="38">
        <f ca="1">'Weapon Ascension Mat Lookup'!B68</f>
        <v>9</v>
      </c>
      <c r="O69" s="68">
        <v>10</v>
      </c>
      <c r="P69" s="1">
        <f t="shared" ref="P69" ca="1" si="377">MAX(N69-(O69+_xlfn.FLOOR.MATH(IF(P68=0,(O68+_xlfn.FLOOR.MATH(IF(P67=0,O67-N67,0)/3))-N68,0)/3)),0)</f>
        <v>0</v>
      </c>
      <c r="Q69" s="51">
        <f ca="1">MAX(_xlfn.FLOOR.MATH(MIN(-(N69-O69),MAX((N70-O70)*3,0))/3),0)</f>
        <v>0</v>
      </c>
      <c r="S69" s="190" t="s">
        <v>143</v>
      </c>
      <c r="T69" s="57">
        <v>2</v>
      </c>
      <c r="U69" s="38" cm="1">
        <f t="array" aca="1" ref="U69" ca="1">_xlfn.XLOOKUP(Overview!T69&amp;Overview!S69,INDEX(Weapon_Elite_Materials_Totals,,1)&amp;INDEX(Weapon_Elite_Materials_Totals,,2),INDEX(Weapon_Elite_Materials_Totals,,3),,0,1)</f>
        <v>0</v>
      </c>
      <c r="V69" s="63">
        <v>335</v>
      </c>
      <c r="W69" s="5">
        <f ca="1">MAX(U69-V69,0)</f>
        <v>0</v>
      </c>
      <c r="X69" s="6">
        <f t="shared" ref="X69" ca="1" si="378">MAX(_xlfn.FLOOR.MATH(MIN(-(U69-V69),MAX((U71-V71)*9+(U70-V70)*3,0))/3),0)</f>
        <v>0</v>
      </c>
    </row>
    <row r="70" spans="5:24" ht="15.75" thickBot="1" x14ac:dyDescent="0.3">
      <c r="L70" s="186"/>
      <c r="M70" s="50">
        <v>5</v>
      </c>
      <c r="N70" s="70">
        <f ca="1">'Weapon Ascension Mat Lookup'!B69</f>
        <v>4</v>
      </c>
      <c r="O70" s="71">
        <v>4</v>
      </c>
      <c r="P70" s="9">
        <f t="shared" ref="P70" ca="1" si="379">MAX(N70-(O70+_xlfn.FLOOR.MATH(IF(P69=0,(O69+_xlfn.FLOOR.MATH(IF(P68=0,(O68+_xlfn.FLOOR.MATH(IF(P67=0,O67-N67,0)/3))-N68,0)/3))-N69,0)/3)),0)</f>
        <v>0</v>
      </c>
      <c r="Q70" s="50" t="s">
        <v>45</v>
      </c>
      <c r="S70" s="191"/>
      <c r="T70" s="54">
        <v>3</v>
      </c>
      <c r="U70" s="38" cm="1">
        <f t="array" aca="1" ref="U70" ca="1">_xlfn.XLOOKUP(Overview!T70&amp;Overview!S69,INDEX(Weapon_Elite_Materials_Totals,,1)&amp;INDEX(Weapon_Elite_Materials_Totals,,2),INDEX(Weapon_Elite_Materials_Totals,,3),,0,1)</f>
        <v>0</v>
      </c>
      <c r="V70" s="68">
        <v>88</v>
      </c>
      <c r="W70" s="1">
        <f t="shared" ref="W70" ca="1" si="380">MAX(U70-(V70+_xlfn.FLOOR.MATH(IF(W69=0,V69-U69,0)/3)),0)</f>
        <v>0</v>
      </c>
      <c r="X70" s="4">
        <f t="shared" ref="X70" ca="1" si="381">MAX(_xlfn.FLOOR.MATH(MIN(-(U70-V70),MAX((U71-V71)*3,0))/3),0)</f>
        <v>0</v>
      </c>
    </row>
    <row r="71" spans="5:24" ht="15.75" thickBot="1" x14ac:dyDescent="0.3">
      <c r="L71" s="184" t="s">
        <v>137</v>
      </c>
      <c r="M71" s="49">
        <v>2</v>
      </c>
      <c r="N71" s="64">
        <f ca="1">'Weapon Ascension Mat Lookup'!B70</f>
        <v>0</v>
      </c>
      <c r="O71" s="65">
        <v>5</v>
      </c>
      <c r="P71" s="2">
        <f t="shared" ref="P71" ca="1" si="382">MAX(N71-O71,0)</f>
        <v>0</v>
      </c>
      <c r="Q71" s="49">
        <f t="shared" ref="Q71" ca="1" si="383">MAX(_xlfn.FLOOR.MATH(MIN(-(N71-O71),MAX((N74-O74)*27+(N73-O73)*9+(N72-O72)*3,0))/3),0)</f>
        <v>0</v>
      </c>
      <c r="S71" s="192"/>
      <c r="T71" s="53">
        <v>4</v>
      </c>
      <c r="U71" s="70" cm="1">
        <f t="array" aca="1" ref="U71" ca="1">_xlfn.XLOOKUP(Overview!T71&amp;Overview!S69,INDEX(Weapon_Elite_Materials_Totals,,1)&amp;INDEX(Weapon_Elite_Materials_Totals,,2),INDEX(Weapon_Elite_Materials_Totals,,3),,0,1)</f>
        <v>0</v>
      </c>
      <c r="V71" s="71">
        <v>27</v>
      </c>
      <c r="W71" s="9">
        <f t="shared" ref="W71" ca="1" si="384">MAX(U71-(V71+_xlfn.FLOOR.MATH(IF(W70=0,(V70+_xlfn.FLOOR.MATH(IF(W69=0,V69-U69,0)/3))-U70,0)/3)),0)</f>
        <v>0</v>
      </c>
      <c r="X71" s="50" t="s">
        <v>45</v>
      </c>
    </row>
    <row r="72" spans="5:24" x14ac:dyDescent="0.25">
      <c r="L72" s="185"/>
      <c r="M72" s="51">
        <v>3</v>
      </c>
      <c r="N72" s="38">
        <f ca="1">'Weapon Ascension Mat Lookup'!B71</f>
        <v>0</v>
      </c>
      <c r="O72" s="68">
        <v>6</v>
      </c>
      <c r="P72" s="1">
        <f t="shared" ref="P72" ca="1" si="385">MAX(N72-(O72+_xlfn.FLOOR.MATH(IF(P71=0,O71-N71,0)/3)),0)</f>
        <v>0</v>
      </c>
      <c r="Q72" s="51">
        <f t="shared" ref="Q72" ca="1" si="386">MAX(_xlfn.FLOOR.MATH(MIN(-(N72-O72),MAX((N74-O74)*9+(N73-O73)*3,0))/3),0)</f>
        <v>0</v>
      </c>
      <c r="S72" s="190" t="s">
        <v>144</v>
      </c>
      <c r="T72" s="57">
        <v>2</v>
      </c>
      <c r="U72" s="38" cm="1">
        <f t="array" aca="1" ref="U72" ca="1">_xlfn.XLOOKUP(Overview!T72&amp;Overview!S72,INDEX(Weapon_Elite_Materials_Totals,,1)&amp;INDEX(Weapon_Elite_Materials_Totals,,2),INDEX(Weapon_Elite_Materials_Totals,,3),,0,1)</f>
        <v>0</v>
      </c>
      <c r="V72" s="63">
        <v>114</v>
      </c>
      <c r="W72" s="5">
        <f ca="1">MAX(U72-V72,0)</f>
        <v>0</v>
      </c>
      <c r="X72" s="6">
        <f t="shared" ref="X72" ca="1" si="387">MAX(_xlfn.FLOOR.MATH(MIN(-(U72-V72),MAX((U74-V74)*9+(U73-V73)*3,0))/3),0)</f>
        <v>0</v>
      </c>
    </row>
    <row r="73" spans="5:24" x14ac:dyDescent="0.25">
      <c r="L73" s="185"/>
      <c r="M73" s="51">
        <v>4</v>
      </c>
      <c r="N73" s="38">
        <f ca="1">'Weapon Ascension Mat Lookup'!B72</f>
        <v>0</v>
      </c>
      <c r="O73" s="68">
        <v>0</v>
      </c>
      <c r="P73" s="1">
        <f t="shared" ref="P73" ca="1" si="388">MAX(N73-(O73+_xlfn.FLOOR.MATH(IF(P72=0,(O72+_xlfn.FLOOR.MATH(IF(P71=0,O71-N71,0)/3))-N72,0)/3)),0)</f>
        <v>0</v>
      </c>
      <c r="Q73" s="51">
        <f t="shared" ref="Q73" ca="1" si="389">MAX(_xlfn.FLOOR.MATH(MIN(-(N73-O73),MAX((N74-O74)*3,0))/3),0)</f>
        <v>0</v>
      </c>
      <c r="S73" s="191"/>
      <c r="T73" s="54">
        <v>3</v>
      </c>
      <c r="U73" s="38" cm="1">
        <f t="array" aca="1" ref="U73" ca="1">_xlfn.XLOOKUP(Overview!T73&amp;Overview!S72,INDEX(Weapon_Elite_Materials_Totals,,1)&amp;INDEX(Weapon_Elite_Materials_Totals,,2),INDEX(Weapon_Elite_Materials_Totals,,3),,0,1)</f>
        <v>0</v>
      </c>
      <c r="V73" s="68">
        <v>15</v>
      </c>
      <c r="W73" s="1">
        <f t="shared" ref="W73" ca="1" si="390">MAX(U73-(V73+_xlfn.FLOOR.MATH(IF(W72=0,V72-U72,0)/3)),0)</f>
        <v>0</v>
      </c>
      <c r="X73" s="4">
        <f t="shared" ref="X73" ca="1" si="391">MAX(_xlfn.FLOOR.MATH(MIN(-(U73-V73),MAX((U74-V74)*3,0))/3),0)</f>
        <v>0</v>
      </c>
    </row>
    <row r="74" spans="5:24" ht="15.75" thickBot="1" x14ac:dyDescent="0.3">
      <c r="L74" s="187"/>
      <c r="M74" s="78">
        <v>5</v>
      </c>
      <c r="N74" s="77">
        <f ca="1">'Weapon Ascension Mat Lookup'!B73</f>
        <v>0</v>
      </c>
      <c r="O74" s="73">
        <v>0</v>
      </c>
      <c r="P74" s="134">
        <f t="shared" ref="P74" ca="1" si="392">MAX(N74-(O74+_xlfn.FLOOR.MATH(IF(P73=0,(O73+_xlfn.FLOOR.MATH(IF(P72=0,(O72+_xlfn.FLOOR.MATH(IF(P71=0,O71-N71,0)/3))-N72,0)/3))-N73,0)/3)),0)</f>
        <v>0</v>
      </c>
      <c r="Q74" s="78" t="s">
        <v>45</v>
      </c>
      <c r="S74" s="192"/>
      <c r="T74" s="53">
        <v>4</v>
      </c>
      <c r="U74" s="70" cm="1">
        <f t="array" aca="1" ref="U74" ca="1">_xlfn.XLOOKUP(Overview!T74&amp;Overview!S72,INDEX(Weapon_Elite_Materials_Totals,,1)&amp;INDEX(Weapon_Elite_Materials_Totals,,2),INDEX(Weapon_Elite_Materials_Totals,,3),,0,1)</f>
        <v>0</v>
      </c>
      <c r="V74" s="71">
        <v>4</v>
      </c>
      <c r="W74" s="9">
        <f t="shared" ref="W74" ca="1" si="393">MAX(U74-(V74+_xlfn.FLOOR.MATH(IF(W73=0,(V73+_xlfn.FLOOR.MATH(IF(W72=0,V72-U72,0)/3))-U73,0)/3)),0)</f>
        <v>0</v>
      </c>
      <c r="X74" s="50" t="s">
        <v>45</v>
      </c>
    </row>
    <row r="75" spans="5:24" ht="15.75" thickTop="1" x14ac:dyDescent="0.25">
      <c r="L75" s="181" t="s">
        <v>932</v>
      </c>
      <c r="M75" s="148">
        <v>2</v>
      </c>
      <c r="N75" s="149">
        <f>'Weapon Ascension Mat Lookup'!B74</f>
        <v>0</v>
      </c>
      <c r="O75" s="150">
        <v>8</v>
      </c>
      <c r="P75" s="151">
        <f t="shared" ref="P75" si="394">MAX(N75-O75,0)</f>
        <v>0</v>
      </c>
      <c r="Q75" s="148">
        <f t="shared" ref="Q75" si="395">MAX(_xlfn.FLOOR.MATH(MIN(-(N75-O75),MAX((N78-O78)*27+(N77-O77)*9+(N76-O76)*3,0))/3),0)</f>
        <v>0</v>
      </c>
      <c r="S75" s="190" t="s">
        <v>913</v>
      </c>
      <c r="T75" s="57">
        <v>2</v>
      </c>
      <c r="U75" s="38" cm="1">
        <f t="array" aca="1" ref="U75" ca="1">_xlfn.XLOOKUP(Overview!T75&amp;Overview!S75,INDEX(Weapon_Elite_Materials_Totals,,1)&amp;INDEX(Weapon_Elite_Materials_Totals,,2),INDEX(Weapon_Elite_Materials_Totals,,3),,0,1)</f>
        <v>15</v>
      </c>
      <c r="V75" s="63">
        <v>60</v>
      </c>
      <c r="W75" s="5">
        <f ca="1">MAX(U75-V75,0)</f>
        <v>0</v>
      </c>
      <c r="X75" s="6">
        <f t="shared" ref="X75" ca="1" si="396">MAX(_xlfn.FLOOR.MATH(MIN(-(U75-V75),MAX((U77-V77)*9+(U76-V76)*3,0))/3),0)</f>
        <v>0</v>
      </c>
    </row>
    <row r="76" spans="5:24" x14ac:dyDescent="0.25">
      <c r="L76" s="182"/>
      <c r="M76" s="51">
        <v>3</v>
      </c>
      <c r="N76" s="38">
        <f>'Weapon Ascension Mat Lookup'!B75</f>
        <v>0</v>
      </c>
      <c r="O76" s="68">
        <v>16</v>
      </c>
      <c r="P76" s="1">
        <f t="shared" ref="P76" si="397">MAX(N76-(O76+_xlfn.FLOOR.MATH(IF(P75=0,O75-N75,0)/3)),0)</f>
        <v>0</v>
      </c>
      <c r="Q76" s="51">
        <f t="shared" ref="Q76" si="398">MAX(_xlfn.FLOOR.MATH(MIN(-(N76-O76),MAX((N78-O78)*9+(N77-O77)*3,0))/3),0)</f>
        <v>0</v>
      </c>
      <c r="S76" s="191"/>
      <c r="T76" s="54">
        <v>3</v>
      </c>
      <c r="U76" s="38" cm="1">
        <f t="array" aca="1" ref="U76" ca="1">_xlfn.XLOOKUP(Overview!T76&amp;Overview!S75,INDEX(Weapon_Elite_Materials_Totals,,1)&amp;INDEX(Weapon_Elite_Materials_Totals,,2),INDEX(Weapon_Elite_Materials_Totals,,3),,0,1)</f>
        <v>18</v>
      </c>
      <c r="V76" s="68">
        <v>46</v>
      </c>
      <c r="W76" s="1">
        <f t="shared" ref="W76" ca="1" si="399">MAX(U76-(V76+_xlfn.FLOOR.MATH(IF(W75=0,V75-U75,0)/3)),0)</f>
        <v>0</v>
      </c>
      <c r="X76" s="4">
        <f t="shared" ref="X76" ca="1" si="400">MAX(_xlfn.FLOOR.MATH(MIN(-(U76-V76),MAX((U77-V77)*3,0))/3),0)</f>
        <v>0</v>
      </c>
    </row>
    <row r="77" spans="5:24" ht="15.75" thickBot="1" x14ac:dyDescent="0.3">
      <c r="L77" s="182"/>
      <c r="M77" s="51">
        <v>4</v>
      </c>
      <c r="N77" s="38">
        <f>'Weapon Ascension Mat Lookup'!B76</f>
        <v>0</v>
      </c>
      <c r="O77" s="68">
        <v>14</v>
      </c>
      <c r="P77" s="1">
        <f t="shared" ref="P77" si="401">MAX(N77-(O77+_xlfn.FLOOR.MATH(IF(P76=0,(O76+_xlfn.FLOOR.MATH(IF(P75=0,O75-N75,0)/3))-N76,0)/3)),0)</f>
        <v>0</v>
      </c>
      <c r="Q77" s="51">
        <f t="shared" ref="Q77" si="402">MAX(_xlfn.FLOOR.MATH(MIN(-(N77-O77),MAX((N78-O78)*3,0))/3),0)</f>
        <v>0</v>
      </c>
      <c r="S77" s="192"/>
      <c r="T77" s="53">
        <v>4</v>
      </c>
      <c r="U77" s="70" cm="1">
        <f t="array" aca="1" ref="U77" ca="1">_xlfn.XLOOKUP(Overview!T77&amp;Overview!S75,INDEX(Weapon_Elite_Materials_Totals,,1)&amp;INDEX(Weapon_Elite_Materials_Totals,,2),INDEX(Weapon_Elite_Materials_Totals,,3),,0,1)</f>
        <v>27</v>
      </c>
      <c r="V77" s="71">
        <v>68</v>
      </c>
      <c r="W77" s="9">
        <f t="shared" ref="W77" ca="1" si="403">MAX(U77-(V77+_xlfn.FLOOR.MATH(IF(W76=0,(V76+_xlfn.FLOOR.MATH(IF(W75=0,V75-U75,0)/3))-U76,0)/3)),0)</f>
        <v>0</v>
      </c>
      <c r="X77" s="50" t="s">
        <v>45</v>
      </c>
    </row>
    <row r="78" spans="5:24" ht="15.75" thickBot="1" x14ac:dyDescent="0.3">
      <c r="L78" s="183"/>
      <c r="M78" s="50">
        <v>5</v>
      </c>
      <c r="N78" s="70">
        <f>'Weapon Ascension Mat Lookup'!B77</f>
        <v>0</v>
      </c>
      <c r="O78" s="71">
        <v>6</v>
      </c>
      <c r="P78" s="9">
        <f t="shared" ref="P78" si="404">MAX(N78-(O78+_xlfn.FLOOR.MATH(IF(P77=0,(O77+_xlfn.FLOOR.MATH(IF(P76=0,(O76+_xlfn.FLOOR.MATH(IF(P75=0,O75-N75,0)/3))-N76,0)/3))-N77,0)/3)),0)</f>
        <v>0</v>
      </c>
      <c r="Q78" s="50" t="s">
        <v>45</v>
      </c>
    </row>
    <row r="79" spans="5:24" x14ac:dyDescent="0.25">
      <c r="L79" s="184" t="s">
        <v>933</v>
      </c>
      <c r="M79" s="49">
        <v>2</v>
      </c>
      <c r="N79" s="64">
        <f>'Weapon Ascension Mat Lookup'!B78</f>
        <v>0</v>
      </c>
      <c r="O79" s="65">
        <v>4</v>
      </c>
      <c r="P79" s="2">
        <f t="shared" ref="P79" si="405">MAX(N79-O79,0)</f>
        <v>0</v>
      </c>
      <c r="Q79" s="49">
        <f>MAX(_xlfn.FLOOR.MATH(MIN(-(N79-O79),MAX((N82-O82)*27+(N81-O81)*9+(N80-O80)*3,0))/3),0)</f>
        <v>0</v>
      </c>
    </row>
    <row r="80" spans="5:24" x14ac:dyDescent="0.25">
      <c r="L80" s="185"/>
      <c r="M80" s="51">
        <v>3</v>
      </c>
      <c r="N80" s="38">
        <f>'Weapon Ascension Mat Lookup'!B79</f>
        <v>0</v>
      </c>
      <c r="O80" s="68">
        <v>11</v>
      </c>
      <c r="P80" s="1">
        <f>MAX(N80-(O80+_xlfn.FLOOR.MATH(IF(P79=0,O79-N79,0)/3)),0)</f>
        <v>0</v>
      </c>
      <c r="Q80" s="51">
        <f>MAX(_xlfn.FLOOR.MATH(MIN(-(N80-O80),MAX((N82-O82)*9+(N81-O81)*3,0))/3),0)</f>
        <v>0</v>
      </c>
    </row>
    <row r="81" spans="12:17" x14ac:dyDescent="0.25">
      <c r="L81" s="185"/>
      <c r="M81" s="51">
        <v>4</v>
      </c>
      <c r="N81" s="38">
        <f>'Weapon Ascension Mat Lookup'!B80</f>
        <v>0</v>
      </c>
      <c r="O81" s="68">
        <v>10</v>
      </c>
      <c r="P81" s="1">
        <f t="shared" ref="P81" si="406">MAX(N81-(O81+_xlfn.FLOOR.MATH(IF(P80=0,(O80+_xlfn.FLOOR.MATH(IF(P79=0,O79-N79,0)/3))-N80,0)/3)),0)</f>
        <v>0</v>
      </c>
      <c r="Q81" s="51">
        <f>MAX(_xlfn.FLOOR.MATH(MIN(-(N81-O81),MAX((N82-O82)*3,0))/3),0)</f>
        <v>0</v>
      </c>
    </row>
    <row r="82" spans="12:17" ht="15.75" thickBot="1" x14ac:dyDescent="0.3">
      <c r="L82" s="186"/>
      <c r="M82" s="50">
        <v>5</v>
      </c>
      <c r="N82" s="70">
        <f>'Weapon Ascension Mat Lookup'!B81</f>
        <v>0</v>
      </c>
      <c r="O82" s="71">
        <v>4</v>
      </c>
      <c r="P82" s="9">
        <f t="shared" ref="P82" si="407">MAX(N82-(O82+_xlfn.FLOOR.MATH(IF(P81=0,(O81+_xlfn.FLOOR.MATH(IF(P80=0,(O80+_xlfn.FLOOR.MATH(IF(P79=0,O79-N79,0)/3))-N80,0)/3))-N81,0)/3)),0)</f>
        <v>0</v>
      </c>
      <c r="Q82" s="50" t="s">
        <v>45</v>
      </c>
    </row>
    <row r="83" spans="12:17" x14ac:dyDescent="0.25">
      <c r="L83" s="184" t="s">
        <v>934</v>
      </c>
      <c r="M83" s="49">
        <v>2</v>
      </c>
      <c r="N83" s="64">
        <f>'Weapon Ascension Mat Lookup'!B82</f>
        <v>0</v>
      </c>
      <c r="O83" s="65">
        <v>5</v>
      </c>
      <c r="P83" s="2">
        <f t="shared" ref="P83" si="408">MAX(N83-O83,0)</f>
        <v>0</v>
      </c>
      <c r="Q83" s="49">
        <f t="shared" ref="Q83" si="409">MAX(_xlfn.FLOOR.MATH(MIN(-(N83-O83),MAX((N86-O86)*27+(N85-O85)*9+(N84-O84)*3,0))/3),0)</f>
        <v>0</v>
      </c>
    </row>
    <row r="84" spans="12:17" x14ac:dyDescent="0.25">
      <c r="L84" s="185"/>
      <c r="M84" s="51">
        <v>3</v>
      </c>
      <c r="N84" s="38">
        <f>'Weapon Ascension Mat Lookup'!B83</f>
        <v>0</v>
      </c>
      <c r="O84" s="68">
        <v>6</v>
      </c>
      <c r="P84" s="1">
        <f t="shared" ref="P84" si="410">MAX(N84-(O84+_xlfn.FLOOR.MATH(IF(P83=0,O83-N83,0)/3)),0)</f>
        <v>0</v>
      </c>
      <c r="Q84" s="51">
        <f t="shared" ref="Q84" si="411">MAX(_xlfn.FLOOR.MATH(MIN(-(N84-O84),MAX((N86-O86)*9+(N85-O85)*3,0))/3),0)</f>
        <v>0</v>
      </c>
    </row>
    <row r="85" spans="12:17" x14ac:dyDescent="0.25">
      <c r="L85" s="185"/>
      <c r="M85" s="51">
        <v>4</v>
      </c>
      <c r="N85" s="38">
        <f>'Weapon Ascension Mat Lookup'!B84</f>
        <v>0</v>
      </c>
      <c r="O85" s="68">
        <v>0</v>
      </c>
      <c r="P85" s="1">
        <f t="shared" ref="P85" si="412">MAX(N85-(O85+_xlfn.FLOOR.MATH(IF(P84=0,(O84+_xlfn.FLOOR.MATH(IF(P83=0,O83-N83,0)/3))-N84,0)/3)),0)</f>
        <v>0</v>
      </c>
      <c r="Q85" s="51">
        <f t="shared" ref="Q85" si="413">MAX(_xlfn.FLOOR.MATH(MIN(-(N85-O85),MAX((N86-O86)*3,0))/3),0)</f>
        <v>0</v>
      </c>
    </row>
    <row r="86" spans="12:17" ht="15.75" thickBot="1" x14ac:dyDescent="0.3">
      <c r="L86" s="187"/>
      <c r="M86" s="78">
        <v>5</v>
      </c>
      <c r="N86" s="77">
        <f>'Weapon Ascension Mat Lookup'!B85</f>
        <v>0</v>
      </c>
      <c r="O86" s="73">
        <v>0</v>
      </c>
      <c r="P86" s="134">
        <f t="shared" ref="P86" si="414">MAX(N86-(O86+_xlfn.FLOOR.MATH(IF(P85=0,(O85+_xlfn.FLOOR.MATH(IF(P84=0,(O84+_xlfn.FLOOR.MATH(IF(P83=0,O83-N83,0)/3))-N84,0)/3))-N85,0)/3)),0)</f>
        <v>0</v>
      </c>
      <c r="Q86" s="78" t="s">
        <v>45</v>
      </c>
    </row>
    <row r="87" spans="12:17" ht="15.75" thickTop="1" x14ac:dyDescent="0.25"/>
  </sheetData>
  <mergeCells count="106">
    <mergeCell ref="AN1:AQ1"/>
    <mergeCell ref="S54:S56"/>
    <mergeCell ref="S36:S38"/>
    <mergeCell ref="S33:S35"/>
    <mergeCell ref="S1:X1"/>
    <mergeCell ref="S30:S32"/>
    <mergeCell ref="S27:S29"/>
    <mergeCell ref="S24:S26"/>
    <mergeCell ref="S21:S23"/>
    <mergeCell ref="S18:S20"/>
    <mergeCell ref="S15:S17"/>
    <mergeCell ref="S12:S14"/>
    <mergeCell ref="S6:S8"/>
    <mergeCell ref="S3:S5"/>
    <mergeCell ref="S9:S11"/>
    <mergeCell ref="AG27:AG30"/>
    <mergeCell ref="AG7:AG10"/>
    <mergeCell ref="AG3:AG6"/>
    <mergeCell ref="AG1:AL1"/>
    <mergeCell ref="AG19:AG22"/>
    <mergeCell ref="AG23:AG26"/>
    <mergeCell ref="AG11:AG14"/>
    <mergeCell ref="AG15:AG18"/>
    <mergeCell ref="Z39:Z41"/>
    <mergeCell ref="L19:L22"/>
    <mergeCell ref="Z15:Z17"/>
    <mergeCell ref="Z18:Z20"/>
    <mergeCell ref="Z21:Z23"/>
    <mergeCell ref="E30:E32"/>
    <mergeCell ref="E33:E35"/>
    <mergeCell ref="Z30:Z32"/>
    <mergeCell ref="A14:A20"/>
    <mergeCell ref="A1:C1"/>
    <mergeCell ref="A4:B4"/>
    <mergeCell ref="A3:B3"/>
    <mergeCell ref="A2:B2"/>
    <mergeCell ref="A6:A12"/>
    <mergeCell ref="E1:J1"/>
    <mergeCell ref="L7:L10"/>
    <mergeCell ref="L11:L14"/>
    <mergeCell ref="E3:E5"/>
    <mergeCell ref="E9:E11"/>
    <mergeCell ref="E6:E8"/>
    <mergeCell ref="E12:E14"/>
    <mergeCell ref="L3:L6"/>
    <mergeCell ref="L1:Q1"/>
    <mergeCell ref="E36:E38"/>
    <mergeCell ref="L31:L34"/>
    <mergeCell ref="L35:L38"/>
    <mergeCell ref="L27:L30"/>
    <mergeCell ref="E27:E29"/>
    <mergeCell ref="AS1:BF1"/>
    <mergeCell ref="BC2:BF2"/>
    <mergeCell ref="AY2:BB2"/>
    <mergeCell ref="AT2:AX2"/>
    <mergeCell ref="AS2:AS3"/>
    <mergeCell ref="Z1:AE1"/>
    <mergeCell ref="Z24:Z26"/>
    <mergeCell ref="Z27:Z29"/>
    <mergeCell ref="Z3:Z5"/>
    <mergeCell ref="Z6:Z8"/>
    <mergeCell ref="Z9:Z11"/>
    <mergeCell ref="Z33:Z35"/>
    <mergeCell ref="Z12:Z14"/>
    <mergeCell ref="E15:E17"/>
    <mergeCell ref="E18:E20"/>
    <mergeCell ref="E21:E23"/>
    <mergeCell ref="L15:L18"/>
    <mergeCell ref="E24:E26"/>
    <mergeCell ref="L23:L26"/>
    <mergeCell ref="Z36:Z38"/>
    <mergeCell ref="L51:L54"/>
    <mergeCell ref="L55:L58"/>
    <mergeCell ref="L59:L62"/>
    <mergeCell ref="L47:L50"/>
    <mergeCell ref="L39:L42"/>
    <mergeCell ref="L43:L46"/>
    <mergeCell ref="S60:S62"/>
    <mergeCell ref="S57:S59"/>
    <mergeCell ref="Z45:Z47"/>
    <mergeCell ref="Z42:Z44"/>
    <mergeCell ref="E39:E41"/>
    <mergeCell ref="E42:E44"/>
    <mergeCell ref="E45:E47"/>
    <mergeCell ref="S51:S53"/>
    <mergeCell ref="S48:S50"/>
    <mergeCell ref="S45:S47"/>
    <mergeCell ref="S42:S44"/>
    <mergeCell ref="S39:S41"/>
    <mergeCell ref="E48:E50"/>
    <mergeCell ref="E51:E53"/>
    <mergeCell ref="L75:L78"/>
    <mergeCell ref="L79:L82"/>
    <mergeCell ref="L83:L86"/>
    <mergeCell ref="E54:E56"/>
    <mergeCell ref="L63:L66"/>
    <mergeCell ref="L67:L70"/>
    <mergeCell ref="L71:L74"/>
    <mergeCell ref="S63:S65"/>
    <mergeCell ref="S66:S68"/>
    <mergeCell ref="S69:S71"/>
    <mergeCell ref="S72:S74"/>
    <mergeCell ref="E57:E59"/>
    <mergeCell ref="E60:E62"/>
    <mergeCell ref="E63:E65"/>
    <mergeCell ref="S75:S77"/>
  </mergeCells>
  <phoneticPr fontId="3" type="noConversion"/>
  <conditionalFormatting sqref="J3 X3 J6 X6 J9 X9 J12 X12 J15 X15 J18 X18 J21 X21 J24 X24 J27 X27 J30 X30 J33 X33 J36 X36 X39 X42 Q4 Q8 Q12 Q16 Q20 Q24 Q28 Q32 Q36 Q40 Q44 Q48 Q52 Q56 Q60 AE3 AE6 AE9 AE12 AE15 AE18 AE21 AE24 AE27 AE30 AE33 AE36 AE39 AE45 AE42">
    <cfRule type="expression" dxfId="737" priority="58">
      <formula>IF(AND(J3&lt;&gt;0,OR(G4&gt;H4,G5&gt;H5),J3&lt;&gt;"N/A"),1,0)</formula>
    </cfRule>
  </conditionalFormatting>
  <conditionalFormatting sqref="J4 X4 J7 X7 J10 X10 J13 X13 J16 X16 J19 X19 J22 X22 J25 X25 J28 X28 J31 X31 J34 X34 J37 X37 X40 X43 Q5 Q9 Q13 Q17 Q21 Q25 Q29 Q33 Q37 Q41 Q45 Q49 Q53 Q57 Q61 AE4 AE7 AE10 AE13 AE16 AE19 AE22 AE25 AE28 AE31 AE34 AE37 AE40 AE46 AE43">
    <cfRule type="expression" dxfId="736" priority="60">
      <formula>IF(AND(J4&lt;&gt;0,G5&gt;H5,J4&lt;&gt;"N/A"),1,0)</formula>
    </cfRule>
  </conditionalFormatting>
  <conditionalFormatting sqref="J39 J42 J45">
    <cfRule type="expression" dxfId="735" priority="45">
      <formula>IF(AND(J39&lt;&gt;0,OR(G40&gt;H40,G41&gt;H41),J39&lt;&gt;"N/A"),1,0)</formula>
    </cfRule>
  </conditionalFormatting>
  <conditionalFormatting sqref="J40 J43 J46">
    <cfRule type="expression" dxfId="734" priority="46">
      <formula>IF(AND(J40&lt;&gt;0,G41&gt;H41,J40&lt;&gt;"N/A"),1,0)</formula>
    </cfRule>
  </conditionalFormatting>
  <conditionalFormatting sqref="AD3:AD47 AK3:AK30 BC4:BF16 AQ32:AQ40 P3:P86">
    <cfRule type="cellIs" dxfId="733" priority="63" operator="greaterThan">
      <formula>0</formula>
    </cfRule>
  </conditionalFormatting>
  <conditionalFormatting sqref="Q3 Q7 Q11 Q15 Q19 Q23 Q27 Q31 Q35 Q39 Q43 Q47 Q51 Q55 Q59">
    <cfRule type="expression" dxfId="732" priority="57">
      <formula>IF(AND(Q3&lt;&gt;0,OR(N4&gt;O4,N5&gt;O5,N6&gt;O6),Q3&lt;&gt;"N/A"),1,0)</formula>
    </cfRule>
  </conditionalFormatting>
  <conditionalFormatting sqref="C4 C12 C20 W3:W77">
    <cfRule type="cellIs" dxfId="731" priority="93" operator="greaterThan">
      <formula>0</formula>
    </cfRule>
  </conditionalFormatting>
  <conditionalFormatting sqref="X45">
    <cfRule type="expression" dxfId="730" priority="54">
      <formula>IF(AND(X45&lt;&gt;0,OR(U46&gt;V46,U47&gt;V47),X45&lt;&gt;"N/A"),1,0)</formula>
    </cfRule>
  </conditionalFormatting>
  <conditionalFormatting sqref="X46">
    <cfRule type="expression" dxfId="729" priority="55">
      <formula>IF(AND(X46&lt;&gt;0,U47&gt;V47,X46&lt;&gt;"N/A"),1,0)</formula>
    </cfRule>
  </conditionalFormatting>
  <conditionalFormatting sqref="X48">
    <cfRule type="expression" dxfId="728" priority="41">
      <formula>IF(AND(X48&lt;&gt;0,OR(U49&gt;V49,U50&gt;V50),X48&lt;&gt;"N/A"),1,0)</formula>
    </cfRule>
  </conditionalFormatting>
  <conditionalFormatting sqref="X49">
    <cfRule type="expression" dxfId="727" priority="42">
      <formula>IF(AND(X49&lt;&gt;0,U50&gt;V50,X49&lt;&gt;"N/A"),1,0)</formula>
    </cfRule>
  </conditionalFormatting>
  <conditionalFormatting sqref="X51">
    <cfRule type="expression" dxfId="726" priority="43">
      <formula>IF(AND(X51&lt;&gt;0,OR(U52&gt;V52,U53&gt;V53),X51&lt;&gt;"N/A"),1,0)</formula>
    </cfRule>
  </conditionalFormatting>
  <conditionalFormatting sqref="X52">
    <cfRule type="expression" dxfId="725" priority="44">
      <formula>IF(AND(X52&lt;&gt;0,U53&gt;V53,X52&lt;&gt;"N/A"),1,0)</formula>
    </cfRule>
  </conditionalFormatting>
  <conditionalFormatting sqref="X54">
    <cfRule type="expression" dxfId="724" priority="39">
      <formula>IF(AND(X54&lt;&gt;0,OR(U55&gt;V55,U56&gt;V56),X54&lt;&gt;"N/A"),1,0)</formula>
    </cfRule>
  </conditionalFormatting>
  <conditionalFormatting sqref="X55">
    <cfRule type="expression" dxfId="723" priority="40">
      <formula>IF(AND(X55&lt;&gt;0,U56&gt;V56,X55&lt;&gt;"N/A"),1,0)</formula>
    </cfRule>
  </conditionalFormatting>
  <conditionalFormatting sqref="AQ3:AQ31 I3:I65">
    <cfRule type="cellIs" dxfId="722" priority="73" operator="greaterThan">
      <formula>0</formula>
    </cfRule>
  </conditionalFormatting>
  <conditionalFormatting sqref="X57">
    <cfRule type="expression" dxfId="721" priority="35">
      <formula>IF(AND(X57&lt;&gt;0,OR(U58&gt;V58,U59&gt;V59),X57&lt;&gt;"N/A"),1,0)</formula>
    </cfRule>
  </conditionalFormatting>
  <conditionalFormatting sqref="X58">
    <cfRule type="expression" dxfId="720" priority="36">
      <formula>IF(AND(X58&lt;&gt;0,U59&gt;V59,X58&lt;&gt;"N/A"),1,0)</formula>
    </cfRule>
  </conditionalFormatting>
  <conditionalFormatting sqref="X60">
    <cfRule type="expression" dxfId="719" priority="33">
      <formula>IF(AND(X60&lt;&gt;0,OR(U61&gt;V61,U62&gt;V62),X60&lt;&gt;"N/A"),1,0)</formula>
    </cfRule>
  </conditionalFormatting>
  <conditionalFormatting sqref="X61">
    <cfRule type="expression" dxfId="718" priority="34">
      <formula>IF(AND(X61&lt;&gt;0,U62&gt;V62,X61&lt;&gt;"N/A"),1,0)</formula>
    </cfRule>
  </conditionalFormatting>
  <conditionalFormatting sqref="J48 J51 J54">
    <cfRule type="expression" dxfId="717" priority="31">
      <formula>IF(AND(J48&lt;&gt;0,OR(G49&gt;H49,G50&gt;H50),J48&lt;&gt;"N/A"),1,0)</formula>
    </cfRule>
  </conditionalFormatting>
  <conditionalFormatting sqref="J49 J52 J55">
    <cfRule type="expression" dxfId="716" priority="32">
      <formula>IF(AND(J49&lt;&gt;0,G50&gt;H50,J49&lt;&gt;"N/A"),1,0)</formula>
    </cfRule>
  </conditionalFormatting>
  <conditionalFormatting sqref="Q64 Q68 Q72">
    <cfRule type="expression" dxfId="715" priority="29">
      <formula>IF(AND(Q64&lt;&gt;0,OR(N65&gt;O65,N66&gt;O66),Q64&lt;&gt;"N/A"),1,0)</formula>
    </cfRule>
  </conditionalFormatting>
  <conditionalFormatting sqref="Q65 Q69 Q73">
    <cfRule type="expression" dxfId="714" priority="30">
      <formula>IF(AND(Q65&lt;&gt;0,N66&gt;O66,Q65&lt;&gt;"N/A"),1,0)</formula>
    </cfRule>
  </conditionalFormatting>
  <conditionalFormatting sqref="Q63 Q67 Q71">
    <cfRule type="expression" dxfId="713" priority="28">
      <formula>IF(AND(Q63&lt;&gt;0,OR(N64&gt;O64,N65&gt;O65,N66&gt;O66),Q63&lt;&gt;"N/A"),1,0)</formula>
    </cfRule>
  </conditionalFormatting>
  <conditionalFormatting sqref="X63">
    <cfRule type="expression" dxfId="712" priority="26">
      <formula>IF(AND(X63&lt;&gt;0,OR(U64&gt;V64,U65&gt;V65),X63&lt;&gt;"N/A"),1,0)</formula>
    </cfRule>
  </conditionalFormatting>
  <conditionalFormatting sqref="X64">
    <cfRule type="expression" dxfId="711" priority="27">
      <formula>IF(AND(X64&lt;&gt;0,U65&gt;V65,X64&lt;&gt;"N/A"),1,0)</formula>
    </cfRule>
  </conditionalFormatting>
  <conditionalFormatting sqref="X66">
    <cfRule type="expression" dxfId="710" priority="24">
      <formula>IF(AND(X66&lt;&gt;0,OR(U67&gt;V67,U68&gt;V68),X66&lt;&gt;"N/A"),1,0)</formula>
    </cfRule>
  </conditionalFormatting>
  <conditionalFormatting sqref="X67">
    <cfRule type="expression" dxfId="709" priority="25">
      <formula>IF(AND(X67&lt;&gt;0,U68&gt;V68,X67&lt;&gt;"N/A"),1,0)</formula>
    </cfRule>
  </conditionalFormatting>
  <conditionalFormatting sqref="X69">
    <cfRule type="expression" dxfId="708" priority="22">
      <formula>IF(AND(X69&lt;&gt;0,OR(U70&gt;V70,U71&gt;V71),X69&lt;&gt;"N/A"),1,0)</formula>
    </cfRule>
  </conditionalFormatting>
  <conditionalFormatting sqref="X70">
    <cfRule type="expression" dxfId="707" priority="23">
      <formula>IF(AND(X70&lt;&gt;0,U71&gt;V71,X70&lt;&gt;"N/A"),1,0)</formula>
    </cfRule>
  </conditionalFormatting>
  <conditionalFormatting sqref="X72">
    <cfRule type="expression" dxfId="706" priority="16">
      <formula>IF(AND(X72&lt;&gt;0,OR(U73&gt;V73,U74&gt;V74),X72&lt;&gt;"N/A"),1,0)</formula>
    </cfRule>
  </conditionalFormatting>
  <conditionalFormatting sqref="X73">
    <cfRule type="expression" dxfId="705" priority="17">
      <formula>IF(AND(X73&lt;&gt;0,U74&gt;V74,X73&lt;&gt;"N/A"),1,0)</formula>
    </cfRule>
  </conditionalFormatting>
  <conditionalFormatting sqref="X75">
    <cfRule type="expression" dxfId="704" priority="13">
      <formula>IF(AND(X75&lt;&gt;0,OR(U76&gt;V76,U77&gt;V77),X75&lt;&gt;"N/A"),1,0)</formula>
    </cfRule>
  </conditionalFormatting>
  <conditionalFormatting sqref="X76">
    <cfRule type="expression" dxfId="703" priority="14">
      <formula>IF(AND(X76&lt;&gt;0,U77&gt;V77,X76&lt;&gt;"N/A"),1,0)</formula>
    </cfRule>
  </conditionalFormatting>
  <conditionalFormatting sqref="AL20 AL24 AL12 AL16 AL28 AL8 AL4">
    <cfRule type="expression" dxfId="702" priority="10">
      <formula>IF(AND(AL4&lt;&gt;0,OR(AI5&gt;AJ5,AI6&gt;AJ6),AL4&lt;&gt;"N/A"),1,0)</formula>
    </cfRule>
  </conditionalFormatting>
  <conditionalFormatting sqref="AL21 AL25 AL13 AL17 AL29 AL9 AL5">
    <cfRule type="expression" dxfId="701" priority="11">
      <formula>IF(AND(AL5&lt;&gt;0,AI6&gt;AJ6,AL5&lt;&gt;"N/A"),1,0)</formula>
    </cfRule>
  </conditionalFormatting>
  <conditionalFormatting sqref="AL19 AL23 AL11 AL15 AL27 AL7 AL3">
    <cfRule type="expression" dxfId="700" priority="9">
      <formula>IF(AND(AL3&lt;&gt;0,OR(AI4&gt;AJ4,AI5&gt;AJ5,AI6&gt;AJ6),AL3&lt;&gt;"N/A"),1,0)</formula>
    </cfRule>
  </conditionalFormatting>
  <conditionalFormatting sqref="AN3:AN41">
    <cfRule type="duplicateValues" dxfId="699" priority="100"/>
  </conditionalFormatting>
  <conditionalFormatting sqref="J57 J60 J63">
    <cfRule type="expression" dxfId="698" priority="4">
      <formula>IF(AND(J57&lt;&gt;0,OR(G58&gt;H58,G59&gt;H59),J57&lt;&gt;"N/A"),1,0)</formula>
    </cfRule>
  </conditionalFormatting>
  <conditionalFormatting sqref="J58 J61 J64">
    <cfRule type="expression" dxfId="697" priority="5">
      <formula>IF(AND(J58&lt;&gt;0,G59&gt;H59,J58&lt;&gt;"N/A"),1,0)</formula>
    </cfRule>
  </conditionalFormatting>
  <conditionalFormatting sqref="Q76 Q80 Q84">
    <cfRule type="expression" dxfId="696" priority="2">
      <formula>IF(AND(Q76&lt;&gt;0,OR(N77&gt;O77,N78&gt;O78),Q76&lt;&gt;"N/A"),1,0)</formula>
    </cfRule>
  </conditionalFormatting>
  <conditionalFormatting sqref="Q77 Q81 Q85">
    <cfRule type="expression" dxfId="695" priority="3">
      <formula>IF(AND(Q77&lt;&gt;0,N78&gt;O78,Q77&lt;&gt;"N/A"),1,0)</formula>
    </cfRule>
  </conditionalFormatting>
  <conditionalFormatting sqref="Q75 Q79 Q83">
    <cfRule type="expression" dxfId="694" priority="1">
      <formula>IF(AND(Q75&lt;&gt;0,OR(N76&gt;O76,N77&gt;O77,N78&gt;O78),Q75&lt;&gt;"N/A"),1,0)</formula>
    </cfRule>
  </conditionalFormatting>
  <dataValidations count="1">
    <dataValidation type="whole" operator="greaterThanOrEqual" allowBlank="1" showInputMessage="1" showErrorMessage="1" sqref="C6:C10 C14:C18 C2:C3" xr:uid="{E2EC255D-1EFA-4DD4-8358-929A29179341}">
      <formula1>0</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53FAD-5C85-4044-B8DF-5A7EE256F339}">
  <sheetPr codeName="Sheet209">
    <tabColor theme="5" tint="0.39997558519241921"/>
  </sheetPr>
  <dimension ref="A1:V56"/>
  <sheetViews>
    <sheetView workbookViewId="0">
      <selection activeCell="G21" sqref="G21"/>
    </sheetView>
  </sheetViews>
  <sheetFormatPr defaultColWidth="8.85546875" defaultRowHeight="15" x14ac:dyDescent="0.25"/>
  <cols>
    <col min="1" max="1" width="10.28515625" bestFit="1" customWidth="1"/>
    <col min="5" max="6" width="11.7109375" bestFit="1" customWidth="1"/>
    <col min="8" max="8" width="19.85546875" bestFit="1" customWidth="1"/>
    <col min="9" max="10" width="9" customWidth="1"/>
    <col min="12" max="12" width="9" customWidth="1"/>
    <col min="13" max="13" width="9.42578125" bestFit="1" customWidth="1"/>
    <col min="17" max="17" width="20.85546875" bestFit="1" customWidth="1"/>
  </cols>
  <sheetData>
    <row r="1" spans="1:22" x14ac:dyDescent="0.25">
      <c r="A1" s="209" t="s">
        <v>169</v>
      </c>
      <c r="B1" s="209"/>
      <c r="C1" s="209"/>
      <c r="D1" s="209"/>
      <c r="E1" s="209"/>
      <c r="F1" s="209"/>
      <c r="H1" t="s">
        <v>0</v>
      </c>
      <c r="I1" t="s">
        <v>22</v>
      </c>
      <c r="J1" t="s">
        <v>170</v>
      </c>
      <c r="K1" t="s">
        <v>171</v>
      </c>
      <c r="L1" t="s">
        <v>172</v>
      </c>
      <c r="N1" t="s">
        <v>173</v>
      </c>
    </row>
    <row r="2" spans="1:22" x14ac:dyDescent="0.25">
      <c r="A2" s="30" t="s">
        <v>174</v>
      </c>
      <c r="B2" s="30" t="s">
        <v>175</v>
      </c>
      <c r="C2" s="30" t="s">
        <v>22</v>
      </c>
      <c r="D2" s="30" t="s">
        <v>150</v>
      </c>
      <c r="E2" s="30" t="s">
        <v>151</v>
      </c>
      <c r="F2" s="30" t="s">
        <v>152</v>
      </c>
      <c r="H2" t="s">
        <v>59</v>
      </c>
      <c r="I2">
        <v>1</v>
      </c>
      <c r="J2">
        <f>SUM(L2:L4)</f>
        <v>6</v>
      </c>
      <c r="K2">
        <v>1</v>
      </c>
      <c r="L2" s="131">
        <f>'Traveller Anemo'!$B$17</f>
        <v>6</v>
      </c>
      <c r="N2" s="131">
        <f ca="1">'Traveller Level'!G5+SUM(P2:P4)</f>
        <v>0</v>
      </c>
      <c r="O2" t="s">
        <v>150</v>
      </c>
      <c r="P2" cm="1">
        <f t="array" aca="1" ref="P2" ca="1">SUM(INDIRECT(_xlfn.ANCHORARRAY(Q2)))</f>
        <v>0</v>
      </c>
      <c r="Q2" t="str" cm="1">
        <f t="array" ref="Q2:V2">TRANSPOSE("'Traveller "&amp;_xlfn.UNIQUE(_xlfn._xlws.FILTER(INDEX(Traveller_List,,1),ISNUMBER(INDEX(Traveller_List,,3))))&amp;"'!B20")</f>
        <v>'Traveller Anemo'!B20</v>
      </c>
      <c r="R2" t="str">
        <v>'Traveller Geo'!B20</v>
      </c>
      <c r="S2" t="str">
        <v>'Traveller Electro'!B20</v>
      </c>
      <c r="T2" t="str">
        <v>'Traveller Dendro'!B20</v>
      </c>
      <c r="U2" t="str">
        <v>'Traveller Hydro'!B20</v>
      </c>
      <c r="V2" t="str">
        <v>'Traveller Pyro'!B20</v>
      </c>
    </row>
    <row r="3" spans="1:22" x14ac:dyDescent="0.25">
      <c r="A3" t="s">
        <v>176</v>
      </c>
      <c r="B3">
        <v>1</v>
      </c>
      <c r="C3">
        <v>1</v>
      </c>
      <c r="D3" s="131">
        <f>'Traveller Anemo'!B6</f>
        <v>0</v>
      </c>
      <c r="E3" s="131">
        <f>'Traveller Anemo'!E6</f>
        <v>0</v>
      </c>
      <c r="F3" s="131">
        <f>'Traveller Anemo'!H6</f>
        <v>0</v>
      </c>
      <c r="H3" t="s">
        <v>59</v>
      </c>
      <c r="I3">
        <v>1</v>
      </c>
      <c r="K3">
        <v>2</v>
      </c>
      <c r="L3" s="131">
        <f>'Traveller Anemo'!$E$17</f>
        <v>0</v>
      </c>
      <c r="O3" t="s">
        <v>151</v>
      </c>
      <c r="P3" cm="1">
        <f t="array" aca="1" ref="P3" ca="1">SUM(INDIRECT(_xlfn.ANCHORARRAY(Q3)))</f>
        <v>0</v>
      </c>
      <c r="Q3" t="str" cm="1">
        <f t="array" ref="Q3:V3">TRANSPOSE("'Traveller "&amp;_xlfn.UNIQUE(_xlfn._xlws.FILTER(INDEX(Traveller_List,,1),ISNUMBER(INDEX(Traveller_List,,3))))&amp;"'!E20")</f>
        <v>'Traveller Anemo'!E20</v>
      </c>
      <c r="R3" t="str">
        <v>'Traveller Geo'!E20</v>
      </c>
      <c r="S3" t="str">
        <v>'Traveller Electro'!E20</v>
      </c>
      <c r="T3" t="str">
        <v>'Traveller Dendro'!E20</v>
      </c>
      <c r="U3" t="str">
        <v>'Traveller Hydro'!E20</v>
      </c>
      <c r="V3" t="str">
        <v>'Traveller Pyro'!E20</v>
      </c>
    </row>
    <row r="4" spans="1:22" x14ac:dyDescent="0.25">
      <c r="C4">
        <v>2</v>
      </c>
      <c r="D4" s="131">
        <f>'Traveller Anemo'!B7</f>
        <v>0</v>
      </c>
      <c r="E4" s="131">
        <f>'Traveller Anemo'!E7</f>
        <v>0</v>
      </c>
      <c r="F4" s="131">
        <f>'Traveller Anemo'!H7</f>
        <v>0</v>
      </c>
      <c r="H4" t="s">
        <v>59</v>
      </c>
      <c r="I4">
        <v>1</v>
      </c>
      <c r="K4">
        <v>3</v>
      </c>
      <c r="L4" s="131">
        <f>'Traveller Anemo'!$H$17</f>
        <v>0</v>
      </c>
      <c r="O4" t="s">
        <v>152</v>
      </c>
      <c r="P4" cm="1">
        <f t="array" aca="1" ref="P4" ca="1">SUM(INDIRECT(_xlfn.ANCHORARRAY(Q4)))</f>
        <v>0</v>
      </c>
      <c r="Q4" t="str" cm="1">
        <f t="array" ref="Q4:V4">TRANSPOSE("'Traveller "&amp;_xlfn.UNIQUE(_xlfn._xlws.FILTER(INDEX(Traveller_List,,1),ISNUMBER(INDEX(Traveller_List,,3))))&amp;"'!H20")</f>
        <v>'Traveller Anemo'!H20</v>
      </c>
      <c r="R4" t="str">
        <v>'Traveller Geo'!H20</v>
      </c>
      <c r="S4" t="str">
        <v>'Traveller Electro'!H20</v>
      </c>
      <c r="T4" t="str">
        <v>'Traveller Dendro'!H20</v>
      </c>
      <c r="U4" t="str">
        <v>'Traveller Hydro'!H20</v>
      </c>
      <c r="V4" t="str">
        <v>'Traveller Pyro'!H20</v>
      </c>
    </row>
    <row r="5" spans="1:22" x14ac:dyDescent="0.25">
      <c r="C5">
        <v>3</v>
      </c>
      <c r="D5" s="131">
        <f>'Traveller Anemo'!B8</f>
        <v>0</v>
      </c>
      <c r="E5" s="131">
        <f>'Traveller Anemo'!E8</f>
        <v>0</v>
      </c>
      <c r="F5" s="131">
        <f>'Traveller Anemo'!H8</f>
        <v>0</v>
      </c>
      <c r="H5" t="s">
        <v>59</v>
      </c>
      <c r="I5">
        <v>2</v>
      </c>
      <c r="J5">
        <f>SUM(L5:L7)</f>
        <v>22</v>
      </c>
      <c r="K5">
        <v>1</v>
      </c>
      <c r="L5" s="131">
        <f>'Traveller Anemo'!$B$18</f>
        <v>22</v>
      </c>
    </row>
    <row r="6" spans="1:22" x14ac:dyDescent="0.25">
      <c r="B6">
        <v>2</v>
      </c>
      <c r="C6">
        <v>1</v>
      </c>
      <c r="D6" s="131">
        <f>'Traveller Anemo'!B9</f>
        <v>0</v>
      </c>
      <c r="E6" s="131">
        <f>'Traveller Anemo'!E9</f>
        <v>0</v>
      </c>
      <c r="F6" s="131">
        <f>'Traveller Anemo'!H9</f>
        <v>0</v>
      </c>
      <c r="H6" t="s">
        <v>59</v>
      </c>
      <c r="I6">
        <v>2</v>
      </c>
      <c r="K6">
        <v>2</v>
      </c>
      <c r="L6" s="131">
        <f>'Traveller Anemo'!$E$18</f>
        <v>0</v>
      </c>
      <c r="N6" t="s">
        <v>177</v>
      </c>
      <c r="Q6">
        <v>1</v>
      </c>
      <c r="R6">
        <v>2</v>
      </c>
      <c r="S6">
        <v>3</v>
      </c>
      <c r="T6">
        <v>4</v>
      </c>
    </row>
    <row r="7" spans="1:22" x14ac:dyDescent="0.25">
      <c r="C7">
        <v>2</v>
      </c>
      <c r="D7" s="131">
        <f>'Traveller Anemo'!B10</f>
        <v>0</v>
      </c>
      <c r="E7" s="131">
        <f>'Traveller Anemo'!E10</f>
        <v>0</v>
      </c>
      <c r="F7" s="131">
        <f>'Traveller Anemo'!H10</f>
        <v>0</v>
      </c>
      <c r="H7" t="s">
        <v>59</v>
      </c>
      <c r="I7">
        <v>2</v>
      </c>
      <c r="K7">
        <v>3</v>
      </c>
      <c r="L7" s="131">
        <f>'Traveller Anemo'!$H$18</f>
        <v>0</v>
      </c>
      <c r="N7">
        <v>7</v>
      </c>
      <c r="O7" t="s">
        <v>178</v>
      </c>
      <c r="P7">
        <f>SUM(Q7:T7)</f>
        <v>1</v>
      </c>
      <c r="Q7">
        <f>IF(AND('Traveller Anemo'!$B$4&lt;7,'Traveller Anemo'!$B$5&gt;=7),1,0)</f>
        <v>1</v>
      </c>
      <c r="R7">
        <f>IF(AND('Traveller Anemo'!$E$4&lt;7,'Traveller Anemo'!$E$5&gt;=7),1,0)</f>
        <v>0</v>
      </c>
      <c r="S7">
        <f>IF(AND('Traveller Anemo'!$H$4&lt;7,'Traveller Anemo'!$H$5&gt;=7),1,0)</f>
        <v>0</v>
      </c>
      <c r="T7">
        <f>IF(AND('Traveller Geo'!$B$4&lt;7,'Traveller Geo'!$B$5&gt;=7),1,0)</f>
        <v>0</v>
      </c>
    </row>
    <row r="8" spans="1:22" x14ac:dyDescent="0.25">
      <c r="C8">
        <v>3</v>
      </c>
      <c r="D8" s="131">
        <f>'Traveller Anemo'!B11</f>
        <v>0</v>
      </c>
      <c r="E8" s="131">
        <f>'Traveller Anemo'!E11</f>
        <v>0</v>
      </c>
      <c r="F8" s="131">
        <f>'Traveller Anemo'!H11</f>
        <v>0</v>
      </c>
      <c r="H8" t="s">
        <v>59</v>
      </c>
      <c r="I8">
        <v>3</v>
      </c>
      <c r="J8">
        <f>SUM(L8:L10)</f>
        <v>31</v>
      </c>
      <c r="K8">
        <v>1</v>
      </c>
      <c r="L8" s="131">
        <f>'Traveller Anemo'!$B$19</f>
        <v>31</v>
      </c>
      <c r="O8" t="s">
        <v>179</v>
      </c>
      <c r="P8">
        <f t="shared" ref="P8:P30" si="0">SUM(Q8:T8)</f>
        <v>0</v>
      </c>
      <c r="R8">
        <f>IF(AND('Traveller Geo'!$E$4&lt;7,'Traveller Geo'!E5&gt;=7),1,0)</f>
        <v>0</v>
      </c>
      <c r="S8">
        <f>IF(AND('Traveller Geo'!$H$4&lt;7,'Traveller Geo'!H5&gt;=7),1,0)</f>
        <v>0</v>
      </c>
    </row>
    <row r="9" spans="1:22" x14ac:dyDescent="0.25">
      <c r="B9">
        <v>3</v>
      </c>
      <c r="C9">
        <v>1</v>
      </c>
      <c r="D9" s="131">
        <f>'Traveller Anemo'!B12</f>
        <v>0</v>
      </c>
      <c r="E9" s="131">
        <f>'Traveller Anemo'!E12</f>
        <v>0</v>
      </c>
      <c r="F9" s="131">
        <f>'Traveller Anemo'!H12</f>
        <v>0</v>
      </c>
      <c r="H9" t="s">
        <v>59</v>
      </c>
      <c r="I9">
        <v>3</v>
      </c>
      <c r="K9">
        <v>2</v>
      </c>
      <c r="L9" s="131">
        <f>'Traveller Anemo'!$E$19</f>
        <v>0</v>
      </c>
      <c r="O9" t="s">
        <v>180</v>
      </c>
      <c r="P9">
        <f t="shared" si="0"/>
        <v>0</v>
      </c>
      <c r="Q9">
        <f>IF(AND('Traveller Electro'!$B$4&lt;7,'Traveller Electro'!$B$5&gt;=7),1,0)</f>
        <v>0</v>
      </c>
      <c r="R9">
        <f>IF(AND('Traveller Electro'!$E$4&lt;7,'Traveller Electro'!$E$5&gt;=7),1,0)</f>
        <v>0</v>
      </c>
      <c r="S9">
        <f>IF(AND('Traveller Electro'!$H$4&lt;7,'Traveller Electro'!$H$5&gt;=7),1,0)</f>
        <v>0</v>
      </c>
    </row>
    <row r="10" spans="1:22" x14ac:dyDescent="0.25">
      <c r="C10">
        <v>2</v>
      </c>
      <c r="D10" s="131">
        <f>'Traveller Anemo'!B13</f>
        <v>0</v>
      </c>
      <c r="E10" s="131">
        <f>'Traveller Anemo'!E13</f>
        <v>0</v>
      </c>
      <c r="F10" s="131">
        <f>'Traveller Anemo'!H13</f>
        <v>0</v>
      </c>
      <c r="H10" t="s">
        <v>59</v>
      </c>
      <c r="I10">
        <v>3</v>
      </c>
      <c r="K10">
        <v>3</v>
      </c>
      <c r="L10" s="131">
        <f>'Traveller Anemo'!$H$19</f>
        <v>0</v>
      </c>
      <c r="O10" t="s">
        <v>181</v>
      </c>
      <c r="P10">
        <f t="shared" si="0"/>
        <v>0</v>
      </c>
      <c r="Q10">
        <f>IF(AND('Traveller Dendro'!$B$4&lt;7,'Traveller Dendro'!$B$5&gt;=7),1,0)</f>
        <v>0</v>
      </c>
      <c r="R10">
        <f>IF(AND('Traveller Dendro'!$E$4&lt;7,'Traveller Dendro'!$E$5&gt;=7),1,0)</f>
        <v>0</v>
      </c>
      <c r="S10">
        <f>IF(AND('Traveller Dendro'!$H$4&lt;7,'Traveller Dendro'!$H$5&gt;=7),1,0)</f>
        <v>0</v>
      </c>
    </row>
    <row r="11" spans="1:22" x14ac:dyDescent="0.25">
      <c r="C11">
        <v>3</v>
      </c>
      <c r="D11" s="131">
        <f>'Traveller Anemo'!B14</f>
        <v>0</v>
      </c>
      <c r="E11" s="131">
        <f>'Traveller Anemo'!E14</f>
        <v>0</v>
      </c>
      <c r="F11" s="131">
        <f>'Traveller Anemo'!H14</f>
        <v>0</v>
      </c>
      <c r="H11" t="s">
        <v>59</v>
      </c>
      <c r="I11">
        <v>1</v>
      </c>
      <c r="J11">
        <v>0</v>
      </c>
      <c r="K11">
        <v>1</v>
      </c>
      <c r="L11" s="131">
        <f>'Traveller Geo'!$B$17</f>
        <v>0</v>
      </c>
      <c r="O11" t="s">
        <v>182</v>
      </c>
      <c r="P11">
        <f t="shared" si="0"/>
        <v>0</v>
      </c>
      <c r="Q11">
        <f>IF(AND('Traveller Hydro'!$B$4&lt;7,'Traveller Hydro'!$B$5&gt;=7),1,0)</f>
        <v>0</v>
      </c>
      <c r="R11">
        <f>IF(AND('Traveller Hydro'!$E$4&lt;7,'Traveller Hydro'!$E$5&gt;=7),1,0)</f>
        <v>0</v>
      </c>
      <c r="S11">
        <f>IF(AND('Traveller Hydro'!$H$4&lt;7,'Traveller Hydro'!$H$5&gt;=7),1,0)</f>
        <v>0</v>
      </c>
    </row>
    <row r="12" spans="1:22" x14ac:dyDescent="0.25">
      <c r="A12" t="s">
        <v>183</v>
      </c>
      <c r="B12">
        <v>1</v>
      </c>
      <c r="C12">
        <v>1</v>
      </c>
      <c r="D12" s="131">
        <f>'Traveller Geo'!B6</f>
        <v>0</v>
      </c>
      <c r="E12" s="131">
        <f>'Traveller Geo'!E6</f>
        <v>0</v>
      </c>
      <c r="F12" s="131">
        <f>'Traveller Geo'!H6</f>
        <v>0</v>
      </c>
      <c r="H12" t="s">
        <v>59</v>
      </c>
      <c r="I12">
        <v>2</v>
      </c>
      <c r="K12">
        <v>2</v>
      </c>
      <c r="L12" s="131">
        <f>'Traveller Geo'!$E$17</f>
        <v>0</v>
      </c>
      <c r="O12" t="s">
        <v>885</v>
      </c>
      <c r="P12">
        <f t="shared" si="0"/>
        <v>0</v>
      </c>
      <c r="Q12">
        <f>IF(AND('Traveller Pyro'!$B$4&lt;7,'Traveller Pyro'!$B$5&gt;=7),1,0)</f>
        <v>0</v>
      </c>
      <c r="R12">
        <f>IF(AND('Traveller Pyro'!$E$4&lt;7,'Traveller Pyro'!$E$5&gt;=7),1,0)</f>
        <v>0</v>
      </c>
      <c r="S12">
        <f>IF(AND('Traveller Pyro'!$H$4&lt;7,'Traveller Pyro'!$H$5&gt;=7),1,0)</f>
        <v>0</v>
      </c>
    </row>
    <row r="13" spans="1:22" x14ac:dyDescent="0.25">
      <c r="C13">
        <v>2</v>
      </c>
      <c r="D13" s="131">
        <f>'Traveller Geo'!B7</f>
        <v>0</v>
      </c>
      <c r="E13" s="131">
        <f>'Traveller Geo'!E7</f>
        <v>0</v>
      </c>
      <c r="F13" s="131">
        <f>'Traveller Geo'!H7</f>
        <v>0</v>
      </c>
      <c r="H13" t="s">
        <v>59</v>
      </c>
      <c r="I13">
        <v>3</v>
      </c>
      <c r="K13">
        <v>3</v>
      </c>
      <c r="L13" s="131">
        <f>'Traveller Geo'!$H$17</f>
        <v>0</v>
      </c>
      <c r="N13">
        <v>8</v>
      </c>
      <c r="O13" t="s">
        <v>178</v>
      </c>
      <c r="P13">
        <f t="shared" si="0"/>
        <v>1</v>
      </c>
      <c r="Q13">
        <f>IF(AND('Traveller Anemo'!$B$4&lt;8,'Traveller Anemo'!$B$5&gt;=8),1,0)</f>
        <v>1</v>
      </c>
      <c r="R13">
        <f>IF(AND('Traveller Anemo'!$E$4&lt;8,'Traveller Anemo'!$E$5&gt;=8),1,0)</f>
        <v>0</v>
      </c>
      <c r="S13">
        <f>IF(AND('Traveller Anemo'!$H$4&lt;8,'Traveller Anemo'!$H$5&gt;=8),1,0)</f>
        <v>0</v>
      </c>
      <c r="T13">
        <f>IF(AND('Traveller Geo'!$B$4&lt;8,'Traveller Geo'!$B$5&gt;=8),1,0)</f>
        <v>0</v>
      </c>
    </row>
    <row r="14" spans="1:22" x14ac:dyDescent="0.25">
      <c r="C14">
        <v>3</v>
      </c>
      <c r="D14" s="131">
        <f>'Traveller Geo'!B8</f>
        <v>0</v>
      </c>
      <c r="E14" s="131">
        <f>'Traveller Geo'!E8</f>
        <v>0</v>
      </c>
      <c r="F14" s="131">
        <f>'Traveller Geo'!H8</f>
        <v>0</v>
      </c>
      <c r="H14" t="s">
        <v>68</v>
      </c>
      <c r="I14">
        <v>1</v>
      </c>
      <c r="J14">
        <f>SUM(L14:L15)</f>
        <v>0</v>
      </c>
      <c r="K14">
        <v>1</v>
      </c>
      <c r="L14" s="131">
        <f>'Traveller Geo'!$B$18</f>
        <v>0</v>
      </c>
      <c r="O14" t="s">
        <v>179</v>
      </c>
      <c r="P14">
        <f t="shared" si="0"/>
        <v>0</v>
      </c>
      <c r="R14">
        <f>IF(AND('Traveller Geo'!$E$4&lt;8,'Traveller Geo'!E9&gt;=8),1,0)</f>
        <v>0</v>
      </c>
      <c r="S14">
        <f>IF(AND('Traveller Geo'!$H$4&lt;8,'Traveller Geo'!H9&gt;=8),1,0)</f>
        <v>0</v>
      </c>
    </row>
    <row r="15" spans="1:22" x14ac:dyDescent="0.25">
      <c r="B15">
        <v>2</v>
      </c>
      <c r="C15">
        <v>1</v>
      </c>
      <c r="D15" s="131">
        <f>'Traveller Geo'!B9</f>
        <v>0</v>
      </c>
      <c r="E15" s="131">
        <f>'Traveller Geo'!E9</f>
        <v>0</v>
      </c>
      <c r="F15" s="131">
        <f>'Traveller Geo'!H9</f>
        <v>0</v>
      </c>
      <c r="H15" t="s">
        <v>68</v>
      </c>
      <c r="I15">
        <v>1</v>
      </c>
      <c r="K15">
        <v>3</v>
      </c>
      <c r="L15" s="131">
        <f>'Traveller Geo'!$E$18</f>
        <v>0</v>
      </c>
      <c r="O15" t="s">
        <v>180</v>
      </c>
      <c r="P15">
        <f t="shared" si="0"/>
        <v>0</v>
      </c>
      <c r="Q15">
        <f>IF(AND('Traveller Electro'!$B$4&lt;8,'Traveller Electro'!$B$5&gt;=8),1,0)</f>
        <v>0</v>
      </c>
      <c r="R15">
        <f>IF(AND('Traveller Electro'!$E$4&lt;8,'Traveller Electro'!$E$5&gt;=8),1,0)</f>
        <v>0</v>
      </c>
      <c r="S15">
        <f>IF(AND('Traveller Electro'!$H$4&lt;8,'Traveller Electro'!$H$5&gt;=8),1,0)</f>
        <v>0</v>
      </c>
    </row>
    <row r="16" spans="1:22" x14ac:dyDescent="0.25">
      <c r="C16">
        <v>2</v>
      </c>
      <c r="D16" s="131">
        <f>'Traveller Geo'!B10</f>
        <v>0</v>
      </c>
      <c r="E16" s="131">
        <f>'Traveller Geo'!E10</f>
        <v>0</v>
      </c>
      <c r="F16" s="131">
        <f>'Traveller Geo'!H10</f>
        <v>0</v>
      </c>
      <c r="H16" t="s">
        <v>68</v>
      </c>
      <c r="I16">
        <v>2</v>
      </c>
      <c r="K16">
        <v>2</v>
      </c>
      <c r="L16" s="131">
        <f>'Traveller Geo'!$H$18</f>
        <v>0</v>
      </c>
      <c r="O16" t="s">
        <v>181</v>
      </c>
      <c r="P16">
        <f t="shared" si="0"/>
        <v>0</v>
      </c>
      <c r="Q16">
        <f>IF(AND('Traveller Dendro'!$B$4&lt;8,'Traveller Dendro'!$B$5&gt;=8),1,0)</f>
        <v>0</v>
      </c>
      <c r="R16">
        <f>IF(AND('Traveller Dendro'!$E$4&lt;8,'Traveller Dendro'!$E$5&gt;=8),1,0)</f>
        <v>0</v>
      </c>
      <c r="S16">
        <f>IF(AND('Traveller Dendro'!$H$4&lt;8,'Traveller Dendro'!$H$5&gt;=8),1,0)</f>
        <v>0</v>
      </c>
    </row>
    <row r="17" spans="1:20" x14ac:dyDescent="0.25">
      <c r="C17">
        <v>3</v>
      </c>
      <c r="D17" s="131">
        <f>'Traveller Geo'!B11</f>
        <v>0</v>
      </c>
      <c r="E17" s="131">
        <f>'Traveller Geo'!E11</f>
        <v>0</v>
      </c>
      <c r="F17" s="131">
        <f>'Traveller Geo'!H11</f>
        <v>0</v>
      </c>
      <c r="H17" t="s">
        <v>68</v>
      </c>
      <c r="I17">
        <v>2</v>
      </c>
      <c r="K17">
        <v>3</v>
      </c>
      <c r="L17" s="131">
        <f>'Traveller Geo'!$B$19</f>
        <v>0</v>
      </c>
      <c r="O17" t="s">
        <v>182</v>
      </c>
      <c r="P17">
        <f t="shared" si="0"/>
        <v>0</v>
      </c>
      <c r="Q17">
        <f>IF(AND('Traveller Hydro'!$B$4&lt;8,'Traveller Hydro'!$B$5&gt;=8),1,0)</f>
        <v>0</v>
      </c>
      <c r="R17">
        <f>IF(AND('Traveller Hydro'!$E$4&lt;8,'Traveller Hydro'!$E$5&gt;=8),1,0)</f>
        <v>0</v>
      </c>
      <c r="S17">
        <f>IF(AND('Traveller Hydro'!$H$4&lt;8,'Traveller Hydro'!$H$5&gt;=8),1,0)</f>
        <v>0</v>
      </c>
    </row>
    <row r="18" spans="1:20" x14ac:dyDescent="0.25">
      <c r="B18">
        <v>3</v>
      </c>
      <c r="C18">
        <v>1</v>
      </c>
      <c r="D18" s="131">
        <f>'Traveller Geo'!B12</f>
        <v>0</v>
      </c>
      <c r="E18" s="131">
        <f>'Traveller Geo'!E12</f>
        <v>0</v>
      </c>
      <c r="F18" s="131">
        <f>'Traveller Geo'!H12</f>
        <v>0</v>
      </c>
      <c r="H18" t="s">
        <v>68</v>
      </c>
      <c r="I18">
        <v>3</v>
      </c>
      <c r="K18">
        <v>2</v>
      </c>
      <c r="L18" s="131">
        <f>'Traveller Geo'!$E$19</f>
        <v>0</v>
      </c>
      <c r="O18" t="s">
        <v>885</v>
      </c>
      <c r="P18">
        <f t="shared" si="0"/>
        <v>0</v>
      </c>
      <c r="Q18">
        <f>IF(AND('Traveller Pyro'!$B$4&lt;8,'Traveller Pyro'!$B$5&gt;=8),1,0)</f>
        <v>0</v>
      </c>
      <c r="R18">
        <f>IF(AND('Traveller Pyro'!$E$4&lt;8,'Traveller Pyro'!$E$5&gt;=8),1,0)</f>
        <v>0</v>
      </c>
      <c r="S18">
        <f>IF(AND('Traveller Pyro'!$H$4&lt;8,'Traveller Pyro'!$H$5&gt;=8),1,0)</f>
        <v>0</v>
      </c>
    </row>
    <row r="19" spans="1:20" x14ac:dyDescent="0.25">
      <c r="C19">
        <v>2</v>
      </c>
      <c r="D19" s="131">
        <f>'Traveller Geo'!B13</f>
        <v>0</v>
      </c>
      <c r="E19" s="131">
        <f>'Traveller Geo'!E13</f>
        <v>0</v>
      </c>
      <c r="F19" s="131">
        <f>'Traveller Geo'!H13</f>
        <v>0</v>
      </c>
      <c r="H19" t="s">
        <v>68</v>
      </c>
      <c r="I19">
        <v>3</v>
      </c>
      <c r="K19">
        <v>3</v>
      </c>
      <c r="L19" s="131">
        <f>'Traveller Geo'!$H$19</f>
        <v>0</v>
      </c>
      <c r="N19">
        <v>9</v>
      </c>
      <c r="O19" t="s">
        <v>178</v>
      </c>
      <c r="P19">
        <f t="shared" si="0"/>
        <v>1</v>
      </c>
      <c r="Q19">
        <f>IF(AND('Traveller Anemo'!$B$4&lt;9,'Traveller Anemo'!$B$5&gt;=9),1,0)</f>
        <v>1</v>
      </c>
      <c r="R19">
        <f>IF(AND('Traveller Anemo'!$E$4&lt;9,'Traveller Anemo'!$E$5&gt;=9),1,0)</f>
        <v>0</v>
      </c>
      <c r="S19">
        <f>IF(AND('Traveller Anemo'!$H$4&lt;9,'Traveller Anemo'!$H$5&gt;=9),1,0)</f>
        <v>0</v>
      </c>
      <c r="T19">
        <f>IF(AND('Traveller Geo'!$B$4&lt;9,'Traveller Geo'!$B$5&gt;=9),1,0)</f>
        <v>0</v>
      </c>
    </row>
    <row r="20" spans="1:20" x14ac:dyDescent="0.25">
      <c r="C20">
        <v>3</v>
      </c>
      <c r="D20" s="131">
        <f>'Traveller Geo'!B14</f>
        <v>0</v>
      </c>
      <c r="E20" s="131">
        <f>'Traveller Geo'!E14</f>
        <v>0</v>
      </c>
      <c r="F20" s="131">
        <f>'Traveller Geo'!H14</f>
        <v>0</v>
      </c>
      <c r="H20" t="s">
        <v>97</v>
      </c>
      <c r="I20">
        <v>1</v>
      </c>
      <c r="J20">
        <f>SUM(L20:L22)</f>
        <v>0</v>
      </c>
      <c r="K20">
        <v>1</v>
      </c>
      <c r="L20" s="131">
        <f>'Traveller Electro'!$B$17</f>
        <v>0</v>
      </c>
      <c r="O20" t="s">
        <v>179</v>
      </c>
      <c r="P20">
        <f t="shared" si="0"/>
        <v>0</v>
      </c>
      <c r="R20">
        <f>IF(AND('Traveller Geo'!$E$4&lt;9,'Traveller Geo'!E13&gt;=9),1,0)</f>
        <v>0</v>
      </c>
      <c r="S20">
        <f>IF(AND('Traveller Geo'!$H$4&lt;9,'Traveller Geo'!H13&gt;=9),1,0)</f>
        <v>0</v>
      </c>
    </row>
    <row r="21" spans="1:20" x14ac:dyDescent="0.25">
      <c r="A21" t="s">
        <v>184</v>
      </c>
      <c r="B21">
        <v>1</v>
      </c>
      <c r="C21">
        <v>1</v>
      </c>
      <c r="D21" s="131">
        <f>'Traveller Electro'!B6</f>
        <v>0</v>
      </c>
      <c r="E21" s="131">
        <f>'Traveller Electro'!E6</f>
        <v>0</v>
      </c>
      <c r="F21" s="131">
        <f>'Traveller Electro'!H6</f>
        <v>0</v>
      </c>
      <c r="H21" t="s">
        <v>97</v>
      </c>
      <c r="I21">
        <v>1</v>
      </c>
      <c r="K21">
        <v>2</v>
      </c>
      <c r="L21" s="131">
        <f>'Traveller Electro'!$E$17</f>
        <v>0</v>
      </c>
      <c r="O21" t="s">
        <v>180</v>
      </c>
      <c r="P21">
        <f t="shared" si="0"/>
        <v>0</v>
      </c>
      <c r="Q21">
        <f>IF(AND('Traveller Electro'!$B$4&lt;9,'Traveller Electro'!$B$5&gt;=9),1,0)</f>
        <v>0</v>
      </c>
      <c r="R21">
        <f>IF(AND('Traveller Electro'!$E$4&lt;9,'Traveller Electro'!$E$5&gt;=9),1,0)</f>
        <v>0</v>
      </c>
      <c r="S21">
        <f>IF(AND('Traveller Electro'!$H$4&lt;9,'Traveller Electro'!$H$5&gt;=9),1,0)</f>
        <v>0</v>
      </c>
    </row>
    <row r="22" spans="1:20" x14ac:dyDescent="0.25">
      <c r="C22">
        <v>2</v>
      </c>
      <c r="D22" s="131">
        <f>'Traveller Electro'!B7</f>
        <v>0</v>
      </c>
      <c r="E22" s="131">
        <f>'Traveller Electro'!E7</f>
        <v>0</v>
      </c>
      <c r="F22" s="131">
        <f>'Traveller Electro'!H7</f>
        <v>0</v>
      </c>
      <c r="H22" t="s">
        <v>97</v>
      </c>
      <c r="I22">
        <v>1</v>
      </c>
      <c r="K22">
        <v>3</v>
      </c>
      <c r="L22" s="131">
        <f>'Traveller Electro'!$H$17</f>
        <v>0</v>
      </c>
      <c r="O22" t="s">
        <v>181</v>
      </c>
      <c r="P22">
        <f t="shared" si="0"/>
        <v>0</v>
      </c>
      <c r="Q22">
        <f>IF(AND('Traveller Dendro'!$B$4&lt;9,'Traveller Dendro'!$B$5&gt;=9),1,0)</f>
        <v>0</v>
      </c>
      <c r="R22">
        <f>IF(AND('Traveller Dendro'!$E$4&lt;9,'Traveller Dendro'!$E$5&gt;=9),1,0)</f>
        <v>0</v>
      </c>
      <c r="S22">
        <f>IF(AND('Traveller Dendro'!$H$4&lt;9,'Traveller Dendro'!$H$5&gt;=9),1,0)</f>
        <v>0</v>
      </c>
    </row>
    <row r="23" spans="1:20" x14ac:dyDescent="0.25">
      <c r="C23">
        <v>3</v>
      </c>
      <c r="D23" s="131">
        <f>'Traveller Electro'!B8</f>
        <v>0</v>
      </c>
      <c r="E23" s="131">
        <f>'Traveller Electro'!E8</f>
        <v>0</v>
      </c>
      <c r="F23" s="131">
        <f>'Traveller Electro'!H8</f>
        <v>0</v>
      </c>
      <c r="H23" t="s">
        <v>97</v>
      </c>
      <c r="I23">
        <v>2</v>
      </c>
      <c r="J23">
        <f>SUM(L23:L25)</f>
        <v>0</v>
      </c>
      <c r="K23">
        <v>1</v>
      </c>
      <c r="L23" s="131">
        <f>'Traveller Electro'!$B$18</f>
        <v>0</v>
      </c>
      <c r="O23" t="s">
        <v>182</v>
      </c>
      <c r="P23">
        <f t="shared" si="0"/>
        <v>0</v>
      </c>
      <c r="Q23">
        <f>IF(AND('Traveller Hydro'!$B$4&lt;9,'Traveller Hydro'!$B$5&gt;=9),1,0)</f>
        <v>0</v>
      </c>
      <c r="R23">
        <f>IF(AND('Traveller Hydro'!$E$4&lt;9,'Traveller Hydro'!$E$5&gt;=9),1,0)</f>
        <v>0</v>
      </c>
      <c r="S23">
        <f>IF(AND('Traveller Hydro'!$H$4&lt;9,'Traveller Hydro'!$H$5&gt;=9),1,0)</f>
        <v>0</v>
      </c>
    </row>
    <row r="24" spans="1:20" x14ac:dyDescent="0.25">
      <c r="B24">
        <v>2</v>
      </c>
      <c r="C24">
        <v>1</v>
      </c>
      <c r="D24" s="131">
        <f>'Traveller Electro'!B9</f>
        <v>0</v>
      </c>
      <c r="E24" s="131">
        <f>'Traveller Electro'!E9</f>
        <v>0</v>
      </c>
      <c r="F24" s="131">
        <f>'Traveller Electro'!H9</f>
        <v>0</v>
      </c>
      <c r="H24" t="s">
        <v>97</v>
      </c>
      <c r="I24">
        <v>2</v>
      </c>
      <c r="K24">
        <v>2</v>
      </c>
      <c r="L24" s="131">
        <f>'Traveller Electro'!$E$18</f>
        <v>0</v>
      </c>
      <c r="O24" t="s">
        <v>885</v>
      </c>
      <c r="P24">
        <f t="shared" si="0"/>
        <v>0</v>
      </c>
      <c r="Q24">
        <f>IF(AND('Traveller Pyro'!$B$4&lt;9,'Traveller Pyro'!$B$5&gt;=9),1,0)</f>
        <v>0</v>
      </c>
      <c r="R24">
        <f>IF(AND('Traveller Pyro'!$E$4&lt;9,'Traveller Pyro'!$E$5&gt;=9),1,0)</f>
        <v>0</v>
      </c>
      <c r="S24">
        <f>IF(AND('Traveller Pyro'!$H$4&lt;9,'Traveller Pyro'!$H$5&gt;=9),1,0)</f>
        <v>0</v>
      </c>
    </row>
    <row r="25" spans="1:20" x14ac:dyDescent="0.25">
      <c r="C25">
        <v>2</v>
      </c>
      <c r="D25" s="131">
        <f>'Traveller Electro'!B10</f>
        <v>0</v>
      </c>
      <c r="E25" s="131">
        <f>'Traveller Electro'!E10</f>
        <v>0</v>
      </c>
      <c r="F25" s="131">
        <f>'Traveller Electro'!H10</f>
        <v>0</v>
      </c>
      <c r="H25" t="s">
        <v>97</v>
      </c>
      <c r="I25">
        <v>2</v>
      </c>
      <c r="K25">
        <v>3</v>
      </c>
      <c r="L25" s="131">
        <f>'Traveller Electro'!$H$18</f>
        <v>0</v>
      </c>
      <c r="N25">
        <v>10</v>
      </c>
      <c r="O25" t="s">
        <v>178</v>
      </c>
      <c r="P25">
        <f t="shared" si="0"/>
        <v>1</v>
      </c>
      <c r="Q25">
        <f>IF(AND('Traveller Anemo'!$B$4&lt;10,'Traveller Anemo'!$B$5&gt;=10),1,0)</f>
        <v>1</v>
      </c>
      <c r="R25">
        <f>IF(AND('Traveller Anemo'!$E$4&lt;10,'Traveller Anemo'!$E$5&gt;=10),1,0)</f>
        <v>0</v>
      </c>
      <c r="S25">
        <f>IF(AND('Traveller Anemo'!$H$4&lt;10,'Traveller Anemo'!$H$5&gt;=10),1,0)</f>
        <v>0</v>
      </c>
      <c r="T25">
        <f>IF(AND('Traveller Geo'!$B$4&lt;10,'Traveller Geo'!$B$5&gt;=10),1,0)</f>
        <v>0</v>
      </c>
    </row>
    <row r="26" spans="1:20" x14ac:dyDescent="0.25">
      <c r="C26">
        <v>3</v>
      </c>
      <c r="D26" s="131">
        <f>'Traveller Electro'!B11</f>
        <v>0</v>
      </c>
      <c r="E26" s="131">
        <f>'Traveller Electro'!E11</f>
        <v>0</v>
      </c>
      <c r="F26" s="131">
        <f>'Traveller Electro'!H11</f>
        <v>0</v>
      </c>
      <c r="H26" t="s">
        <v>97</v>
      </c>
      <c r="I26">
        <v>3</v>
      </c>
      <c r="J26">
        <f>SUM(L26:L28)</f>
        <v>0</v>
      </c>
      <c r="K26">
        <v>1</v>
      </c>
      <c r="L26" s="131">
        <f>'Traveller Electro'!$B$19</f>
        <v>0</v>
      </c>
      <c r="O26" t="s">
        <v>179</v>
      </c>
      <c r="P26">
        <f t="shared" si="0"/>
        <v>0</v>
      </c>
      <c r="R26">
        <f>IF(AND('Traveller Geo'!$E$4&lt;10,'Traveller Geo'!E110&gt;=10),1,0)</f>
        <v>0</v>
      </c>
      <c r="S26">
        <f>IF(AND('Traveller Geo'!$H$4&lt;10,'Traveller Geo'!H110&gt;=10),1,0)</f>
        <v>0</v>
      </c>
    </row>
    <row r="27" spans="1:20" x14ac:dyDescent="0.25">
      <c r="B27">
        <v>3</v>
      </c>
      <c r="C27">
        <v>1</v>
      </c>
      <c r="D27" s="131">
        <f>'Traveller Electro'!B12</f>
        <v>0</v>
      </c>
      <c r="E27" s="131">
        <f>'Traveller Electro'!E12</f>
        <v>0</v>
      </c>
      <c r="F27" s="131">
        <f>'Traveller Electro'!H12</f>
        <v>0</v>
      </c>
      <c r="H27" t="s">
        <v>97</v>
      </c>
      <c r="I27">
        <v>3</v>
      </c>
      <c r="K27">
        <v>2</v>
      </c>
      <c r="L27" s="131">
        <f>'Traveller Electro'!$E$19</f>
        <v>0</v>
      </c>
      <c r="O27" t="s">
        <v>180</v>
      </c>
      <c r="P27">
        <f t="shared" si="0"/>
        <v>0</v>
      </c>
      <c r="Q27">
        <f>IF(AND('Traveller Electro'!$B$4&lt;10,'Traveller Electro'!$B$5&gt;=10),1,0)</f>
        <v>0</v>
      </c>
      <c r="R27">
        <f>IF(AND('Traveller Electro'!$E$4&lt;10,'Traveller Electro'!$E$5&gt;=10),1,0)</f>
        <v>0</v>
      </c>
      <c r="S27">
        <f>IF(AND('Traveller Electro'!$H$4&lt;10,'Traveller Electro'!$H$5&gt;=10),1,0)</f>
        <v>0</v>
      </c>
    </row>
    <row r="28" spans="1:20" x14ac:dyDescent="0.25">
      <c r="C28">
        <v>2</v>
      </c>
      <c r="D28" s="131">
        <f>'Traveller Electro'!B13</f>
        <v>0</v>
      </c>
      <c r="E28" s="131">
        <f>'Traveller Electro'!E13</f>
        <v>0</v>
      </c>
      <c r="F28" s="131">
        <f>'Traveller Electro'!H13</f>
        <v>0</v>
      </c>
      <c r="H28" t="s">
        <v>97</v>
      </c>
      <c r="I28">
        <v>3</v>
      </c>
      <c r="K28">
        <v>3</v>
      </c>
      <c r="L28" s="131">
        <f>'Traveller Electro'!$H$19</f>
        <v>0</v>
      </c>
      <c r="O28" t="s">
        <v>181</v>
      </c>
      <c r="P28">
        <f t="shared" si="0"/>
        <v>0</v>
      </c>
      <c r="Q28">
        <f>IF(AND('Traveller Dendro'!$B$4&lt;10,'Traveller Dendro'!$B$5&gt;=10),1,0)</f>
        <v>0</v>
      </c>
      <c r="R28">
        <f>IF(AND('Traveller Dendro'!$E$4&lt;10,'Traveller Dendro'!$E$5&gt;=10),1,0)</f>
        <v>0</v>
      </c>
      <c r="S28">
        <f>IF(AND('Traveller Dendro'!$H$4&lt;10,'Traveller Dendro'!$H$5&gt;=10),1,0)</f>
        <v>0</v>
      </c>
    </row>
    <row r="29" spans="1:20" x14ac:dyDescent="0.25">
      <c r="C29">
        <v>3</v>
      </c>
      <c r="D29" s="131">
        <f>'Traveller Electro'!B14</f>
        <v>0</v>
      </c>
      <c r="E29" s="131">
        <f>'Traveller Electro'!E14</f>
        <v>0</v>
      </c>
      <c r="F29" s="131">
        <f>'Traveller Electro'!H14</f>
        <v>0</v>
      </c>
      <c r="H29" t="s">
        <v>109</v>
      </c>
      <c r="I29">
        <v>1</v>
      </c>
      <c r="J29">
        <f>SUM(L29:L31)</f>
        <v>0</v>
      </c>
      <c r="K29">
        <v>1</v>
      </c>
      <c r="L29" s="131">
        <f>'Traveller Dendro'!$B$17</f>
        <v>0</v>
      </c>
      <c r="O29" t="s">
        <v>182</v>
      </c>
      <c r="P29">
        <f t="shared" si="0"/>
        <v>0</v>
      </c>
      <c r="Q29">
        <f>IF(AND('Traveller Hydro'!$B$4&lt;10,'Traveller Hydro'!$B$5&gt;=10),1,0)</f>
        <v>0</v>
      </c>
      <c r="R29">
        <f>IF(AND('Traveller Hydro'!$E$4&lt;10,'Traveller Hydro'!$E$5&gt;=10),1,0)</f>
        <v>0</v>
      </c>
      <c r="S29">
        <f>IF(AND('Traveller Hydro'!$H$4&lt;10,'Traveller Hydro'!$H$5&gt;=10),1,0)</f>
        <v>0</v>
      </c>
    </row>
    <row r="30" spans="1:20" x14ac:dyDescent="0.25">
      <c r="A30" t="s">
        <v>185</v>
      </c>
      <c r="B30">
        <v>1</v>
      </c>
      <c r="C30">
        <v>1</v>
      </c>
      <c r="D30" s="131">
        <f>'Traveller Dendro'!B6</f>
        <v>0</v>
      </c>
      <c r="E30" s="131">
        <f>'Traveller Dendro'!E6</f>
        <v>0</v>
      </c>
      <c r="F30" s="131">
        <f>'Traveller Dendro'!H6</f>
        <v>0</v>
      </c>
      <c r="H30" t="s">
        <v>109</v>
      </c>
      <c r="I30">
        <v>1</v>
      </c>
      <c r="K30">
        <v>2</v>
      </c>
      <c r="L30" s="131">
        <f>'Traveller Dendro'!$E$17</f>
        <v>0</v>
      </c>
      <c r="O30" t="s">
        <v>885</v>
      </c>
      <c r="P30">
        <f t="shared" si="0"/>
        <v>0</v>
      </c>
      <c r="Q30">
        <f>IF(AND('Traveller Pyro'!$B$4&lt;10,'Traveller Pyro'!$B$5&gt;=10),1,0)</f>
        <v>0</v>
      </c>
      <c r="R30">
        <f>IF(AND('Traveller Pyro'!$E$4&lt;10,'Traveller Pyro'!$E$5&gt;=10),1,0)</f>
        <v>0</v>
      </c>
      <c r="S30">
        <f>IF(AND('Traveller Pyro'!$H$4&lt;10,'Traveller Pyro'!$H$5&gt;=10),1,0)</f>
        <v>0</v>
      </c>
    </row>
    <row r="31" spans="1:20" x14ac:dyDescent="0.25">
      <c r="C31">
        <v>2</v>
      </c>
      <c r="D31" s="131">
        <f>'Traveller Dendro'!B7</f>
        <v>0</v>
      </c>
      <c r="E31" s="131">
        <f>'Traveller Dendro'!E7</f>
        <v>0</v>
      </c>
      <c r="F31" s="131">
        <f>'Traveller Dendro'!H7</f>
        <v>0</v>
      </c>
      <c r="H31" t="s">
        <v>109</v>
      </c>
      <c r="I31">
        <v>1</v>
      </c>
      <c r="K31">
        <v>3</v>
      </c>
      <c r="L31" s="131">
        <f>'Traveller Dendro'!$H$17</f>
        <v>0</v>
      </c>
    </row>
    <row r="32" spans="1:20" x14ac:dyDescent="0.25">
      <c r="C32">
        <v>3</v>
      </c>
      <c r="D32" s="131">
        <f>'Traveller Dendro'!B8</f>
        <v>0</v>
      </c>
      <c r="E32" s="131">
        <f>'Traveller Dendro'!E8</f>
        <v>0</v>
      </c>
      <c r="F32" s="131">
        <f>'Traveller Dendro'!H8</f>
        <v>0</v>
      </c>
      <c r="H32" t="s">
        <v>109</v>
      </c>
      <c r="I32">
        <v>2</v>
      </c>
      <c r="J32">
        <f>SUM(L32:L34)</f>
        <v>0</v>
      </c>
      <c r="K32">
        <v>1</v>
      </c>
      <c r="L32" s="131">
        <f>'Traveller Dendro'!$B$18</f>
        <v>0</v>
      </c>
    </row>
    <row r="33" spans="1:12" x14ac:dyDescent="0.25">
      <c r="B33">
        <v>2</v>
      </c>
      <c r="C33">
        <v>1</v>
      </c>
      <c r="D33" s="131">
        <f>'Traveller Dendro'!B9</f>
        <v>0</v>
      </c>
      <c r="E33" s="131">
        <f>'Traveller Dendro'!E9</f>
        <v>0</v>
      </c>
      <c r="F33" s="131">
        <f>'Traveller Dendro'!H9</f>
        <v>0</v>
      </c>
      <c r="H33" t="s">
        <v>109</v>
      </c>
      <c r="I33">
        <v>2</v>
      </c>
      <c r="K33">
        <v>2</v>
      </c>
      <c r="L33" s="131">
        <f>'Traveller Dendro'!$E$18</f>
        <v>0</v>
      </c>
    </row>
    <row r="34" spans="1:12" x14ac:dyDescent="0.25">
      <c r="C34">
        <v>2</v>
      </c>
      <c r="D34" s="131">
        <f>'Traveller Dendro'!B10</f>
        <v>0</v>
      </c>
      <c r="E34" s="131">
        <f>'Traveller Dendro'!E10</f>
        <v>0</v>
      </c>
      <c r="F34" s="131">
        <f>'Traveller Dendro'!H10</f>
        <v>0</v>
      </c>
      <c r="H34" t="s">
        <v>109</v>
      </c>
      <c r="I34">
        <v>2</v>
      </c>
      <c r="K34">
        <v>3</v>
      </c>
      <c r="L34" s="131">
        <f>'Traveller Dendro'!$H$18</f>
        <v>0</v>
      </c>
    </row>
    <row r="35" spans="1:12" x14ac:dyDescent="0.25">
      <c r="C35">
        <v>3</v>
      </c>
      <c r="D35" s="131">
        <f>'Traveller Dendro'!B11</f>
        <v>0</v>
      </c>
      <c r="E35" s="131">
        <f>'Traveller Dendro'!E11</f>
        <v>0</v>
      </c>
      <c r="F35" s="131">
        <f>'Traveller Dendro'!H11</f>
        <v>0</v>
      </c>
      <c r="H35" t="s">
        <v>109</v>
      </c>
      <c r="I35">
        <v>3</v>
      </c>
      <c r="J35">
        <f>SUM(L35:L37)</f>
        <v>0</v>
      </c>
      <c r="K35">
        <v>1</v>
      </c>
      <c r="L35" s="131">
        <f>'Traveller Dendro'!$B$19</f>
        <v>0</v>
      </c>
    </row>
    <row r="36" spans="1:12" x14ac:dyDescent="0.25">
      <c r="B36">
        <v>3</v>
      </c>
      <c r="C36">
        <v>1</v>
      </c>
      <c r="D36" s="131">
        <f>'Traveller Dendro'!B12</f>
        <v>0</v>
      </c>
      <c r="E36" s="131">
        <f>'Traveller Dendro'!E12</f>
        <v>0</v>
      </c>
      <c r="F36" s="131">
        <f>'Traveller Dendro'!H12</f>
        <v>0</v>
      </c>
      <c r="H36" t="s">
        <v>109</v>
      </c>
      <c r="I36">
        <v>3</v>
      </c>
      <c r="K36">
        <v>2</v>
      </c>
      <c r="L36" s="131">
        <f>'Traveller Dendro'!$E$19</f>
        <v>0</v>
      </c>
    </row>
    <row r="37" spans="1:12" x14ac:dyDescent="0.25">
      <c r="C37">
        <v>2</v>
      </c>
      <c r="D37" s="131">
        <f>'Traveller Dendro'!B13</f>
        <v>0</v>
      </c>
      <c r="E37" s="131">
        <f>'Traveller Dendro'!E13</f>
        <v>0</v>
      </c>
      <c r="F37" s="131">
        <f>'Traveller Dendro'!H13</f>
        <v>0</v>
      </c>
      <c r="H37" t="s">
        <v>109</v>
      </c>
      <c r="I37">
        <v>3</v>
      </c>
      <c r="K37">
        <v>3</v>
      </c>
      <c r="L37" s="131">
        <f>'Traveller Dendro'!$H$19</f>
        <v>0</v>
      </c>
    </row>
    <row r="38" spans="1:12" x14ac:dyDescent="0.25">
      <c r="C38">
        <v>3</v>
      </c>
      <c r="D38" s="131">
        <f>'Traveller Dendro'!B14</f>
        <v>0</v>
      </c>
      <c r="E38" s="131">
        <f>'Traveller Dendro'!E14</f>
        <v>0</v>
      </c>
      <c r="F38" s="131">
        <f>'Traveller Dendro'!H14</f>
        <v>0</v>
      </c>
      <c r="H38" t="s">
        <v>121</v>
      </c>
      <c r="I38">
        <v>1</v>
      </c>
      <c r="J38">
        <f>SUM(L38:L40)</f>
        <v>0</v>
      </c>
      <c r="K38">
        <v>1</v>
      </c>
      <c r="L38" s="131">
        <f>'Traveller Hydro'!$B$17</f>
        <v>0</v>
      </c>
    </row>
    <row r="39" spans="1:12" x14ac:dyDescent="0.25">
      <c r="A39" t="s">
        <v>186</v>
      </c>
      <c r="B39">
        <v>1</v>
      </c>
      <c r="C39">
        <v>1</v>
      </c>
      <c r="D39" s="131">
        <f>'Traveller Hydro'!B6</f>
        <v>0</v>
      </c>
      <c r="E39" s="131">
        <f>'Traveller Hydro'!E6</f>
        <v>0</v>
      </c>
      <c r="F39" s="131">
        <f>'Traveller Hydro'!H6</f>
        <v>0</v>
      </c>
      <c r="H39" t="s">
        <v>121</v>
      </c>
      <c r="I39">
        <v>1</v>
      </c>
      <c r="K39">
        <v>2</v>
      </c>
      <c r="L39" s="131">
        <f>'Traveller Hydro'!$E$17</f>
        <v>0</v>
      </c>
    </row>
    <row r="40" spans="1:12" x14ac:dyDescent="0.25">
      <c r="C40">
        <v>2</v>
      </c>
      <c r="D40" s="131">
        <f>'Traveller Hydro'!B7</f>
        <v>0</v>
      </c>
      <c r="E40" s="131">
        <f>'Traveller Hydro'!E7</f>
        <v>0</v>
      </c>
      <c r="F40" s="131">
        <f>'Traveller Hydro'!H7</f>
        <v>0</v>
      </c>
      <c r="H40" t="s">
        <v>121</v>
      </c>
      <c r="I40">
        <v>1</v>
      </c>
      <c r="K40">
        <v>3</v>
      </c>
      <c r="L40" s="131">
        <f>'Traveller Hydro'!$H$17</f>
        <v>0</v>
      </c>
    </row>
    <row r="41" spans="1:12" x14ac:dyDescent="0.25">
      <c r="C41">
        <v>3</v>
      </c>
      <c r="D41" s="131">
        <f>'Traveller Hydro'!B8</f>
        <v>0</v>
      </c>
      <c r="E41" s="131">
        <f>'Traveller Hydro'!E8</f>
        <v>0</v>
      </c>
      <c r="F41" s="131">
        <f>'Traveller Hydro'!H8</f>
        <v>0</v>
      </c>
      <c r="H41" t="s">
        <v>121</v>
      </c>
      <c r="I41">
        <v>2</v>
      </c>
      <c r="J41">
        <f>SUM(L41:L43)</f>
        <v>0</v>
      </c>
      <c r="K41">
        <v>1</v>
      </c>
      <c r="L41" s="131">
        <f>'Traveller Hydro'!$B$18</f>
        <v>0</v>
      </c>
    </row>
    <row r="42" spans="1:12" x14ac:dyDescent="0.25">
      <c r="B42">
        <v>2</v>
      </c>
      <c r="C42">
        <v>1</v>
      </c>
      <c r="D42" s="131">
        <f>'Traveller Hydro'!B9</f>
        <v>0</v>
      </c>
      <c r="E42" s="131">
        <f>'Traveller Hydro'!E9</f>
        <v>0</v>
      </c>
      <c r="F42" s="131">
        <f>'Traveller Hydro'!H9</f>
        <v>0</v>
      </c>
      <c r="H42" t="s">
        <v>121</v>
      </c>
      <c r="I42">
        <v>2</v>
      </c>
      <c r="K42">
        <v>2</v>
      </c>
      <c r="L42" s="131">
        <f>'Traveller Hydro'!$E$18</f>
        <v>0</v>
      </c>
    </row>
    <row r="43" spans="1:12" x14ac:dyDescent="0.25">
      <c r="C43">
        <v>2</v>
      </c>
      <c r="D43" s="131">
        <f>'Traveller Hydro'!B10</f>
        <v>0</v>
      </c>
      <c r="E43" s="131">
        <f>'Traveller Hydro'!E10</f>
        <v>0</v>
      </c>
      <c r="F43" s="131">
        <f>'Traveller Hydro'!H10</f>
        <v>0</v>
      </c>
      <c r="H43" t="s">
        <v>121</v>
      </c>
      <c r="I43">
        <v>2</v>
      </c>
      <c r="K43">
        <v>3</v>
      </c>
      <c r="L43" s="131">
        <f>'Traveller Hydro'!$H$18</f>
        <v>0</v>
      </c>
    </row>
    <row r="44" spans="1:12" x14ac:dyDescent="0.25">
      <c r="C44">
        <v>3</v>
      </c>
      <c r="D44" s="131">
        <f>'Traveller Hydro'!B11</f>
        <v>0</v>
      </c>
      <c r="E44" s="131">
        <f>'Traveller Hydro'!E11</f>
        <v>0</v>
      </c>
      <c r="F44" s="131">
        <f>'Traveller Hydro'!H11</f>
        <v>0</v>
      </c>
      <c r="H44" t="s">
        <v>121</v>
      </c>
      <c r="I44">
        <v>3</v>
      </c>
      <c r="J44">
        <f>SUM(L44:L46)</f>
        <v>0</v>
      </c>
      <c r="K44">
        <v>1</v>
      </c>
      <c r="L44" s="131">
        <f>'Traveller Hydro'!$B$19</f>
        <v>0</v>
      </c>
    </row>
    <row r="45" spans="1:12" x14ac:dyDescent="0.25">
      <c r="B45">
        <v>3</v>
      </c>
      <c r="C45">
        <v>1</v>
      </c>
      <c r="D45" s="131">
        <f>'Traveller Hydro'!B12</f>
        <v>0</v>
      </c>
      <c r="E45" s="131">
        <f>'Traveller Hydro'!E12</f>
        <v>0</v>
      </c>
      <c r="F45" s="131">
        <f>'Traveller Hydro'!H12</f>
        <v>0</v>
      </c>
      <c r="H45" t="s">
        <v>121</v>
      </c>
      <c r="I45">
        <v>3</v>
      </c>
      <c r="K45">
        <v>2</v>
      </c>
      <c r="L45" s="131">
        <f>'Traveller Hydro'!$E$19</f>
        <v>0</v>
      </c>
    </row>
    <row r="46" spans="1:12" x14ac:dyDescent="0.25">
      <c r="C46">
        <v>2</v>
      </c>
      <c r="D46" s="131">
        <f>'Traveller Hydro'!B13</f>
        <v>0</v>
      </c>
      <c r="E46" s="131">
        <f>'Traveller Hydro'!E13</f>
        <v>0</v>
      </c>
      <c r="F46" s="131">
        <f>'Traveller Hydro'!H13</f>
        <v>0</v>
      </c>
      <c r="H46" t="s">
        <v>121</v>
      </c>
      <c r="I46">
        <v>3</v>
      </c>
      <c r="K46">
        <v>3</v>
      </c>
      <c r="L46" s="131">
        <f>'Traveller Hydro'!$H$19</f>
        <v>0</v>
      </c>
    </row>
    <row r="47" spans="1:12" x14ac:dyDescent="0.25">
      <c r="C47">
        <v>3</v>
      </c>
      <c r="D47" s="131">
        <f>'Traveller Hydro'!B14</f>
        <v>0</v>
      </c>
      <c r="E47" s="131">
        <f>'Traveller Hydro'!E14</f>
        <v>0</v>
      </c>
      <c r="F47" s="131">
        <f>'Traveller Hydro'!H14</f>
        <v>0</v>
      </c>
      <c r="H47" t="s">
        <v>133</v>
      </c>
      <c r="I47">
        <v>1</v>
      </c>
      <c r="J47">
        <f>SUM(L47:L49)</f>
        <v>0</v>
      </c>
      <c r="K47">
        <v>1</v>
      </c>
      <c r="L47" s="131">
        <f>'Traveller Pyro'!$B$17</f>
        <v>0</v>
      </c>
    </row>
    <row r="48" spans="1:12" x14ac:dyDescent="0.25">
      <c r="A48" t="s">
        <v>604</v>
      </c>
      <c r="B48">
        <v>1</v>
      </c>
      <c r="C48">
        <v>1</v>
      </c>
      <c r="D48" s="131">
        <f>'Traveller Pyro'!B6</f>
        <v>0</v>
      </c>
      <c r="E48" s="131">
        <f>'Traveller Pyro'!E6</f>
        <v>0</v>
      </c>
      <c r="F48" s="131">
        <f>'Traveller Pyro'!H6</f>
        <v>0</v>
      </c>
      <c r="H48" t="s">
        <v>133</v>
      </c>
      <c r="I48">
        <v>1</v>
      </c>
      <c r="K48">
        <v>2</v>
      </c>
      <c r="L48" s="131">
        <f>'Traveller Pyro'!$E$17</f>
        <v>0</v>
      </c>
    </row>
    <row r="49" spans="2:12" x14ac:dyDescent="0.25">
      <c r="C49">
        <v>2</v>
      </c>
      <c r="D49" s="131">
        <f>'Traveller Pyro'!B7</f>
        <v>0</v>
      </c>
      <c r="E49" s="131">
        <f>'Traveller Pyro'!E7</f>
        <v>0</v>
      </c>
      <c r="F49" s="131">
        <f>'Traveller Pyro'!H7</f>
        <v>0</v>
      </c>
      <c r="H49" t="s">
        <v>133</v>
      </c>
      <c r="I49">
        <v>1</v>
      </c>
      <c r="K49">
        <v>3</v>
      </c>
      <c r="L49" s="131">
        <f>'Traveller Pyro'!$H$17</f>
        <v>0</v>
      </c>
    </row>
    <row r="50" spans="2:12" x14ac:dyDescent="0.25">
      <c r="C50">
        <v>3</v>
      </c>
      <c r="D50" s="131">
        <f>'Traveller Pyro'!B8</f>
        <v>0</v>
      </c>
      <c r="E50" s="131">
        <f>'Traveller Pyro'!E8</f>
        <v>0</v>
      </c>
      <c r="F50" s="131">
        <f>'Traveller Pyro'!H8</f>
        <v>0</v>
      </c>
      <c r="H50" t="s">
        <v>133</v>
      </c>
      <c r="I50">
        <v>2</v>
      </c>
      <c r="J50">
        <f>SUM(L50:L52)</f>
        <v>0</v>
      </c>
      <c r="K50">
        <v>1</v>
      </c>
      <c r="L50" s="131">
        <f>'Traveller Pyro'!$B$18</f>
        <v>0</v>
      </c>
    </row>
    <row r="51" spans="2:12" x14ac:dyDescent="0.25">
      <c r="B51">
        <v>2</v>
      </c>
      <c r="C51">
        <v>1</v>
      </c>
      <c r="D51" s="131">
        <f>'Traveller Pyro'!B9</f>
        <v>0</v>
      </c>
      <c r="E51" s="131">
        <f>'Traveller Pyro'!E9</f>
        <v>0</v>
      </c>
      <c r="F51" s="131">
        <f>'Traveller Pyro'!H9</f>
        <v>0</v>
      </c>
      <c r="H51" t="s">
        <v>133</v>
      </c>
      <c r="I51">
        <v>2</v>
      </c>
      <c r="K51">
        <v>2</v>
      </c>
      <c r="L51" s="131">
        <f>'Traveller Pyro'!$E$18</f>
        <v>0</v>
      </c>
    </row>
    <row r="52" spans="2:12" x14ac:dyDescent="0.25">
      <c r="C52">
        <v>2</v>
      </c>
      <c r="D52" s="131">
        <f>'Traveller Pyro'!B10</f>
        <v>0</v>
      </c>
      <c r="E52" s="131">
        <f>'Traveller Pyro'!E10</f>
        <v>0</v>
      </c>
      <c r="F52" s="131">
        <f>'Traveller Pyro'!H10</f>
        <v>0</v>
      </c>
      <c r="H52" t="s">
        <v>133</v>
      </c>
      <c r="I52">
        <v>2</v>
      </c>
      <c r="K52">
        <v>3</v>
      </c>
      <c r="L52" s="131">
        <f>'Traveller Pyro'!$H$18</f>
        <v>0</v>
      </c>
    </row>
    <row r="53" spans="2:12" x14ac:dyDescent="0.25">
      <c r="C53">
        <v>3</v>
      </c>
      <c r="D53" s="131">
        <f>'Traveller Pyro'!B11</f>
        <v>0</v>
      </c>
      <c r="E53" s="131">
        <f>'Traveller Pyro'!E11</f>
        <v>0</v>
      </c>
      <c r="F53" s="131">
        <f>'Traveller Pyro'!H11</f>
        <v>0</v>
      </c>
      <c r="H53" t="s">
        <v>133</v>
      </c>
      <c r="I53">
        <v>3</v>
      </c>
      <c r="J53">
        <f>SUM(L53:L55)</f>
        <v>0</v>
      </c>
      <c r="K53">
        <v>1</v>
      </c>
      <c r="L53" s="131">
        <f>'Traveller Pyro'!$B$19</f>
        <v>0</v>
      </c>
    </row>
    <row r="54" spans="2:12" x14ac:dyDescent="0.25">
      <c r="B54">
        <v>3</v>
      </c>
      <c r="C54">
        <v>1</v>
      </c>
      <c r="D54" s="131">
        <f>'Traveller Pyro'!B12</f>
        <v>0</v>
      </c>
      <c r="E54" s="131">
        <f>'Traveller Pyro'!E12</f>
        <v>0</v>
      </c>
      <c r="F54" s="131">
        <f>'Traveller Pyro'!H12</f>
        <v>0</v>
      </c>
      <c r="H54" t="s">
        <v>133</v>
      </c>
      <c r="I54">
        <v>3</v>
      </c>
      <c r="K54">
        <v>2</v>
      </c>
      <c r="L54" s="131">
        <f>'Traveller Pyro'!$E$19</f>
        <v>0</v>
      </c>
    </row>
    <row r="55" spans="2:12" x14ac:dyDescent="0.25">
      <c r="C55">
        <v>2</v>
      </c>
      <c r="D55" s="131">
        <f>'Traveller Pyro'!B13</f>
        <v>0</v>
      </c>
      <c r="E55" s="131">
        <f>'Traveller Pyro'!E13</f>
        <v>0</v>
      </c>
      <c r="F55" s="131">
        <f>'Traveller Pyro'!H13</f>
        <v>0</v>
      </c>
      <c r="H55" t="s">
        <v>133</v>
      </c>
      <c r="I55">
        <v>3</v>
      </c>
      <c r="K55">
        <v>3</v>
      </c>
      <c r="L55" s="131">
        <f>'Traveller Pyro'!$H$19</f>
        <v>0</v>
      </c>
    </row>
    <row r="56" spans="2:12" x14ac:dyDescent="0.25">
      <c r="C56">
        <v>3</v>
      </c>
      <c r="D56" s="131">
        <f>'Traveller Pyro'!B14</f>
        <v>0</v>
      </c>
      <c r="E56" s="131">
        <f>'Traveller Pyro'!E14</f>
        <v>0</v>
      </c>
      <c r="F56" s="131">
        <f>'Traveller Pyro'!H14</f>
        <v>0</v>
      </c>
      <c r="H56" s="132"/>
      <c r="I56" s="132"/>
      <c r="J56" s="132"/>
      <c r="K56" s="132"/>
      <c r="L56" s="132"/>
    </row>
  </sheetData>
  <mergeCells count="2">
    <mergeCell ref="A1:C1"/>
    <mergeCell ref="D1:F1"/>
  </mergeCells>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0DF87-0EDF-453B-97AB-05DE44F1C054}">
  <sheetPr codeName="Sheet3">
    <tabColor theme="5" tint="0.39997558519241921"/>
  </sheetPr>
  <dimension ref="A1:I221"/>
  <sheetViews>
    <sheetView zoomScaleNormal="100" workbookViewId="0">
      <selection activeCell="C3" sqref="C3"/>
    </sheetView>
  </sheetViews>
  <sheetFormatPr defaultColWidth="8.85546875" defaultRowHeight="15" x14ac:dyDescent="0.25"/>
  <cols>
    <col min="1" max="1" width="24.7109375" bestFit="1" customWidth="1"/>
    <col min="2" max="2" width="24.7109375" customWidth="1"/>
    <col min="3" max="3" width="32.7109375" bestFit="1" customWidth="1"/>
    <col min="4" max="4" width="10.28515625" bestFit="1" customWidth="1"/>
    <col min="5" max="5" width="1.42578125" customWidth="1"/>
    <col min="6" max="6" width="23.7109375" bestFit="1" customWidth="1"/>
    <col min="7" max="7" width="14.28515625" bestFit="1" customWidth="1"/>
    <col min="8" max="8" width="33.42578125" bestFit="1" customWidth="1"/>
    <col min="9" max="9" width="11.42578125" bestFit="1" customWidth="1"/>
    <col min="10" max="10" width="1.42578125" customWidth="1"/>
    <col min="11" max="12" width="9.140625" customWidth="1"/>
  </cols>
  <sheetData>
    <row r="1" spans="1:9" x14ac:dyDescent="0.25">
      <c r="A1" s="209" t="s">
        <v>187</v>
      </c>
      <c r="B1" s="209"/>
      <c r="C1" s="209"/>
      <c r="D1" s="209"/>
      <c r="F1" s="209" t="s">
        <v>188</v>
      </c>
      <c r="G1" s="209"/>
      <c r="H1" s="209"/>
      <c r="I1" s="209"/>
    </row>
    <row r="2" spans="1:9" x14ac:dyDescent="0.25">
      <c r="A2" s="209" t="s">
        <v>47</v>
      </c>
      <c r="B2" s="209"/>
      <c r="C2" s="209" t="s">
        <v>71</v>
      </c>
      <c r="D2" s="209"/>
      <c r="F2" s="209" t="s">
        <v>47</v>
      </c>
      <c r="G2" s="209"/>
      <c r="H2" s="209" t="s">
        <v>71</v>
      </c>
      <c r="I2" s="209"/>
    </row>
    <row r="3" spans="1:9" x14ac:dyDescent="0.25">
      <c r="A3" t="str" cm="1">
        <f t="array" ref="A3:A106">"'"&amp;_xlfn._xlws.FILTER(INDEX(Character_List,,1),INDEX(Character_List,,1)&lt;&gt;"",)&amp;"'!J5"</f>
        <v>'Amber'!J5</v>
      </c>
      <c r="B3" s="60" cm="1">
        <f t="array" aca="1" ref="B3" ca="1">SUM(INDIRECT(_xlfn.ANCHORARRAY(A3)))+'Traveller Level'!G5</f>
        <v>18357500</v>
      </c>
      <c r="C3" t="str" cm="1">
        <f t="array" ref="C3:C221">"'"&amp;IF(ISNUMBER(FIND("'",_xlfn._xlws.FILTER(INDEX(Weapon_List,,1),INDEX(Weapon_List,,1)&lt;&gt;"",))),LEFT(_xlfn._xlws.FILTER(INDEX(Weapon_List,,1),INDEX(Weapon_List,,1)&lt;&gt;"",),FIND("'",_xlfn._xlws.FILTER(INDEX(Weapon_List,,1),INDEX(Weapon_List,,1)&lt;&gt;"",)))&amp;"'"&amp;RIGHT(_xlfn._xlws.FILTER(INDEX(Weapon_List,,1),INDEX(Weapon_List,,1)&lt;&gt;"",),LEN(_xlfn._xlws.FILTER(INDEX(Weapon_List,,1),INDEX(Weapon_List,,1)&lt;&gt;"",))-FIND("'",_xlfn._xlws.FILTER(INDEX(Weapon_List,,1),INDEX(Weapon_List,,1)&lt;&gt;"",))),_xlfn._xlws.FILTER(INDEX(Weapon_List,,1),INDEX(Weapon_List,,1)&lt;&gt;"",))&amp;"'!G5"</f>
        <v>'Dull Blade'!G5</v>
      </c>
      <c r="D3" s="60" cm="1">
        <f t="array" aca="1" ref="D3" ca="1">SUM(INDIRECT(_xlfn.ANCHORARRAY(C3)))</f>
        <v>7697520</v>
      </c>
      <c r="F3" t="str" cm="1">
        <f t="array" ref="F3:F106">"'"&amp;_xlfn._xlws.FILTER(INDEX(Character_List,,1),INDEX(Character_List,,1)&lt;&gt;"",)&amp;"'!J4"</f>
        <v>'Amber'!J4</v>
      </c>
      <c r="G3" s="60" cm="1">
        <f t="array" aca="1" ref="G3" ca="1">SUM(INDIRECT(_xlfn.ANCHORARRAY(F3)))+'Traveller Level'!G4</f>
        <v>28511075</v>
      </c>
      <c r="H3" t="str" cm="1">
        <f t="array" ref="H3:H221">"'"&amp;IF(ISNUMBER(FIND("'",_xlfn._xlws.FILTER(INDEX(Weapon_List,,1),INDEX(Weapon_List,,1)&lt;&gt;"",))),LEFT(_xlfn._xlws.FILTER(INDEX(Weapon_List,,1),INDEX(Weapon_List,,1)&lt;&gt;"",),FIND("'",_xlfn._xlws.FILTER(INDEX(Weapon_List,,1),INDEX(Weapon_List,,1)&lt;&gt;"",)))&amp;"'"&amp;RIGHT(_xlfn._xlws.FILTER(INDEX(Weapon_List,,1),INDEX(Weapon_List,,1)&lt;&gt;"",),LEN(_xlfn._xlws.FILTER(INDEX(Weapon_List,,1),INDEX(Weapon_List,,1)&lt;&gt;"",))-FIND("'",_xlfn._xlws.FILTER(INDEX(Weapon_List,,1),INDEX(Weapon_List,,1)&lt;&gt;"",))),_xlfn._xlws.FILTER(INDEX(Weapon_List,,1),INDEX(Weapon_List,,1)&lt;&gt;"",))&amp;"'!G4"</f>
        <v>'Dull Blade'!G4</v>
      </c>
      <c r="I3" s="60" cm="1">
        <f t="array" aca="1" ref="I3" ca="1">SUM(INDIRECT(_xlfn.ANCHORARRAY(H3)))</f>
        <v>66470100</v>
      </c>
    </row>
    <row r="4" spans="1:9" x14ac:dyDescent="0.25">
      <c r="A4" t="str">
        <v>'Lisa'!J5</v>
      </c>
      <c r="C4" t="str">
        <v>'Waster Greatsword'!G5</v>
      </c>
      <c r="F4" t="str">
        <v>'Lisa'!J4</v>
      </c>
      <c r="H4" t="str">
        <v>'Waster Greatsword'!G4</v>
      </c>
    </row>
    <row r="5" spans="1:9" x14ac:dyDescent="0.25">
      <c r="A5" t="str">
        <v>'Razor'!J5</v>
      </c>
      <c r="C5" t="str">
        <v>'Beginner''s Protector'!G5</v>
      </c>
      <c r="F5" t="str">
        <v>'Razor'!J4</v>
      </c>
      <c r="H5" t="str">
        <v>'Beginner''s Protector'!G4</v>
      </c>
    </row>
    <row r="6" spans="1:9" x14ac:dyDescent="0.25">
      <c r="A6" t="str">
        <v>'Xiangling'!J5</v>
      </c>
      <c r="C6" t="str">
        <v>'Apprentice''s Notes'!G5</v>
      </c>
      <c r="F6" t="str">
        <v>'Xiangling'!J4</v>
      </c>
      <c r="H6" t="str">
        <v>'Apprentice''s Notes'!G4</v>
      </c>
    </row>
    <row r="7" spans="1:9" x14ac:dyDescent="0.25">
      <c r="A7" t="str">
        <v>'Beidou'!J5</v>
      </c>
      <c r="C7" t="str">
        <v>'Hunter''s Bow'!G5</v>
      </c>
      <c r="F7" t="str">
        <v>'Beidou'!J4</v>
      </c>
      <c r="H7" t="str">
        <v>'Hunter''s Bow'!G4</v>
      </c>
    </row>
    <row r="8" spans="1:9" x14ac:dyDescent="0.25">
      <c r="A8" t="str">
        <v>'Bennett'!J5</v>
      </c>
      <c r="C8" t="str">
        <v>'Silver Sword'!G5</v>
      </c>
      <c r="F8" t="str">
        <v>'Bennett'!J4</v>
      </c>
      <c r="H8" t="str">
        <v>'Silver Sword'!G4</v>
      </c>
    </row>
    <row r="9" spans="1:9" x14ac:dyDescent="0.25">
      <c r="A9" t="str">
        <v>'Noelle'!J5</v>
      </c>
      <c r="C9" t="str">
        <v>'Old Merc''s Pal'!G5</v>
      </c>
      <c r="F9" t="str">
        <v>'Noelle'!J4</v>
      </c>
      <c r="H9" t="str">
        <v>'Old Merc''s Pal'!G4</v>
      </c>
    </row>
    <row r="10" spans="1:9" x14ac:dyDescent="0.25">
      <c r="A10" t="str">
        <v>'Chongyun'!J5</v>
      </c>
      <c r="C10" t="str">
        <v>'Iron Point'!G5</v>
      </c>
      <c r="F10" t="str">
        <v>'Chongyun'!J4</v>
      </c>
      <c r="H10" t="str">
        <v>'Iron Point'!G4</v>
      </c>
    </row>
    <row r="11" spans="1:9" x14ac:dyDescent="0.25">
      <c r="A11" t="str">
        <v>'Jean'!J5</v>
      </c>
      <c r="C11" t="str">
        <v>'Pocket Grimoire'!G5</v>
      </c>
      <c r="F11" t="str">
        <v>'Jean'!J4</v>
      </c>
      <c r="H11" t="str">
        <v>'Pocket Grimoire'!G4</v>
      </c>
    </row>
    <row r="12" spans="1:9" x14ac:dyDescent="0.25">
      <c r="A12" t="str">
        <v>'Diluc'!J5</v>
      </c>
      <c r="C12" t="str">
        <v>'Seasoned Hunter''s Bow'!G5</v>
      </c>
      <c r="F12" t="str">
        <v>'Diluc'!J4</v>
      </c>
      <c r="H12" t="str">
        <v>'Seasoned Hunter''s Bow'!G4</v>
      </c>
    </row>
    <row r="13" spans="1:9" x14ac:dyDescent="0.25">
      <c r="A13" t="str">
        <v>'Kaeya'!J5</v>
      </c>
      <c r="C13" t="str">
        <v>'Cool Steel'!G5</v>
      </c>
      <c r="F13" t="str">
        <v>'Kaeya'!J4</v>
      </c>
      <c r="H13" t="str">
        <v>'Cool Steel'!G4</v>
      </c>
    </row>
    <row r="14" spans="1:9" x14ac:dyDescent="0.25">
      <c r="A14" t="str">
        <v>'Barbara'!J5</v>
      </c>
      <c r="C14" t="str">
        <v>'Dark Iron Sword'!G5</v>
      </c>
      <c r="F14" t="str">
        <v>'Barbara'!J4</v>
      </c>
      <c r="H14" t="str">
        <v>'Dark Iron Sword'!G4</v>
      </c>
    </row>
    <row r="15" spans="1:9" x14ac:dyDescent="0.25">
      <c r="A15" t="str">
        <v>'Xingqiu'!J5</v>
      </c>
      <c r="C15" t="str">
        <v>'Fillet Blade'!G5</v>
      </c>
      <c r="F15" t="str">
        <v>'Xingqiu'!J4</v>
      </c>
      <c r="H15" t="str">
        <v>'Fillet Blade'!G4</v>
      </c>
    </row>
    <row r="16" spans="1:9" x14ac:dyDescent="0.25">
      <c r="A16" t="str">
        <v>'Ningguang'!J5</v>
      </c>
      <c r="C16" t="str">
        <v>'Harbinger of Dawn'!G5</v>
      </c>
      <c r="F16" t="str">
        <v>'Ningguang'!J4</v>
      </c>
      <c r="H16" t="str">
        <v>'Harbinger of Dawn'!G4</v>
      </c>
    </row>
    <row r="17" spans="1:8" x14ac:dyDescent="0.25">
      <c r="A17" t="str">
        <v>'Fischl'!J5</v>
      </c>
      <c r="C17" t="str">
        <v>'Skyrider Sword'!G5</v>
      </c>
      <c r="F17" t="str">
        <v>'Fischl'!J4</v>
      </c>
      <c r="H17" t="str">
        <v>'Skyrider Sword'!G4</v>
      </c>
    </row>
    <row r="18" spans="1:8" x14ac:dyDescent="0.25">
      <c r="A18" t="str">
        <v>'Sucrose'!J5</v>
      </c>
      <c r="C18" t="str">
        <v>'Traveler''s Handy Sword'!G5</v>
      </c>
      <c r="F18" t="str">
        <v>'Sucrose'!J4</v>
      </c>
      <c r="H18" t="str">
        <v>'Traveler''s Handy Sword'!G4</v>
      </c>
    </row>
    <row r="19" spans="1:8" x14ac:dyDescent="0.25">
      <c r="A19" t="str">
        <v>'Qiqi'!J5</v>
      </c>
      <c r="C19" t="str">
        <v>'Bloodtainted Greatsword'!G5</v>
      </c>
      <c r="F19" t="str">
        <v>'Qiqi'!J4</v>
      </c>
      <c r="H19" t="str">
        <v>'Bloodtainted Greatsword'!G4</v>
      </c>
    </row>
    <row r="20" spans="1:8" x14ac:dyDescent="0.25">
      <c r="A20" t="str">
        <v>'Mona'!J5</v>
      </c>
      <c r="C20" t="str">
        <v>'Debate Club'!G5</v>
      </c>
      <c r="F20" t="str">
        <v>'Mona'!J4</v>
      </c>
      <c r="H20" t="str">
        <v>'Debate Club'!G4</v>
      </c>
    </row>
    <row r="21" spans="1:8" x14ac:dyDescent="0.25">
      <c r="A21" t="str">
        <v>'Keqing'!J5</v>
      </c>
      <c r="C21" t="str">
        <v>'Ferrous Shadow'!G5</v>
      </c>
      <c r="F21" t="str">
        <v>'Keqing'!J4</v>
      </c>
      <c r="H21" t="str">
        <v>'Ferrous Shadow'!G4</v>
      </c>
    </row>
    <row r="22" spans="1:8" x14ac:dyDescent="0.25">
      <c r="A22" t="str">
        <v>'Venti'!J5</v>
      </c>
      <c r="C22" t="str">
        <v>'Skyrider Greatsword'!G5</v>
      </c>
      <c r="F22" t="str">
        <v>'Venti'!J4</v>
      </c>
      <c r="H22" t="str">
        <v>'Skyrider Greatsword'!G4</v>
      </c>
    </row>
    <row r="23" spans="1:8" x14ac:dyDescent="0.25">
      <c r="A23" t="str">
        <v>'Klee'!J5</v>
      </c>
      <c r="C23" t="str">
        <v>'White Iron Greatsword'!G5</v>
      </c>
      <c r="F23" t="str">
        <v>'Klee'!J4</v>
      </c>
      <c r="H23" t="str">
        <v>'White Iron Greatsword'!G4</v>
      </c>
    </row>
    <row r="24" spans="1:8" x14ac:dyDescent="0.25">
      <c r="A24" t="str">
        <v>'Diona'!J5</v>
      </c>
      <c r="C24" t="str">
        <v>'Black Tassel'!G5</v>
      </c>
      <c r="F24" t="str">
        <v>'Diona'!J4</v>
      </c>
      <c r="H24" t="str">
        <v>'Black Tassel'!G4</v>
      </c>
    </row>
    <row r="25" spans="1:8" x14ac:dyDescent="0.25">
      <c r="A25" t="str">
        <v>'Tartaglia'!J5</v>
      </c>
      <c r="C25" t="str">
        <v>'Halberd'!G5</v>
      </c>
      <c r="F25" t="str">
        <v>'Tartaglia'!J4</v>
      </c>
      <c r="H25" t="str">
        <v>'Halberd'!G4</v>
      </c>
    </row>
    <row r="26" spans="1:8" x14ac:dyDescent="0.25">
      <c r="A26" t="str">
        <v>'Xinyan'!J5</v>
      </c>
      <c r="C26" t="str">
        <v>'White Tassel'!G5</v>
      </c>
      <c r="F26" t="str">
        <v>'Xinyan'!J4</v>
      </c>
      <c r="H26" t="str">
        <v>'White Tassel'!G4</v>
      </c>
    </row>
    <row r="27" spans="1:8" x14ac:dyDescent="0.25">
      <c r="A27" t="str">
        <v>'Zhongli'!J5</v>
      </c>
      <c r="C27" t="str">
        <v>'Emerald Orb'!G5</v>
      </c>
      <c r="F27" t="str">
        <v>'Zhongli'!J4</v>
      </c>
      <c r="H27" t="str">
        <v>'Emerald Orb'!G4</v>
      </c>
    </row>
    <row r="28" spans="1:8" x14ac:dyDescent="0.25">
      <c r="A28" t="str">
        <v>'Albedo'!J5</v>
      </c>
      <c r="C28" t="str">
        <v>'Magic Guide'!G5</v>
      </c>
      <c r="F28" t="str">
        <v>'Albedo'!J4</v>
      </c>
      <c r="H28" t="str">
        <v>'Magic Guide'!G4</v>
      </c>
    </row>
    <row r="29" spans="1:8" x14ac:dyDescent="0.25">
      <c r="A29" t="str">
        <v>'Ganyu'!J5</v>
      </c>
      <c r="C29" t="str">
        <v>'Otherworldly Story'!G5</v>
      </c>
      <c r="F29" t="str">
        <v>'Ganyu'!J4</v>
      </c>
      <c r="H29" t="str">
        <v>'Otherworldly Story'!G4</v>
      </c>
    </row>
    <row r="30" spans="1:8" x14ac:dyDescent="0.25">
      <c r="A30" t="str">
        <v>'Xiao'!J5</v>
      </c>
      <c r="C30" t="str">
        <v>'TTDS'!G5</v>
      </c>
      <c r="F30" t="str">
        <v>'Xiao'!J4</v>
      </c>
      <c r="H30" t="str">
        <v>'TTDS'!G4</v>
      </c>
    </row>
    <row r="31" spans="1:8" x14ac:dyDescent="0.25">
      <c r="A31" t="str">
        <v>'Hutao'!J5</v>
      </c>
      <c r="C31" t="str">
        <v>'Twin Nephrite'!G5</v>
      </c>
      <c r="F31" t="str">
        <v>'Hutao'!J4</v>
      </c>
      <c r="H31" t="str">
        <v>'Twin Nephrite'!G4</v>
      </c>
    </row>
    <row r="32" spans="1:8" x14ac:dyDescent="0.25">
      <c r="A32" t="str">
        <v>'Rosaria'!J5</v>
      </c>
      <c r="C32" t="str">
        <v>'Messenger'!G5</v>
      </c>
      <c r="F32" t="str">
        <v>'Rosaria'!J4</v>
      </c>
      <c r="H32" t="str">
        <v>'Messenger'!G4</v>
      </c>
    </row>
    <row r="33" spans="1:8" x14ac:dyDescent="0.25">
      <c r="A33" t="str">
        <v>'Yanfei'!J5</v>
      </c>
      <c r="C33" t="str">
        <v>'Raven Bow'!G5</v>
      </c>
      <c r="F33" t="str">
        <v>'Yanfei'!J4</v>
      </c>
      <c r="H33" t="str">
        <v>'Raven Bow'!G4</v>
      </c>
    </row>
    <row r="34" spans="1:8" x14ac:dyDescent="0.25">
      <c r="A34" t="str">
        <v>'Eula'!J5</v>
      </c>
      <c r="C34" t="str">
        <v>'Recurve Bow'!G5</v>
      </c>
      <c r="F34" t="str">
        <v>'Eula'!J4</v>
      </c>
      <c r="H34" t="str">
        <v>'Recurve Bow'!G4</v>
      </c>
    </row>
    <row r="35" spans="1:8" x14ac:dyDescent="0.25">
      <c r="A35" t="str">
        <v>'Kaedehara Kazuha'!J5</v>
      </c>
      <c r="C35" t="str">
        <v>'Sharpshooter''s Oath'!G5</v>
      </c>
      <c r="F35" t="str">
        <v>'Kaedehara Kazuha'!J4</v>
      </c>
      <c r="H35" t="str">
        <v>'Sharpshooter''s Oath'!G4</v>
      </c>
    </row>
    <row r="36" spans="1:8" x14ac:dyDescent="0.25">
      <c r="A36" t="str">
        <v>'Kamisato Ayaka'!J5</v>
      </c>
      <c r="C36" t="str">
        <v>'Slingshot'!G5</v>
      </c>
      <c r="F36" t="str">
        <v>'Kamisato Ayaka'!J4</v>
      </c>
      <c r="H36" t="str">
        <v>'Slingshot'!G4</v>
      </c>
    </row>
    <row r="37" spans="1:8" x14ac:dyDescent="0.25">
      <c r="A37" t="str">
        <v>'Yoimiya'!J5</v>
      </c>
      <c r="C37" t="str">
        <v>'Royal Longsword'!G5</v>
      </c>
      <c r="F37" t="str">
        <v>'Yoimiya'!J4</v>
      </c>
      <c r="H37" t="str">
        <v>'Royal Longsword'!G4</v>
      </c>
    </row>
    <row r="38" spans="1:8" x14ac:dyDescent="0.25">
      <c r="A38" t="str">
        <v>'Sayu'!J5</v>
      </c>
      <c r="C38" t="str">
        <v>'Royal Greatsword'!G5</v>
      </c>
      <c r="F38" t="str">
        <v>'Sayu'!J4</v>
      </c>
      <c r="H38" t="str">
        <v>'Royal Greatsword'!G4</v>
      </c>
    </row>
    <row r="39" spans="1:8" x14ac:dyDescent="0.25">
      <c r="A39" t="str">
        <v>'Raiden Shogun'!J5</v>
      </c>
      <c r="C39" t="str">
        <v>'Royal Spear'!G5</v>
      </c>
      <c r="F39" t="str">
        <v>'Raiden Shogun'!J4</v>
      </c>
      <c r="H39" t="str">
        <v>'Royal Spear'!G4</v>
      </c>
    </row>
    <row r="40" spans="1:8" x14ac:dyDescent="0.25">
      <c r="A40" t="str">
        <v>'Kujou Sara'!J5</v>
      </c>
      <c r="C40" t="str">
        <v>'Royal Grimoire'!G5</v>
      </c>
      <c r="F40" t="str">
        <v>'Kujou Sara'!J4</v>
      </c>
      <c r="H40" t="str">
        <v>'Royal Grimoire'!G4</v>
      </c>
    </row>
    <row r="41" spans="1:8" x14ac:dyDescent="0.25">
      <c r="A41" t="str">
        <v>'Sangonomiya Kokomi'!J5</v>
      </c>
      <c r="C41" t="str">
        <v>'Royal Bow'!G5</v>
      </c>
      <c r="F41" t="str">
        <v>'Sangonomiya Kokomi'!J4</v>
      </c>
      <c r="H41" t="str">
        <v>'Royal Bow'!G4</v>
      </c>
    </row>
    <row r="42" spans="1:8" x14ac:dyDescent="0.25">
      <c r="A42" t="str">
        <v>'Aloy'!J5</v>
      </c>
      <c r="C42" t="str">
        <v>'Blackcliff Longsword'!G5</v>
      </c>
      <c r="F42" t="str">
        <v>'Aloy'!J4</v>
      </c>
      <c r="H42" t="str">
        <v>'Blackcliff Longsword'!G4</v>
      </c>
    </row>
    <row r="43" spans="1:8" x14ac:dyDescent="0.25">
      <c r="A43" t="str">
        <v>'Thoma'!J5</v>
      </c>
      <c r="C43" t="str">
        <v>'Blackcliff Slasher'!G5</v>
      </c>
      <c r="F43" t="str">
        <v>'Thoma'!J4</v>
      </c>
      <c r="H43" t="str">
        <v>'Blackcliff Slasher'!G4</v>
      </c>
    </row>
    <row r="44" spans="1:8" x14ac:dyDescent="0.25">
      <c r="A44" t="str">
        <v>'Arataki Itto'!J5</v>
      </c>
      <c r="C44" t="str">
        <v>'Blackcliff Pole'!G5</v>
      </c>
      <c r="F44" t="str">
        <v>'Arataki Itto'!J4</v>
      </c>
      <c r="H44" t="str">
        <v>'Blackcliff Pole'!G4</v>
      </c>
    </row>
    <row r="45" spans="1:8" x14ac:dyDescent="0.25">
      <c r="A45" t="str">
        <v>'Gorou'!J5</v>
      </c>
      <c r="C45" t="str">
        <v>'Blackcliff Agate'!G5</v>
      </c>
      <c r="F45" t="str">
        <v>'Gorou'!J4</v>
      </c>
      <c r="H45" t="str">
        <v>'Blackcliff Agate'!G4</v>
      </c>
    </row>
    <row r="46" spans="1:8" x14ac:dyDescent="0.25">
      <c r="A46" t="str">
        <v>'Shenhe'!J5</v>
      </c>
      <c r="C46" t="str">
        <v>'Blackcliff Warbow'!G5</v>
      </c>
      <c r="F46" t="str">
        <v>'Shenhe'!J4</v>
      </c>
      <c r="H46" t="str">
        <v>'Blackcliff Warbow'!G4</v>
      </c>
    </row>
    <row r="47" spans="1:8" x14ac:dyDescent="0.25">
      <c r="A47" t="str">
        <v>'Yunjin'!J5</v>
      </c>
      <c r="C47" t="str">
        <v>'The Black Sword'!G5</v>
      </c>
      <c r="F47" t="str">
        <v>'Yunjin'!J4</v>
      </c>
      <c r="H47" t="str">
        <v>'The Black Sword'!G4</v>
      </c>
    </row>
    <row r="48" spans="1:8" x14ac:dyDescent="0.25">
      <c r="A48" t="str">
        <v>'Yae Miko'!J5</v>
      </c>
      <c r="C48" t="str">
        <v>'Serpent Spine'!G5</v>
      </c>
      <c r="F48" t="str">
        <v>'Yae Miko'!J4</v>
      </c>
      <c r="H48" t="str">
        <v>'Serpent Spine'!G4</v>
      </c>
    </row>
    <row r="49" spans="1:8" x14ac:dyDescent="0.25">
      <c r="A49" t="str">
        <v>'Kamisato Ayato'!J5</v>
      </c>
      <c r="C49" t="str">
        <v>'Deathmatch'!G5</v>
      </c>
      <c r="F49" t="str">
        <v>'Kamisato Ayato'!J4</v>
      </c>
      <c r="H49" t="str">
        <v>'Deathmatch'!G4</v>
      </c>
    </row>
    <row r="50" spans="1:8" x14ac:dyDescent="0.25">
      <c r="A50" t="str">
        <v>'Yelan'!J5</v>
      </c>
      <c r="C50" t="str">
        <v>'Solar Pearl'!G5</v>
      </c>
      <c r="F50" t="str">
        <v>'Yelan'!J4</v>
      </c>
      <c r="H50" t="str">
        <v>'Solar Pearl'!G4</v>
      </c>
    </row>
    <row r="51" spans="1:8" x14ac:dyDescent="0.25">
      <c r="A51" t="str">
        <v>'Kuki Shinobu'!J5</v>
      </c>
      <c r="C51" t="str">
        <v>'The Veridescent Hunt'!G5</v>
      </c>
      <c r="F51" t="str">
        <v>'Kuki Shinobu'!J4</v>
      </c>
      <c r="H51" t="str">
        <v>'The Veridescent Hunt'!G4</v>
      </c>
    </row>
    <row r="52" spans="1:8" x14ac:dyDescent="0.25">
      <c r="A52" t="str">
        <v>'Shikanoin Heizou'!J5</v>
      </c>
      <c r="C52" t="str">
        <v>'Prototype Rancour'!G5</v>
      </c>
      <c r="F52" t="str">
        <v>'Shikanoin Heizou'!J4</v>
      </c>
      <c r="H52" t="str">
        <v>'Prototype Rancour'!G4</v>
      </c>
    </row>
    <row r="53" spans="1:8" x14ac:dyDescent="0.25">
      <c r="A53" t="str">
        <v>'Tighnari'!J5</v>
      </c>
      <c r="C53" t="str">
        <v>'Prototype Archaic'!G5</v>
      </c>
      <c r="F53" t="str">
        <v>'Tighnari'!J4</v>
      </c>
      <c r="H53" t="str">
        <v>'Prototype Archaic'!G4</v>
      </c>
    </row>
    <row r="54" spans="1:8" x14ac:dyDescent="0.25">
      <c r="A54" t="str">
        <v>'Collei'!J5</v>
      </c>
      <c r="C54" t="str">
        <v>'Prototype Starglitter'!G5</v>
      </c>
      <c r="F54" t="str">
        <v>'Collei'!J4</v>
      </c>
      <c r="H54" t="str">
        <v>'Prototype Starglitter'!G4</v>
      </c>
    </row>
    <row r="55" spans="1:8" x14ac:dyDescent="0.25">
      <c r="A55" t="str">
        <v>'Dori'!J5</v>
      </c>
      <c r="C55" t="str">
        <v>'Prototype Amber'!G5</v>
      </c>
      <c r="F55" t="str">
        <v>'Dori'!J4</v>
      </c>
      <c r="H55" t="str">
        <v>'Prototype Amber'!G4</v>
      </c>
    </row>
    <row r="56" spans="1:8" x14ac:dyDescent="0.25">
      <c r="A56" t="str">
        <v>'Cyno'!J5</v>
      </c>
      <c r="C56" t="str">
        <v>'Prototype Crescent'!G5</v>
      </c>
      <c r="F56" t="str">
        <v>'Cyno'!J4</v>
      </c>
      <c r="H56" t="str">
        <v>'Prototype Crescent'!G4</v>
      </c>
    </row>
    <row r="57" spans="1:8" x14ac:dyDescent="0.25">
      <c r="A57" t="str">
        <v>'Candace'!J5</v>
      </c>
      <c r="C57" t="str">
        <v>'Iron Sting'!G5</v>
      </c>
      <c r="F57" t="str">
        <v>'Candace'!J4</v>
      </c>
      <c r="H57" t="str">
        <v>'Iron Sting'!G4</v>
      </c>
    </row>
    <row r="58" spans="1:8" x14ac:dyDescent="0.25">
      <c r="A58" t="str">
        <v>'Nilou'!J5</v>
      </c>
      <c r="C58" t="str">
        <v>'Whiteblind'!G5</v>
      </c>
      <c r="F58" t="str">
        <v>'Nilou'!J4</v>
      </c>
      <c r="H58" t="str">
        <v>'Whiteblind'!G4</v>
      </c>
    </row>
    <row r="59" spans="1:8" x14ac:dyDescent="0.25">
      <c r="A59" t="str">
        <v>'Nahida'!J5</v>
      </c>
      <c r="C59" t="str">
        <v>'Crescent Pike'!G5</v>
      </c>
      <c r="F59" t="str">
        <v>'Nahida'!J4</v>
      </c>
      <c r="H59" t="str">
        <v>'Crescent Pike'!G4</v>
      </c>
    </row>
    <row r="60" spans="1:8" x14ac:dyDescent="0.25">
      <c r="A60" t="str">
        <v>'Layla'!J5</v>
      </c>
      <c r="C60" t="str">
        <v>'Mappa Mare'!G5</v>
      </c>
      <c r="F60" t="str">
        <v>'Layla'!J4</v>
      </c>
      <c r="H60" t="str">
        <v>'Mappa Mare'!G4</v>
      </c>
    </row>
    <row r="61" spans="1:8" x14ac:dyDescent="0.25">
      <c r="A61" t="str">
        <v>'Wanderer'!J5</v>
      </c>
      <c r="C61" t="str">
        <v>'Compound Bow'!G5</v>
      </c>
      <c r="F61" t="str">
        <v>'Wanderer'!J4</v>
      </c>
      <c r="H61" t="str">
        <v>'Compound Bow'!G4</v>
      </c>
    </row>
    <row r="62" spans="1:8" x14ac:dyDescent="0.25">
      <c r="A62" t="str">
        <v>'Faruzan'!J5</v>
      </c>
      <c r="C62" t="str">
        <v>'Favonius Sword'!G5</v>
      </c>
      <c r="F62" t="str">
        <v>'Faruzan'!J4</v>
      </c>
      <c r="H62" t="str">
        <v>'Favonius Sword'!G4</v>
      </c>
    </row>
    <row r="63" spans="1:8" x14ac:dyDescent="0.25">
      <c r="A63" t="str">
        <v>'Alhaitham'!J5</v>
      </c>
      <c r="C63" t="str">
        <v>'Lion''s Roar'!G5</v>
      </c>
      <c r="F63" t="str">
        <v>'Alhaitham'!J4</v>
      </c>
      <c r="H63" t="str">
        <v>'Lion''s Roar'!G4</v>
      </c>
    </row>
    <row r="64" spans="1:8" x14ac:dyDescent="0.25">
      <c r="A64" t="str">
        <v>'Yaoyao'!J5</v>
      </c>
      <c r="C64" t="str">
        <v>'Sacrificial Sword'!G5</v>
      </c>
      <c r="F64" t="str">
        <v>'Yaoyao'!J4</v>
      </c>
      <c r="H64" t="str">
        <v>'Sacrificial Sword'!G4</v>
      </c>
    </row>
    <row r="65" spans="1:8" x14ac:dyDescent="0.25">
      <c r="A65" t="str">
        <v>'Dehya'!J5</v>
      </c>
      <c r="C65" t="str">
        <v>'The Flute'!G5</v>
      </c>
      <c r="F65" t="str">
        <v>'Dehya'!J4</v>
      </c>
      <c r="H65" t="str">
        <v>'The Flute'!G4</v>
      </c>
    </row>
    <row r="66" spans="1:8" x14ac:dyDescent="0.25">
      <c r="A66" t="str">
        <v>'Mika'!J5</v>
      </c>
      <c r="C66" t="str">
        <v>'Favonius Greatsword'!G5</v>
      </c>
      <c r="F66" t="str">
        <v>'Mika'!J4</v>
      </c>
      <c r="H66" t="str">
        <v>'Favonius Greatsword'!G4</v>
      </c>
    </row>
    <row r="67" spans="1:8" x14ac:dyDescent="0.25">
      <c r="A67" t="str">
        <v>'Baizhu'!J5</v>
      </c>
      <c r="C67" t="str">
        <v>'Rainslasher'!G5</v>
      </c>
      <c r="F67" t="str">
        <v>'Baizhu'!J4</v>
      </c>
      <c r="H67" t="str">
        <v>'Rainslasher'!G4</v>
      </c>
    </row>
    <row r="68" spans="1:8" x14ac:dyDescent="0.25">
      <c r="A68" t="str">
        <v>'Kaveh'!J5</v>
      </c>
      <c r="C68" t="str">
        <v>'Sacrificial Greatsword'!G5</v>
      </c>
      <c r="F68" t="str">
        <v>'Kaveh'!J4</v>
      </c>
      <c r="H68" t="str">
        <v>'Sacrificial Greatsword'!G4</v>
      </c>
    </row>
    <row r="69" spans="1:8" x14ac:dyDescent="0.25">
      <c r="A69" t="str">
        <v>'Kirara'!J5</v>
      </c>
      <c r="C69" t="str">
        <v>'The Bell'!G5</v>
      </c>
      <c r="F69" t="str">
        <v>'Kirara'!J4</v>
      </c>
      <c r="H69" t="str">
        <v>'The Bell'!G4</v>
      </c>
    </row>
    <row r="70" spans="1:8" x14ac:dyDescent="0.25">
      <c r="A70" t="str">
        <v>'Lyney'!J5</v>
      </c>
      <c r="C70" t="str">
        <v>'Dragon''s Bane'!G5</v>
      </c>
      <c r="F70" t="str">
        <v>'Lyney'!J4</v>
      </c>
      <c r="H70" t="str">
        <v>'Dragon''s Bane'!G4</v>
      </c>
    </row>
    <row r="71" spans="1:8" x14ac:dyDescent="0.25">
      <c r="A71" t="str">
        <v>'Lynette'!J5</v>
      </c>
      <c r="C71" t="str">
        <v>'Favonius Lance'!G5</v>
      </c>
      <c r="F71" t="str">
        <v>'Lynette'!J4</v>
      </c>
      <c r="H71" t="str">
        <v>'Favonius Lance'!G4</v>
      </c>
    </row>
    <row r="72" spans="1:8" x14ac:dyDescent="0.25">
      <c r="A72" t="str">
        <v>'Freminet'!J5</v>
      </c>
      <c r="C72" t="str">
        <v>'Eye of Perception'!G5</v>
      </c>
      <c r="F72" t="str">
        <v>'Freminet'!J4</v>
      </c>
      <c r="H72" t="str">
        <v>'Eye of Perception'!G4</v>
      </c>
    </row>
    <row r="73" spans="1:8" x14ac:dyDescent="0.25">
      <c r="A73" t="str">
        <v>'Neuvillette'!J5</v>
      </c>
      <c r="C73" t="str">
        <v>'Favonius Codex'!G5</v>
      </c>
      <c r="F73" t="str">
        <v>'Neuvillette'!J4</v>
      </c>
      <c r="H73" t="str">
        <v>'Favonius Codex'!G4</v>
      </c>
    </row>
    <row r="74" spans="1:8" x14ac:dyDescent="0.25">
      <c r="A74" t="str">
        <v>'Wriothesley'!J5</v>
      </c>
      <c r="C74" t="str">
        <v>'Sacrificial Fragments'!G5</v>
      </c>
      <c r="F74" t="str">
        <v>'Wriothesley'!J4</v>
      </c>
      <c r="H74" t="str">
        <v>'Sacrificial Fragments'!G4</v>
      </c>
    </row>
    <row r="75" spans="1:8" x14ac:dyDescent="0.25">
      <c r="A75" t="str">
        <v>'Furina'!J5</v>
      </c>
      <c r="C75" t="str">
        <v>'The Widsith'!G5</v>
      </c>
      <c r="F75" t="str">
        <v>'Furina'!J4</v>
      </c>
      <c r="H75" t="str">
        <v>'The Widsith'!G4</v>
      </c>
    </row>
    <row r="76" spans="1:8" x14ac:dyDescent="0.25">
      <c r="A76" t="str">
        <v>'Charlotte'!J5</v>
      </c>
      <c r="C76" t="str">
        <v>'Favonius Warbow'!G5</v>
      </c>
      <c r="F76" t="str">
        <v>'Charlotte'!J4</v>
      </c>
      <c r="H76" t="str">
        <v>'Favonius Warbow'!G4</v>
      </c>
    </row>
    <row r="77" spans="1:8" x14ac:dyDescent="0.25">
      <c r="A77" t="str">
        <v>'Navia'!J5</v>
      </c>
      <c r="C77" t="str">
        <v>'Rust'!G5</v>
      </c>
      <c r="F77" t="str">
        <v>'Navia'!J4</v>
      </c>
      <c r="H77" t="str">
        <v>'Rust'!G4</v>
      </c>
    </row>
    <row r="78" spans="1:8" x14ac:dyDescent="0.25">
      <c r="A78" t="str">
        <v>'Chevreuse'!J5</v>
      </c>
      <c r="C78" t="str">
        <v>'Sacrificial Bow'!G5</v>
      </c>
      <c r="F78" t="str">
        <v>'Chevreuse'!J4</v>
      </c>
      <c r="H78" t="str">
        <v>'Sacrificial Bow'!G4</v>
      </c>
    </row>
    <row r="79" spans="1:8" x14ac:dyDescent="0.25">
      <c r="A79" t="str">
        <v>'Xianyun'!J5</v>
      </c>
      <c r="C79" t="str">
        <v>'The Stringless'!G5</v>
      </c>
      <c r="F79" t="str">
        <v>'Xianyun'!J4</v>
      </c>
      <c r="H79" t="str">
        <v>'The Stringless'!G4</v>
      </c>
    </row>
    <row r="80" spans="1:8" x14ac:dyDescent="0.25">
      <c r="A80" t="str">
        <v>'Gaming'!J5</v>
      </c>
      <c r="C80" t="str">
        <v>'Aquila Favonia'!G5</v>
      </c>
      <c r="F80" t="str">
        <v>'Gaming'!J4</v>
      </c>
      <c r="H80" t="str">
        <v>'Aquila Favonia'!G4</v>
      </c>
    </row>
    <row r="81" spans="1:8" x14ac:dyDescent="0.25">
      <c r="A81" t="str">
        <v>'Chiori'!J5</v>
      </c>
      <c r="C81" t="str">
        <v>'Skyward Blade'!G5</v>
      </c>
      <c r="F81" t="str">
        <v>'Chiori'!J4</v>
      </c>
      <c r="H81" t="str">
        <v>'Skyward Blade'!G4</v>
      </c>
    </row>
    <row r="82" spans="1:8" x14ac:dyDescent="0.25">
      <c r="A82" t="str">
        <v>'Arlecchino'!J5</v>
      </c>
      <c r="C82" t="str">
        <v>'Skyward Pride'!G5</v>
      </c>
      <c r="F82" t="str">
        <v>'Arlecchino'!J4</v>
      </c>
      <c r="H82" t="str">
        <v>'Skyward Pride'!G4</v>
      </c>
    </row>
    <row r="83" spans="1:8" x14ac:dyDescent="0.25">
      <c r="A83" t="str">
        <v>'Clorinde'!J5</v>
      </c>
      <c r="C83" t="str">
        <v>'Wolf''s Gravestone'!G5</v>
      </c>
      <c r="F83" t="str">
        <v>'Clorinde'!J4</v>
      </c>
      <c r="H83" t="str">
        <v>'Wolf''s Gravestone'!G4</v>
      </c>
    </row>
    <row r="84" spans="1:8" x14ac:dyDescent="0.25">
      <c r="A84" t="str">
        <v>'Sethos'!J5</v>
      </c>
      <c r="C84" t="str">
        <v>'Primordial Jade Winged-Spear'!G5</v>
      </c>
      <c r="F84" t="str">
        <v>'Sethos'!J4</v>
      </c>
      <c r="H84" t="str">
        <v>'Primordial Jade Winged-Spear'!G4</v>
      </c>
    </row>
    <row r="85" spans="1:8" x14ac:dyDescent="0.25">
      <c r="A85" t="str">
        <v>'Sigewinne'!J5</v>
      </c>
      <c r="C85" t="str">
        <v>'Skyward Spine'!G5</v>
      </c>
      <c r="F85" t="str">
        <v>'Sigewinne'!J4</v>
      </c>
      <c r="H85" t="str">
        <v>'Skyward Spine'!G4</v>
      </c>
    </row>
    <row r="86" spans="1:8" x14ac:dyDescent="0.25">
      <c r="A86" t="str">
        <v>'Emilie'!J5</v>
      </c>
      <c r="C86" t="str">
        <v>'Lost Prayer to the Sacred Winds'!G5</v>
      </c>
      <c r="F86" t="str">
        <v>'Emilie'!J4</v>
      </c>
      <c r="H86" t="str">
        <v>'Lost Prayer to the Sacred Winds'!G4</v>
      </c>
    </row>
    <row r="87" spans="1:8" x14ac:dyDescent="0.25">
      <c r="A87" t="str">
        <v>'Mualani'!J5</v>
      </c>
      <c r="C87" t="str">
        <v>'Skyward Atlas'!G5</v>
      </c>
      <c r="F87" t="str">
        <v>'Mualani'!J4</v>
      </c>
      <c r="H87" t="str">
        <v>'Skyward Atlas'!G4</v>
      </c>
    </row>
    <row r="88" spans="1:8" x14ac:dyDescent="0.25">
      <c r="A88" t="str">
        <v>'Kachina'!J5</v>
      </c>
      <c r="C88" t="str">
        <v>'Amos'' Bow'!G5</v>
      </c>
      <c r="F88" t="str">
        <v>'Kachina'!J4</v>
      </c>
      <c r="H88" t="str">
        <v>'Amos'' Bow'!G4</v>
      </c>
    </row>
    <row r="89" spans="1:8" x14ac:dyDescent="0.25">
      <c r="A89" t="str">
        <v>'Kinich'!J5</v>
      </c>
      <c r="C89" t="str">
        <v>'Skyward Harp'!G5</v>
      </c>
      <c r="F89" t="str">
        <v>'Kinich'!J4</v>
      </c>
      <c r="H89" t="str">
        <v>'Skyward Harp'!G4</v>
      </c>
    </row>
    <row r="90" spans="1:8" x14ac:dyDescent="0.25">
      <c r="A90" t="str">
        <v>'Xilonen'!J5</v>
      </c>
      <c r="C90" t="str">
        <v>'Festering Desire'!G5</v>
      </c>
      <c r="F90" t="str">
        <v>'Xilonen'!J4</v>
      </c>
      <c r="H90" t="str">
        <v>'Festering Desire'!G4</v>
      </c>
    </row>
    <row r="91" spans="1:8" x14ac:dyDescent="0.25">
      <c r="A91" t="str">
        <v>'Chasca'!J5</v>
      </c>
      <c r="C91" t="str">
        <v>'Memory of Dust'!G5</v>
      </c>
      <c r="F91" t="str">
        <v>'Chasca'!J4</v>
      </c>
      <c r="H91" t="str">
        <v>'Memory of Dust'!G4</v>
      </c>
    </row>
    <row r="92" spans="1:8" x14ac:dyDescent="0.25">
      <c r="A92" t="str">
        <v>'Ororon'!J5</v>
      </c>
      <c r="C92" t="str">
        <v>'The Unforged'!G5</v>
      </c>
      <c r="F92" t="str">
        <v>'Ororon'!J4</v>
      </c>
      <c r="H92" t="str">
        <v>'The Unforged'!G4</v>
      </c>
    </row>
    <row r="93" spans="1:8" x14ac:dyDescent="0.25">
      <c r="A93" t="str">
        <v>'Mavuika'!J5</v>
      </c>
      <c r="C93" t="str">
        <v>'Vortex Vanquisher'!G5</v>
      </c>
      <c r="F93" t="str">
        <v>'Mavuika'!J4</v>
      </c>
      <c r="H93" t="str">
        <v>'Vortex Vanquisher'!G4</v>
      </c>
    </row>
    <row r="94" spans="1:8" x14ac:dyDescent="0.25">
      <c r="A94" t="str">
        <v>'Citlali'!J5</v>
      </c>
      <c r="C94" t="str">
        <v>'Snow-Tombed Starsilver'!G5</v>
      </c>
      <c r="F94" t="str">
        <v>'Citlali'!J4</v>
      </c>
      <c r="H94" t="str">
        <v>'Snow-Tombed Starsilver'!G4</v>
      </c>
    </row>
    <row r="95" spans="1:8" x14ac:dyDescent="0.25">
      <c r="A95" t="str">
        <v>'Lan Yan'!J5</v>
      </c>
      <c r="C95" t="str">
        <v>'Dragonspine Spear'!G5</v>
      </c>
      <c r="F95" t="str">
        <v>'Lan Yan'!J4</v>
      </c>
      <c r="H95" t="str">
        <v>'Dragonspine Spear'!G4</v>
      </c>
    </row>
    <row r="96" spans="1:8" x14ac:dyDescent="0.25">
      <c r="A96" t="str">
        <v>'Yumemizuki Mizuki'!J5</v>
      </c>
      <c r="C96" t="str">
        <v>'Frostbearer'!G5</v>
      </c>
      <c r="F96" t="str">
        <v>'Yumemizuki Mizuki'!J4</v>
      </c>
      <c r="H96" t="str">
        <v>'Frostbearer'!G4</v>
      </c>
    </row>
    <row r="97" spans="1:8" x14ac:dyDescent="0.25">
      <c r="A97" t="str">
        <v>'Varesa'!J5</v>
      </c>
      <c r="C97" t="str">
        <v>'Summit Shaper'!G5</v>
      </c>
      <c r="F97" t="str">
        <v>'Varesa'!J4</v>
      </c>
      <c r="H97" t="str">
        <v>'Summit Shaper'!G4</v>
      </c>
    </row>
    <row r="98" spans="1:8" x14ac:dyDescent="0.25">
      <c r="A98" t="str">
        <v>'Iansan'!J5</v>
      </c>
      <c r="C98" t="str">
        <v>'Windblume Ode'!G5</v>
      </c>
      <c r="F98" t="str">
        <v>'Iansan'!J4</v>
      </c>
      <c r="H98" t="str">
        <v>'Windblume Ode'!G4</v>
      </c>
    </row>
    <row r="99" spans="1:8" x14ac:dyDescent="0.25">
      <c r="A99" t="str">
        <v>'Escoffier'!J5</v>
      </c>
      <c r="C99" t="str">
        <v>'Primordial Jade Cutter'!G5</v>
      </c>
      <c r="F99" t="str">
        <v>'Escoffier'!J4</v>
      </c>
      <c r="H99" t="str">
        <v>'Primordial Jade Cutter'!G4</v>
      </c>
    </row>
    <row r="100" spans="1:8" x14ac:dyDescent="0.25">
      <c r="A100" t="str">
        <v>'Ifa'!J5</v>
      </c>
      <c r="C100" t="str">
        <v>'Lithic Blade'!G5</v>
      </c>
      <c r="F100" t="str">
        <v>'Ifa'!J4</v>
      </c>
      <c r="H100" t="str">
        <v>'Lithic Blade'!G4</v>
      </c>
    </row>
    <row r="101" spans="1:8" x14ac:dyDescent="0.25">
      <c r="A101" t="str">
        <v>'Skirk'!J5</v>
      </c>
      <c r="C101" t="str">
        <v>'Lithic Spear'!G5</v>
      </c>
      <c r="F101" t="str">
        <v>'Skirk'!J4</v>
      </c>
      <c r="H101" t="str">
        <v>'Lithic Spear'!G4</v>
      </c>
    </row>
    <row r="102" spans="1:8" x14ac:dyDescent="0.25">
      <c r="A102" t="str">
        <v>'Dahlia'!J5</v>
      </c>
      <c r="C102" t="str">
        <v>'Staff of Homa'!G5</v>
      </c>
      <c r="F102" t="str">
        <v>'Dahlia'!J4</v>
      </c>
      <c r="H102" t="str">
        <v>'Staff of Homa'!G4</v>
      </c>
    </row>
    <row r="103" spans="1:8" x14ac:dyDescent="0.25">
      <c r="A103" t="str">
        <v>'Ineffa'!J5</v>
      </c>
      <c r="C103" t="str">
        <v>'The Alley Flash'!G5</v>
      </c>
      <c r="F103" t="str">
        <v>'Ineffa'!J4</v>
      </c>
      <c r="H103" t="str">
        <v>'The Alley Flash'!G4</v>
      </c>
    </row>
    <row r="104" spans="1:8" x14ac:dyDescent="0.25">
      <c r="A104" t="str">
        <v>'Lauma'!J5</v>
      </c>
      <c r="C104" t="str">
        <v>'Wine and Song'!G5</v>
      </c>
      <c r="F104" t="str">
        <v>'Lauma'!J4</v>
      </c>
      <c r="H104" t="str">
        <v>'Wine and Song'!G4</v>
      </c>
    </row>
    <row r="105" spans="1:8" x14ac:dyDescent="0.25">
      <c r="A105" t="str">
        <v>'Flins'!J5</v>
      </c>
      <c r="C105" t="str">
        <v>'Elegy for the End'!G5</v>
      </c>
      <c r="F105" t="str">
        <v>'Flins'!J4</v>
      </c>
      <c r="H105" t="str">
        <v>'Elegy for the End'!G4</v>
      </c>
    </row>
    <row r="106" spans="1:8" x14ac:dyDescent="0.25">
      <c r="A106" t="str">
        <v>'Aino'!J5</v>
      </c>
      <c r="C106" t="str">
        <v>'Alley Hunter'!G5</v>
      </c>
      <c r="F106" t="str">
        <v>'Aino'!J4</v>
      </c>
      <c r="H106" t="str">
        <v>'Alley Hunter'!G4</v>
      </c>
    </row>
    <row r="107" spans="1:8" x14ac:dyDescent="0.25">
      <c r="C107" t="str">
        <v>'Song of Broken Pines'!G5</v>
      </c>
      <c r="H107" t="str">
        <v>'Song of Broken Pines'!G4</v>
      </c>
    </row>
    <row r="108" spans="1:8" x14ac:dyDescent="0.25">
      <c r="C108" t="str">
        <v>'Dodoco Tales'!G5</v>
      </c>
      <c r="H108" t="str">
        <v>'Dodoco Tales'!G4</v>
      </c>
    </row>
    <row r="109" spans="1:8" x14ac:dyDescent="0.25">
      <c r="C109" t="str">
        <v>'Mitternachts Waltz'!G5</v>
      </c>
      <c r="H109" t="str">
        <v>'Mitternachts Waltz'!G4</v>
      </c>
    </row>
    <row r="110" spans="1:8" x14ac:dyDescent="0.25">
      <c r="C110" t="str">
        <v>'Freedom-Sworn'!G5</v>
      </c>
      <c r="H110" t="str">
        <v>'Freedom-Sworn'!G4</v>
      </c>
    </row>
    <row r="111" spans="1:8" x14ac:dyDescent="0.25">
      <c r="C111" t="str">
        <v>'Amenoma Kageuchi'!G5</v>
      </c>
      <c r="H111" t="str">
        <v>'Amenoma Kageuchi'!G4</v>
      </c>
    </row>
    <row r="112" spans="1:8" x14ac:dyDescent="0.25">
      <c r="C112" t="str">
        <v>'Katsuragikiri Nagamasa'!G5</v>
      </c>
      <c r="H112" t="str">
        <v>'Katsuragikiri Nagamasa'!G4</v>
      </c>
    </row>
    <row r="113" spans="3:8" x14ac:dyDescent="0.25">
      <c r="C113" t="str">
        <v>'Kitain Cross Spear'!G5</v>
      </c>
      <c r="H113" t="str">
        <v>'Kitain Cross Spear'!G4</v>
      </c>
    </row>
    <row r="114" spans="3:8" x14ac:dyDescent="0.25">
      <c r="C114" t="str">
        <v>'Hakushin Ring'!G5</v>
      </c>
      <c r="H114" t="str">
        <v>'Hakushin Ring'!G4</v>
      </c>
    </row>
    <row r="115" spans="3:8" x14ac:dyDescent="0.25">
      <c r="C115" t="str">
        <v>'Hamayumi'!G5</v>
      </c>
      <c r="H115" t="str">
        <v>'Hamayumi'!G4</v>
      </c>
    </row>
    <row r="116" spans="3:8" x14ac:dyDescent="0.25">
      <c r="C116" t="str">
        <v>'Mistsplitter Reforged'!G5</v>
      </c>
      <c r="H116" t="str">
        <v>'Mistsplitter Reforged'!G4</v>
      </c>
    </row>
    <row r="117" spans="3:8" x14ac:dyDescent="0.25">
      <c r="C117" t="str">
        <v>'Thundering Pulse'!G5</v>
      </c>
      <c r="H117" t="str">
        <v>'Thundering Pulse'!G4</v>
      </c>
    </row>
    <row r="118" spans="3:8" x14ac:dyDescent="0.25">
      <c r="C118" t="str">
        <v>'"The Catch"'!G5</v>
      </c>
      <c r="H118" t="str">
        <v>'"The Catch"'!G4</v>
      </c>
    </row>
    <row r="119" spans="3:8" x14ac:dyDescent="0.25">
      <c r="C119" t="str">
        <v>'Luxurious Sea-Lord'!G5</v>
      </c>
      <c r="H119" t="str">
        <v>'Luxurious Sea-Lord'!G4</v>
      </c>
    </row>
    <row r="120" spans="3:8" x14ac:dyDescent="0.25">
      <c r="C120" t="str">
        <v>'Engulfing Lightning'!G5</v>
      </c>
      <c r="H120" t="str">
        <v>'Engulfing Lightning'!G4</v>
      </c>
    </row>
    <row r="121" spans="3:8" x14ac:dyDescent="0.25">
      <c r="C121" t="str">
        <v>'Everlasting Moonglow'!G5</v>
      </c>
      <c r="H121" t="str">
        <v>'Everlasting Moonglow'!G4</v>
      </c>
    </row>
    <row r="122" spans="3:8" x14ac:dyDescent="0.25">
      <c r="C122" t="str">
        <v>'Akuoumaru'!G5</v>
      </c>
      <c r="H122" t="str">
        <v>'Akuoumaru'!G4</v>
      </c>
    </row>
    <row r="123" spans="3:8" x14ac:dyDescent="0.25">
      <c r="C123" t="str">
        <v>'Polar Star'!G5</v>
      </c>
      <c r="H123" t="str">
        <v>'Polar Star'!G4</v>
      </c>
    </row>
    <row r="124" spans="3:8" x14ac:dyDescent="0.25">
      <c r="C124" t="str">
        <v>'Mouun''s Moon'!G5</v>
      </c>
      <c r="H124" t="str">
        <v>'Mouun''s Moon'!G4</v>
      </c>
    </row>
    <row r="125" spans="3:8" x14ac:dyDescent="0.25">
      <c r="C125" t="str">
        <v>'Wavebreaker''s Fin'!G5</v>
      </c>
      <c r="H125" t="str">
        <v>'Wavebreaker''s Fin'!G4</v>
      </c>
    </row>
    <row r="126" spans="3:8" x14ac:dyDescent="0.25">
      <c r="C126" t="str">
        <v>'Redhorn Stonethresher'!G5</v>
      </c>
      <c r="H126" t="str">
        <v>'Redhorn Stonethresher'!G4</v>
      </c>
    </row>
    <row r="127" spans="3:8" x14ac:dyDescent="0.25">
      <c r="C127" t="str">
        <v>'Cinnabar Spindle'!G5</v>
      </c>
      <c r="H127" t="str">
        <v>'Cinnabar Spindle'!G4</v>
      </c>
    </row>
    <row r="128" spans="3:8" x14ac:dyDescent="0.25">
      <c r="C128" t="str">
        <v>'Calamity Queller'!G5</v>
      </c>
      <c r="H128" t="str">
        <v>'Calamity Queller'!G4</v>
      </c>
    </row>
    <row r="129" spans="3:8" x14ac:dyDescent="0.25">
      <c r="C129" t="str">
        <v>'Kagura''s Verity'!G5</v>
      </c>
      <c r="H129" t="str">
        <v>'Kagura''s Verity'!G4</v>
      </c>
    </row>
    <row r="130" spans="3:8" x14ac:dyDescent="0.25">
      <c r="C130" t="str">
        <v>'Oathsworn Eye'!G5</v>
      </c>
      <c r="H130" t="str">
        <v>'Oathsworn Eye'!G4</v>
      </c>
    </row>
    <row r="131" spans="3:8" x14ac:dyDescent="0.25">
      <c r="C131" t="str">
        <v>'Haran Geppaku Futsu'!G5</v>
      </c>
      <c r="H131" t="str">
        <v>'Haran Geppaku Futsu'!G4</v>
      </c>
    </row>
    <row r="132" spans="3:8" x14ac:dyDescent="0.25">
      <c r="C132" t="str">
        <v>'Aqua Simulacra'!G5</v>
      </c>
      <c r="H132" t="str">
        <v>'Aqua Simulacra'!G4</v>
      </c>
    </row>
    <row r="133" spans="3:8" x14ac:dyDescent="0.25">
      <c r="C133" t="str">
        <v>'Fading Twilight'!G5</v>
      </c>
      <c r="H133" t="str">
        <v>'Fading Twilight'!G4</v>
      </c>
    </row>
    <row r="134" spans="3:8" x14ac:dyDescent="0.25">
      <c r="C134" t="str">
        <v>'Kagotsurube Isshin'!G5</v>
      </c>
      <c r="H134" t="str">
        <v>'Kagotsurube Isshin'!G4</v>
      </c>
    </row>
    <row r="135" spans="3:8" x14ac:dyDescent="0.25">
      <c r="C135" t="str">
        <v>'Sapwood Blade'!G5</v>
      </c>
      <c r="H135" t="str">
        <v>'Sapwood Blade'!G4</v>
      </c>
    </row>
    <row r="136" spans="3:8" x14ac:dyDescent="0.25">
      <c r="C136" t="str">
        <v>'Forest Regalia'!G5</v>
      </c>
      <c r="H136" t="str">
        <v>'Forest Regalia'!G4</v>
      </c>
    </row>
    <row r="137" spans="3:8" x14ac:dyDescent="0.25">
      <c r="C137" t="str">
        <v>'Moonpiercer'!G5</v>
      </c>
      <c r="H137" t="str">
        <v>'Moonpiercer'!G4</v>
      </c>
    </row>
    <row r="138" spans="3:8" x14ac:dyDescent="0.25">
      <c r="C138" t="str">
        <v>'Fruit of Fulfillment'!G5</v>
      </c>
      <c r="H138" t="str">
        <v>'Fruit of Fulfillment'!G4</v>
      </c>
    </row>
    <row r="139" spans="3:8" x14ac:dyDescent="0.25">
      <c r="C139" t="str">
        <v>'King''s Squire'!G5</v>
      </c>
      <c r="H139" t="str">
        <v>'King''s Squire'!G4</v>
      </c>
    </row>
    <row r="140" spans="3:8" x14ac:dyDescent="0.25">
      <c r="C140" t="str">
        <v>'Hunter''s Path'!G5</v>
      </c>
      <c r="H140" t="str">
        <v>'Hunter''s Path'!G4</v>
      </c>
    </row>
    <row r="141" spans="3:8" x14ac:dyDescent="0.25">
      <c r="C141" t="str">
        <v>'End of the Line'!G5</v>
      </c>
      <c r="H141" t="str">
        <v>'End of the Line'!G4</v>
      </c>
    </row>
    <row r="142" spans="3:8" x14ac:dyDescent="0.25">
      <c r="C142" t="str">
        <v>'Missive Windspear'!G5</v>
      </c>
      <c r="H142" t="str">
        <v>'Missive Windspear'!G4</v>
      </c>
    </row>
    <row r="143" spans="3:8" x14ac:dyDescent="0.25">
      <c r="C143" t="str">
        <v>'Staff of the Scarlet Sands'!G5</v>
      </c>
      <c r="H143" t="str">
        <v>'Staff of the Scarlet Sands'!G4</v>
      </c>
    </row>
    <row r="144" spans="3:8" x14ac:dyDescent="0.25">
      <c r="C144" t="str">
        <v>'Makhaira Aquamarine'!G5</v>
      </c>
      <c r="H144" t="str">
        <v>'Makhaira Aquamarine'!G4</v>
      </c>
    </row>
    <row r="145" spans="3:8" x14ac:dyDescent="0.25">
      <c r="C145" t="str">
        <v>'Key of Khaj-Nisat'!G5</v>
      </c>
      <c r="H145" t="str">
        <v>'Key of Khaj-Nisat'!G4</v>
      </c>
    </row>
    <row r="146" spans="3:8" x14ac:dyDescent="0.25">
      <c r="C146" t="str">
        <v>'Xiphos’ Moonlight'!G5</v>
      </c>
      <c r="H146" t="str">
        <v>'Xiphos’ Moonlight'!G4</v>
      </c>
    </row>
    <row r="147" spans="3:8" x14ac:dyDescent="0.25">
      <c r="C147" t="str">
        <v>'Wandering Evenstar'!G5</v>
      </c>
      <c r="H147" t="str">
        <v>'Wandering Evenstar'!G4</v>
      </c>
    </row>
    <row r="148" spans="3:8" x14ac:dyDescent="0.25">
      <c r="C148" t="str">
        <v>'A Thousand Floating Dreams'!G5</v>
      </c>
      <c r="H148" t="str">
        <v>'A Thousand Floating Dreams'!G4</v>
      </c>
    </row>
    <row r="149" spans="3:8" x14ac:dyDescent="0.25">
      <c r="C149" t="str">
        <v>'Tullaytullah''s Remembrance'!G5</v>
      </c>
      <c r="H149" t="str">
        <v>'Tullaytullah''s Remembrance'!G4</v>
      </c>
    </row>
    <row r="150" spans="3:8" x14ac:dyDescent="0.25">
      <c r="C150" t="str">
        <v>'Toukabou Shigure'!G5</v>
      </c>
      <c r="H150" t="str">
        <v>'Toukabou Shigure'!G4</v>
      </c>
    </row>
    <row r="151" spans="3:8" x14ac:dyDescent="0.25">
      <c r="C151" t="str">
        <v>'Light of Foliar Incision'!G5</v>
      </c>
      <c r="H151" t="str">
        <v>'Light of Foliar Incision'!G4</v>
      </c>
    </row>
    <row r="152" spans="3:8" x14ac:dyDescent="0.25">
      <c r="C152" t="str">
        <v>'Beacon of the Reed Sea'!G5</v>
      </c>
      <c r="H152" t="str">
        <v>'Beacon of the Reed Sea'!G4</v>
      </c>
    </row>
    <row r="153" spans="3:8" x14ac:dyDescent="0.25">
      <c r="C153" t="str">
        <v>'Mailed Flower'!G5</v>
      </c>
      <c r="H153" t="str">
        <v>'Mailed Flower'!G4</v>
      </c>
    </row>
    <row r="154" spans="3:8" x14ac:dyDescent="0.25">
      <c r="C154" t="str">
        <v>'Jadefall''s Splendor'!G5</v>
      </c>
      <c r="H154" t="str">
        <v>'Jadefall''s Splendor'!G4</v>
      </c>
    </row>
    <row r="155" spans="3:8" x14ac:dyDescent="0.25">
      <c r="C155" t="str">
        <v>'Ibis Piercer'!G5</v>
      </c>
      <c r="H155" t="str">
        <v>'Ibis Piercer'!G4</v>
      </c>
    </row>
    <row r="156" spans="3:8" x14ac:dyDescent="0.25">
      <c r="C156" t="str">
        <v>'Wolf-Fang'!G5</v>
      </c>
      <c r="H156" t="str">
        <v>'Wolf-Fang'!G4</v>
      </c>
    </row>
    <row r="157" spans="3:8" x14ac:dyDescent="0.25">
      <c r="C157" t="str">
        <v>'Talking Stick'!G5</v>
      </c>
      <c r="H157" t="str">
        <v>'Talking Stick'!G4</v>
      </c>
    </row>
    <row r="158" spans="3:8" x14ac:dyDescent="0.25">
      <c r="C158" t="str">
        <v>'Ballad of the Fjords'!G5</v>
      </c>
      <c r="H158" t="str">
        <v>'Ballad of the Fjords'!G4</v>
      </c>
    </row>
    <row r="159" spans="3:8" x14ac:dyDescent="0.25">
      <c r="C159" t="str">
        <v>'Sacrificial Jade'!G5</v>
      </c>
      <c r="H159" t="str">
        <v>'Sacrificial Jade'!G4</v>
      </c>
    </row>
    <row r="160" spans="3:8" x14ac:dyDescent="0.25">
      <c r="C160" t="str">
        <v>'Scion of the Blazing Sun'!G5</v>
      </c>
      <c r="H160" t="str">
        <v>'Scion of the Blazing Sun'!G4</v>
      </c>
    </row>
    <row r="161" spans="3:8" x14ac:dyDescent="0.25">
      <c r="C161" t="str">
        <v>'Finale of the Deep'!G5</v>
      </c>
      <c r="H161" t="str">
        <v>'Finale of the Deep'!G4</v>
      </c>
    </row>
    <row r="162" spans="3:8" x14ac:dyDescent="0.25">
      <c r="C162" t="str">
        <v>'Tidal Shadow'!G5</v>
      </c>
      <c r="H162" t="str">
        <v>'Tidal Shadow'!G4</v>
      </c>
    </row>
    <row r="163" spans="3:8" x14ac:dyDescent="0.25">
      <c r="C163" t="str">
        <v>'Rightful Reward'!G5</v>
      </c>
      <c r="H163" t="str">
        <v>'Rightful Reward'!G4</v>
      </c>
    </row>
    <row r="164" spans="3:8" x14ac:dyDescent="0.25">
      <c r="C164" t="str">
        <v>'Flowing Purity'!G5</v>
      </c>
      <c r="H164" t="str">
        <v>'Flowing Purity'!G4</v>
      </c>
    </row>
    <row r="165" spans="3:8" x14ac:dyDescent="0.25">
      <c r="C165" t="str">
        <v>'Song of Stillness'!G5</v>
      </c>
      <c r="H165" t="str">
        <v>'Song of Stillness'!G4</v>
      </c>
    </row>
    <row r="166" spans="3:8" x14ac:dyDescent="0.25">
      <c r="C166" t="str">
        <v>'The First Great Magic'!G5</v>
      </c>
      <c r="H166" t="str">
        <v>'The First Great Magic'!G4</v>
      </c>
    </row>
    <row r="167" spans="3:8" x14ac:dyDescent="0.25">
      <c r="C167" t="str">
        <v>'Crossing of Fleuve Cendre'!G5</v>
      </c>
      <c r="H167" t="str">
        <v>'Crossing of Fleuve Cendre'!G4</v>
      </c>
    </row>
    <row r="168" spans="3:8" x14ac:dyDescent="0.25">
      <c r="C168" t="str">
        <v>'Tome of the Eternal Flow'!G5</v>
      </c>
      <c r="H168" t="str">
        <v>'Tome of the Eternal Flow'!G4</v>
      </c>
    </row>
    <row r="169" spans="3:8" x14ac:dyDescent="0.25">
      <c r="C169" t="str">
        <v>'The Dockhand''s Assistant'!G5</v>
      </c>
      <c r="H169" t="str">
        <v>'The Dockhand''s Assistant'!G4</v>
      </c>
    </row>
    <row r="170" spans="3:8" x14ac:dyDescent="0.25">
      <c r="C170" t="str">
        <v>'Portable Power Saw'!G5</v>
      </c>
      <c r="H170" t="str">
        <v>'Portable Power Saw'!G4</v>
      </c>
    </row>
    <row r="171" spans="3:8" x14ac:dyDescent="0.25">
      <c r="C171" t="str">
        <v>'Cashflow Supervision'!G5</v>
      </c>
      <c r="H171" t="str">
        <v>'Cashflow Supervision'!G4</v>
      </c>
    </row>
    <row r="172" spans="3:8" x14ac:dyDescent="0.25">
      <c r="C172" t="str">
        <v>'Prospector’s Drill'!G5</v>
      </c>
      <c r="H172" t="str">
        <v>'Prospector’s Drill'!G4</v>
      </c>
    </row>
    <row r="173" spans="3:8" x14ac:dyDescent="0.25">
      <c r="C173" t="str">
        <v>'Ballad of the Boundless Blue'!G5</v>
      </c>
      <c r="H173" t="str">
        <v>'Ballad of the Boundless Blue'!G4</v>
      </c>
    </row>
    <row r="174" spans="3:8" x14ac:dyDescent="0.25">
      <c r="C174" t="str">
        <v>'Range Gauge'!G5</v>
      </c>
      <c r="H174" t="str">
        <v>'Range Gauge'!G4</v>
      </c>
    </row>
    <row r="175" spans="3:8" x14ac:dyDescent="0.25">
      <c r="C175" t="str">
        <v>'Splendor of Tranquil Waters'!G5</v>
      </c>
      <c r="H175" t="str">
        <v>'Splendor of Tranquil Waters'!G4</v>
      </c>
    </row>
    <row r="176" spans="3:8" x14ac:dyDescent="0.25">
      <c r="C176" t="str">
        <v>'Sword of Narzissenkreuz'!G5</v>
      </c>
      <c r="H176" t="str">
        <v>'Sword of Narzissenkreuz'!G4</v>
      </c>
    </row>
    <row r="177" spans="3:8" x14ac:dyDescent="0.25">
      <c r="C177" t="str">
        <v>'Verdict'!G5</v>
      </c>
      <c r="H177" t="str">
        <v>'Verdict'!G4</v>
      </c>
    </row>
    <row r="178" spans="3:8" x14ac:dyDescent="0.25">
      <c r="C178" t="str">
        <v>'Ultimate Overlord’s Mega Magic'!G5</v>
      </c>
      <c r="H178" t="str">
        <v>'Ultimate Overlord’s Mega Magic'!G4</v>
      </c>
    </row>
    <row r="179" spans="3:8" x14ac:dyDescent="0.25">
      <c r="C179" t="str">
        <v>'Crane’s Echoing Call'!G5</v>
      </c>
      <c r="H179" t="str">
        <v>'Crane’s Echoing Call'!G4</v>
      </c>
    </row>
    <row r="180" spans="3:8" x14ac:dyDescent="0.25">
      <c r="C180" t="str">
        <v>'Uraku Misugiri'!G5</v>
      </c>
      <c r="H180" t="str">
        <v>'Uraku Misugiri'!G4</v>
      </c>
    </row>
    <row r="181" spans="3:8" x14ac:dyDescent="0.25">
      <c r="C181" t="str">
        <v>'Dialogues of the Desert Sages'!G5</v>
      </c>
      <c r="H181" t="str">
        <v>'Dialogues of the Desert Sages'!G4</v>
      </c>
    </row>
    <row r="182" spans="3:8" x14ac:dyDescent="0.25">
      <c r="C182" t="str">
        <v>'Crimson Moon’s Semblance'!G5</v>
      </c>
      <c r="H182" t="str">
        <v>'Crimson Moon’s Semblance'!G4</v>
      </c>
    </row>
    <row r="183" spans="3:8" x14ac:dyDescent="0.25">
      <c r="C183" t="str">
        <v>'Absolution'!G5</v>
      </c>
      <c r="H183" t="str">
        <v>'Absolution'!G4</v>
      </c>
    </row>
    <row r="184" spans="3:8" x14ac:dyDescent="0.25">
      <c r="C184" t="str">
        <v>'Cloudweaver'!G5</v>
      </c>
      <c r="H184" t="str">
        <v>'Cloudweaver'!G4</v>
      </c>
    </row>
    <row r="185" spans="3:8" x14ac:dyDescent="0.25">
      <c r="C185" t="str">
        <v>'Pouring Heartstrings'!G5</v>
      </c>
      <c r="H185" t="str">
        <v>'Pouring Heartstrings'!G4</v>
      </c>
    </row>
    <row r="186" spans="3:8" x14ac:dyDescent="0.25">
      <c r="C186" t="str">
        <v>'Lumidouce Elegy'!G5</v>
      </c>
      <c r="H186" t="str">
        <v>'Lumidouce Elegy'!G4</v>
      </c>
    </row>
    <row r="187" spans="3:8" x14ac:dyDescent="0.25">
      <c r="C187" t="str">
        <v>'Flute of Ezpitzal'!G5</v>
      </c>
      <c r="H187" t="str">
        <v>'Flute of Ezpitzal'!G4</v>
      </c>
    </row>
    <row r="188" spans="3:8" x14ac:dyDescent="0.25">
      <c r="C188" t="str">
        <v>'Earth Shaker'!G5</v>
      </c>
      <c r="H188" t="str">
        <v>'Earth Shaker'!G4</v>
      </c>
    </row>
    <row r="189" spans="3:8" x14ac:dyDescent="0.25">
      <c r="C189" t="str">
        <v>'Footprint of the Rainbow'!G5</v>
      </c>
      <c r="H189" t="str">
        <v>'Footprint of the Rainbow'!G4</v>
      </c>
    </row>
    <row r="190" spans="3:8" x14ac:dyDescent="0.25">
      <c r="C190" t="str">
        <v>'Ring of Yaxche'!G5</v>
      </c>
      <c r="H190" t="str">
        <v>'Ring of Yaxche'!G4</v>
      </c>
    </row>
    <row r="191" spans="3:8" x14ac:dyDescent="0.25">
      <c r="C191" t="str">
        <v>'Chain Breaker'!G5</v>
      </c>
      <c r="H191" t="str">
        <v>'Chain Breaker'!G4</v>
      </c>
    </row>
    <row r="192" spans="3:8" x14ac:dyDescent="0.25">
      <c r="C192" t="str">
        <v>'Surf''s Up'!G5</v>
      </c>
      <c r="H192" t="str">
        <v>'Surf''s Up'!G4</v>
      </c>
    </row>
    <row r="193" spans="3:8" x14ac:dyDescent="0.25">
      <c r="C193" t="str">
        <v>'Fang of the Mountain King'!G5</v>
      </c>
      <c r="H193" t="str">
        <v>'Fang of the Mountain King'!G4</v>
      </c>
    </row>
    <row r="194" spans="3:8" x14ac:dyDescent="0.25">
      <c r="C194" t="str">
        <v>'Ash-Graven Drinking Horn'!G5</v>
      </c>
      <c r="H194" t="str">
        <v>'Ash-Graven Drinking Horn'!G4</v>
      </c>
    </row>
    <row r="195" spans="3:8" x14ac:dyDescent="0.25">
      <c r="C195" t="str">
        <v>'Sturdy Bone'!G5</v>
      </c>
      <c r="H195" t="str">
        <v>'Sturdy Bone'!G4</v>
      </c>
    </row>
    <row r="196" spans="3:8" x14ac:dyDescent="0.25">
      <c r="C196" t="str">
        <v>'Peak Patrol Song'!G5</v>
      </c>
      <c r="H196" t="str">
        <v>'Peak Patrol Song'!G4</v>
      </c>
    </row>
    <row r="197" spans="3:8" x14ac:dyDescent="0.25">
      <c r="C197" t="str">
        <v>'Mountain-Bracing Bolt'!G5</v>
      </c>
      <c r="H197" t="str">
        <v>'Mountain-Bracing Bolt'!G4</v>
      </c>
    </row>
    <row r="198" spans="3:8" x14ac:dyDescent="0.25">
      <c r="C198" t="str">
        <v>'Fruitful Hook'!G5</v>
      </c>
      <c r="H198" t="str">
        <v>'Fruitful Hook'!G4</v>
      </c>
    </row>
    <row r="199" spans="3:8" x14ac:dyDescent="0.25">
      <c r="C199" t="str">
        <v>'Astral Vulture’s Crimson'!G5</v>
      </c>
      <c r="H199" t="str">
        <v>'Astral Vulture’s Crimson'!G4</v>
      </c>
    </row>
    <row r="200" spans="3:8" x14ac:dyDescent="0.25">
      <c r="C200" t="str">
        <v>'The Calamity of Eshu'!G5</v>
      </c>
      <c r="H200" t="str">
        <v>'The Calamity of Eshu'!G4</v>
      </c>
    </row>
    <row r="201" spans="3:8" x14ac:dyDescent="0.25">
      <c r="C201" t="str">
        <v>'Waveriding Whirl'!G5</v>
      </c>
      <c r="H201" t="str">
        <v>'Waveriding Whirl'!G4</v>
      </c>
    </row>
    <row r="202" spans="3:8" x14ac:dyDescent="0.25">
      <c r="C202" t="str">
        <v>'Flower-Wreathed Feathers'!G5</v>
      </c>
      <c r="H202" t="str">
        <v>'Flower-Wreathed Feathers'!G4</v>
      </c>
    </row>
    <row r="203" spans="3:8" x14ac:dyDescent="0.25">
      <c r="C203" t="str">
        <v>'A Thousand Blazing Suns'!G5</v>
      </c>
      <c r="H203" t="str">
        <v>'A Thousand Blazing Suns'!G4</v>
      </c>
    </row>
    <row r="204" spans="3:8" x14ac:dyDescent="0.25">
      <c r="C204" t="str">
        <v>'Starcaller’s Watch'!G5</v>
      </c>
      <c r="H204" t="str">
        <v>'Starcaller’s Watch'!G4</v>
      </c>
    </row>
    <row r="205" spans="3:8" x14ac:dyDescent="0.25">
      <c r="C205" t="str">
        <v>'Sunny Morning Sleep-In'!G5</v>
      </c>
      <c r="H205" t="str">
        <v>'Sunny Morning Sleep-In'!G4</v>
      </c>
    </row>
    <row r="206" spans="3:8" x14ac:dyDescent="0.25">
      <c r="C206" t="str">
        <v>'Tamayuratei no Ohanashi'!G5</v>
      </c>
      <c r="H206" t="str">
        <v>'Tamayuratei no Ohanashi'!G4</v>
      </c>
    </row>
    <row r="207" spans="3:8" x14ac:dyDescent="0.25">
      <c r="C207" t="str">
        <v>'Vivid Notions'!G5</v>
      </c>
      <c r="H207" t="str">
        <v>'Vivid Notions'!G4</v>
      </c>
    </row>
    <row r="208" spans="3:8" x14ac:dyDescent="0.25">
      <c r="C208" t="str">
        <v>'Symphonist of Scents'!G5</v>
      </c>
      <c r="H208" t="str">
        <v>'Symphonist of Scents'!G4</v>
      </c>
    </row>
    <row r="209" spans="3:8" x14ac:dyDescent="0.25">
      <c r="C209" t="str">
        <v>'Sequence of Solitude'!G5</v>
      </c>
      <c r="H209" t="str">
        <v>'Sequence of Solitude'!G4</v>
      </c>
    </row>
    <row r="210" spans="3:8" x14ac:dyDescent="0.25">
      <c r="C210" t="str">
        <v>'Azurelight'!G5</v>
      </c>
      <c r="H210" t="str">
        <v>'Azurelight'!G4</v>
      </c>
    </row>
    <row r="211" spans="3:8" x14ac:dyDescent="0.25">
      <c r="C211" t="str">
        <v>'Fractured Halo'!G5</v>
      </c>
      <c r="H211" t="str">
        <v>'Fractured Halo'!G4</v>
      </c>
    </row>
    <row r="212" spans="3:8" x14ac:dyDescent="0.25">
      <c r="C212" t="str">
        <v>'Flame-Forged Insight'!G5</v>
      </c>
      <c r="H212" t="str">
        <v>'Flame-Forged Insight'!G4</v>
      </c>
    </row>
    <row r="213" spans="3:8" x14ac:dyDescent="0.25">
      <c r="C213" t="str">
        <v>'6.0 Forge Sword'!G5</v>
      </c>
      <c r="H213" t="str">
        <v>'6.0 Forge Sword'!G4</v>
      </c>
    </row>
    <row r="214" spans="3:8" x14ac:dyDescent="0.25">
      <c r="C214" t="str">
        <v>'6.0 Forge Clayymore'!G5</v>
      </c>
      <c r="H214" t="str">
        <v>'6.0 Forge Clayymore'!G4</v>
      </c>
    </row>
    <row r="215" spans="3:8" x14ac:dyDescent="0.25">
      <c r="C215" t="str">
        <v>'6.0 Forge Polearm'!G5</v>
      </c>
      <c r="H215" t="str">
        <v>'6.0 Forge Polearm'!G4</v>
      </c>
    </row>
    <row r="216" spans="3:8" x14ac:dyDescent="0.25">
      <c r="C216" t="str">
        <v>'6.0 Forge Catalyst'!G5</v>
      </c>
      <c r="H216" t="str">
        <v>'6.0 Forge Catalyst'!G4</v>
      </c>
    </row>
    <row r="217" spans="3:8" x14ac:dyDescent="0.25">
      <c r="C217" t="str">
        <v>'6.0 Forge Bow'!G5</v>
      </c>
      <c r="H217" t="str">
        <v>'6.0 Forge Bow'!G4</v>
      </c>
    </row>
    <row r="218" spans="3:8" x14ac:dyDescent="0.25">
      <c r="C218" t="str">
        <v>'City Sword'!G5</v>
      </c>
      <c r="H218" t="str">
        <v>'City Sword'!G4</v>
      </c>
    </row>
    <row r="219" spans="3:8" x14ac:dyDescent="0.25">
      <c r="C219" t="str">
        <v>'6.0 Polearm'!G5</v>
      </c>
      <c r="H219" t="str">
        <v>'6.0 Polearm'!G4</v>
      </c>
    </row>
    <row r="220" spans="3:8" x14ac:dyDescent="0.25">
      <c r="C220" t="str">
        <v>'6.0 Catalyst'!G5</v>
      </c>
      <c r="H220" t="str">
        <v>'6.0 Catalyst'!G4</v>
      </c>
    </row>
    <row r="221" spans="3:8" x14ac:dyDescent="0.25">
      <c r="C221" t="str">
        <v>'6.0 Event Catalyst'!G5</v>
      </c>
      <c r="H221" t="str">
        <v>'6.0 Event Catalyst'!G4</v>
      </c>
    </row>
  </sheetData>
  <mergeCells count="6">
    <mergeCell ref="C2:D2"/>
    <mergeCell ref="A2:B2"/>
    <mergeCell ref="F2:G2"/>
    <mergeCell ref="F1:I1"/>
    <mergeCell ref="H2:I2"/>
    <mergeCell ref="A1:D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78729-AAA9-4744-BC41-9E056EDF9C56}">
  <sheetPr codeName="Sheet4">
    <tabColor theme="5" tint="0.39997558519241921"/>
  </sheetPr>
  <dimension ref="A1:J55"/>
  <sheetViews>
    <sheetView topLeftCell="A14" workbookViewId="0">
      <selection activeCell="G21" sqref="G21"/>
    </sheetView>
  </sheetViews>
  <sheetFormatPr defaultColWidth="8.85546875" defaultRowHeight="15" x14ac:dyDescent="0.25"/>
  <cols>
    <col min="1" max="1" width="12" bestFit="1" customWidth="1"/>
    <col min="2" max="2" width="10.28515625" customWidth="1"/>
  </cols>
  <sheetData>
    <row r="1" spans="1:10" x14ac:dyDescent="0.25">
      <c r="A1" t="s">
        <v>189</v>
      </c>
    </row>
    <row r="2" spans="1:10" x14ac:dyDescent="0.25">
      <c r="A2" s="210" t="s">
        <v>31</v>
      </c>
      <c r="B2" cm="1">
        <f t="array" aca="1" ref="B2" ca="1">SUM(INDIRECT(_xlfn.ANCHORARRAY(C2)))</f>
        <v>0</v>
      </c>
      <c r="C2" t="str" cm="1">
        <f t="array" ref="C2:I2">TRANSPOSE("'"&amp;_xlfn._xlws.FILTER(INDEX(Character_List,,1),INDEX(Character_List,,7)=A2,)&amp;"'!J15")</f>
        <v>'Amber'!J15</v>
      </c>
      <c r="D2" t="str">
        <v>'Barbara'!J15</v>
      </c>
      <c r="E2" t="str">
        <v>'Sucrose'!J15</v>
      </c>
      <c r="F2" t="str">
        <v>'Klee'!J15</v>
      </c>
      <c r="G2" t="str">
        <v>'Diona'!J15</v>
      </c>
      <c r="H2" t="str">
        <v>'Tartaglia'!J15</v>
      </c>
      <c r="I2" t="str">
        <v>'Aloy'!J15</v>
      </c>
    </row>
    <row r="3" spans="1:10" x14ac:dyDescent="0.25">
      <c r="A3" s="210"/>
      <c r="B3" cm="1">
        <f t="array" aca="1" ref="B3" ca="1">SUM(INDIRECT(_xlfn.ANCHORARRAY(C3)))</f>
        <v>0</v>
      </c>
      <c r="C3" t="str" cm="1">
        <f t="array" ref="C3:I3">TRANSPOSE("'"&amp;_xlfn._xlws.FILTER(INDEX(Character_List,,1),INDEX(Character_List,,7)=A2,)&amp;"'!J16")</f>
        <v>'Amber'!J16</v>
      </c>
      <c r="D3" t="str">
        <v>'Barbara'!J16</v>
      </c>
      <c r="E3" t="str">
        <v>'Sucrose'!J16</v>
      </c>
      <c r="F3" t="str">
        <v>'Klee'!J16</v>
      </c>
      <c r="G3" t="str">
        <v>'Diona'!J16</v>
      </c>
      <c r="H3" t="str">
        <v>'Tartaglia'!J16</v>
      </c>
      <c r="I3" t="str">
        <v>'Aloy'!J16</v>
      </c>
    </row>
    <row r="4" spans="1:10" x14ac:dyDescent="0.25">
      <c r="A4" s="210"/>
      <c r="B4" cm="1">
        <f t="array" aca="1" ref="B4" ca="1">SUM(INDIRECT(_xlfn.ANCHORARRAY(C4)))</f>
        <v>0</v>
      </c>
      <c r="C4" t="str" cm="1">
        <f t="array" ref="C4:I4">TRANSPOSE("'"&amp;_xlfn._xlws.FILTER(INDEX(Character_List,,1),INDEX(Character_List,,7)=A2,)&amp;"'!J17")</f>
        <v>'Amber'!J17</v>
      </c>
      <c r="D4" t="str">
        <v>'Barbara'!J17</v>
      </c>
      <c r="E4" t="str">
        <v>'Sucrose'!J17</v>
      </c>
      <c r="F4" t="str">
        <v>'Klee'!J17</v>
      </c>
      <c r="G4" t="str">
        <v>'Diona'!J17</v>
      </c>
      <c r="H4" t="str">
        <v>'Tartaglia'!J17</v>
      </c>
      <c r="I4" t="str">
        <v>'Aloy'!J17</v>
      </c>
    </row>
    <row r="5" spans="1:10" x14ac:dyDescent="0.25">
      <c r="A5" s="210" t="s">
        <v>48</v>
      </c>
      <c r="B5" cm="1">
        <f t="array" aca="1" ref="B5" ca="1">SUM(INDIRECT(_xlfn.ANCHORARRAY(C5)))</f>
        <v>0</v>
      </c>
      <c r="C5" t="str" cm="1">
        <f t="array" ref="C5:I5">TRANSPOSE("'"&amp;_xlfn._xlws.FILTER(INDEX(Character_List,,1),INDEX(Character_List,,7)=A5,)&amp;"'!J15")</f>
        <v>'Razor'!J15</v>
      </c>
      <c r="D5" t="str">
        <v>'Bennett'!J15</v>
      </c>
      <c r="E5" t="str">
        <v>'Noelle'!J15</v>
      </c>
      <c r="F5" t="str">
        <v>'Jean'!J15</v>
      </c>
      <c r="G5" t="str">
        <v>'Diluc'!J15</v>
      </c>
      <c r="H5" t="str">
        <v>'Mona'!J15</v>
      </c>
      <c r="I5" t="str">
        <v>'Eula'!J15</v>
      </c>
    </row>
    <row r="6" spans="1:10" x14ac:dyDescent="0.25">
      <c r="A6" s="210"/>
      <c r="B6" cm="1">
        <f t="array" aca="1" ref="B6" ca="1">SUM(INDIRECT(_xlfn.ANCHORARRAY(C6)))</f>
        <v>0</v>
      </c>
      <c r="C6" t="str" cm="1">
        <f t="array" ref="C6:I6">TRANSPOSE("'"&amp;_xlfn._xlws.FILTER(INDEX(Character_List,,1),INDEX(Character_List,,7)=A5,)&amp;"'!J16")</f>
        <v>'Razor'!J16</v>
      </c>
      <c r="D6" t="str">
        <v>'Bennett'!J16</v>
      </c>
      <c r="E6" t="str">
        <v>'Noelle'!J16</v>
      </c>
      <c r="F6" t="str">
        <v>'Jean'!J16</v>
      </c>
      <c r="G6" t="str">
        <v>'Diluc'!J16</v>
      </c>
      <c r="H6" t="str">
        <v>'Mona'!J16</v>
      </c>
      <c r="I6" t="str">
        <v>'Eula'!J16</v>
      </c>
    </row>
    <row r="7" spans="1:10" x14ac:dyDescent="0.25">
      <c r="A7" s="210"/>
      <c r="B7" cm="1">
        <f t="array" aca="1" ref="B7" ca="1">SUM(INDIRECT(_xlfn.ANCHORARRAY(C7)))</f>
        <v>0</v>
      </c>
      <c r="C7" t="str" cm="1">
        <f t="array" ref="C7:I7">TRANSPOSE("'"&amp;_xlfn._xlws.FILTER(INDEX(Character_List,,1),INDEX(Character_List,,7)=A5,)&amp;"'!J17")</f>
        <v>'Razor'!J17</v>
      </c>
      <c r="D7" t="str">
        <v>'Bennett'!J17</v>
      </c>
      <c r="E7" t="str">
        <v>'Noelle'!J17</v>
      </c>
      <c r="F7" t="str">
        <v>'Jean'!J17</v>
      </c>
      <c r="G7" t="str">
        <v>'Diluc'!J17</v>
      </c>
      <c r="H7" t="str">
        <v>'Mona'!J17</v>
      </c>
      <c r="I7" t="str">
        <v>'Eula'!J17</v>
      </c>
    </row>
    <row r="8" spans="1:10" x14ac:dyDescent="0.25">
      <c r="A8" s="210" t="s">
        <v>57</v>
      </c>
      <c r="B8" cm="1">
        <f t="array" aca="1" ref="B8" ca="1">SUM(INDIRECT(_xlfn.ANCHORARRAY(C8)))</f>
        <v>0</v>
      </c>
      <c r="C8" t="str" cm="1">
        <f t="array" ref="C8:J8">TRANSPOSE("'"&amp;_xlfn._xlws.FILTER(INDEX(Character_List,,1),INDEX(Character_List,,7)=A8,)&amp;"'!J15")</f>
        <v>'Lisa'!J15</v>
      </c>
      <c r="D8" t="str">
        <v>'Kaeya'!J15</v>
      </c>
      <c r="E8" t="str">
        <v>'Fischl'!J15</v>
      </c>
      <c r="F8" t="str">
        <v>'Venti'!J15</v>
      </c>
      <c r="G8" t="str">
        <v>'Albedo'!J15</v>
      </c>
      <c r="H8" t="str">
        <v>'Rosaria'!J15</v>
      </c>
      <c r="I8" t="str">
        <v>'Mika'!J15</v>
      </c>
      <c r="J8" t="str">
        <v>'Dahlia'!J15</v>
      </c>
    </row>
    <row r="9" spans="1:10" x14ac:dyDescent="0.25">
      <c r="A9" s="210"/>
      <c r="B9" cm="1">
        <f t="array" aca="1" ref="B9" ca="1">SUM(INDIRECT(_xlfn.ANCHORARRAY(C9)))</f>
        <v>0</v>
      </c>
      <c r="C9" t="str" cm="1">
        <f t="array" ref="C9:J9">TRANSPOSE("'"&amp;_xlfn._xlws.FILTER(INDEX(Character_List,,1),INDEX(Character_List,,7)=A8,)&amp;"'!J16")</f>
        <v>'Lisa'!J16</v>
      </c>
      <c r="D9" t="str">
        <v>'Kaeya'!J16</v>
      </c>
      <c r="E9" t="str">
        <v>'Fischl'!J16</v>
      </c>
      <c r="F9" t="str">
        <v>'Venti'!J16</v>
      </c>
      <c r="G9" t="str">
        <v>'Albedo'!J16</v>
      </c>
      <c r="H9" t="str">
        <v>'Rosaria'!J16</v>
      </c>
      <c r="I9" t="str">
        <v>'Mika'!J16</v>
      </c>
      <c r="J9" t="str">
        <v>'Dahlia'!J16</v>
      </c>
    </row>
    <row r="10" spans="1:10" x14ac:dyDescent="0.25">
      <c r="A10" s="210"/>
      <c r="B10" cm="1">
        <f t="array" aca="1" ref="B10" ca="1">SUM(INDIRECT(_xlfn.ANCHORARRAY(C10)))</f>
        <v>36</v>
      </c>
      <c r="C10" t="str" cm="1">
        <f t="array" ref="C10:J10">TRANSPOSE("'"&amp;_xlfn._xlws.FILTER(INDEX(Character_List,,1),INDEX(Character_List,,7)=A8,)&amp;"'!J17")</f>
        <v>'Lisa'!J17</v>
      </c>
      <c r="D10" t="str">
        <v>'Kaeya'!J17</v>
      </c>
      <c r="E10" t="str">
        <v>'Fischl'!J17</v>
      </c>
      <c r="F10" t="str">
        <v>'Venti'!J17</v>
      </c>
      <c r="G10" t="str">
        <v>'Albedo'!J17</v>
      </c>
      <c r="H10" t="str">
        <v>'Rosaria'!J17</v>
      </c>
      <c r="I10" t="str">
        <v>'Mika'!J17</v>
      </c>
      <c r="J10" t="str">
        <v>'Dahlia'!J17</v>
      </c>
    </row>
    <row r="11" spans="1:10" x14ac:dyDescent="0.25">
      <c r="A11" s="210" t="s">
        <v>66</v>
      </c>
      <c r="B11" cm="1">
        <f t="array" aca="1" ref="B11" ca="1">SUM(INDIRECT(_xlfn.ANCHORARRAY(C11)))</f>
        <v>0</v>
      </c>
      <c r="C11" t="str" cm="1">
        <f t="array" ref="C11:I11">TRANSPOSE("'"&amp;_xlfn._xlws.FILTER(INDEX(Character_List,,1),INDEX(Character_List,,7)=A11,)&amp;"'!J15")</f>
        <v>'Ningguang'!J15</v>
      </c>
      <c r="D11" t="str">
        <v>'Qiqi'!J15</v>
      </c>
      <c r="E11" t="str">
        <v>'Keqing'!J15</v>
      </c>
      <c r="F11" t="str">
        <v>'Xiao'!J15</v>
      </c>
      <c r="G11" t="str">
        <v>'Shenhe'!J15</v>
      </c>
      <c r="H11" t="str">
        <v>'Yelan'!J15</v>
      </c>
      <c r="I11" t="str">
        <v>'Gaming'!J15</v>
      </c>
    </row>
    <row r="12" spans="1:10" x14ac:dyDescent="0.25">
      <c r="A12" s="210"/>
      <c r="B12" cm="1">
        <f t="array" aca="1" ref="B12" ca="1">SUM(INDIRECT(_xlfn.ANCHORARRAY(C12)))</f>
        <v>0</v>
      </c>
      <c r="C12" t="str" cm="1">
        <f t="array" ref="C12:I12">TRANSPOSE("'"&amp;_xlfn._xlws.FILTER(INDEX(Character_List,,1),INDEX(Character_List,,7)=A11,)&amp;"'!J16")</f>
        <v>'Ningguang'!J16</v>
      </c>
      <c r="D12" t="str">
        <v>'Qiqi'!J16</v>
      </c>
      <c r="E12" t="str">
        <v>'Keqing'!J16</v>
      </c>
      <c r="F12" t="str">
        <v>'Xiao'!J16</v>
      </c>
      <c r="G12" t="str">
        <v>'Shenhe'!J16</v>
      </c>
      <c r="H12" t="str">
        <v>'Yelan'!J16</v>
      </c>
      <c r="I12" t="str">
        <v>'Gaming'!J16</v>
      </c>
    </row>
    <row r="13" spans="1:10" x14ac:dyDescent="0.25">
      <c r="A13" s="210"/>
      <c r="B13" cm="1">
        <f t="array" aca="1" ref="B13" ca="1">SUM(INDIRECT(_xlfn.ANCHORARRAY(C13)))</f>
        <v>0</v>
      </c>
      <c r="C13" t="str" cm="1">
        <f t="array" ref="C13:I13">TRANSPOSE("'"&amp;_xlfn._xlws.FILTER(INDEX(Character_List,,1),INDEX(Character_List,,7)=A11,)&amp;"'!J17")</f>
        <v>'Ningguang'!J17</v>
      </c>
      <c r="D13" t="str">
        <v>'Qiqi'!J17</v>
      </c>
      <c r="E13" t="str">
        <v>'Keqing'!J17</v>
      </c>
      <c r="F13" t="str">
        <v>'Xiao'!J17</v>
      </c>
      <c r="G13" t="str">
        <v>'Shenhe'!J17</v>
      </c>
      <c r="H13" t="str">
        <v>'Yelan'!J17</v>
      </c>
      <c r="I13" t="str">
        <v>'Gaming'!J17</v>
      </c>
    </row>
    <row r="14" spans="1:10" x14ac:dyDescent="0.25">
      <c r="A14" s="210" t="s">
        <v>73</v>
      </c>
      <c r="B14" cm="1">
        <f t="array" aca="1" ref="B14" ca="1">SUM(INDIRECT(_xlfn.ANCHORARRAY(C14)))</f>
        <v>0</v>
      </c>
      <c r="C14" t="str" cm="1">
        <f t="array" ref="C14:J14">TRANSPOSE("'"&amp;_xlfn._xlws.FILTER(INDEX(Character_List,,1),INDEX(Character_List,,7)=A14,)&amp;"'!J15")</f>
        <v>'Xiangling'!J15</v>
      </c>
      <c r="D14" t="str">
        <v>'Chongyun'!J15</v>
      </c>
      <c r="E14" t="str">
        <v>'Ganyu'!J15</v>
      </c>
      <c r="F14" t="str">
        <v>'Hutao'!J15</v>
      </c>
      <c r="G14" t="str">
        <v>'Kaedehara Kazuha'!J15</v>
      </c>
      <c r="H14" t="str">
        <v>'Yunjin'!J15</v>
      </c>
      <c r="I14" t="str">
        <v>'Yaoyao'!J15</v>
      </c>
      <c r="J14" t="str">
        <v>'Lan Yan'!J15</v>
      </c>
    </row>
    <row r="15" spans="1:10" x14ac:dyDescent="0.25">
      <c r="A15" s="210"/>
      <c r="B15" cm="1">
        <f t="array" aca="1" ref="B15" ca="1">SUM(INDIRECT(_xlfn.ANCHORARRAY(C15)))</f>
        <v>0</v>
      </c>
      <c r="C15" t="str" cm="1">
        <f t="array" ref="C15:J15">TRANSPOSE("'"&amp;_xlfn._xlws.FILTER(INDEX(Character_List,,1),INDEX(Character_List,,7)=A14,)&amp;"'!J16")</f>
        <v>'Xiangling'!J16</v>
      </c>
      <c r="D15" t="str">
        <v>'Chongyun'!J16</v>
      </c>
      <c r="E15" t="str">
        <v>'Ganyu'!J16</v>
      </c>
      <c r="F15" t="str">
        <v>'Hutao'!J16</v>
      </c>
      <c r="G15" t="str">
        <v>'Kaedehara Kazuha'!J16</v>
      </c>
      <c r="H15" t="str">
        <v>'Yunjin'!J16</v>
      </c>
      <c r="I15" t="str">
        <v>'Yaoyao'!J16</v>
      </c>
      <c r="J15" t="str">
        <v>'Lan Yan'!J16</v>
      </c>
    </row>
    <row r="16" spans="1:10" x14ac:dyDescent="0.25">
      <c r="A16" s="210"/>
      <c r="B16" cm="1">
        <f t="array" aca="1" ref="B16" ca="1">SUM(INDIRECT(_xlfn.ANCHORARRAY(C16)))</f>
        <v>0</v>
      </c>
      <c r="C16" t="str" cm="1">
        <f t="array" ref="C16:J16">TRANSPOSE("'"&amp;_xlfn._xlws.FILTER(INDEX(Character_List,,1),INDEX(Character_List,,7)=A14,)&amp;"'!J17")</f>
        <v>'Xiangling'!J17</v>
      </c>
      <c r="D16" t="str">
        <v>'Chongyun'!J17</v>
      </c>
      <c r="E16" t="str">
        <v>'Ganyu'!J17</v>
      </c>
      <c r="F16" t="str">
        <v>'Hutao'!J17</v>
      </c>
      <c r="G16" t="str">
        <v>'Kaedehara Kazuha'!J17</v>
      </c>
      <c r="H16" t="str">
        <v>'Yunjin'!J17</v>
      </c>
      <c r="I16" t="str">
        <v>'Yaoyao'!J17</v>
      </c>
      <c r="J16" t="str">
        <v>'Lan Yan'!J17</v>
      </c>
    </row>
    <row r="17" spans="1:9" x14ac:dyDescent="0.25">
      <c r="A17" s="210" t="s">
        <v>82</v>
      </c>
      <c r="B17" cm="1">
        <f t="array" aca="1" ref="B17" ca="1">SUM(INDIRECT(_xlfn.ANCHORARRAY(C17)))</f>
        <v>0</v>
      </c>
      <c r="C17" t="str" cm="1">
        <f t="array" ref="C17:I17">TRANSPOSE("'"&amp;_xlfn._xlws.FILTER(INDEX(Character_List,,1),INDEX(Character_List,,7)=A17,)&amp;"'!J15")</f>
        <v>'Beidou'!J15</v>
      </c>
      <c r="D17" t="str">
        <v>'Xingqiu'!J15</v>
      </c>
      <c r="E17" t="str">
        <v>'Xinyan'!J15</v>
      </c>
      <c r="F17" t="str">
        <v>'Zhongli'!J15</v>
      </c>
      <c r="G17" t="str">
        <v>'Yanfei'!J15</v>
      </c>
      <c r="H17" t="str">
        <v>'Baizhu'!J15</v>
      </c>
      <c r="I17" t="str">
        <v>'Xianyun'!J15</v>
      </c>
    </row>
    <row r="18" spans="1:9" x14ac:dyDescent="0.25">
      <c r="A18" s="210"/>
      <c r="B18" cm="1">
        <f t="array" aca="1" ref="B18" ca="1">SUM(INDIRECT(_xlfn.ANCHORARRAY(C18)))</f>
        <v>0</v>
      </c>
      <c r="C18" t="str" cm="1">
        <f t="array" ref="C18:I18">TRANSPOSE("'"&amp;_xlfn._xlws.FILTER(INDEX(Character_List,,1),INDEX(Character_List,,7)=A17,)&amp;"'!J16")</f>
        <v>'Beidou'!J16</v>
      </c>
      <c r="D18" t="str">
        <v>'Xingqiu'!J16</v>
      </c>
      <c r="E18" t="str">
        <v>'Xinyan'!J16</v>
      </c>
      <c r="F18" t="str">
        <v>'Zhongli'!J16</v>
      </c>
      <c r="G18" t="str">
        <v>'Yanfei'!J16</v>
      </c>
      <c r="H18" t="str">
        <v>'Baizhu'!J16</v>
      </c>
      <c r="I18" t="str">
        <v>'Xianyun'!J16</v>
      </c>
    </row>
    <row r="19" spans="1:9" x14ac:dyDescent="0.25">
      <c r="A19" s="210"/>
      <c r="B19" cm="1">
        <f t="array" aca="1" ref="B19" ca="1">SUM(INDIRECT(_xlfn.ANCHORARRAY(C19)))</f>
        <v>0</v>
      </c>
      <c r="C19" t="str" cm="1">
        <f t="array" ref="C19:I19">TRANSPOSE("'"&amp;_xlfn._xlws.FILTER(INDEX(Character_List,,1),INDEX(Character_List,,7)=A17,)&amp;"'!J17")</f>
        <v>'Beidou'!J17</v>
      </c>
      <c r="D19" t="str">
        <v>'Xingqiu'!J17</v>
      </c>
      <c r="E19" t="str">
        <v>'Xinyan'!J17</v>
      </c>
      <c r="F19" t="str">
        <v>'Zhongli'!J17</v>
      </c>
      <c r="G19" t="str">
        <v>'Yanfei'!J17</v>
      </c>
      <c r="H19" t="str">
        <v>'Baizhu'!J17</v>
      </c>
      <c r="I19" t="str">
        <v>'Xianyun'!J17</v>
      </c>
    </row>
    <row r="20" spans="1:9" x14ac:dyDescent="0.25">
      <c r="A20" s="210" t="s">
        <v>89</v>
      </c>
      <c r="B20" cm="1">
        <f t="array" aca="1" ref="B20" ca="1">SUM(INDIRECT(_xlfn.ANCHORARRAY(C20)))</f>
        <v>0</v>
      </c>
      <c r="C20" t="str" cm="1">
        <f t="array" ref="C20:H20">TRANSPOSE("'"&amp;_xlfn._xlws.FILTER(INDEX(Character_List,,1),INDEX(Character_List,,7)=A20,)&amp;"'!J15")</f>
        <v>'Yoimiya'!J15</v>
      </c>
      <c r="D20" t="str">
        <v>'Sangonomiya Kokomi'!J15</v>
      </c>
      <c r="E20" t="str">
        <v>'Thoma'!J15</v>
      </c>
      <c r="F20" t="str">
        <v>'Shikanoin Heizou'!J15</v>
      </c>
      <c r="G20" t="str">
        <v>'Kirara'!J15</v>
      </c>
      <c r="H20" t="str">
        <v>'Yumemizuki Mizuki'!J15</v>
      </c>
    </row>
    <row r="21" spans="1:9" x14ac:dyDescent="0.25">
      <c r="A21" s="210"/>
      <c r="B21" cm="1">
        <f t="array" aca="1" ref="B21" ca="1">SUM(INDIRECT(_xlfn.ANCHORARRAY(C21)))</f>
        <v>0</v>
      </c>
      <c r="C21" t="str" cm="1">
        <f t="array" ref="C21:H21">TRANSPOSE("'"&amp;_xlfn._xlws.FILTER(INDEX(Character_List,,1),INDEX(Character_List,,7)=A20,)&amp;"'!J16")</f>
        <v>'Yoimiya'!J16</v>
      </c>
      <c r="D21" t="str">
        <v>'Sangonomiya Kokomi'!J16</v>
      </c>
      <c r="E21" t="str">
        <v>'Thoma'!J16</v>
      </c>
      <c r="F21" t="str">
        <v>'Shikanoin Heizou'!J16</v>
      </c>
      <c r="G21" t="str">
        <v>'Kirara'!J16</v>
      </c>
      <c r="H21" t="str">
        <v>'Yumemizuki Mizuki'!J16</v>
      </c>
    </row>
    <row r="22" spans="1:9" x14ac:dyDescent="0.25">
      <c r="A22" s="210"/>
      <c r="B22" cm="1">
        <f t="array" aca="1" ref="B22" ca="1">SUM(INDIRECT(_xlfn.ANCHORARRAY(C22)))</f>
        <v>0</v>
      </c>
      <c r="C22" t="str" cm="1">
        <f t="array" ref="C22:H22">TRANSPOSE("'"&amp;_xlfn._xlws.FILTER(INDEX(Character_List,,1),INDEX(Character_List,,7)=A20,)&amp;"'!J17")</f>
        <v>'Yoimiya'!J17</v>
      </c>
      <c r="D22" t="str">
        <v>'Sangonomiya Kokomi'!J17</v>
      </c>
      <c r="E22" t="str">
        <v>'Thoma'!J17</v>
      </c>
      <c r="F22" t="str">
        <v>'Shikanoin Heizou'!J17</v>
      </c>
      <c r="G22" t="str">
        <v>'Kirara'!J17</v>
      </c>
      <c r="H22" t="str">
        <v>'Yumemizuki Mizuki'!J17</v>
      </c>
    </row>
    <row r="23" spans="1:9" x14ac:dyDescent="0.25">
      <c r="A23" s="210" t="s">
        <v>95</v>
      </c>
      <c r="B23" cm="1">
        <f t="array" aca="1" ref="B23" ca="1">SUM(INDIRECT(_xlfn.ANCHORARRAY(C23)))</f>
        <v>0</v>
      </c>
      <c r="C23" t="str" cm="1">
        <f t="array" ref="C23:G23">TRANSPOSE("'"&amp;_xlfn._xlws.FILTER(INDEX(Character_List,,1),INDEX(Character_List,,7)=A23,)&amp;"'!J15")</f>
        <v>'Kamisato Ayaka'!J15</v>
      </c>
      <c r="D23" t="str">
        <v>'Kujou Sara'!J15</v>
      </c>
      <c r="E23" t="str">
        <v>'Arataki Itto'!J15</v>
      </c>
      <c r="F23" t="str">
        <v>'Kamisato Ayato'!J15</v>
      </c>
      <c r="G23" t="str">
        <v>'Kuki Shinobu'!J15</v>
      </c>
    </row>
    <row r="24" spans="1:9" x14ac:dyDescent="0.25">
      <c r="A24" s="210"/>
      <c r="B24" cm="1">
        <f t="array" aca="1" ref="B24" ca="1">SUM(INDIRECT(_xlfn.ANCHORARRAY(C24)))</f>
        <v>0</v>
      </c>
      <c r="C24" t="str" cm="1">
        <f t="array" ref="C24:G24">TRANSPOSE("'"&amp;_xlfn._xlws.FILTER(INDEX(Character_List,,1),INDEX(Character_List,,7)=A23,)&amp;"'!J16")</f>
        <v>'Kamisato Ayaka'!J16</v>
      </c>
      <c r="D24" t="str">
        <v>'Kujou Sara'!J16</v>
      </c>
      <c r="E24" t="str">
        <v>'Arataki Itto'!J16</v>
      </c>
      <c r="F24" t="str">
        <v>'Kamisato Ayato'!J16</v>
      </c>
      <c r="G24" t="str">
        <v>'Kuki Shinobu'!J16</v>
      </c>
    </row>
    <row r="25" spans="1:9" x14ac:dyDescent="0.25">
      <c r="A25" s="210"/>
      <c r="B25" cm="1">
        <f t="array" aca="1" ref="B25" ca="1">SUM(INDIRECT(_xlfn.ANCHORARRAY(C25)))</f>
        <v>0</v>
      </c>
      <c r="C25" t="str" cm="1">
        <f t="array" ref="C25:G25">TRANSPOSE("'"&amp;_xlfn._xlws.FILTER(INDEX(Character_List,,1),INDEX(Character_List,,7)=A23,)&amp;"'!J17")</f>
        <v>'Kamisato Ayaka'!J17</v>
      </c>
      <c r="D25" t="str">
        <v>'Kujou Sara'!J17</v>
      </c>
      <c r="E25" t="str">
        <v>'Arataki Itto'!J17</v>
      </c>
      <c r="F25" t="str">
        <v>'Kamisato Ayato'!J17</v>
      </c>
      <c r="G25" t="str">
        <v>'Kuki Shinobu'!J17</v>
      </c>
    </row>
    <row r="26" spans="1:9" x14ac:dyDescent="0.25">
      <c r="A26" s="210" t="s">
        <v>101</v>
      </c>
      <c r="B26" cm="1">
        <f t="array" aca="1" ref="B26" ca="1">SUM(INDIRECT(_xlfn.ANCHORARRAY(C26)))</f>
        <v>0</v>
      </c>
      <c r="C26" t="str" cm="1">
        <f t="array" ref="C26:G26">TRANSPOSE("'"&amp;_xlfn._xlws.FILTER(INDEX(Character_List,,1),INDEX(Character_List,,7)=A26,)&amp;"'!J15")</f>
        <v>'Sayu'!J15</v>
      </c>
      <c r="D26" t="str">
        <v>'Raiden Shogun'!J15</v>
      </c>
      <c r="E26" t="str">
        <v>'Gorou'!J15</v>
      </c>
      <c r="F26" t="str">
        <v>'Yae Miko'!J15</v>
      </c>
      <c r="G26" t="str">
        <v>'Chiori'!J15</v>
      </c>
    </row>
    <row r="27" spans="1:9" x14ac:dyDescent="0.25">
      <c r="A27" s="210"/>
      <c r="B27" cm="1">
        <f t="array" aca="1" ref="B27" ca="1">SUM(INDIRECT(_xlfn.ANCHORARRAY(C27)))</f>
        <v>0</v>
      </c>
      <c r="C27" t="str" cm="1">
        <f t="array" ref="C27:G27">TRANSPOSE("'"&amp;_xlfn._xlws.FILTER(INDEX(Character_List,,1),INDEX(Character_List,,7)=A26,)&amp;"'!J16")</f>
        <v>'Sayu'!J16</v>
      </c>
      <c r="D27" t="str">
        <v>'Raiden Shogun'!J16</v>
      </c>
      <c r="E27" t="str">
        <v>'Gorou'!J16</v>
      </c>
      <c r="F27" t="str">
        <v>'Yae Miko'!J16</v>
      </c>
      <c r="G27" t="str">
        <v>'Chiori'!J16</v>
      </c>
    </row>
    <row r="28" spans="1:9" x14ac:dyDescent="0.25">
      <c r="A28" s="210"/>
      <c r="B28" cm="1">
        <f t="array" aca="1" ref="B28" ca="1">SUM(INDIRECT(_xlfn.ANCHORARRAY(C28)))</f>
        <v>0</v>
      </c>
      <c r="C28" t="str" cm="1">
        <f t="array" ref="C28:G28">TRANSPOSE("'"&amp;_xlfn._xlws.FILTER(INDEX(Character_List,,1),INDEX(Character_List,,7)=A26,)&amp;"'!J17")</f>
        <v>'Sayu'!J17</v>
      </c>
      <c r="D28" t="str">
        <v>'Raiden Shogun'!J17</v>
      </c>
      <c r="E28" t="str">
        <v>'Gorou'!J17</v>
      </c>
      <c r="F28" t="str">
        <v>'Yae Miko'!J17</v>
      </c>
      <c r="G28" t="str">
        <v>'Chiori'!J17</v>
      </c>
    </row>
    <row r="29" spans="1:9" x14ac:dyDescent="0.25">
      <c r="A29" s="210" t="s">
        <v>107</v>
      </c>
      <c r="B29" cm="1">
        <f t="array" aca="1" ref="B29" ca="1">SUM(INDIRECT(_xlfn.ANCHORARRAY(C29)))</f>
        <v>0</v>
      </c>
      <c r="C29" t="str" cm="1">
        <f t="array" ref="C29:F29">TRANSPOSE("'"&amp;_xlfn._xlws.FILTER(INDEX(Character_List,,1),INDEX(Character_List,,7)=A29,)&amp;"'!J15")</f>
        <v>'Tighnari'!J15</v>
      </c>
      <c r="D29" t="str">
        <v>'Cyno'!J15</v>
      </c>
      <c r="E29" t="str">
        <v>'Candace'!J15</v>
      </c>
      <c r="F29" t="str">
        <v>'Faruzan'!J15</v>
      </c>
    </row>
    <row r="30" spans="1:9" x14ac:dyDescent="0.25">
      <c r="A30" s="210"/>
      <c r="B30" cm="1">
        <f t="array" aca="1" ref="B30" ca="1">SUM(INDIRECT(_xlfn.ANCHORARRAY(C30)))</f>
        <v>0</v>
      </c>
      <c r="C30" t="str" cm="1">
        <f t="array" ref="C30:F30">TRANSPOSE("'"&amp;_xlfn._xlws.FILTER(INDEX(Character_List,,1),INDEX(Character_List,,7)=A29,)&amp;"'!J16")</f>
        <v>'Tighnari'!J16</v>
      </c>
      <c r="D30" t="str">
        <v>'Cyno'!J16</v>
      </c>
      <c r="E30" t="str">
        <v>'Candace'!J16</v>
      </c>
      <c r="F30" t="str">
        <v>'Faruzan'!J16</v>
      </c>
    </row>
    <row r="31" spans="1:9" x14ac:dyDescent="0.25">
      <c r="A31" s="210"/>
      <c r="B31" cm="1">
        <f t="array" aca="1" ref="B31" ca="1">SUM(INDIRECT(_xlfn.ANCHORARRAY(C31)))</f>
        <v>0</v>
      </c>
      <c r="C31" t="str" cm="1">
        <f t="array" ref="C31:F31">TRANSPOSE("'"&amp;_xlfn._xlws.FILTER(INDEX(Character_List,,1),INDEX(Character_List,,7)=A29,)&amp;"'!J17")</f>
        <v>'Tighnari'!J17</v>
      </c>
      <c r="D31" t="str">
        <v>'Cyno'!J17</v>
      </c>
      <c r="E31" t="str">
        <v>'Candace'!J17</v>
      </c>
      <c r="F31" t="str">
        <v>'Faruzan'!J17</v>
      </c>
    </row>
    <row r="32" spans="1:9" x14ac:dyDescent="0.25">
      <c r="A32" s="210" t="s">
        <v>113</v>
      </c>
      <c r="B32" cm="1">
        <f t="array" aca="1" ref="B32" ca="1">SUM(INDIRECT(_xlfn.ANCHORARRAY(C32)))</f>
        <v>0</v>
      </c>
      <c r="C32" t="str" cm="1">
        <f t="array" ref="C32:G32">TRANSPOSE("'"&amp;_xlfn._xlws.FILTER(INDEX(Character_List,,1),INDEX(Character_List,,7)=A32,)&amp;"'!J15")</f>
        <v>'Dori'!J15</v>
      </c>
      <c r="D32" t="str">
        <v>'Nahida'!J15</v>
      </c>
      <c r="E32" t="str">
        <v>'Layla'!J15</v>
      </c>
      <c r="F32" t="str">
        <v>'Alhaitham'!J15</v>
      </c>
      <c r="G32" t="str">
        <v>'Kaveh'!J15</v>
      </c>
    </row>
    <row r="33" spans="1:7" x14ac:dyDescent="0.25">
      <c r="A33" s="210"/>
      <c r="B33" cm="1">
        <f t="array" aca="1" ref="B33" ca="1">SUM(INDIRECT(_xlfn.ANCHORARRAY(C33)))</f>
        <v>0</v>
      </c>
      <c r="C33" t="str" cm="1">
        <f t="array" ref="C33:G33">TRANSPOSE("'"&amp;_xlfn._xlws.FILTER(INDEX(Character_List,,1),INDEX(Character_List,,7)=A32,)&amp;"'!J16")</f>
        <v>'Dori'!J16</v>
      </c>
      <c r="D33" t="str">
        <v>'Nahida'!J16</v>
      </c>
      <c r="E33" t="str">
        <v>'Layla'!J16</v>
      </c>
      <c r="F33" t="str">
        <v>'Alhaitham'!J16</v>
      </c>
      <c r="G33" t="str">
        <v>'Kaveh'!J16</v>
      </c>
    </row>
    <row r="34" spans="1:7" x14ac:dyDescent="0.25">
      <c r="A34" s="210"/>
      <c r="B34" cm="1">
        <f t="array" aca="1" ref="B34" ca="1">SUM(INDIRECT(_xlfn.ANCHORARRAY(C34)))</f>
        <v>0</v>
      </c>
      <c r="C34" t="str" cm="1">
        <f t="array" ref="C34:G34">TRANSPOSE("'"&amp;_xlfn._xlws.FILTER(INDEX(Character_List,,1),INDEX(Character_List,,7)=A32,)&amp;"'!J17")</f>
        <v>'Dori'!J17</v>
      </c>
      <c r="D34" t="str">
        <v>'Nahida'!J17</v>
      </c>
      <c r="E34" t="str">
        <v>'Layla'!J17</v>
      </c>
      <c r="F34" t="str">
        <v>'Alhaitham'!J17</v>
      </c>
      <c r="G34" t="str">
        <v>'Kaveh'!J17</v>
      </c>
    </row>
    <row r="35" spans="1:7" x14ac:dyDescent="0.25">
      <c r="A35" s="210" t="s">
        <v>119</v>
      </c>
      <c r="B35" cm="1">
        <f t="array" aca="1" ref="B35" ca="1">SUM(INDIRECT(_xlfn.ANCHORARRAY(C35)))</f>
        <v>0</v>
      </c>
      <c r="C35" t="str" cm="1">
        <f t="array" ref="C35:G35">TRANSPOSE("'"&amp;_xlfn._xlws.FILTER(INDEX(Character_List,,1),INDEX(Character_List,,7)=A35,)&amp;"'!J15")</f>
        <v>'Collei'!J15</v>
      </c>
      <c r="D35" t="str">
        <v>'Nilou'!J15</v>
      </c>
      <c r="E35" t="str">
        <v>'Wanderer'!J15</v>
      </c>
      <c r="F35" t="str">
        <v>'Dehya'!J15</v>
      </c>
      <c r="G35" t="str">
        <v>'Sethos'!J15</v>
      </c>
    </row>
    <row r="36" spans="1:7" x14ac:dyDescent="0.25">
      <c r="A36" s="210"/>
      <c r="B36" cm="1">
        <f t="array" aca="1" ref="B36" ca="1">SUM(INDIRECT(_xlfn.ANCHORARRAY(C36)))</f>
        <v>0</v>
      </c>
      <c r="C36" t="str" cm="1">
        <f t="array" ref="C36:G36">TRANSPOSE("'"&amp;_xlfn._xlws.FILTER(INDEX(Character_List,,1),INDEX(Character_List,,7)=A35,)&amp;"'!J16")</f>
        <v>'Collei'!J16</v>
      </c>
      <c r="D36" t="str">
        <v>'Nilou'!J16</v>
      </c>
      <c r="E36" t="str">
        <v>'Wanderer'!J16</v>
      </c>
      <c r="F36" t="str">
        <v>'Dehya'!J16</v>
      </c>
      <c r="G36" t="str">
        <v>'Sethos'!J16</v>
      </c>
    </row>
    <row r="37" spans="1:7" x14ac:dyDescent="0.25">
      <c r="A37" s="210"/>
      <c r="B37" cm="1">
        <f t="array" aca="1" ref="B37" ca="1">SUM(INDIRECT(_xlfn.ANCHORARRAY(C37)))</f>
        <v>0</v>
      </c>
      <c r="C37" t="str" cm="1">
        <f t="array" ref="C37:G37">TRANSPOSE("'"&amp;_xlfn._xlws.FILTER(INDEX(Character_List,,1),INDEX(Character_List,,7)=A35,)&amp;"'!J17")</f>
        <v>'Collei'!J17</v>
      </c>
      <c r="D37" t="str">
        <v>'Nilou'!J17</v>
      </c>
      <c r="E37" t="str">
        <v>'Wanderer'!J17</v>
      </c>
      <c r="F37" t="str">
        <v>'Dehya'!J17</v>
      </c>
      <c r="G37" t="str">
        <v>'Sethos'!J17</v>
      </c>
    </row>
    <row r="38" spans="1:7" x14ac:dyDescent="0.25">
      <c r="A38" s="210" t="s">
        <v>125</v>
      </c>
      <c r="B38" cm="1">
        <f t="array" aca="1" ref="B38" ca="1">SUM(INDIRECT(_xlfn.ANCHORARRAY(C38)))</f>
        <v>0</v>
      </c>
      <c r="C38" t="str" cm="1">
        <f t="array" ref="C38:F38">TRANSPOSE("'"&amp;_xlfn._xlws.FILTER(INDEX(Character_List,,1),INDEX(Character_List,,7)=A38,)&amp;"'!J15")</f>
        <v>'Lyney'!J15</v>
      </c>
      <c r="D38" t="str">
        <v>'Neuvillette'!J15</v>
      </c>
      <c r="E38" t="str">
        <v>'Navia'!J15</v>
      </c>
      <c r="F38" t="str">
        <v>'Sigewinne'!J15</v>
      </c>
    </row>
    <row r="39" spans="1:7" x14ac:dyDescent="0.25">
      <c r="A39" s="210"/>
      <c r="B39" cm="1">
        <f t="array" aca="1" ref="B39" ca="1">SUM(INDIRECT(_xlfn.ANCHORARRAY(C39)))</f>
        <v>0</v>
      </c>
      <c r="C39" t="str" cm="1">
        <f t="array" ref="C39:F39">TRANSPOSE("'"&amp;_xlfn._xlws.FILTER(INDEX(Character_List,,1),INDEX(Character_List,,7)=A38,)&amp;"'!J16")</f>
        <v>'Lyney'!J16</v>
      </c>
      <c r="D39" t="str">
        <v>'Neuvillette'!J16</v>
      </c>
      <c r="E39" t="str">
        <v>'Navia'!J16</v>
      </c>
      <c r="F39" t="str">
        <v>'Sigewinne'!J16</v>
      </c>
    </row>
    <row r="40" spans="1:7" x14ac:dyDescent="0.25">
      <c r="A40" s="210"/>
      <c r="B40" cm="1">
        <f t="array" aca="1" ref="B40" ca="1">SUM(INDIRECT(_xlfn.ANCHORARRAY(C40)))</f>
        <v>0</v>
      </c>
      <c r="C40" t="str" cm="1">
        <f t="array" ref="C40:F40">TRANSPOSE("'"&amp;_xlfn._xlws.FILTER(INDEX(Character_List,,1),INDEX(Character_List,,7)=A38,)&amp;"'!J17")</f>
        <v>'Lyney'!J17</v>
      </c>
      <c r="D40" t="str">
        <v>'Neuvillette'!J17</v>
      </c>
      <c r="E40" t="str">
        <v>'Navia'!J17</v>
      </c>
      <c r="F40" t="str">
        <v>'Sigewinne'!J17</v>
      </c>
    </row>
    <row r="41" spans="1:7" x14ac:dyDescent="0.25">
      <c r="A41" s="210" t="s">
        <v>128</v>
      </c>
      <c r="B41" cm="1">
        <f t="array" aca="1" ref="B41" ca="1">SUM(INDIRECT(_xlfn.ANCHORARRAY(C41)))</f>
        <v>0</v>
      </c>
      <c r="C41" t="str" cm="1">
        <f t="array" ref="C41:G41">TRANSPOSE("'"&amp;_xlfn._xlws.FILTER(INDEX(Character_List,,1),INDEX(Character_List,,7)=A41,)&amp;"'!J15")</f>
        <v>'Freminet'!J15</v>
      </c>
      <c r="D41" t="str">
        <v>'Furina'!J15</v>
      </c>
      <c r="E41" t="str">
        <v>'Charlotte'!J15</v>
      </c>
      <c r="F41" t="str">
        <v>'Clorinde'!J15</v>
      </c>
      <c r="G41" t="str">
        <v>'Escoffier'!J15</v>
      </c>
    </row>
    <row r="42" spans="1:7" x14ac:dyDescent="0.25">
      <c r="A42" s="210"/>
      <c r="B42" cm="1">
        <f t="array" aca="1" ref="B42" ca="1">SUM(INDIRECT(_xlfn.ANCHORARRAY(C42)))</f>
        <v>0</v>
      </c>
      <c r="C42" t="str" cm="1">
        <f t="array" ref="C42:G42">TRANSPOSE("'"&amp;_xlfn._xlws.FILTER(INDEX(Character_List,,1),INDEX(Character_List,,7)=A41,)&amp;"'!J16")</f>
        <v>'Freminet'!J16</v>
      </c>
      <c r="D42" t="str">
        <v>'Furina'!J16</v>
      </c>
      <c r="E42" t="str">
        <v>'Charlotte'!J16</v>
      </c>
      <c r="F42" t="str">
        <v>'Clorinde'!J16</v>
      </c>
      <c r="G42" t="str">
        <v>'Escoffier'!J16</v>
      </c>
    </row>
    <row r="43" spans="1:7" x14ac:dyDescent="0.25">
      <c r="A43" s="210"/>
      <c r="B43" cm="1">
        <f t="array" aca="1" ref="B43" ca="1">SUM(INDIRECT(_xlfn.ANCHORARRAY(C43)))</f>
        <v>0</v>
      </c>
      <c r="C43" t="str" cm="1">
        <f t="array" ref="C43:G43">TRANSPOSE("'"&amp;_xlfn._xlws.FILTER(INDEX(Character_List,,1),INDEX(Character_List,,7)=A41,)&amp;"'!J17")</f>
        <v>'Freminet'!J17</v>
      </c>
      <c r="D43" t="str">
        <v>'Furina'!J17</v>
      </c>
      <c r="E43" t="str">
        <v>'Charlotte'!J17</v>
      </c>
      <c r="F43" t="str">
        <v>'Clorinde'!J17</v>
      </c>
      <c r="G43" t="str">
        <v>'Escoffier'!J17</v>
      </c>
    </row>
    <row r="44" spans="1:7" x14ac:dyDescent="0.25">
      <c r="A44" s="210" t="s">
        <v>131</v>
      </c>
      <c r="B44" cm="1">
        <f t="array" aca="1" ref="B44" ca="1">SUM(INDIRECT(_xlfn.ANCHORARRAY(C44)))</f>
        <v>0</v>
      </c>
      <c r="C44" t="str" cm="1">
        <f t="array" ref="C44:G44">TRANSPOSE("'"&amp;_xlfn._xlws.FILTER(INDEX(Character_List,,1),INDEX(Character_List,,7)=A44,)&amp;"'!J15")</f>
        <v>'Lynette'!J15</v>
      </c>
      <c r="D44" t="str">
        <v>'Wriothesley'!J15</v>
      </c>
      <c r="E44" t="str">
        <v>'Chevreuse'!J15</v>
      </c>
      <c r="F44" t="str">
        <v>'Arlecchino'!J15</v>
      </c>
      <c r="G44" t="str">
        <v>'Emilie'!J15</v>
      </c>
    </row>
    <row r="45" spans="1:7" x14ac:dyDescent="0.25">
      <c r="A45" s="210"/>
      <c r="B45" cm="1">
        <f t="array" aca="1" ref="B45" ca="1">SUM(INDIRECT(_xlfn.ANCHORARRAY(C45)))</f>
        <v>0</v>
      </c>
      <c r="C45" t="str" cm="1">
        <f t="array" ref="C45:G45">TRANSPOSE("'"&amp;_xlfn._xlws.FILTER(INDEX(Character_List,,1),INDEX(Character_List,,7)=A44,)&amp;"'!J16")</f>
        <v>'Lynette'!J16</v>
      </c>
      <c r="D45" t="str">
        <v>'Wriothesley'!J16</v>
      </c>
      <c r="E45" t="str">
        <v>'Chevreuse'!J16</v>
      </c>
      <c r="F45" t="str">
        <v>'Arlecchino'!J16</v>
      </c>
      <c r="G45" t="str">
        <v>'Emilie'!J16</v>
      </c>
    </row>
    <row r="46" spans="1:7" x14ac:dyDescent="0.25">
      <c r="A46" s="210"/>
      <c r="B46" cm="1">
        <f t="array" aca="1" ref="B46" ca="1">SUM(INDIRECT(_xlfn.ANCHORARRAY(C46)))</f>
        <v>0</v>
      </c>
      <c r="C46" t="str" cm="1">
        <f t="array" ref="C46:G46">TRANSPOSE("'"&amp;_xlfn._xlws.FILTER(INDEX(Character_List,,1),INDEX(Character_List,,7)=A44,)&amp;"'!J17")</f>
        <v>'Lynette'!J17</v>
      </c>
      <c r="D46" t="str">
        <v>'Wriothesley'!J17</v>
      </c>
      <c r="E46" t="str">
        <v>'Chevreuse'!J17</v>
      </c>
      <c r="F46" t="str">
        <v>'Arlecchino'!J17</v>
      </c>
      <c r="G46" t="str">
        <v>'Emilie'!J17</v>
      </c>
    </row>
    <row r="47" spans="1:7" x14ac:dyDescent="0.25">
      <c r="A47" s="210" t="s">
        <v>134</v>
      </c>
      <c r="B47" cm="1">
        <f t="array" aca="1" ref="B47" ca="1">SUM(INDIRECT(_xlfn.ANCHORARRAY(C47)))</f>
        <v>0</v>
      </c>
      <c r="C47" t="str" cm="1">
        <f t="array" ref="C47:F47">TRANSPOSE("'"&amp;_xlfn._xlws.FILTER(INDEX(Character_List,,1),INDEX(Character_List,,7)=A47,)&amp;"'!J15")</f>
        <v>'Mualani'!J15</v>
      </c>
      <c r="D47" t="str">
        <v>'Mavuika'!J15</v>
      </c>
      <c r="E47" t="str">
        <v>'Iansan'!J15</v>
      </c>
      <c r="F47" t="str">
        <v>'Skirk'!J15</v>
      </c>
    </row>
    <row r="48" spans="1:7" x14ac:dyDescent="0.25">
      <c r="A48" s="210"/>
      <c r="B48" cm="1">
        <f t="array" aca="1" ref="B48" ca="1">SUM(INDIRECT(_xlfn.ANCHORARRAY(C48)))</f>
        <v>0</v>
      </c>
      <c r="C48" t="str" cm="1">
        <f t="array" ref="C48:F48">TRANSPOSE("'"&amp;_xlfn._xlws.FILTER(INDEX(Character_List,,1),INDEX(Character_List,,7)=A47,)&amp;"'!J16")</f>
        <v>'Mualani'!J16</v>
      </c>
      <c r="D48" t="str">
        <v>'Mavuika'!J16</v>
      </c>
      <c r="E48" t="str">
        <v>'Iansan'!J16</v>
      </c>
      <c r="F48" t="str">
        <v>'Skirk'!J16</v>
      </c>
    </row>
    <row r="49" spans="1:7" x14ac:dyDescent="0.25">
      <c r="A49" s="210"/>
      <c r="B49" cm="1">
        <f t="array" aca="1" ref="B49" ca="1">SUM(INDIRECT(_xlfn.ANCHORARRAY(C49)))</f>
        <v>0</v>
      </c>
      <c r="C49" t="str" cm="1">
        <f t="array" ref="C49:F49">TRANSPOSE("'"&amp;_xlfn._xlws.FILTER(INDEX(Character_List,,1),INDEX(Character_List,,7)=A47,)&amp;"'!J17")</f>
        <v>'Mualani'!J17</v>
      </c>
      <c r="D49" t="str">
        <v>'Mavuika'!J17</v>
      </c>
      <c r="E49" t="str">
        <v>'Iansan'!J17</v>
      </c>
      <c r="F49" t="str">
        <v>'Skirk'!J17</v>
      </c>
    </row>
    <row r="50" spans="1:7" x14ac:dyDescent="0.25">
      <c r="A50" s="210" t="s">
        <v>135</v>
      </c>
      <c r="B50" cm="1">
        <f t="array" aca="1" ref="B50" ca="1">SUM(INDIRECT(_xlfn.ANCHORARRAY(C50)))</f>
        <v>0</v>
      </c>
      <c r="C50" t="str" cm="1">
        <f t="array" ref="C50:F50">TRANSPOSE("'"&amp;_xlfn._xlws.FILTER(INDEX(Character_List,,1),INDEX(Character_List,,7)=A50,)&amp;"'!J15")</f>
        <v>'Kinich'!J15</v>
      </c>
      <c r="D50" t="str">
        <v>'Xilonen'!J15</v>
      </c>
      <c r="E50" t="str">
        <v>'Ororon'!J15</v>
      </c>
      <c r="F50" t="str">
        <v>'Citlali'!J15</v>
      </c>
    </row>
    <row r="51" spans="1:7" x14ac:dyDescent="0.25">
      <c r="A51" s="210"/>
      <c r="B51" cm="1">
        <f t="array" aca="1" ref="B51" ca="1">SUM(INDIRECT(_xlfn.ANCHORARRAY(C51)))</f>
        <v>0</v>
      </c>
      <c r="C51" t="str" cm="1">
        <f t="array" ref="C51:F51">TRANSPOSE("'"&amp;_xlfn._xlws.FILTER(INDEX(Character_List,,1),INDEX(Character_List,,7)=A50,)&amp;"'!J16")</f>
        <v>'Kinich'!J16</v>
      </c>
      <c r="D51" t="str">
        <v>'Xilonen'!J16</v>
      </c>
      <c r="E51" t="str">
        <v>'Ororon'!J16</v>
      </c>
      <c r="F51" t="str">
        <v>'Citlali'!J16</v>
      </c>
    </row>
    <row r="52" spans="1:7" x14ac:dyDescent="0.25">
      <c r="A52" s="210"/>
      <c r="B52" cm="1">
        <f t="array" aca="1" ref="B52" ca="1">SUM(INDIRECT(_xlfn.ANCHORARRAY(C52)))</f>
        <v>0</v>
      </c>
      <c r="C52" t="str" cm="1">
        <f t="array" ref="C52:F52">TRANSPOSE("'"&amp;_xlfn._xlws.FILTER(INDEX(Character_List,,1),INDEX(Character_List,,7)=A50,)&amp;"'!J17")</f>
        <v>'Kinich'!J17</v>
      </c>
      <c r="D52" t="str">
        <v>'Xilonen'!J17</v>
      </c>
      <c r="E52" t="str">
        <v>'Ororon'!J17</v>
      </c>
      <c r="F52" t="str">
        <v>'Citlali'!J17</v>
      </c>
    </row>
    <row r="53" spans="1:7" x14ac:dyDescent="0.25">
      <c r="A53" s="210" t="s">
        <v>137</v>
      </c>
      <c r="B53" cm="1">
        <f t="array" aca="1" ref="B53" ca="1">SUM(INDIRECT(_xlfn.ANCHORARRAY(C53)))</f>
        <v>0</v>
      </c>
      <c r="C53" t="str" cm="1">
        <f t="array" ref="C53:G53">TRANSPOSE("'"&amp;_xlfn._xlws.FILTER(INDEX(Character_List,,1),INDEX(Character_List,,7)=A53,)&amp;"'!J15")</f>
        <v>'Kachina'!J15</v>
      </c>
      <c r="D53" t="str">
        <v>'Chasca'!J15</v>
      </c>
      <c r="E53" t="str">
        <v>'Varesa'!J15</v>
      </c>
      <c r="F53" t="str">
        <v>'Ifa'!J15</v>
      </c>
      <c r="G53" t="str">
        <v>'Ineffa'!J15</v>
      </c>
    </row>
    <row r="54" spans="1:7" x14ac:dyDescent="0.25">
      <c r="A54" s="210"/>
      <c r="B54" cm="1">
        <f t="array" aca="1" ref="B54" ca="1">SUM(INDIRECT(_xlfn.ANCHORARRAY(C54)))</f>
        <v>0</v>
      </c>
      <c r="C54" t="str" cm="1">
        <f t="array" ref="C54:G54">TRANSPOSE("'"&amp;_xlfn._xlws.FILTER(INDEX(Character_List,,1),INDEX(Character_List,,7)=A53,)&amp;"'!J16")</f>
        <v>'Kachina'!J16</v>
      </c>
      <c r="D54" t="str">
        <v>'Chasca'!J16</v>
      </c>
      <c r="E54" t="str">
        <v>'Varesa'!J16</v>
      </c>
      <c r="F54" t="str">
        <v>'Ifa'!J16</v>
      </c>
      <c r="G54" t="str">
        <v>'Ineffa'!J16</v>
      </c>
    </row>
    <row r="55" spans="1:7" x14ac:dyDescent="0.25">
      <c r="A55" s="210"/>
      <c r="B55" cm="1">
        <f t="array" aca="1" ref="B55" ca="1">SUM(INDIRECT(_xlfn.ANCHORARRAY(C55)))</f>
        <v>36</v>
      </c>
      <c r="C55" t="str" cm="1">
        <f t="array" ref="C55:G55">TRANSPOSE("'"&amp;_xlfn._xlws.FILTER(INDEX(Character_List,,1),INDEX(Character_List,,7)=A53,)&amp;"'!J17")</f>
        <v>'Kachina'!J17</v>
      </c>
      <c r="D55" t="str">
        <v>'Chasca'!J17</v>
      </c>
      <c r="E55" t="str">
        <v>'Varesa'!J17</v>
      </c>
      <c r="F55" t="str">
        <v>'Ifa'!J17</v>
      </c>
      <c r="G55" t="str">
        <v>'Ineffa'!J17</v>
      </c>
    </row>
  </sheetData>
  <mergeCells count="18">
    <mergeCell ref="A14:A16"/>
    <mergeCell ref="A38:A40"/>
    <mergeCell ref="A2:A4"/>
    <mergeCell ref="A5:A7"/>
    <mergeCell ref="A8:A10"/>
    <mergeCell ref="A11:A13"/>
    <mergeCell ref="A17:A19"/>
    <mergeCell ref="A29:A31"/>
    <mergeCell ref="A32:A34"/>
    <mergeCell ref="A35:A37"/>
    <mergeCell ref="A20:A22"/>
    <mergeCell ref="A23:A25"/>
    <mergeCell ref="A26:A28"/>
    <mergeCell ref="A47:A49"/>
    <mergeCell ref="A50:A52"/>
    <mergeCell ref="A53:A55"/>
    <mergeCell ref="A41:A43"/>
    <mergeCell ref="A44:A46"/>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7FEB-C4B5-4837-94F3-75F9C2B5977A}">
  <sheetPr codeName="Sheet5">
    <tabColor theme="5" tint="0.39997558519241921"/>
  </sheetPr>
  <dimension ref="A1:L55"/>
  <sheetViews>
    <sheetView workbookViewId="0">
      <selection activeCell="F35" sqref="F35"/>
    </sheetView>
  </sheetViews>
  <sheetFormatPr defaultColWidth="8.85546875" defaultRowHeight="15" x14ac:dyDescent="0.25"/>
  <cols>
    <col min="2" max="2" width="19.140625" bestFit="1" customWidth="1"/>
    <col min="3" max="3" width="24.85546875" bestFit="1" customWidth="1"/>
  </cols>
  <sheetData>
    <row r="1" spans="1:12" x14ac:dyDescent="0.25">
      <c r="A1" s="61">
        <v>1</v>
      </c>
      <c r="B1" t="str" cm="1">
        <f t="array" ref="B1:B15">_xlfn._xlws.FILTER(INDEX(Common_Mob_Drops,,1),INDEX(Common_Mob_Drops,,1)&lt;&gt;"")</f>
        <v>Slime</v>
      </c>
      <c r="C1" cm="1">
        <f t="array" aca="1" ref="C1" ca="1">IFERROR(SUM(INDIRECT(_xlfn.ANCHORARRAY(D1))),0)</f>
        <v>0</v>
      </c>
      <c r="D1" t="str" cm="1">
        <f t="array" ref="D1:K1">TRANSPOSE("'"&amp;_xlfn._xlws.FILTER(INDEX(Character_List,,1),INDEX(Character_List,,5)=B1)&amp;"'!J11")</f>
        <v>'Lisa'!J11</v>
      </c>
      <c r="E1" t="str">
        <v>'Xiangling'!J11</v>
      </c>
      <c r="F1" t="str">
        <v>'Venti'!J11</v>
      </c>
      <c r="G1" t="str">
        <v>'Zhongli'!J11</v>
      </c>
      <c r="H1" t="str">
        <v>'Xiao'!J11</v>
      </c>
      <c r="I1" t="str">
        <v>'Arataki Itto'!J11</v>
      </c>
      <c r="J1" t="str">
        <v>'Yaoyao'!J11</v>
      </c>
      <c r="K1" t="str">
        <v>'Gaming'!J11</v>
      </c>
    </row>
    <row r="2" spans="1:12" x14ac:dyDescent="0.25">
      <c r="A2" s="61">
        <v>1</v>
      </c>
      <c r="B2" t="str">
        <v>Hilichurl</v>
      </c>
      <c r="C2" cm="1">
        <f t="array" aca="1" ref="C2" ca="1">IFERROR(SUM(INDIRECT(_xlfn.ANCHORARRAY(D2))),0)</f>
        <v>0</v>
      </c>
      <c r="D2" t="str" cm="1">
        <f t="array" ref="D2:K2">TRANSPOSE("'"&amp;_xlfn._xlws.FILTER(INDEX(Character_List,,1),INDEX(Character_List,,5)=B2)&amp;"'!J11")</f>
        <v>'Razor'!J11</v>
      </c>
      <c r="E2" t="str">
        <v>'Noelle'!J11</v>
      </c>
      <c r="F2" t="str">
        <v>'Chongyun'!J11</v>
      </c>
      <c r="G2" t="str">
        <v>'Jean'!J11</v>
      </c>
      <c r="H2" t="str">
        <v>'Xingqiu'!J11</v>
      </c>
      <c r="I2" t="str">
        <v>'Eula'!J11</v>
      </c>
      <c r="J2" t="str">
        <v>'Kujou Sara'!J11</v>
      </c>
      <c r="K2" t="str">
        <v>'Yunjin'!J11</v>
      </c>
    </row>
    <row r="3" spans="1:12" x14ac:dyDescent="0.25">
      <c r="A3" s="61">
        <v>1</v>
      </c>
      <c r="B3" t="str">
        <v>Samachurl</v>
      </c>
      <c r="C3" cm="1">
        <f t="array" aca="1" ref="C3" ca="1">IFERROR(SUM(INDIRECT(_xlfn.ANCHORARRAY(D3))),0)</f>
        <v>0</v>
      </c>
      <c r="D3" t="str" cm="1">
        <f t="array" ref="D3:K3">TRANSPOSE("'"&amp;_xlfn._xlws.FILTER(INDEX(Character_List,,1),INDEX(Character_List,,5)=B3)&amp;"'!J11")</f>
        <v>'Barbara'!J11</v>
      </c>
      <c r="E3" t="str">
        <v>'Qiqi'!J11</v>
      </c>
      <c r="F3" t="str">
        <v>'Klee'!J11</v>
      </c>
      <c r="G3" t="str">
        <v>'Albedo'!J11</v>
      </c>
      <c r="H3" t="str">
        <v>'Yoimiya'!J11</v>
      </c>
      <c r="I3" t="str">
        <v>'Cyno'!J11</v>
      </c>
      <c r="J3" t="str">
        <v>'Layla'!J11</v>
      </c>
      <c r="K3" t="str">
        <v>'Xianyun'!J11</v>
      </c>
    </row>
    <row r="4" spans="1:12" x14ac:dyDescent="0.25">
      <c r="A4" s="61">
        <v>1</v>
      </c>
      <c r="B4" t="str">
        <v>Hilichurl Shooter</v>
      </c>
      <c r="C4" cm="1">
        <f t="array" aca="1" ref="C4" ca="1">IFERROR(SUM(INDIRECT(_xlfn.ANCHORARRAY(D4))),0)</f>
        <v>0</v>
      </c>
      <c r="D4" t="str" cm="1">
        <f t="array" ref="D4:H4">TRANSPOSE("'"&amp;_xlfn._xlws.FILTER(INDEX(Character_List,,1),INDEX(Character_List,,5)=B4)&amp;"'!J11")</f>
        <v>'Amber'!J11</v>
      </c>
      <c r="E4" t="str">
        <v>'Fischl'!J11</v>
      </c>
      <c r="F4" t="str">
        <v>'Diona'!J11</v>
      </c>
      <c r="G4" t="str">
        <v>'Collei'!J11</v>
      </c>
      <c r="H4" t="str">
        <v>'Dahlia'!J11</v>
      </c>
    </row>
    <row r="5" spans="1:12" x14ac:dyDescent="0.25">
      <c r="A5" s="61">
        <v>1</v>
      </c>
      <c r="B5" t="str">
        <v>Fatui</v>
      </c>
      <c r="C5" cm="1">
        <f t="array" aca="1" ref="C5" ca="1">IFERROR(SUM(INDIRECT(_xlfn.ANCHORARRAY(D5))),0)</f>
        <v>0</v>
      </c>
      <c r="D5" t="str" cm="1">
        <f t="array" ref="D5:K5">TRANSPOSE("'"&amp;_xlfn._xlws.FILTER(INDEX(Character_List,,1),INDEX(Character_List,,5)=B5)&amp;"'!J11")</f>
        <v>'Diluc'!J11</v>
      </c>
      <c r="E5" t="str">
        <v>'Ningguang'!J11</v>
      </c>
      <c r="F5" t="str">
        <v>'Tartaglia'!J11</v>
      </c>
      <c r="G5" t="str">
        <v>'Rosaria'!J11</v>
      </c>
      <c r="H5" t="str">
        <v>'Yelan'!J11</v>
      </c>
      <c r="I5" t="str">
        <v>'Mika'!J11</v>
      </c>
      <c r="J5" t="str">
        <v>'Lyney'!J11</v>
      </c>
      <c r="K5" t="str">
        <v>'Arlecchino'!J11</v>
      </c>
    </row>
    <row r="6" spans="1:12" x14ac:dyDescent="0.25">
      <c r="A6" s="61">
        <v>1</v>
      </c>
      <c r="B6" t="str">
        <v>Treasure Hoarder</v>
      </c>
      <c r="C6" cm="1">
        <f t="array" aca="1" ref="C6" ca="1">IFERROR(SUM(INDIRECT(_xlfn.ANCHORARRAY(D6))),0)</f>
        <v>0</v>
      </c>
      <c r="D6" t="str" cm="1">
        <f t="array" ref="D6:K6">TRANSPOSE("'"&amp;_xlfn._xlws.FILTER(INDEX(Character_List,,1),INDEX(Character_List,,5)=B6)&amp;"'!J11")</f>
        <v>'Beidou'!J11</v>
      </c>
      <c r="E6" t="str">
        <v>'Bennett'!J11</v>
      </c>
      <c r="F6" t="str">
        <v>'Kaeya'!J11</v>
      </c>
      <c r="G6" t="str">
        <v>'Xinyan'!J11</v>
      </c>
      <c r="H6" t="str">
        <v>'Yanfei'!J11</v>
      </c>
      <c r="I6" t="str">
        <v>'Kaedehara Kazuha'!J11</v>
      </c>
      <c r="J6" t="str">
        <v>'Thoma'!J11</v>
      </c>
      <c r="K6" t="str">
        <v>'Shikanoin Heizou'!J11</v>
      </c>
    </row>
    <row r="7" spans="1:12" x14ac:dyDescent="0.25">
      <c r="A7" s="61">
        <v>1</v>
      </c>
      <c r="B7" t="str">
        <v>Whopperflower</v>
      </c>
      <c r="C7" cm="1">
        <f t="array" aca="1" ref="C7" ca="1">IFERROR(SUM(INDIRECT(_xlfn.ANCHORARRAY(D7))),0)</f>
        <v>0</v>
      </c>
      <c r="D7" t="str" cm="1">
        <f t="array" ref="D7:L7">TRANSPOSE("'"&amp;_xlfn._xlws.FILTER(INDEX(Character_List,,1),INDEX(Character_List,,5)=B7)&amp;"'!J11")</f>
        <v>'Sucrose'!J11</v>
      </c>
      <c r="E7" t="str">
        <v>'Mona'!J11</v>
      </c>
      <c r="F7" t="str">
        <v>'Keqing'!J11</v>
      </c>
      <c r="G7" t="str">
        <v>'Ganyu'!J11</v>
      </c>
      <c r="H7" t="str">
        <v>'Hutao'!J11</v>
      </c>
      <c r="I7" t="str">
        <v>'Sayu'!J11</v>
      </c>
      <c r="J7" t="str">
        <v>'Shenhe'!J11</v>
      </c>
      <c r="K7" t="str">
        <v>'Furina'!J11</v>
      </c>
      <c r="L7" t="str">
        <v>'Lan Yan'!J11</v>
      </c>
    </row>
    <row r="8" spans="1:12" x14ac:dyDescent="0.25">
      <c r="A8" s="61">
        <v>1</v>
      </c>
      <c r="B8" t="str">
        <v>Nobushi</v>
      </c>
      <c r="C8" cm="1">
        <f t="array" aca="1" ref="C8" ca="1">IFERROR(SUM(INDIRECT(_xlfn.ANCHORARRAY(D8))),0)</f>
        <v>0</v>
      </c>
      <c r="D8" t="str" cm="1">
        <f t="array" ref="D8:I8">TRANSPOSE("'"&amp;_xlfn._xlws.FILTER(INDEX(Character_List,,1),INDEX(Character_List,,5)=B8)&amp;"'!J11")</f>
        <v>'Kamisato Ayaka'!J11</v>
      </c>
      <c r="E8" t="str">
        <v>'Raiden Shogun'!J11</v>
      </c>
      <c r="F8" t="str">
        <v>'Yae Miko'!J11</v>
      </c>
      <c r="G8" t="str">
        <v>'Kamisato Ayato'!J11</v>
      </c>
      <c r="H8" t="str">
        <v>'Wanderer'!J11</v>
      </c>
      <c r="I8" t="str">
        <v>'Yumemizuki Mizuki'!J11</v>
      </c>
    </row>
    <row r="9" spans="1:12" x14ac:dyDescent="0.25">
      <c r="A9" s="61">
        <v>1</v>
      </c>
      <c r="B9" t="str">
        <v>Specter</v>
      </c>
      <c r="C9" cm="1">
        <f t="array" aca="1" ref="C9" ca="1">IFERROR(SUM(INDIRECT(_xlfn.ANCHORARRAY(D9))),0)</f>
        <v>0</v>
      </c>
      <c r="D9" t="str" cm="1">
        <f t="array" ref="D9:I9">TRANSPOSE("'"&amp;_xlfn._xlws.FILTER(INDEX(Character_List,,1),INDEX(Character_List,,5)=B9)&amp;"'!J11")</f>
        <v>'Sangonomiya Kokomi'!J11</v>
      </c>
      <c r="E9" t="str">
        <v>'Aloy'!J11</v>
      </c>
      <c r="F9" t="str">
        <v>'Gorou'!J11</v>
      </c>
      <c r="G9" t="str">
        <v>'Kuki Shinobu'!J11</v>
      </c>
      <c r="H9" t="str">
        <v>'Kirara'!J11</v>
      </c>
      <c r="I9" t="str">
        <v>'Chiori'!J11</v>
      </c>
    </row>
    <row r="10" spans="1:12" x14ac:dyDescent="0.25">
      <c r="A10" s="61">
        <v>1</v>
      </c>
      <c r="B10" t="str">
        <v>Floating Fungi</v>
      </c>
      <c r="C10" cm="1">
        <f t="array" aca="1" ref="C10" ca="1">IFERROR(SUM(INDIRECT(_xlfn.ANCHORARRAY(D10))),0)</f>
        <v>0</v>
      </c>
      <c r="D10" t="str" cm="1">
        <f t="array" ref="D10:H10">TRANSPOSE("'"&amp;_xlfn._xlws.FILTER(INDEX(Character_List,,1),INDEX(Character_List,,5)=B10)&amp;"'!J11")</f>
        <v>'Tighnari'!J11</v>
      </c>
      <c r="E10" t="str">
        <v>'Nilou'!J11</v>
      </c>
      <c r="F10" t="str">
        <v>'Nahida'!J11</v>
      </c>
      <c r="G10" t="str">
        <v>'Baizhu'!J11</v>
      </c>
      <c r="H10" t="str">
        <v>'Kaveh'!J11</v>
      </c>
    </row>
    <row r="11" spans="1:12" x14ac:dyDescent="0.25">
      <c r="A11" s="61">
        <v>1</v>
      </c>
      <c r="B11" t="str">
        <v>Eremite</v>
      </c>
      <c r="C11" cm="1">
        <f t="array" aca="1" ref="C11" ca="1">IFERROR(SUM(INDIRECT(_xlfn.ANCHORARRAY(D11))),0)</f>
        <v>0</v>
      </c>
      <c r="D11" t="str" cm="1">
        <f t="array" ref="D11:I11">TRANSPOSE("'"&amp;_xlfn._xlws.FILTER(INDEX(Character_List,,1),INDEX(Character_List,,5)=B11)&amp;"'!J11")</f>
        <v>'Dori'!J11</v>
      </c>
      <c r="E11" t="str">
        <v>'Candace'!J11</v>
      </c>
      <c r="F11" t="str">
        <v>'Faruzan'!J11</v>
      </c>
      <c r="G11" t="str">
        <v>'Alhaitham'!J11</v>
      </c>
      <c r="H11" t="str">
        <v>'Dehya'!J11</v>
      </c>
      <c r="I11" t="str">
        <v>'Sethos'!J11</v>
      </c>
    </row>
    <row r="12" spans="1:12" x14ac:dyDescent="0.25">
      <c r="A12" s="61">
        <v>1</v>
      </c>
      <c r="B12" t="str">
        <v>Fontemer Aberrant</v>
      </c>
      <c r="C12" cm="1">
        <f t="array" aca="1" ref="C12" ca="1">IFERROR(SUM(INDIRECT(_xlfn.ANCHORARRAY(D12))),0)</f>
        <v>0</v>
      </c>
      <c r="D12" t="str" cm="1">
        <f t="array" ref="D12:H12">TRANSPOSE("'"&amp;_xlfn._xlws.FILTER(INDEX(Character_List,,1),INDEX(Character_List,,5)=B12)&amp;"'!J11")</f>
        <v>'Freminet'!J11</v>
      </c>
      <c r="E12" t="str">
        <v>'Neuvillette'!J11</v>
      </c>
      <c r="F12" t="str">
        <v>'Navia'!J11</v>
      </c>
      <c r="G12" t="str">
        <v>'Clorinde'!J11</v>
      </c>
      <c r="H12" t="str">
        <v>'Sigewinne'!J11</v>
      </c>
    </row>
    <row r="13" spans="1:12" x14ac:dyDescent="0.25">
      <c r="A13" s="61">
        <v>1</v>
      </c>
      <c r="B13" t="str">
        <v>Clockwork Meka</v>
      </c>
      <c r="C13" cm="1">
        <f t="array" aca="1" ref="C13" ca="1">IFERROR(SUM(INDIRECT(_xlfn.ANCHORARRAY(D13))),0)</f>
        <v>0</v>
      </c>
      <c r="D13" t="str" cm="1">
        <f t="array" ref="D13:J13">TRANSPOSE("'"&amp;_xlfn._xlws.FILTER(INDEX(Character_List,,1),INDEX(Character_List,,5)=B13)&amp;"'!J11")</f>
        <v>'Lynette'!J11</v>
      </c>
      <c r="E13" t="str">
        <v>'Wriothesley'!J11</v>
      </c>
      <c r="F13" t="str">
        <v>'Charlotte'!J11</v>
      </c>
      <c r="G13" t="str">
        <v>'Chevreuse'!J11</v>
      </c>
      <c r="H13" t="str">
        <v>'Emilie'!J11</v>
      </c>
      <c r="I13" t="str">
        <v>'Escoffier'!J11</v>
      </c>
      <c r="J13" t="str">
        <v>'Skirk'!J11</v>
      </c>
    </row>
    <row r="14" spans="1:12" x14ac:dyDescent="0.25">
      <c r="A14" s="61">
        <v>1</v>
      </c>
      <c r="B14" t="str">
        <v>Saurian</v>
      </c>
      <c r="C14" cm="1">
        <f t="array" aca="1" ref="C14" ca="1">IFERROR(SUM(INDIRECT(_xlfn.ANCHORARRAY(D14))),0)</f>
        <v>0</v>
      </c>
      <c r="D14" t="str" cm="1">
        <f t="array" ref="D14:I14">TRANSPOSE("'"&amp;_xlfn._xlws.FILTER(INDEX(Character_List,,1),INDEX(Character_List,,5)=B14)&amp;"'!J11")</f>
        <v>'Kinich'!J11</v>
      </c>
      <c r="E14" t="str">
        <v>'Chasca'!J11</v>
      </c>
      <c r="F14" t="str">
        <v>'Ororon'!J11</v>
      </c>
      <c r="G14" t="str">
        <v>'Citlali'!J11</v>
      </c>
      <c r="H14" t="str">
        <v>'Varesa'!J11</v>
      </c>
      <c r="I14" t="str">
        <v>'Ifa'!J11</v>
      </c>
    </row>
    <row r="15" spans="1:12" x14ac:dyDescent="0.25">
      <c r="A15" s="61">
        <v>1</v>
      </c>
      <c r="B15" t="str">
        <v>Sauroform Tribal Warrior</v>
      </c>
      <c r="C15" cm="1">
        <f t="array" aca="1" ref="C15" ca="1">IFERROR(SUM(INDIRECT(_xlfn.ANCHORARRAY(D15))),0)</f>
        <v>0</v>
      </c>
      <c r="D15" t="str" cm="1">
        <f t="array" ref="D15:I15">TRANSPOSE("'"&amp;_xlfn._xlws.FILTER(INDEX(Character_List,,1),INDEX(Character_List,,5)=B15)&amp;"'!J11")</f>
        <v>'Mualani'!J11</v>
      </c>
      <c r="E15" t="str">
        <v>'Kachina'!J11</v>
      </c>
      <c r="F15" t="str">
        <v>'Xilonen'!J11</v>
      </c>
      <c r="G15" t="str">
        <v>'Mavuika'!J11</v>
      </c>
      <c r="H15" t="str">
        <v>'Iansan'!J11</v>
      </c>
      <c r="I15" t="str">
        <v>'Ineffa'!J11</v>
      </c>
    </row>
    <row r="16" spans="1:12" x14ac:dyDescent="0.25">
      <c r="A16" s="61">
        <v>1</v>
      </c>
      <c r="C16" cm="1">
        <f t="array" aca="1" ref="C16" ca="1">IFERROR(SUM(INDIRECT(_xlfn.ANCHORARRAY(D16))),0)</f>
        <v>0</v>
      </c>
      <c r="D16" t="str" cm="1">
        <f t="array" ref="D16">TRANSPOSE("'"&amp;_xlfn._xlws.FILTER(INDEX(Character_List,,1),INDEX(Character_List,,5)=B16)&amp;"'!J11")</f>
        <v>''!J11</v>
      </c>
    </row>
    <row r="17" spans="1:12" x14ac:dyDescent="0.25">
      <c r="A17" s="61">
        <v>1</v>
      </c>
      <c r="C17" cm="1">
        <f t="array" aca="1" ref="C17" ca="1">IFERROR(SUM(INDIRECT(_xlfn.ANCHORARRAY(D17))),0)</f>
        <v>0</v>
      </c>
      <c r="D17" t="str" cm="1">
        <f t="array" ref="D17">TRANSPOSE("'"&amp;_xlfn._xlws.FILTER(INDEX(Character_List,,1),INDEX(Character_List,,5)=B17)&amp;"'!J11")</f>
        <v>''!J11</v>
      </c>
    </row>
    <row r="18" spans="1:12" x14ac:dyDescent="0.25">
      <c r="A18" s="61">
        <v>1</v>
      </c>
      <c r="C18" cm="1">
        <f t="array" aca="1" ref="C18" ca="1">IFERROR(SUM(INDIRECT(_xlfn.ANCHORARRAY(D18))),0)</f>
        <v>0</v>
      </c>
      <c r="D18" t="str" cm="1">
        <f t="array" ref="D18">TRANSPOSE("'"&amp;_xlfn._xlws.FILTER(INDEX(Character_List,,1),INDEX(Character_List,,5)=B18)&amp;"'!J11")</f>
        <v>''!J11</v>
      </c>
    </row>
    <row r="19" spans="1:12" x14ac:dyDescent="0.25">
      <c r="A19" s="61">
        <v>2</v>
      </c>
      <c r="B19" t="str" cm="1">
        <f t="array" ref="B19:B33">_xlfn._xlws.FILTER(INDEX(Common_Mob_Drops,,1),INDEX(Common_Mob_Drops,,1)&lt;&gt;"")</f>
        <v>Slime</v>
      </c>
      <c r="C19" cm="1">
        <f t="array" aca="1" ref="C19" ca="1">IFERROR(SUM(INDIRECT(_xlfn.ANCHORARRAY(D19))),0)</f>
        <v>0</v>
      </c>
      <c r="D19" t="str" cm="1">
        <f t="array" ref="D19:K19">TRANSPOSE("'"&amp;_xlfn._xlws.FILTER(INDEX(Character_List,,1),INDEX(Character_List,,5)=B19)&amp;"'!J12")</f>
        <v>'Lisa'!J12</v>
      </c>
      <c r="E19" t="str">
        <v>'Xiangling'!J12</v>
      </c>
      <c r="F19" t="str">
        <v>'Venti'!J12</v>
      </c>
      <c r="G19" t="str">
        <v>'Zhongli'!J12</v>
      </c>
      <c r="H19" t="str">
        <v>'Xiao'!J12</v>
      </c>
      <c r="I19" t="str">
        <v>'Arataki Itto'!J12</v>
      </c>
      <c r="J19" t="str">
        <v>'Yaoyao'!J12</v>
      </c>
      <c r="K19" t="str">
        <v>'Gaming'!J12</v>
      </c>
    </row>
    <row r="20" spans="1:12" x14ac:dyDescent="0.25">
      <c r="A20" s="61">
        <v>2</v>
      </c>
      <c r="B20" t="str">
        <v>Hilichurl</v>
      </c>
      <c r="C20" cm="1">
        <f t="array" aca="1" ref="C20" ca="1">IFERROR(SUM(INDIRECT(_xlfn.ANCHORARRAY(D20))),0)</f>
        <v>0</v>
      </c>
      <c r="D20" t="str" cm="1">
        <f t="array" ref="D20:K20">TRANSPOSE("'"&amp;_xlfn._xlws.FILTER(INDEX(Character_List,,1),INDEX(Character_List,,5)=B20)&amp;"'!J12")</f>
        <v>'Razor'!J12</v>
      </c>
      <c r="E20" t="str">
        <v>'Noelle'!J12</v>
      </c>
      <c r="F20" t="str">
        <v>'Chongyun'!J12</v>
      </c>
      <c r="G20" t="str">
        <v>'Jean'!J12</v>
      </c>
      <c r="H20" t="str">
        <v>'Xingqiu'!J12</v>
      </c>
      <c r="I20" t="str">
        <v>'Eula'!J12</v>
      </c>
      <c r="J20" t="str">
        <v>'Kujou Sara'!J12</v>
      </c>
      <c r="K20" t="str">
        <v>'Yunjin'!J12</v>
      </c>
    </row>
    <row r="21" spans="1:12" x14ac:dyDescent="0.25">
      <c r="A21" s="61">
        <v>2</v>
      </c>
      <c r="B21" t="str">
        <v>Samachurl</v>
      </c>
      <c r="C21" cm="1">
        <f t="array" aca="1" ref="C21" ca="1">IFERROR(SUM(INDIRECT(_xlfn.ANCHORARRAY(D21))),0)</f>
        <v>0</v>
      </c>
      <c r="D21" t="str" cm="1">
        <f t="array" ref="D21:K21">TRANSPOSE("'"&amp;_xlfn._xlws.FILTER(INDEX(Character_List,,1),INDEX(Character_List,,5)=B21)&amp;"'!J12")</f>
        <v>'Barbara'!J12</v>
      </c>
      <c r="E21" t="str">
        <v>'Qiqi'!J12</v>
      </c>
      <c r="F21" t="str">
        <v>'Klee'!J12</v>
      </c>
      <c r="G21" t="str">
        <v>'Albedo'!J12</v>
      </c>
      <c r="H21" t="str">
        <v>'Yoimiya'!J12</v>
      </c>
      <c r="I21" t="str">
        <v>'Cyno'!J12</v>
      </c>
      <c r="J21" t="str">
        <v>'Layla'!J12</v>
      </c>
      <c r="K21" t="str">
        <v>'Xianyun'!J12</v>
      </c>
    </row>
    <row r="22" spans="1:12" x14ac:dyDescent="0.25">
      <c r="A22" s="61">
        <v>2</v>
      </c>
      <c r="B22" t="str">
        <v>Hilichurl Shooter</v>
      </c>
      <c r="C22" cm="1">
        <f t="array" aca="1" ref="C22" ca="1">IFERROR(SUM(INDIRECT(_xlfn.ANCHORARRAY(D22))),0)</f>
        <v>0</v>
      </c>
      <c r="D22" t="str" cm="1">
        <f t="array" ref="D22:H22">TRANSPOSE("'"&amp;_xlfn._xlws.FILTER(INDEX(Character_List,,1),INDEX(Character_List,,5)=B22)&amp;"'!J12")</f>
        <v>'Amber'!J12</v>
      </c>
      <c r="E22" t="str">
        <v>'Fischl'!J12</v>
      </c>
      <c r="F22" t="str">
        <v>'Diona'!J12</v>
      </c>
      <c r="G22" t="str">
        <v>'Collei'!J12</v>
      </c>
      <c r="H22" t="str">
        <v>'Dahlia'!J12</v>
      </c>
    </row>
    <row r="23" spans="1:12" x14ac:dyDescent="0.25">
      <c r="A23" s="61">
        <v>2</v>
      </c>
      <c r="B23" t="str">
        <v>Fatui</v>
      </c>
      <c r="C23" cm="1">
        <f t="array" aca="1" ref="C23" ca="1">IFERROR(SUM(INDIRECT(_xlfn.ANCHORARRAY(D23))),0)</f>
        <v>0</v>
      </c>
      <c r="D23" t="str" cm="1">
        <f t="array" ref="D23:K23">TRANSPOSE("'"&amp;_xlfn._xlws.FILTER(INDEX(Character_List,,1),INDEX(Character_List,,5)=B23)&amp;"'!J12")</f>
        <v>'Diluc'!J12</v>
      </c>
      <c r="E23" t="str">
        <v>'Ningguang'!J12</v>
      </c>
      <c r="F23" t="str">
        <v>'Tartaglia'!J12</v>
      </c>
      <c r="G23" t="str">
        <v>'Rosaria'!J12</v>
      </c>
      <c r="H23" t="str">
        <v>'Yelan'!J12</v>
      </c>
      <c r="I23" t="str">
        <v>'Mika'!J12</v>
      </c>
      <c r="J23" t="str">
        <v>'Lyney'!J12</v>
      </c>
      <c r="K23" t="str">
        <v>'Arlecchino'!J12</v>
      </c>
    </row>
    <row r="24" spans="1:12" x14ac:dyDescent="0.25">
      <c r="A24" s="61">
        <v>2</v>
      </c>
      <c r="B24" t="str">
        <v>Treasure Hoarder</v>
      </c>
      <c r="C24" cm="1">
        <f t="array" aca="1" ref="C24" ca="1">IFERROR(SUM(INDIRECT(_xlfn.ANCHORARRAY(D24))),0)</f>
        <v>0</v>
      </c>
      <c r="D24" t="str" cm="1">
        <f t="array" ref="D24:K24">TRANSPOSE("'"&amp;_xlfn._xlws.FILTER(INDEX(Character_List,,1),INDEX(Character_List,,5)=B24)&amp;"'!J12")</f>
        <v>'Beidou'!J12</v>
      </c>
      <c r="E24" t="str">
        <v>'Bennett'!J12</v>
      </c>
      <c r="F24" t="str">
        <v>'Kaeya'!J12</v>
      </c>
      <c r="G24" t="str">
        <v>'Xinyan'!J12</v>
      </c>
      <c r="H24" t="str">
        <v>'Yanfei'!J12</v>
      </c>
      <c r="I24" t="str">
        <v>'Kaedehara Kazuha'!J12</v>
      </c>
      <c r="J24" t="str">
        <v>'Thoma'!J12</v>
      </c>
      <c r="K24" t="str">
        <v>'Shikanoin Heizou'!J12</v>
      </c>
    </row>
    <row r="25" spans="1:12" x14ac:dyDescent="0.25">
      <c r="A25" s="61">
        <v>2</v>
      </c>
      <c r="B25" t="str">
        <v>Whopperflower</v>
      </c>
      <c r="C25" cm="1">
        <f t="array" aca="1" ref="C25" ca="1">IFERROR(SUM(INDIRECT(_xlfn.ANCHORARRAY(D25))),0)</f>
        <v>0</v>
      </c>
      <c r="D25" t="str" cm="1">
        <f t="array" ref="D25:L25">TRANSPOSE("'"&amp;_xlfn._xlws.FILTER(INDEX(Character_List,,1),INDEX(Character_List,,5)=B25)&amp;"'!J12")</f>
        <v>'Sucrose'!J12</v>
      </c>
      <c r="E25" t="str">
        <v>'Mona'!J12</v>
      </c>
      <c r="F25" t="str">
        <v>'Keqing'!J12</v>
      </c>
      <c r="G25" t="str">
        <v>'Ganyu'!J12</v>
      </c>
      <c r="H25" t="str">
        <v>'Hutao'!J12</v>
      </c>
      <c r="I25" t="str">
        <v>'Sayu'!J12</v>
      </c>
      <c r="J25" t="str">
        <v>'Shenhe'!J12</v>
      </c>
      <c r="K25" t="str">
        <v>'Furina'!J12</v>
      </c>
      <c r="L25" t="str">
        <v>'Lan Yan'!J12</v>
      </c>
    </row>
    <row r="26" spans="1:12" x14ac:dyDescent="0.25">
      <c r="A26" s="61">
        <v>2</v>
      </c>
      <c r="B26" t="str">
        <v>Nobushi</v>
      </c>
      <c r="C26" cm="1">
        <f t="array" aca="1" ref="C26" ca="1">IFERROR(SUM(INDIRECT(_xlfn.ANCHORARRAY(D26))),0)</f>
        <v>0</v>
      </c>
      <c r="D26" t="str" cm="1">
        <f t="array" ref="D26:I26">TRANSPOSE("'"&amp;_xlfn._xlws.FILTER(INDEX(Character_List,,1),INDEX(Character_List,,5)=B26)&amp;"'!J12")</f>
        <v>'Kamisato Ayaka'!J12</v>
      </c>
      <c r="E26" t="str">
        <v>'Raiden Shogun'!J12</v>
      </c>
      <c r="F26" t="str">
        <v>'Yae Miko'!J12</v>
      </c>
      <c r="G26" t="str">
        <v>'Kamisato Ayato'!J12</v>
      </c>
      <c r="H26" t="str">
        <v>'Wanderer'!J12</v>
      </c>
      <c r="I26" t="str">
        <v>'Yumemizuki Mizuki'!J12</v>
      </c>
    </row>
    <row r="27" spans="1:12" x14ac:dyDescent="0.25">
      <c r="A27" s="61">
        <v>2</v>
      </c>
      <c r="B27" t="str">
        <v>Specter</v>
      </c>
      <c r="C27" cm="1">
        <f t="array" aca="1" ref="C27" ca="1">IFERROR(SUM(INDIRECT(_xlfn.ANCHORARRAY(D27))),0)</f>
        <v>0</v>
      </c>
      <c r="D27" t="str" cm="1">
        <f t="array" ref="D27:I27">TRANSPOSE("'"&amp;_xlfn._xlws.FILTER(INDEX(Character_List,,1),INDEX(Character_List,,5)=B27)&amp;"'!J12")</f>
        <v>'Sangonomiya Kokomi'!J12</v>
      </c>
      <c r="E27" t="str">
        <v>'Aloy'!J12</v>
      </c>
      <c r="F27" t="str">
        <v>'Gorou'!J12</v>
      </c>
      <c r="G27" t="str">
        <v>'Kuki Shinobu'!J12</v>
      </c>
      <c r="H27" t="str">
        <v>'Kirara'!J12</v>
      </c>
      <c r="I27" t="str">
        <v>'Chiori'!J12</v>
      </c>
    </row>
    <row r="28" spans="1:12" x14ac:dyDescent="0.25">
      <c r="A28" s="61">
        <v>2</v>
      </c>
      <c r="B28" t="str">
        <v>Floating Fungi</v>
      </c>
      <c r="C28" cm="1">
        <f t="array" aca="1" ref="C28" ca="1">IFERROR(SUM(INDIRECT(_xlfn.ANCHORARRAY(D28))),0)</f>
        <v>0</v>
      </c>
      <c r="D28" t="str" cm="1">
        <f t="array" ref="D28:H28">TRANSPOSE("'"&amp;_xlfn._xlws.FILTER(INDEX(Character_List,,1),INDEX(Character_List,,5)=B28)&amp;"'!J12")</f>
        <v>'Tighnari'!J12</v>
      </c>
      <c r="E28" t="str">
        <v>'Nilou'!J12</v>
      </c>
      <c r="F28" t="str">
        <v>'Nahida'!J12</v>
      </c>
      <c r="G28" t="str">
        <v>'Baizhu'!J12</v>
      </c>
      <c r="H28" t="str">
        <v>'Kaveh'!J12</v>
      </c>
    </row>
    <row r="29" spans="1:12" x14ac:dyDescent="0.25">
      <c r="A29" s="61">
        <v>2</v>
      </c>
      <c r="B29" t="str">
        <v>Eremite</v>
      </c>
      <c r="C29" cm="1">
        <f t="array" aca="1" ref="C29" ca="1">IFERROR(SUM(INDIRECT(_xlfn.ANCHORARRAY(D29))),0)</f>
        <v>0</v>
      </c>
      <c r="D29" t="str" cm="1">
        <f t="array" ref="D29:I29">TRANSPOSE("'"&amp;_xlfn._xlws.FILTER(INDEX(Character_List,,1),INDEX(Character_List,,5)=B29)&amp;"'!J12")</f>
        <v>'Dori'!J12</v>
      </c>
      <c r="E29" t="str">
        <v>'Candace'!J12</v>
      </c>
      <c r="F29" t="str">
        <v>'Faruzan'!J12</v>
      </c>
      <c r="G29" t="str">
        <v>'Alhaitham'!J12</v>
      </c>
      <c r="H29" t="str">
        <v>'Dehya'!J12</v>
      </c>
      <c r="I29" t="str">
        <v>'Sethos'!J12</v>
      </c>
    </row>
    <row r="30" spans="1:12" x14ac:dyDescent="0.25">
      <c r="A30" s="61">
        <v>2</v>
      </c>
      <c r="B30" t="str">
        <v>Fontemer Aberrant</v>
      </c>
      <c r="C30" cm="1">
        <f t="array" aca="1" ref="C30" ca="1">IFERROR(SUM(INDIRECT(_xlfn.ANCHORARRAY(D30))),0)</f>
        <v>0</v>
      </c>
      <c r="D30" t="str" cm="1">
        <f t="array" ref="D30:H30">TRANSPOSE("'"&amp;_xlfn._xlws.FILTER(INDEX(Character_List,,1),INDEX(Character_List,,5)=B30)&amp;"'!J12")</f>
        <v>'Freminet'!J12</v>
      </c>
      <c r="E30" t="str">
        <v>'Neuvillette'!J12</v>
      </c>
      <c r="F30" t="str">
        <v>'Navia'!J12</v>
      </c>
      <c r="G30" t="str">
        <v>'Clorinde'!J12</v>
      </c>
      <c r="H30" t="str">
        <v>'Sigewinne'!J12</v>
      </c>
    </row>
    <row r="31" spans="1:12" x14ac:dyDescent="0.25">
      <c r="A31" s="61">
        <v>2</v>
      </c>
      <c r="B31" t="str">
        <v>Clockwork Meka</v>
      </c>
      <c r="C31" cm="1">
        <f t="array" aca="1" ref="C31" ca="1">IFERROR(SUM(INDIRECT(_xlfn.ANCHORARRAY(D31))),0)</f>
        <v>0</v>
      </c>
      <c r="D31" t="str" cm="1">
        <f t="array" ref="D31:J31">TRANSPOSE("'"&amp;_xlfn._xlws.FILTER(INDEX(Character_List,,1),INDEX(Character_List,,5)=B31)&amp;"'!J12")</f>
        <v>'Lynette'!J12</v>
      </c>
      <c r="E31" t="str">
        <v>'Wriothesley'!J12</v>
      </c>
      <c r="F31" t="str">
        <v>'Charlotte'!J12</v>
      </c>
      <c r="G31" t="str">
        <v>'Chevreuse'!J12</v>
      </c>
      <c r="H31" t="str">
        <v>'Emilie'!J12</v>
      </c>
      <c r="I31" t="str">
        <v>'Escoffier'!J12</v>
      </c>
      <c r="J31" t="str">
        <v>'Skirk'!J12</v>
      </c>
    </row>
    <row r="32" spans="1:12" x14ac:dyDescent="0.25">
      <c r="A32" s="61">
        <v>2</v>
      </c>
      <c r="B32" t="str">
        <v>Saurian</v>
      </c>
      <c r="C32" cm="1">
        <f t="array" aca="1" ref="C32" ca="1">IFERROR(SUM(INDIRECT(_xlfn.ANCHORARRAY(D32))),0)</f>
        <v>0</v>
      </c>
      <c r="D32" t="str" cm="1">
        <f t="array" ref="D32:I32">TRANSPOSE("'"&amp;_xlfn._xlws.FILTER(INDEX(Character_List,,1),INDEX(Character_List,,5)=B32)&amp;"'!J12")</f>
        <v>'Kinich'!J12</v>
      </c>
      <c r="E32" t="str">
        <v>'Chasca'!J12</v>
      </c>
      <c r="F32" t="str">
        <v>'Ororon'!J12</v>
      </c>
      <c r="G32" t="str">
        <v>'Citlali'!J12</v>
      </c>
      <c r="H32" t="str">
        <v>'Varesa'!J12</v>
      </c>
      <c r="I32" t="str">
        <v>'Ifa'!J12</v>
      </c>
    </row>
    <row r="33" spans="1:12" x14ac:dyDescent="0.25">
      <c r="A33" s="61">
        <v>2</v>
      </c>
      <c r="B33" t="str">
        <v>Sauroform Tribal Warrior</v>
      </c>
      <c r="C33" cm="1">
        <f t="array" aca="1" ref="C33" ca="1">IFERROR(SUM(INDIRECT(_xlfn.ANCHORARRAY(D33))),0)</f>
        <v>0</v>
      </c>
      <c r="D33" t="str" cm="1">
        <f t="array" ref="D33:I33">TRANSPOSE("'"&amp;_xlfn._xlws.FILTER(INDEX(Character_List,,1),INDEX(Character_List,,5)=B33)&amp;"'!J12")</f>
        <v>'Mualani'!J12</v>
      </c>
      <c r="E33" t="str">
        <v>'Kachina'!J12</v>
      </c>
      <c r="F33" t="str">
        <v>'Xilonen'!J12</v>
      </c>
      <c r="G33" t="str">
        <v>'Mavuika'!J12</v>
      </c>
      <c r="H33" t="str">
        <v>'Iansan'!J12</v>
      </c>
      <c r="I33" t="str">
        <v>'Ineffa'!J12</v>
      </c>
    </row>
    <row r="34" spans="1:12" x14ac:dyDescent="0.25">
      <c r="A34" s="61">
        <v>2</v>
      </c>
      <c r="C34" cm="1">
        <f t="array" aca="1" ref="C34" ca="1">IFERROR(SUM(INDIRECT(_xlfn.ANCHORARRAY(D34))),0)</f>
        <v>0</v>
      </c>
      <c r="D34" t="str" cm="1">
        <f t="array" ref="D34">TRANSPOSE("'"&amp;_xlfn._xlws.FILTER(INDEX(Character_List,,1),INDEX(Character_List,,5)=B34)&amp;"'!J12")</f>
        <v>''!J12</v>
      </c>
    </row>
    <row r="35" spans="1:12" x14ac:dyDescent="0.25">
      <c r="A35" s="61">
        <v>2</v>
      </c>
      <c r="C35" cm="1">
        <f t="array" aca="1" ref="C35" ca="1">IFERROR(SUM(INDIRECT(_xlfn.ANCHORARRAY(D35))),0)</f>
        <v>0</v>
      </c>
      <c r="D35" t="str" cm="1">
        <f t="array" ref="D35">TRANSPOSE("'"&amp;_xlfn._xlws.FILTER(INDEX(Character_List,,1),INDEX(Character_List,,5)=B35)&amp;"'!J12")</f>
        <v>''!J12</v>
      </c>
    </row>
    <row r="36" spans="1:12" x14ac:dyDescent="0.25">
      <c r="A36" s="61">
        <v>2</v>
      </c>
      <c r="C36" cm="1">
        <f t="array" aca="1" ref="C36" ca="1">IFERROR(SUM(INDIRECT(_xlfn.ANCHORARRAY(D36))),0)</f>
        <v>0</v>
      </c>
      <c r="D36" t="str" cm="1">
        <f t="array" ref="D36">TRANSPOSE("'"&amp;_xlfn._xlws.FILTER(INDEX(Character_List,,1),INDEX(Character_List,,5)=B36)&amp;"'!J12")</f>
        <v>''!J12</v>
      </c>
    </row>
    <row r="37" spans="1:12" x14ac:dyDescent="0.25">
      <c r="A37" s="61">
        <v>3</v>
      </c>
      <c r="B37" t="str" cm="1">
        <f t="array" ref="B37:B51">_xlfn._xlws.FILTER(INDEX(Common_Mob_Drops,,1),INDEX(Common_Mob_Drops,,1)&lt;&gt;"")</f>
        <v>Slime</v>
      </c>
      <c r="C37" cm="1">
        <f t="array" aca="1" ref="C37" ca="1">IFERROR(SUM(INDIRECT(_xlfn.ANCHORARRAY(D37))),0)</f>
        <v>0</v>
      </c>
      <c r="D37" t="str" cm="1">
        <f t="array" ref="D37:K37">TRANSPOSE("'"&amp;_xlfn._xlws.FILTER(INDEX(Character_List,,1),INDEX(Character_List,,5)=B37)&amp;"'!J13")</f>
        <v>'Lisa'!J13</v>
      </c>
      <c r="E37" t="str">
        <v>'Xiangling'!J13</v>
      </c>
      <c r="F37" t="str">
        <v>'Venti'!J13</v>
      </c>
      <c r="G37" t="str">
        <v>'Zhongli'!J13</v>
      </c>
      <c r="H37" t="str">
        <v>'Xiao'!J13</v>
      </c>
      <c r="I37" t="str">
        <v>'Arataki Itto'!J13</v>
      </c>
      <c r="J37" t="str">
        <v>'Yaoyao'!J13</v>
      </c>
      <c r="K37" t="str">
        <v>'Gaming'!J13</v>
      </c>
    </row>
    <row r="38" spans="1:12" x14ac:dyDescent="0.25">
      <c r="A38" s="61">
        <v>3</v>
      </c>
      <c r="B38" t="str">
        <v>Hilichurl</v>
      </c>
      <c r="C38" cm="1">
        <f t="array" aca="1" ref="C38" ca="1">IFERROR(SUM(INDIRECT(_xlfn.ANCHORARRAY(D38))),0)</f>
        <v>0</v>
      </c>
      <c r="D38" t="str" cm="1">
        <f t="array" ref="D38:K38">TRANSPOSE("'"&amp;_xlfn._xlws.FILTER(INDEX(Character_List,,1),INDEX(Character_List,,5)=B38)&amp;"'!J13")</f>
        <v>'Razor'!J13</v>
      </c>
      <c r="E38" t="str">
        <v>'Noelle'!J13</v>
      </c>
      <c r="F38" t="str">
        <v>'Chongyun'!J13</v>
      </c>
      <c r="G38" t="str">
        <v>'Jean'!J13</v>
      </c>
      <c r="H38" t="str">
        <v>'Xingqiu'!J13</v>
      </c>
      <c r="I38" t="str">
        <v>'Eula'!J13</v>
      </c>
      <c r="J38" t="str">
        <v>'Kujou Sara'!J13</v>
      </c>
      <c r="K38" t="str">
        <v>'Yunjin'!J13</v>
      </c>
    </row>
    <row r="39" spans="1:12" x14ac:dyDescent="0.25">
      <c r="A39" s="61">
        <v>3</v>
      </c>
      <c r="B39" t="str">
        <v>Samachurl</v>
      </c>
      <c r="C39" cm="1">
        <f t="array" aca="1" ref="C39" ca="1">IFERROR(SUM(INDIRECT(_xlfn.ANCHORARRAY(D39))),0)</f>
        <v>0</v>
      </c>
      <c r="D39" t="str" cm="1">
        <f t="array" ref="D39:K39">TRANSPOSE("'"&amp;_xlfn._xlws.FILTER(INDEX(Character_List,,1),INDEX(Character_List,,5)=B39)&amp;"'!J13")</f>
        <v>'Barbara'!J13</v>
      </c>
      <c r="E39" t="str">
        <v>'Qiqi'!J13</v>
      </c>
      <c r="F39" t="str">
        <v>'Klee'!J13</v>
      </c>
      <c r="G39" t="str">
        <v>'Albedo'!J13</v>
      </c>
      <c r="H39" t="str">
        <v>'Yoimiya'!J13</v>
      </c>
      <c r="I39" t="str">
        <v>'Cyno'!J13</v>
      </c>
      <c r="J39" t="str">
        <v>'Layla'!J13</v>
      </c>
      <c r="K39" t="str">
        <v>'Xianyun'!J13</v>
      </c>
    </row>
    <row r="40" spans="1:12" x14ac:dyDescent="0.25">
      <c r="A40" s="61">
        <v>3</v>
      </c>
      <c r="B40" t="str">
        <v>Hilichurl Shooter</v>
      </c>
      <c r="C40" cm="1">
        <f t="array" aca="1" ref="C40" ca="1">IFERROR(SUM(INDIRECT(_xlfn.ANCHORARRAY(D40))),0)</f>
        <v>27</v>
      </c>
      <c r="D40" t="str" cm="1">
        <f t="array" ref="D40:H40">TRANSPOSE("'"&amp;_xlfn._xlws.FILTER(INDEX(Character_List,,1),INDEX(Character_List,,5)=B40)&amp;"'!J13")</f>
        <v>'Amber'!J13</v>
      </c>
      <c r="E40" t="str">
        <v>'Fischl'!J13</v>
      </c>
      <c r="F40" t="str">
        <v>'Diona'!J13</v>
      </c>
      <c r="G40" t="str">
        <v>'Collei'!J13</v>
      </c>
      <c r="H40" t="str">
        <v>'Dahlia'!J13</v>
      </c>
    </row>
    <row r="41" spans="1:12" x14ac:dyDescent="0.25">
      <c r="A41" s="61">
        <v>3</v>
      </c>
      <c r="B41" t="str">
        <v>Fatui</v>
      </c>
      <c r="C41" cm="1">
        <f t="array" aca="1" ref="C41" ca="1">IFERROR(SUM(INDIRECT(_xlfn.ANCHORARRAY(D41))),0)</f>
        <v>0</v>
      </c>
      <c r="D41" t="str" cm="1">
        <f t="array" ref="D41:K41">TRANSPOSE("'"&amp;_xlfn._xlws.FILTER(INDEX(Character_List,,1),INDEX(Character_List,,5)=B41)&amp;"'!J13")</f>
        <v>'Diluc'!J13</v>
      </c>
      <c r="E41" t="str">
        <v>'Ningguang'!J13</v>
      </c>
      <c r="F41" t="str">
        <v>'Tartaglia'!J13</v>
      </c>
      <c r="G41" t="str">
        <v>'Rosaria'!J13</v>
      </c>
      <c r="H41" t="str">
        <v>'Yelan'!J13</v>
      </c>
      <c r="I41" t="str">
        <v>'Mika'!J13</v>
      </c>
      <c r="J41" t="str">
        <v>'Lyney'!J13</v>
      </c>
      <c r="K41" t="str">
        <v>'Arlecchino'!J13</v>
      </c>
    </row>
    <row r="42" spans="1:12" x14ac:dyDescent="0.25">
      <c r="A42" s="61">
        <v>3</v>
      </c>
      <c r="B42" t="str">
        <v>Treasure Hoarder</v>
      </c>
      <c r="C42" cm="1">
        <f t="array" aca="1" ref="C42" ca="1">IFERROR(SUM(INDIRECT(_xlfn.ANCHORARRAY(D42))),0)</f>
        <v>0</v>
      </c>
      <c r="D42" t="str" cm="1">
        <f t="array" ref="D42:K42">TRANSPOSE("'"&amp;_xlfn._xlws.FILTER(INDEX(Character_List,,1),INDEX(Character_List,,5)=B42)&amp;"'!J13")</f>
        <v>'Beidou'!J13</v>
      </c>
      <c r="E42" t="str">
        <v>'Bennett'!J13</v>
      </c>
      <c r="F42" t="str">
        <v>'Kaeya'!J13</v>
      </c>
      <c r="G42" t="str">
        <v>'Xinyan'!J13</v>
      </c>
      <c r="H42" t="str">
        <v>'Yanfei'!J13</v>
      </c>
      <c r="I42" t="str">
        <v>'Kaedehara Kazuha'!J13</v>
      </c>
      <c r="J42" t="str">
        <v>'Thoma'!J13</v>
      </c>
      <c r="K42" t="str">
        <v>'Shikanoin Heizou'!J13</v>
      </c>
    </row>
    <row r="43" spans="1:12" x14ac:dyDescent="0.25">
      <c r="A43" s="61">
        <v>3</v>
      </c>
      <c r="B43" t="str">
        <v>Whopperflower</v>
      </c>
      <c r="C43" cm="1">
        <f t="array" aca="1" ref="C43" ca="1">IFERROR(SUM(INDIRECT(_xlfn.ANCHORARRAY(D43))),0)</f>
        <v>0</v>
      </c>
      <c r="D43" t="str" cm="1">
        <f t="array" ref="D43:L43">TRANSPOSE("'"&amp;_xlfn._xlws.FILTER(INDEX(Character_List,,1),INDEX(Character_List,,5)=B43)&amp;"'!J13")</f>
        <v>'Sucrose'!J13</v>
      </c>
      <c r="E43" t="str">
        <v>'Mona'!J13</v>
      </c>
      <c r="F43" t="str">
        <v>'Keqing'!J13</v>
      </c>
      <c r="G43" t="str">
        <v>'Ganyu'!J13</v>
      </c>
      <c r="H43" t="str">
        <v>'Hutao'!J13</v>
      </c>
      <c r="I43" t="str">
        <v>'Sayu'!J13</v>
      </c>
      <c r="J43" t="str">
        <v>'Shenhe'!J13</v>
      </c>
      <c r="K43" t="str">
        <v>'Furina'!J13</v>
      </c>
      <c r="L43" t="str">
        <v>'Lan Yan'!J13</v>
      </c>
    </row>
    <row r="44" spans="1:12" x14ac:dyDescent="0.25">
      <c r="A44" s="61">
        <v>3</v>
      </c>
      <c r="B44" t="str">
        <v>Nobushi</v>
      </c>
      <c r="C44" cm="1">
        <f t="array" aca="1" ref="C44" ca="1">IFERROR(SUM(INDIRECT(_xlfn.ANCHORARRAY(D44))),0)</f>
        <v>0</v>
      </c>
      <c r="D44" t="str" cm="1">
        <f t="array" ref="D44:I44">TRANSPOSE("'"&amp;_xlfn._xlws.FILTER(INDEX(Character_List,,1),INDEX(Character_List,,5)=B44)&amp;"'!J13")</f>
        <v>'Kamisato Ayaka'!J13</v>
      </c>
      <c r="E44" t="str">
        <v>'Raiden Shogun'!J13</v>
      </c>
      <c r="F44" t="str">
        <v>'Yae Miko'!J13</v>
      </c>
      <c r="G44" t="str">
        <v>'Kamisato Ayato'!J13</v>
      </c>
      <c r="H44" t="str">
        <v>'Wanderer'!J13</v>
      </c>
      <c r="I44" t="str">
        <v>'Yumemizuki Mizuki'!J13</v>
      </c>
    </row>
    <row r="45" spans="1:12" x14ac:dyDescent="0.25">
      <c r="A45" s="61">
        <v>3</v>
      </c>
      <c r="B45" t="str">
        <v>Specter</v>
      </c>
      <c r="C45" cm="1">
        <f t="array" aca="1" ref="C45" ca="1">IFERROR(SUM(INDIRECT(_xlfn.ANCHORARRAY(D45))),0)</f>
        <v>0</v>
      </c>
      <c r="D45" t="str" cm="1">
        <f t="array" ref="D45:I45">TRANSPOSE("'"&amp;_xlfn._xlws.FILTER(INDEX(Character_List,,1),INDEX(Character_List,,5)=B45)&amp;"'!J13")</f>
        <v>'Sangonomiya Kokomi'!J13</v>
      </c>
      <c r="E45" t="str">
        <v>'Aloy'!J13</v>
      </c>
      <c r="F45" t="str">
        <v>'Gorou'!J13</v>
      </c>
      <c r="G45" t="str">
        <v>'Kuki Shinobu'!J13</v>
      </c>
      <c r="H45" t="str">
        <v>'Kirara'!J13</v>
      </c>
      <c r="I45" t="str">
        <v>'Chiori'!J13</v>
      </c>
    </row>
    <row r="46" spans="1:12" x14ac:dyDescent="0.25">
      <c r="A46" s="61">
        <v>3</v>
      </c>
      <c r="B46" t="str">
        <v>Floating Fungi</v>
      </c>
      <c r="C46" cm="1">
        <f t="array" aca="1" ref="C46" ca="1">IFERROR(SUM(INDIRECT(_xlfn.ANCHORARRAY(D46))),0)</f>
        <v>0</v>
      </c>
      <c r="D46" t="str" cm="1">
        <f t="array" ref="D46:H46">TRANSPOSE("'"&amp;_xlfn._xlws.FILTER(INDEX(Character_List,,1),INDEX(Character_List,,5)=B46)&amp;"'!J13")</f>
        <v>'Tighnari'!J13</v>
      </c>
      <c r="E46" t="str">
        <v>'Nilou'!J13</v>
      </c>
      <c r="F46" t="str">
        <v>'Nahida'!J13</v>
      </c>
      <c r="G46" t="str">
        <v>'Baizhu'!J13</v>
      </c>
      <c r="H46" t="str">
        <v>'Kaveh'!J13</v>
      </c>
    </row>
    <row r="47" spans="1:12" x14ac:dyDescent="0.25">
      <c r="A47" s="61">
        <v>3</v>
      </c>
      <c r="B47" t="str">
        <v>Eremite</v>
      </c>
      <c r="C47" cm="1">
        <f t="array" aca="1" ref="C47" ca="1">IFERROR(SUM(INDIRECT(_xlfn.ANCHORARRAY(D47))),0)</f>
        <v>0</v>
      </c>
      <c r="D47" t="str" cm="1">
        <f t="array" ref="D47:I47">TRANSPOSE("'"&amp;_xlfn._xlws.FILTER(INDEX(Character_List,,1),INDEX(Character_List,,5)=B47)&amp;"'!J13")</f>
        <v>'Dori'!J13</v>
      </c>
      <c r="E47" t="str">
        <v>'Candace'!J13</v>
      </c>
      <c r="F47" t="str">
        <v>'Faruzan'!J13</v>
      </c>
      <c r="G47" t="str">
        <v>'Alhaitham'!J13</v>
      </c>
      <c r="H47" t="str">
        <v>'Dehya'!J13</v>
      </c>
      <c r="I47" t="str">
        <v>'Sethos'!J13</v>
      </c>
    </row>
    <row r="48" spans="1:12" x14ac:dyDescent="0.25">
      <c r="A48" s="61">
        <v>3</v>
      </c>
      <c r="B48" t="str">
        <v>Fontemer Aberrant</v>
      </c>
      <c r="C48" cm="1">
        <f t="array" aca="1" ref="C48" ca="1">IFERROR(SUM(INDIRECT(_xlfn.ANCHORARRAY(D48))),0)</f>
        <v>0</v>
      </c>
      <c r="D48" t="str" cm="1">
        <f t="array" ref="D48:H48">TRANSPOSE("'"&amp;_xlfn._xlws.FILTER(INDEX(Character_List,,1),INDEX(Character_List,,5)=B48)&amp;"'!J13")</f>
        <v>'Freminet'!J13</v>
      </c>
      <c r="E48" t="str">
        <v>'Neuvillette'!J13</v>
      </c>
      <c r="F48" t="str">
        <v>'Navia'!J13</v>
      </c>
      <c r="G48" t="str">
        <v>'Clorinde'!J13</v>
      </c>
      <c r="H48" t="str">
        <v>'Sigewinne'!J13</v>
      </c>
    </row>
    <row r="49" spans="1:10" x14ac:dyDescent="0.25">
      <c r="A49" s="61">
        <v>3</v>
      </c>
      <c r="B49" t="str">
        <v>Clockwork Meka</v>
      </c>
      <c r="C49" cm="1">
        <f t="array" aca="1" ref="C49" ca="1">IFERROR(SUM(INDIRECT(_xlfn.ANCHORARRAY(D49))),0)</f>
        <v>0</v>
      </c>
      <c r="D49" t="str" cm="1">
        <f t="array" ref="D49:J49">TRANSPOSE("'"&amp;_xlfn._xlws.FILTER(INDEX(Character_List,,1),INDEX(Character_List,,5)=B49)&amp;"'!J13")</f>
        <v>'Lynette'!J13</v>
      </c>
      <c r="E49" t="str">
        <v>'Wriothesley'!J13</v>
      </c>
      <c r="F49" t="str">
        <v>'Charlotte'!J13</v>
      </c>
      <c r="G49" t="str">
        <v>'Chevreuse'!J13</v>
      </c>
      <c r="H49" t="str">
        <v>'Emilie'!J13</v>
      </c>
      <c r="I49" t="str">
        <v>'Escoffier'!J13</v>
      </c>
      <c r="J49" t="str">
        <v>'Skirk'!J13</v>
      </c>
    </row>
    <row r="50" spans="1:10" x14ac:dyDescent="0.25">
      <c r="A50" s="61">
        <v>3</v>
      </c>
      <c r="B50" t="str">
        <v>Saurian</v>
      </c>
      <c r="C50" cm="1">
        <f t="array" aca="1" ref="C50" ca="1">IFERROR(SUM(INDIRECT(_xlfn.ANCHORARRAY(D50))),0)</f>
        <v>0</v>
      </c>
      <c r="D50" t="str" cm="1">
        <f t="array" ref="D50:I50">TRANSPOSE("'"&amp;_xlfn._xlws.FILTER(INDEX(Character_List,,1),INDEX(Character_List,,5)=B50)&amp;"'!J13")</f>
        <v>'Kinich'!J13</v>
      </c>
      <c r="E50" t="str">
        <v>'Chasca'!J13</v>
      </c>
      <c r="F50" t="str">
        <v>'Ororon'!J13</v>
      </c>
      <c r="G50" t="str">
        <v>'Citlali'!J13</v>
      </c>
      <c r="H50" t="str">
        <v>'Varesa'!J13</v>
      </c>
      <c r="I50" t="str">
        <v>'Ifa'!J13</v>
      </c>
    </row>
    <row r="51" spans="1:10" x14ac:dyDescent="0.25">
      <c r="A51" s="61">
        <v>3</v>
      </c>
      <c r="B51" t="str">
        <v>Sauroform Tribal Warrior</v>
      </c>
      <c r="C51" cm="1">
        <f t="array" aca="1" ref="C51" ca="1">IFERROR(SUM(INDIRECT(_xlfn.ANCHORARRAY(D51))),0)</f>
        <v>51</v>
      </c>
      <c r="D51" t="str" cm="1">
        <f t="array" ref="D51:I51">TRANSPOSE("'"&amp;_xlfn._xlws.FILTER(INDEX(Character_List,,1),INDEX(Character_List,,5)=B51)&amp;"'!J13")</f>
        <v>'Mualani'!J13</v>
      </c>
      <c r="E51" t="str">
        <v>'Kachina'!J13</v>
      </c>
      <c r="F51" t="str">
        <v>'Xilonen'!J13</v>
      </c>
      <c r="G51" t="str">
        <v>'Mavuika'!J13</v>
      </c>
      <c r="H51" t="str">
        <v>'Iansan'!J13</v>
      </c>
      <c r="I51" t="str">
        <v>'Ineffa'!J13</v>
      </c>
    </row>
    <row r="52" spans="1:10" x14ac:dyDescent="0.25">
      <c r="A52" s="61">
        <v>3</v>
      </c>
      <c r="C52" cm="1">
        <f t="array" aca="1" ref="C52" ca="1">IFERROR(SUM(INDIRECT(_xlfn.ANCHORARRAY(D52))),0)</f>
        <v>0</v>
      </c>
      <c r="D52" t="str" cm="1">
        <f t="array" ref="D52">TRANSPOSE("'"&amp;_xlfn._xlws.FILTER(INDEX(Character_List,,1),INDEX(Character_List,,5)=B52)&amp;"'!J13")</f>
        <v>''!J13</v>
      </c>
    </row>
    <row r="53" spans="1:10" x14ac:dyDescent="0.25">
      <c r="A53" s="61">
        <v>3</v>
      </c>
      <c r="C53" cm="1">
        <f t="array" aca="1" ref="C53" ca="1">IFERROR(SUM(INDIRECT(_xlfn.ANCHORARRAY(D53))),0)</f>
        <v>0</v>
      </c>
      <c r="D53" t="str" cm="1">
        <f t="array" ref="D53">TRANSPOSE("'"&amp;_xlfn._xlws.FILTER(INDEX(Character_List,,1),INDEX(Character_List,,5)=B53)&amp;"'!J13")</f>
        <v>''!J13</v>
      </c>
    </row>
    <row r="54" spans="1:10" x14ac:dyDescent="0.25">
      <c r="A54" s="61">
        <v>3</v>
      </c>
      <c r="C54" cm="1">
        <f t="array" aca="1" ref="C54" ca="1">IFERROR(SUM(INDIRECT(_xlfn.ANCHORARRAY(D54))),0)</f>
        <v>0</v>
      </c>
      <c r="D54" t="str" cm="1">
        <f t="array" ref="D54">TRANSPOSE("'"&amp;_xlfn._xlws.FILTER(INDEX(Character_List,,1),INDEX(Character_List,,5)=B54)&amp;"'!J13")</f>
        <v>''!J13</v>
      </c>
    </row>
    <row r="55" spans="1:10" x14ac:dyDescent="0.25">
      <c r="A55" s="61">
        <v>3</v>
      </c>
      <c r="C55" cm="1">
        <f t="array" aca="1" ref="C55" ca="1">IFERROR(SUM(INDIRECT(_xlfn.ANCHORARRAY(D55))),0)</f>
        <v>0</v>
      </c>
      <c r="D55" t="str" cm="1">
        <f t="array" ref="D55">TRANSPOSE("'"&amp;_xlfn._xlws.FILTER(INDEX(Character_List,,1),INDEX(Character_List,,5)=B55)&amp;"'!J13")</f>
        <v>''!J13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F5974-5D75-4E11-A4BD-C50D6BEDFD3C}">
  <sheetPr codeName="Sheet1">
    <tabColor theme="5" tint="0.39997558519241921"/>
  </sheetPr>
  <dimension ref="A1:Z73"/>
  <sheetViews>
    <sheetView topLeftCell="A37" workbookViewId="0">
      <selection activeCell="B47" sqref="B47"/>
    </sheetView>
  </sheetViews>
  <sheetFormatPr defaultColWidth="8.85546875" defaultRowHeight="15" x14ac:dyDescent="0.25"/>
  <cols>
    <col min="1" max="1" width="36" bestFit="1" customWidth="1"/>
  </cols>
  <sheetData>
    <row r="1" spans="1:26" x14ac:dyDescent="0.25">
      <c r="A1" t="s">
        <v>190</v>
      </c>
    </row>
    <row r="2" spans="1:26" x14ac:dyDescent="0.25">
      <c r="A2" s="210" t="s">
        <v>31</v>
      </c>
      <c r="B2" cm="1">
        <f t="array" aca="1" ref="B2" ca="1">SUM(INDIRECT(_xlfn.ANCHORARRAY(C2)))</f>
        <v>0</v>
      </c>
      <c r="C2" t="str" cm="1">
        <f t="array" ref="C2:X2">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6")</f>
        <v>'Dull Blade'!G6</v>
      </c>
      <c r="D2" t="str">
        <v>'Apprentice''s Notes'!G6</v>
      </c>
      <c r="E2" t="str">
        <v>'Silver Sword'!G6</v>
      </c>
      <c r="F2" t="str">
        <v>'Pocket Grimoire'!G6</v>
      </c>
      <c r="G2" t="str">
        <v>'Cool Steel'!G6</v>
      </c>
      <c r="H2" t="str">
        <v>'Ferrous Shadow'!G6</v>
      </c>
      <c r="I2" t="str">
        <v>'Magic Guide'!G6</v>
      </c>
      <c r="J2" t="str">
        <v>'Raven Bow'!G6</v>
      </c>
      <c r="K2" t="str">
        <v>'Royal Longsword'!G6</v>
      </c>
      <c r="L2" t="str">
        <v>'Royal Grimoire'!G6</v>
      </c>
      <c r="M2" t="str">
        <v>'The Veridescent Hunt'!G6</v>
      </c>
      <c r="N2" t="str">
        <v>'Favonius Sword'!G6</v>
      </c>
      <c r="O2" t="str">
        <v>'The Bell'!G6</v>
      </c>
      <c r="P2" t="str">
        <v>'Favonius Codex'!G6</v>
      </c>
      <c r="Q2" t="str">
        <v>'The Stringless'!G6</v>
      </c>
      <c r="R2" t="str">
        <v>'Aquila Favonia'!G6</v>
      </c>
      <c r="S2" t="str">
        <v>'Snow-Tombed Starsilver'!G6</v>
      </c>
      <c r="T2" t="str">
        <v>'The Alley Flash'!G6</v>
      </c>
      <c r="U2" t="str">
        <v>'Song of Broken Pines'!G6</v>
      </c>
      <c r="V2" t="str">
        <v>'Mitternachts Waltz'!G6</v>
      </c>
      <c r="W2" t="str">
        <v>'Cinnabar Spindle'!G6</v>
      </c>
      <c r="X2" t="str">
        <v>'Wolf-Fang'!G6</v>
      </c>
    </row>
    <row r="3" spans="1:26" x14ac:dyDescent="0.25">
      <c r="A3" s="210"/>
      <c r="B3" cm="1">
        <f t="array" aca="1" ref="B3" ca="1">SUM(INDIRECT(_xlfn.ANCHORARRAY(C3)))</f>
        <v>0</v>
      </c>
      <c r="C3" t="str" cm="1">
        <f t="array" ref="C3:X3">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7")</f>
        <v>'Dull Blade'!G7</v>
      </c>
      <c r="D3" t="str">
        <v>'Apprentice''s Notes'!G7</v>
      </c>
      <c r="E3" t="str">
        <v>'Silver Sword'!G7</v>
      </c>
      <c r="F3" t="str">
        <v>'Pocket Grimoire'!G7</v>
      </c>
      <c r="G3" t="str">
        <v>'Cool Steel'!G7</v>
      </c>
      <c r="H3" t="str">
        <v>'Ferrous Shadow'!G7</v>
      </c>
      <c r="I3" t="str">
        <v>'Magic Guide'!G7</v>
      </c>
      <c r="J3" t="str">
        <v>'Raven Bow'!G7</v>
      </c>
      <c r="K3" t="str">
        <v>'Royal Longsword'!G7</v>
      </c>
      <c r="L3" t="str">
        <v>'Royal Grimoire'!G7</v>
      </c>
      <c r="M3" t="str">
        <v>'The Veridescent Hunt'!G7</v>
      </c>
      <c r="N3" t="str">
        <v>'Favonius Sword'!G7</v>
      </c>
      <c r="O3" t="str">
        <v>'The Bell'!G7</v>
      </c>
      <c r="P3" t="str">
        <v>'Favonius Codex'!G7</v>
      </c>
      <c r="Q3" t="str">
        <v>'The Stringless'!G7</v>
      </c>
      <c r="R3" t="str">
        <v>'Aquila Favonia'!G7</v>
      </c>
      <c r="S3" t="str">
        <v>'Snow-Tombed Starsilver'!G7</v>
      </c>
      <c r="T3" t="str">
        <v>'The Alley Flash'!G7</v>
      </c>
      <c r="U3" t="str">
        <v>'Song of Broken Pines'!G7</v>
      </c>
      <c r="V3" t="str">
        <v>'Mitternachts Waltz'!G7</v>
      </c>
      <c r="W3" t="str">
        <v>'Cinnabar Spindle'!G7</v>
      </c>
      <c r="X3" t="str">
        <v>'Wolf-Fang'!G7</v>
      </c>
    </row>
    <row r="4" spans="1:26" x14ac:dyDescent="0.25">
      <c r="A4" s="210"/>
      <c r="B4" cm="1">
        <f t="array" aca="1" ref="B4" ca="1">SUM(INDIRECT(_xlfn.ANCHORARRAY(C4)))</f>
        <v>0</v>
      </c>
      <c r="C4" t="str" cm="1">
        <f t="array" ref="C4:X4">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8")</f>
        <v>'Dull Blade'!G8</v>
      </c>
      <c r="D4" t="str">
        <v>'Apprentice''s Notes'!G8</v>
      </c>
      <c r="E4" t="str">
        <v>'Silver Sword'!G8</v>
      </c>
      <c r="F4" t="str">
        <v>'Pocket Grimoire'!G8</v>
      </c>
      <c r="G4" t="str">
        <v>'Cool Steel'!G8</v>
      </c>
      <c r="H4" t="str">
        <v>'Ferrous Shadow'!G8</v>
      </c>
      <c r="I4" t="str">
        <v>'Magic Guide'!G8</v>
      </c>
      <c r="J4" t="str">
        <v>'Raven Bow'!G8</v>
      </c>
      <c r="K4" t="str">
        <v>'Royal Longsword'!G8</v>
      </c>
      <c r="L4" t="str">
        <v>'Royal Grimoire'!G8</v>
      </c>
      <c r="M4" t="str">
        <v>'The Veridescent Hunt'!G8</v>
      </c>
      <c r="N4" t="str">
        <v>'Favonius Sword'!G8</v>
      </c>
      <c r="O4" t="str">
        <v>'The Bell'!G8</v>
      </c>
      <c r="P4" t="str">
        <v>'Favonius Codex'!G8</v>
      </c>
      <c r="Q4" t="str">
        <v>'The Stringless'!G8</v>
      </c>
      <c r="R4" t="str">
        <v>'Aquila Favonia'!G8</v>
      </c>
      <c r="S4" t="str">
        <v>'Snow-Tombed Starsilver'!G8</v>
      </c>
      <c r="T4" t="str">
        <v>'The Alley Flash'!G8</v>
      </c>
      <c r="U4" t="str">
        <v>'Song of Broken Pines'!G8</v>
      </c>
      <c r="V4" t="str">
        <v>'Mitternachts Waltz'!G8</v>
      </c>
      <c r="W4" t="str">
        <v>'Cinnabar Spindle'!G8</v>
      </c>
      <c r="X4" t="str">
        <v>'Wolf-Fang'!G8</v>
      </c>
    </row>
    <row r="5" spans="1:26" x14ac:dyDescent="0.25">
      <c r="A5" s="210"/>
      <c r="B5" cm="1">
        <f t="array" aca="1" ref="B5" ca="1">SUM(INDIRECT(_xlfn.ANCHORARRAY(C5)))</f>
        <v>0</v>
      </c>
      <c r="C5" t="str" cm="1">
        <f t="array" ref="C5:X5">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9")</f>
        <v>'Dull Blade'!G9</v>
      </c>
      <c r="D5" t="str">
        <v>'Apprentice''s Notes'!G9</v>
      </c>
      <c r="E5" t="str">
        <v>'Silver Sword'!G9</v>
      </c>
      <c r="F5" t="str">
        <v>'Pocket Grimoire'!G9</v>
      </c>
      <c r="G5" t="str">
        <v>'Cool Steel'!G9</v>
      </c>
      <c r="H5" t="str">
        <v>'Ferrous Shadow'!G9</v>
      </c>
      <c r="I5" t="str">
        <v>'Magic Guide'!G9</v>
      </c>
      <c r="J5" t="str">
        <v>'Raven Bow'!G9</v>
      </c>
      <c r="K5" t="str">
        <v>'Royal Longsword'!G9</v>
      </c>
      <c r="L5" t="str">
        <v>'Royal Grimoire'!G9</v>
      </c>
      <c r="M5" t="str">
        <v>'The Veridescent Hunt'!G9</v>
      </c>
      <c r="N5" t="str">
        <v>'Favonius Sword'!G9</v>
      </c>
      <c r="O5" t="str">
        <v>'The Bell'!G9</v>
      </c>
      <c r="P5" t="str">
        <v>'Favonius Codex'!G9</v>
      </c>
      <c r="Q5" t="str">
        <v>'The Stringless'!G9</v>
      </c>
      <c r="R5" t="str">
        <v>'Aquila Favonia'!G9</v>
      </c>
      <c r="S5" t="str">
        <v>'Snow-Tombed Starsilver'!G9</v>
      </c>
      <c r="T5" t="str">
        <v>'The Alley Flash'!G9</v>
      </c>
      <c r="U5" t="str">
        <v>'Song of Broken Pines'!G9</v>
      </c>
      <c r="V5" t="str">
        <v>'Mitternachts Waltz'!G9</v>
      </c>
      <c r="W5" t="str">
        <v>'Cinnabar Spindle'!G9</v>
      </c>
      <c r="X5" t="str">
        <v>'Wolf-Fang'!G9</v>
      </c>
    </row>
    <row r="6" spans="1:26" x14ac:dyDescent="0.25">
      <c r="A6" s="210" t="s">
        <v>48</v>
      </c>
      <c r="B6" cm="1">
        <f t="array" aca="1" ref="B6" ca="1">SUM(INDIRECT(_xlfn.ANCHORARRAY(C6)))</f>
        <v>0</v>
      </c>
      <c r="C6" t="str" cm="1">
        <f t="array" ref="C6:Z6">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6")</f>
        <v>'Waster Greatsword'!G6</v>
      </c>
      <c r="D6" t="str">
        <v>'Hunter''s Bow'!G6</v>
      </c>
      <c r="E6" t="str">
        <v>'Old Merc''s Pal'!G6</v>
      </c>
      <c r="F6" t="str">
        <v>'Seasoned Hunter''s Bow'!G6</v>
      </c>
      <c r="G6" t="str">
        <v>'Harbinger of Dawn'!G6</v>
      </c>
      <c r="H6" t="str">
        <v>'Bloodtainted Greatsword'!G6</v>
      </c>
      <c r="I6" t="str">
        <v>'TTDS'!G6</v>
      </c>
      <c r="J6" t="str">
        <v>'Sharpshooter''s Oath'!G6</v>
      </c>
      <c r="K6" t="str">
        <v>'The Black Sword'!G6</v>
      </c>
      <c r="L6" t="str">
        <v>'Deathmatch'!G6</v>
      </c>
      <c r="M6" t="str">
        <v>'The Flute'!G6</v>
      </c>
      <c r="N6" t="str">
        <v>'Sacrificial Greatsword'!G6</v>
      </c>
      <c r="O6" t="str">
        <v>'The Widsith'!G6</v>
      </c>
      <c r="P6" t="str">
        <v>'Sacrificial Bow'!G6</v>
      </c>
      <c r="Q6" t="str">
        <v>'Skyward Blade'!G6</v>
      </c>
      <c r="R6" t="str">
        <v>'Skyward Pride'!G6</v>
      </c>
      <c r="S6" t="str">
        <v>'Skyward Atlas'!G6</v>
      </c>
      <c r="T6" t="str">
        <v>'Skyward Harp'!G6</v>
      </c>
      <c r="U6" t="str">
        <v>'Dragonspine Spear'!G6</v>
      </c>
      <c r="V6" t="str">
        <v>'Wine and Song'!G6</v>
      </c>
      <c r="W6" t="str">
        <v>'Elegy for the End'!G6</v>
      </c>
      <c r="X6" t="str">
        <v>'Dodoco Tales'!G6</v>
      </c>
      <c r="Y6" t="str">
        <v>'Missive Windspear'!G6</v>
      </c>
      <c r="Z6" t="str">
        <v>'Ballad of the Boundless Blue'!G6</v>
      </c>
    </row>
    <row r="7" spans="1:26" x14ac:dyDescent="0.25">
      <c r="A7" s="210"/>
      <c r="B7" cm="1">
        <f t="array" aca="1" ref="B7" ca="1">SUM(INDIRECT(_xlfn.ANCHORARRAY(C7)))</f>
        <v>0</v>
      </c>
      <c r="C7" t="str" cm="1">
        <f t="array" ref="C7:Z7">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7")</f>
        <v>'Waster Greatsword'!G7</v>
      </c>
      <c r="D7" t="str">
        <v>'Hunter''s Bow'!G7</v>
      </c>
      <c r="E7" t="str">
        <v>'Old Merc''s Pal'!G7</v>
      </c>
      <c r="F7" t="str">
        <v>'Seasoned Hunter''s Bow'!G7</v>
      </c>
      <c r="G7" t="str">
        <v>'Harbinger of Dawn'!G7</v>
      </c>
      <c r="H7" t="str">
        <v>'Bloodtainted Greatsword'!G7</v>
      </c>
      <c r="I7" t="str">
        <v>'TTDS'!G7</v>
      </c>
      <c r="J7" t="str">
        <v>'Sharpshooter''s Oath'!G7</v>
      </c>
      <c r="K7" t="str">
        <v>'The Black Sword'!G7</v>
      </c>
      <c r="L7" t="str">
        <v>'Deathmatch'!G7</v>
      </c>
      <c r="M7" t="str">
        <v>'The Flute'!G7</v>
      </c>
      <c r="N7" t="str">
        <v>'Sacrificial Greatsword'!G7</v>
      </c>
      <c r="O7" t="str">
        <v>'The Widsith'!G7</v>
      </c>
      <c r="P7" t="str">
        <v>'Sacrificial Bow'!G7</v>
      </c>
      <c r="Q7" t="str">
        <v>'Skyward Blade'!G7</v>
      </c>
      <c r="R7" t="str">
        <v>'Skyward Pride'!G7</v>
      </c>
      <c r="S7" t="str">
        <v>'Skyward Atlas'!G7</v>
      </c>
      <c r="T7" t="str">
        <v>'Skyward Harp'!G7</v>
      </c>
      <c r="U7" t="str">
        <v>'Dragonspine Spear'!G7</v>
      </c>
      <c r="V7" t="str">
        <v>'Wine and Song'!G7</v>
      </c>
      <c r="W7" t="str">
        <v>'Elegy for the End'!G7</v>
      </c>
      <c r="X7" t="str">
        <v>'Dodoco Tales'!G7</v>
      </c>
      <c r="Y7" t="str">
        <v>'Missive Windspear'!G7</v>
      </c>
      <c r="Z7" t="str">
        <v>'Ballad of the Boundless Blue'!G7</v>
      </c>
    </row>
    <row r="8" spans="1:26" x14ac:dyDescent="0.25">
      <c r="A8" s="210"/>
      <c r="B8" cm="1">
        <f t="array" aca="1" ref="B8" ca="1">SUM(INDIRECT(_xlfn.ANCHORARRAY(C8)))</f>
        <v>0</v>
      </c>
      <c r="C8" t="str" cm="1">
        <f t="array" ref="C8:Z8">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8")</f>
        <v>'Waster Greatsword'!G8</v>
      </c>
      <c r="D8" t="str">
        <v>'Hunter''s Bow'!G8</v>
      </c>
      <c r="E8" t="str">
        <v>'Old Merc''s Pal'!G8</v>
      </c>
      <c r="F8" t="str">
        <v>'Seasoned Hunter''s Bow'!G8</v>
      </c>
      <c r="G8" t="str">
        <v>'Harbinger of Dawn'!G8</v>
      </c>
      <c r="H8" t="str">
        <v>'Bloodtainted Greatsword'!G8</v>
      </c>
      <c r="I8" t="str">
        <v>'TTDS'!G8</v>
      </c>
      <c r="J8" t="str">
        <v>'Sharpshooter''s Oath'!G8</v>
      </c>
      <c r="K8" t="str">
        <v>'The Black Sword'!G8</v>
      </c>
      <c r="L8" t="str">
        <v>'Deathmatch'!G8</v>
      </c>
      <c r="M8" t="str">
        <v>'The Flute'!G8</v>
      </c>
      <c r="N8" t="str">
        <v>'Sacrificial Greatsword'!G8</v>
      </c>
      <c r="O8" t="str">
        <v>'The Widsith'!G8</v>
      </c>
      <c r="P8" t="str">
        <v>'Sacrificial Bow'!G8</v>
      </c>
      <c r="Q8" t="str">
        <v>'Skyward Blade'!G8</v>
      </c>
      <c r="R8" t="str">
        <v>'Skyward Pride'!G8</v>
      </c>
      <c r="S8" t="str">
        <v>'Skyward Atlas'!G8</v>
      </c>
      <c r="T8" t="str">
        <v>'Skyward Harp'!G8</v>
      </c>
      <c r="U8" t="str">
        <v>'Dragonspine Spear'!G8</v>
      </c>
      <c r="V8" t="str">
        <v>'Wine and Song'!G8</v>
      </c>
      <c r="W8" t="str">
        <v>'Elegy for the End'!G8</v>
      </c>
      <c r="X8" t="str">
        <v>'Dodoco Tales'!G8</v>
      </c>
      <c r="Y8" t="str">
        <v>'Missive Windspear'!G8</v>
      </c>
      <c r="Z8" t="str">
        <v>'Ballad of the Boundless Blue'!G8</v>
      </c>
    </row>
    <row r="9" spans="1:26" x14ac:dyDescent="0.25">
      <c r="A9" s="210"/>
      <c r="B9" cm="1">
        <f t="array" aca="1" ref="B9" ca="1">SUM(INDIRECT(_xlfn.ANCHORARRAY(C9)))</f>
        <v>0</v>
      </c>
      <c r="C9" t="str" cm="1">
        <f t="array" ref="C9:Z9">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9")</f>
        <v>'Waster Greatsword'!G9</v>
      </c>
      <c r="D9" t="str">
        <v>'Hunter''s Bow'!G9</v>
      </c>
      <c r="E9" t="str">
        <v>'Old Merc''s Pal'!G9</v>
      </c>
      <c r="F9" t="str">
        <v>'Seasoned Hunter''s Bow'!G9</v>
      </c>
      <c r="G9" t="str">
        <v>'Harbinger of Dawn'!G9</v>
      </c>
      <c r="H9" t="str">
        <v>'Bloodtainted Greatsword'!G9</v>
      </c>
      <c r="I9" t="str">
        <v>'TTDS'!G9</v>
      </c>
      <c r="J9" t="str">
        <v>'Sharpshooter''s Oath'!G9</v>
      </c>
      <c r="K9" t="str">
        <v>'The Black Sword'!G9</v>
      </c>
      <c r="L9" t="str">
        <v>'Deathmatch'!G9</v>
      </c>
      <c r="M9" t="str">
        <v>'The Flute'!G9</v>
      </c>
      <c r="N9" t="str">
        <v>'Sacrificial Greatsword'!G9</v>
      </c>
      <c r="O9" t="str">
        <v>'The Widsith'!G9</v>
      </c>
      <c r="P9" t="str">
        <v>'Sacrificial Bow'!G9</v>
      </c>
      <c r="Q9" t="str">
        <v>'Skyward Blade'!G9</v>
      </c>
      <c r="R9" t="str">
        <v>'Skyward Pride'!G9</v>
      </c>
      <c r="S9" t="str">
        <v>'Skyward Atlas'!G9</v>
      </c>
      <c r="T9" t="str">
        <v>'Skyward Harp'!G9</v>
      </c>
      <c r="U9" t="str">
        <v>'Dragonspine Spear'!G9</v>
      </c>
      <c r="V9" t="str">
        <v>'Wine and Song'!G9</v>
      </c>
      <c r="W9" t="str">
        <v>'Elegy for the End'!G9</v>
      </c>
      <c r="X9" t="str">
        <v>'Dodoco Tales'!G9</v>
      </c>
      <c r="Y9" t="str">
        <v>'Missive Windspear'!G9</v>
      </c>
      <c r="Z9" t="str">
        <v>'Ballad of the Boundless Blue'!G9</v>
      </c>
    </row>
    <row r="10" spans="1:26" x14ac:dyDescent="0.25">
      <c r="A10" s="210" t="s">
        <v>57</v>
      </c>
      <c r="B10" cm="1">
        <f t="array" aca="1" ref="B10" ca="1">SUM(INDIRECT(_xlfn.ANCHORARRAY(C10)))</f>
        <v>0</v>
      </c>
      <c r="C10" t="str" cm="1">
        <f t="array" ref="C10:Y10">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6")</f>
        <v>'Beginner''s Protector'!G6</v>
      </c>
      <c r="D10" t="str">
        <v>'Iron Point'!G6</v>
      </c>
      <c r="E10" t="str">
        <v>'Traveler''s Handy Sword'!G6</v>
      </c>
      <c r="F10" t="str">
        <v>'White Iron Greatsword'!G6</v>
      </c>
      <c r="G10" t="str">
        <v>'Otherworldly Story'!G6</v>
      </c>
      <c r="H10" t="str">
        <v>'Recurve Bow'!G6</v>
      </c>
      <c r="I10" t="str">
        <v>'Royal Greatsword'!G6</v>
      </c>
      <c r="J10" t="str">
        <v>'Royal Bow'!G6</v>
      </c>
      <c r="K10" t="str">
        <v>'Sacrificial Sword'!G6</v>
      </c>
      <c r="L10" t="str">
        <v>'Favonius Greatsword'!G6</v>
      </c>
      <c r="M10" t="str">
        <v>'Favonius Lance'!G6</v>
      </c>
      <c r="N10" t="str">
        <v>'Sacrificial Fragments'!G6</v>
      </c>
      <c r="O10" t="str">
        <v>'Favonius Warbow'!G6</v>
      </c>
      <c r="P10" t="str">
        <v>'Wolf''s Gravestone'!G6</v>
      </c>
      <c r="Q10" t="str">
        <v>'Skyward Spine'!G6</v>
      </c>
      <c r="R10" t="str">
        <v>'Lost Prayer to the Sacred Winds'!G6</v>
      </c>
      <c r="S10" t="str">
        <v>'Amos'' Bow'!G6</v>
      </c>
      <c r="T10" t="str">
        <v>'Festering Desire'!G6</v>
      </c>
      <c r="U10" t="str">
        <v>'Frostbearer'!G6</v>
      </c>
      <c r="V10" t="str">
        <v>'Windblume Ode'!G6</v>
      </c>
      <c r="W10" t="str">
        <v>'Alley Hunter'!G6</v>
      </c>
      <c r="X10" t="str">
        <v>'Freedom-Sworn'!G6</v>
      </c>
      <c r="Y10" t="str">
        <v>'Mailed Flower'!G6</v>
      </c>
    </row>
    <row r="11" spans="1:26" x14ac:dyDescent="0.25">
      <c r="A11" s="210"/>
      <c r="B11" cm="1">
        <f t="array" aca="1" ref="B11" ca="1">SUM(INDIRECT(_xlfn.ANCHORARRAY(C11)))</f>
        <v>0</v>
      </c>
      <c r="C11" t="str" cm="1">
        <f t="array" ref="C11:Y11">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7")</f>
        <v>'Beginner''s Protector'!G7</v>
      </c>
      <c r="D11" t="str">
        <v>'Iron Point'!G7</v>
      </c>
      <c r="E11" t="str">
        <v>'Traveler''s Handy Sword'!G7</v>
      </c>
      <c r="F11" t="str">
        <v>'White Iron Greatsword'!G7</v>
      </c>
      <c r="G11" t="str">
        <v>'Otherworldly Story'!G7</v>
      </c>
      <c r="H11" t="str">
        <v>'Recurve Bow'!G7</v>
      </c>
      <c r="I11" t="str">
        <v>'Royal Greatsword'!G7</v>
      </c>
      <c r="J11" t="str">
        <v>'Royal Bow'!G7</v>
      </c>
      <c r="K11" t="str">
        <v>'Sacrificial Sword'!G7</v>
      </c>
      <c r="L11" t="str">
        <v>'Favonius Greatsword'!G7</v>
      </c>
      <c r="M11" t="str">
        <v>'Favonius Lance'!G7</v>
      </c>
      <c r="N11" t="str">
        <v>'Sacrificial Fragments'!G7</v>
      </c>
      <c r="O11" t="str">
        <v>'Favonius Warbow'!G7</v>
      </c>
      <c r="P11" t="str">
        <v>'Wolf''s Gravestone'!G7</v>
      </c>
      <c r="Q11" t="str">
        <v>'Skyward Spine'!G7</v>
      </c>
      <c r="R11" t="str">
        <v>'Lost Prayer to the Sacred Winds'!G7</v>
      </c>
      <c r="S11" t="str">
        <v>'Amos'' Bow'!G7</v>
      </c>
      <c r="T11" t="str">
        <v>'Festering Desire'!G7</v>
      </c>
      <c r="U11" t="str">
        <v>'Frostbearer'!G7</v>
      </c>
      <c r="V11" t="str">
        <v>'Windblume Ode'!G7</v>
      </c>
      <c r="W11" t="str">
        <v>'Alley Hunter'!G7</v>
      </c>
      <c r="X11" t="str">
        <v>'Freedom-Sworn'!G7</v>
      </c>
      <c r="Y11" t="str">
        <v>'Mailed Flower'!G7</v>
      </c>
    </row>
    <row r="12" spans="1:26" x14ac:dyDescent="0.25">
      <c r="A12" s="210"/>
      <c r="B12" cm="1">
        <f t="array" aca="1" ref="B12" ca="1">SUM(INDIRECT(_xlfn.ANCHORARRAY(C12)))</f>
        <v>0</v>
      </c>
      <c r="C12" t="str" cm="1">
        <f t="array" ref="C12:Y12">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8")</f>
        <v>'Beginner''s Protector'!G8</v>
      </c>
      <c r="D12" t="str">
        <v>'Iron Point'!G8</v>
      </c>
      <c r="E12" t="str">
        <v>'Traveler''s Handy Sword'!G8</v>
      </c>
      <c r="F12" t="str">
        <v>'White Iron Greatsword'!G8</v>
      </c>
      <c r="G12" t="str">
        <v>'Otherworldly Story'!G8</v>
      </c>
      <c r="H12" t="str">
        <v>'Recurve Bow'!G8</v>
      </c>
      <c r="I12" t="str">
        <v>'Royal Greatsword'!G8</v>
      </c>
      <c r="J12" t="str">
        <v>'Royal Bow'!G8</v>
      </c>
      <c r="K12" t="str">
        <v>'Sacrificial Sword'!G8</v>
      </c>
      <c r="L12" t="str">
        <v>'Favonius Greatsword'!G8</v>
      </c>
      <c r="M12" t="str">
        <v>'Favonius Lance'!G8</v>
      </c>
      <c r="N12" t="str">
        <v>'Sacrificial Fragments'!G8</v>
      </c>
      <c r="O12" t="str">
        <v>'Favonius Warbow'!G8</v>
      </c>
      <c r="P12" t="str">
        <v>'Wolf''s Gravestone'!G8</v>
      </c>
      <c r="Q12" t="str">
        <v>'Skyward Spine'!G8</v>
      </c>
      <c r="R12" t="str">
        <v>'Lost Prayer to the Sacred Winds'!G8</v>
      </c>
      <c r="S12" t="str">
        <v>'Amos'' Bow'!G8</v>
      </c>
      <c r="T12" t="str">
        <v>'Festering Desire'!G8</v>
      </c>
      <c r="U12" t="str">
        <v>'Frostbearer'!G8</v>
      </c>
      <c r="V12" t="str">
        <v>'Windblume Ode'!G8</v>
      </c>
      <c r="W12" t="str">
        <v>'Alley Hunter'!G8</v>
      </c>
      <c r="X12" t="str">
        <v>'Freedom-Sworn'!G8</v>
      </c>
      <c r="Y12" t="str">
        <v>'Mailed Flower'!G8</v>
      </c>
    </row>
    <row r="13" spans="1:26" x14ac:dyDescent="0.25">
      <c r="A13" s="210"/>
      <c r="B13" cm="1">
        <f t="array" aca="1" ref="B13" ca="1">SUM(INDIRECT(_xlfn.ANCHORARRAY(C13)))</f>
        <v>0</v>
      </c>
      <c r="C13" t="str" cm="1">
        <f t="array" ref="C13:Y13">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9")</f>
        <v>'Beginner''s Protector'!G9</v>
      </c>
      <c r="D13" t="str">
        <v>'Iron Point'!G9</v>
      </c>
      <c r="E13" t="str">
        <v>'Traveler''s Handy Sword'!G9</v>
      </c>
      <c r="F13" t="str">
        <v>'White Iron Greatsword'!G9</v>
      </c>
      <c r="G13" t="str">
        <v>'Otherworldly Story'!G9</v>
      </c>
      <c r="H13" t="str">
        <v>'Recurve Bow'!G9</v>
      </c>
      <c r="I13" t="str">
        <v>'Royal Greatsword'!G9</v>
      </c>
      <c r="J13" t="str">
        <v>'Royal Bow'!G9</v>
      </c>
      <c r="K13" t="str">
        <v>'Sacrificial Sword'!G9</v>
      </c>
      <c r="L13" t="str">
        <v>'Favonius Greatsword'!G9</v>
      </c>
      <c r="M13" t="str">
        <v>'Favonius Lance'!G9</v>
      </c>
      <c r="N13" t="str">
        <v>'Sacrificial Fragments'!G9</v>
      </c>
      <c r="O13" t="str">
        <v>'Favonius Warbow'!G9</v>
      </c>
      <c r="P13" t="str">
        <v>'Wolf''s Gravestone'!G9</v>
      </c>
      <c r="Q13" t="str">
        <v>'Skyward Spine'!G9</v>
      </c>
      <c r="R13" t="str">
        <v>'Lost Prayer to the Sacred Winds'!G9</v>
      </c>
      <c r="S13" t="str">
        <v>'Amos'' Bow'!G9</v>
      </c>
      <c r="T13" t="str">
        <v>'Festering Desire'!G9</v>
      </c>
      <c r="U13" t="str">
        <v>'Frostbearer'!G9</v>
      </c>
      <c r="V13" t="str">
        <v>'Windblume Ode'!G9</v>
      </c>
      <c r="W13" t="str">
        <v>'Alley Hunter'!G9</v>
      </c>
      <c r="X13" t="str">
        <v>'Freedom-Sworn'!G9</v>
      </c>
      <c r="Y13" t="str">
        <v>'Mailed Flower'!G9</v>
      </c>
    </row>
    <row r="14" spans="1:26" x14ac:dyDescent="0.25">
      <c r="A14" s="210" t="s">
        <v>66</v>
      </c>
      <c r="B14" cm="1">
        <f t="array" aca="1" ref="B14" ca="1">SUM(INDIRECT(_xlfn.ANCHORARRAY(C14)))</f>
        <v>0</v>
      </c>
      <c r="C14" t="str" cm="1">
        <f t="array" ref="C14:T14">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6")</f>
        <v>'Dark Iron Sword'!G6</v>
      </c>
      <c r="D14" t="str">
        <v>'White Tassel'!G6</v>
      </c>
      <c r="E14" t="str">
        <v>'Emerald Orb'!G6</v>
      </c>
      <c r="F14" t="str">
        <v>'Slingshot'!G6</v>
      </c>
      <c r="G14" t="str">
        <v>'Blackcliff Longsword'!G6</v>
      </c>
      <c r="H14" t="str">
        <v>'Blackcliff Agate'!G6</v>
      </c>
      <c r="I14" t="str">
        <v>'Blackcliff Warbow'!G6</v>
      </c>
      <c r="J14" t="str">
        <v>'Solar Pearl'!G6</v>
      </c>
      <c r="K14" t="str">
        <v>'Whiteblind'!G6</v>
      </c>
      <c r="L14" t="str">
        <v>'Crescent Pike'!G6</v>
      </c>
      <c r="M14" t="str">
        <v>'Lion''s Roar'!G6</v>
      </c>
      <c r="N14" t="str">
        <v>'Rust'!G6</v>
      </c>
      <c r="O14" t="str">
        <v>'Primordial Jade Winged-Spear'!G6</v>
      </c>
      <c r="P14" t="str">
        <v>'Summit Shaper'!G6</v>
      </c>
      <c r="Q14" t="str">
        <v>'Lithic Blade'!G6</v>
      </c>
      <c r="R14" t="str">
        <v>'Aqua Simulacra'!G6</v>
      </c>
      <c r="S14" t="str">
        <v>'Jadefall''s Splendor'!G6</v>
      </c>
      <c r="T14" t="str">
        <v>'Sacrificial Jade'!G6</v>
      </c>
    </row>
    <row r="15" spans="1:26" x14ac:dyDescent="0.25">
      <c r="A15" s="210"/>
      <c r="B15" cm="1">
        <f t="array" aca="1" ref="B15" ca="1">SUM(INDIRECT(_xlfn.ANCHORARRAY(C15)))</f>
        <v>0</v>
      </c>
      <c r="C15" t="str" cm="1">
        <f t="array" ref="C15:T15">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7")</f>
        <v>'Dark Iron Sword'!G7</v>
      </c>
      <c r="D15" t="str">
        <v>'White Tassel'!G7</v>
      </c>
      <c r="E15" t="str">
        <v>'Emerald Orb'!G7</v>
      </c>
      <c r="F15" t="str">
        <v>'Slingshot'!G7</v>
      </c>
      <c r="G15" t="str">
        <v>'Blackcliff Longsword'!G7</v>
      </c>
      <c r="H15" t="str">
        <v>'Blackcliff Agate'!G7</v>
      </c>
      <c r="I15" t="str">
        <v>'Blackcliff Warbow'!G7</v>
      </c>
      <c r="J15" t="str">
        <v>'Solar Pearl'!G7</v>
      </c>
      <c r="K15" t="str">
        <v>'Whiteblind'!G7</v>
      </c>
      <c r="L15" t="str">
        <v>'Crescent Pike'!G7</v>
      </c>
      <c r="M15" t="str">
        <v>'Lion''s Roar'!G7</v>
      </c>
      <c r="N15" t="str">
        <v>'Rust'!G7</v>
      </c>
      <c r="O15" t="str">
        <v>'Primordial Jade Winged-Spear'!G7</v>
      </c>
      <c r="P15" t="str">
        <v>'Summit Shaper'!G7</v>
      </c>
      <c r="Q15" t="str">
        <v>'Lithic Blade'!G7</v>
      </c>
      <c r="R15" t="str">
        <v>'Aqua Simulacra'!G7</v>
      </c>
      <c r="S15" t="str">
        <v>'Jadefall''s Splendor'!G7</v>
      </c>
      <c r="T15" t="str">
        <v>'Sacrificial Jade'!G7</v>
      </c>
    </row>
    <row r="16" spans="1:26" x14ac:dyDescent="0.25">
      <c r="A16" s="210"/>
      <c r="B16" cm="1">
        <f t="array" aca="1" ref="B16" ca="1">SUM(INDIRECT(_xlfn.ANCHORARRAY(C16)))</f>
        <v>0</v>
      </c>
      <c r="C16" t="str" cm="1">
        <f t="array" ref="C16:T16">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8")</f>
        <v>'Dark Iron Sword'!G8</v>
      </c>
      <c r="D16" t="str">
        <v>'White Tassel'!G8</v>
      </c>
      <c r="E16" t="str">
        <v>'Emerald Orb'!G8</v>
      </c>
      <c r="F16" t="str">
        <v>'Slingshot'!G8</v>
      </c>
      <c r="G16" t="str">
        <v>'Blackcliff Longsword'!G8</v>
      </c>
      <c r="H16" t="str">
        <v>'Blackcliff Agate'!G8</v>
      </c>
      <c r="I16" t="str">
        <v>'Blackcliff Warbow'!G8</v>
      </c>
      <c r="J16" t="str">
        <v>'Solar Pearl'!G8</v>
      </c>
      <c r="K16" t="str">
        <v>'Whiteblind'!G8</v>
      </c>
      <c r="L16" t="str">
        <v>'Crescent Pike'!G8</v>
      </c>
      <c r="M16" t="str">
        <v>'Lion''s Roar'!G8</v>
      </c>
      <c r="N16" t="str">
        <v>'Rust'!G8</v>
      </c>
      <c r="O16" t="str">
        <v>'Primordial Jade Winged-Spear'!G8</v>
      </c>
      <c r="P16" t="str">
        <v>'Summit Shaper'!G8</v>
      </c>
      <c r="Q16" t="str">
        <v>'Lithic Blade'!G8</v>
      </c>
      <c r="R16" t="str">
        <v>'Aqua Simulacra'!G8</v>
      </c>
      <c r="S16" t="str">
        <v>'Jadefall''s Splendor'!G8</v>
      </c>
      <c r="T16" t="str">
        <v>'Sacrificial Jade'!G8</v>
      </c>
    </row>
    <row r="17" spans="1:20" x14ac:dyDescent="0.25">
      <c r="A17" s="210"/>
      <c r="B17" cm="1">
        <f t="array" aca="1" ref="B17" ca="1">SUM(INDIRECT(_xlfn.ANCHORARRAY(C17)))</f>
        <v>0</v>
      </c>
      <c r="C17" t="str" cm="1">
        <f t="array" ref="C17:T17">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9")</f>
        <v>'Dark Iron Sword'!G9</v>
      </c>
      <c r="D17" t="str">
        <v>'White Tassel'!G9</v>
      </c>
      <c r="E17" t="str">
        <v>'Emerald Orb'!G9</v>
      </c>
      <c r="F17" t="str">
        <v>'Slingshot'!G9</v>
      </c>
      <c r="G17" t="str">
        <v>'Blackcliff Longsword'!G9</v>
      </c>
      <c r="H17" t="str">
        <v>'Blackcliff Agate'!G9</v>
      </c>
      <c r="I17" t="str">
        <v>'Blackcliff Warbow'!G9</v>
      </c>
      <c r="J17" t="str">
        <v>'Solar Pearl'!G9</v>
      </c>
      <c r="K17" t="str">
        <v>'Whiteblind'!G9</v>
      </c>
      <c r="L17" t="str">
        <v>'Crescent Pike'!G9</v>
      </c>
      <c r="M17" t="str">
        <v>'Lion''s Roar'!G9</v>
      </c>
      <c r="N17" t="str">
        <v>'Rust'!G9</v>
      </c>
      <c r="O17" t="str">
        <v>'Primordial Jade Winged-Spear'!G9</v>
      </c>
      <c r="P17" t="str">
        <v>'Summit Shaper'!G9</v>
      </c>
      <c r="Q17" t="str">
        <v>'Lithic Blade'!G9</v>
      </c>
      <c r="R17" t="str">
        <v>'Aqua Simulacra'!G9</v>
      </c>
      <c r="S17" t="str">
        <v>'Jadefall''s Splendor'!G9</v>
      </c>
      <c r="T17" t="str">
        <v>'Sacrificial Jade'!G9</v>
      </c>
    </row>
    <row r="18" spans="1:20" x14ac:dyDescent="0.25">
      <c r="A18" s="210" t="s">
        <v>73</v>
      </c>
      <c r="B18" cm="1">
        <f t="array" aca="1" ref="B18" ca="1">SUM(INDIRECT(_xlfn.ANCHORARRAY(C18)))</f>
        <v>0</v>
      </c>
      <c r="C18" t="str" cm="1">
        <f t="array" ref="C18:T18">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6")</f>
        <v>'Fillet Blade'!G6</v>
      </c>
      <c r="D18" t="str">
        <v>'Debate Club'!G6</v>
      </c>
      <c r="E18" t="str">
        <v>'Halberd'!G6</v>
      </c>
      <c r="F18" t="str">
        <v>'Twin Nephrite'!G6</v>
      </c>
      <c r="G18" t="str">
        <v>'Messenger'!G6</v>
      </c>
      <c r="H18" t="str">
        <v>'Royal Spear'!G6</v>
      </c>
      <c r="I18" t="str">
        <v>'Blackcliff Slasher'!G6</v>
      </c>
      <c r="J18" t="str">
        <v>'Blackcliff Pole'!G6</v>
      </c>
      <c r="K18" t="str">
        <v>'Prototype Rancour'!G6</v>
      </c>
      <c r="L18" t="str">
        <v>'Prototype Amber'!G6</v>
      </c>
      <c r="M18" t="str">
        <v>'Prototype Crescent'!G6</v>
      </c>
      <c r="N18" t="str">
        <v>'Rainslasher'!G6</v>
      </c>
      <c r="O18" t="str">
        <v>'Dragon''s Bane'!G6</v>
      </c>
      <c r="P18" t="str">
        <v>'Eye of Perception'!G6</v>
      </c>
      <c r="Q18" t="str">
        <v>'The Unforged'!G6</v>
      </c>
      <c r="R18" t="str">
        <v>'Primordial Jade Cutter'!G6</v>
      </c>
      <c r="S18" t="str">
        <v>'Calamity Queller'!G6</v>
      </c>
      <c r="T18" t="str">
        <v>'Crane’s Echoing Call'!G6</v>
      </c>
    </row>
    <row r="19" spans="1:20" x14ac:dyDescent="0.25">
      <c r="A19" s="210"/>
      <c r="B19" cm="1">
        <f t="array" aca="1" ref="B19" ca="1">SUM(INDIRECT(_xlfn.ANCHORARRAY(C19)))</f>
        <v>0</v>
      </c>
      <c r="C19" t="str" cm="1">
        <f t="array" ref="C19:T19">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7")</f>
        <v>'Fillet Blade'!G7</v>
      </c>
      <c r="D19" t="str">
        <v>'Debate Club'!G7</v>
      </c>
      <c r="E19" t="str">
        <v>'Halberd'!G7</v>
      </c>
      <c r="F19" t="str">
        <v>'Twin Nephrite'!G7</v>
      </c>
      <c r="G19" t="str">
        <v>'Messenger'!G7</v>
      </c>
      <c r="H19" t="str">
        <v>'Royal Spear'!G7</v>
      </c>
      <c r="I19" t="str">
        <v>'Blackcliff Slasher'!G7</v>
      </c>
      <c r="J19" t="str">
        <v>'Blackcliff Pole'!G7</v>
      </c>
      <c r="K19" t="str">
        <v>'Prototype Rancour'!G7</v>
      </c>
      <c r="L19" t="str">
        <v>'Prototype Amber'!G7</v>
      </c>
      <c r="M19" t="str">
        <v>'Prototype Crescent'!G7</v>
      </c>
      <c r="N19" t="str">
        <v>'Rainslasher'!G7</v>
      </c>
      <c r="O19" t="str">
        <v>'Dragon''s Bane'!G7</v>
      </c>
      <c r="P19" t="str">
        <v>'Eye of Perception'!G7</v>
      </c>
      <c r="Q19" t="str">
        <v>'The Unforged'!G7</v>
      </c>
      <c r="R19" t="str">
        <v>'Primordial Jade Cutter'!G7</v>
      </c>
      <c r="S19" t="str">
        <v>'Calamity Queller'!G7</v>
      </c>
      <c r="T19" t="str">
        <v>'Crane’s Echoing Call'!G7</v>
      </c>
    </row>
    <row r="20" spans="1:20" x14ac:dyDescent="0.25">
      <c r="A20" s="210"/>
      <c r="B20" cm="1">
        <f t="array" aca="1" ref="B20" ca="1">SUM(INDIRECT(_xlfn.ANCHORARRAY(C20)))</f>
        <v>0</v>
      </c>
      <c r="C20" t="str" cm="1">
        <f t="array" ref="C20:T20">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8")</f>
        <v>'Fillet Blade'!G8</v>
      </c>
      <c r="D20" t="str">
        <v>'Debate Club'!G8</v>
      </c>
      <c r="E20" t="str">
        <v>'Halberd'!G8</v>
      </c>
      <c r="F20" t="str">
        <v>'Twin Nephrite'!G8</v>
      </c>
      <c r="G20" t="str">
        <v>'Messenger'!G8</v>
      </c>
      <c r="H20" t="str">
        <v>'Royal Spear'!G8</v>
      </c>
      <c r="I20" t="str">
        <v>'Blackcliff Slasher'!G8</v>
      </c>
      <c r="J20" t="str">
        <v>'Blackcliff Pole'!G8</v>
      </c>
      <c r="K20" t="str">
        <v>'Prototype Rancour'!G8</v>
      </c>
      <c r="L20" t="str">
        <v>'Prototype Amber'!G8</v>
      </c>
      <c r="M20" t="str">
        <v>'Prototype Crescent'!G8</v>
      </c>
      <c r="N20" t="str">
        <v>'Rainslasher'!G8</v>
      </c>
      <c r="O20" t="str">
        <v>'Dragon''s Bane'!G8</v>
      </c>
      <c r="P20" t="str">
        <v>'Eye of Perception'!G8</v>
      </c>
      <c r="Q20" t="str">
        <v>'The Unforged'!G8</v>
      </c>
      <c r="R20" t="str">
        <v>'Primordial Jade Cutter'!G8</v>
      </c>
      <c r="S20" t="str">
        <v>'Calamity Queller'!G8</v>
      </c>
      <c r="T20" t="str">
        <v>'Crane’s Echoing Call'!G8</v>
      </c>
    </row>
    <row r="21" spans="1:20" x14ac:dyDescent="0.25">
      <c r="A21" s="210"/>
      <c r="B21" cm="1">
        <f t="array" aca="1" ref="B21" ca="1">SUM(INDIRECT(_xlfn.ANCHORARRAY(C21)))</f>
        <v>0</v>
      </c>
      <c r="C21" t="str" cm="1">
        <f t="array" ref="C21:T21">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9")</f>
        <v>'Fillet Blade'!G9</v>
      </c>
      <c r="D21" t="str">
        <v>'Debate Club'!G9</v>
      </c>
      <c r="E21" t="str">
        <v>'Halberd'!G9</v>
      </c>
      <c r="F21" t="str">
        <v>'Twin Nephrite'!G9</v>
      </c>
      <c r="G21" t="str">
        <v>'Messenger'!G9</v>
      </c>
      <c r="H21" t="str">
        <v>'Royal Spear'!G9</v>
      </c>
      <c r="I21" t="str">
        <v>'Blackcliff Slasher'!G9</v>
      </c>
      <c r="J21" t="str">
        <v>'Blackcliff Pole'!G9</v>
      </c>
      <c r="K21" t="str">
        <v>'Prototype Rancour'!G9</v>
      </c>
      <c r="L21" t="str">
        <v>'Prototype Amber'!G9</v>
      </c>
      <c r="M21" t="str">
        <v>'Prototype Crescent'!G9</v>
      </c>
      <c r="N21" t="str">
        <v>'Rainslasher'!G9</v>
      </c>
      <c r="O21" t="str">
        <v>'Dragon''s Bane'!G9</v>
      </c>
      <c r="P21" t="str">
        <v>'Eye of Perception'!G9</v>
      </c>
      <c r="Q21" t="str">
        <v>'The Unforged'!G9</v>
      </c>
      <c r="R21" t="str">
        <v>'Primordial Jade Cutter'!G9</v>
      </c>
      <c r="S21" t="str">
        <v>'Calamity Queller'!G9</v>
      </c>
      <c r="T21" t="str">
        <v>'Crane’s Echoing Call'!G9</v>
      </c>
    </row>
    <row r="22" spans="1:20" x14ac:dyDescent="0.25">
      <c r="A22" s="210" t="s">
        <v>82</v>
      </c>
      <c r="B22" cm="1">
        <f t="array" aca="1" ref="B22" ca="1">SUM(INDIRECT(_xlfn.ANCHORARRAY(C22)))</f>
        <v>0</v>
      </c>
      <c r="C22" t="str" cm="1">
        <f t="array" ref="C22:R22">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6")</f>
        <v>'Skyrider Sword'!G6</v>
      </c>
      <c r="D22" t="str">
        <v>'Skyrider Greatsword'!G6</v>
      </c>
      <c r="E22" t="str">
        <v>'Black Tassel'!G6</v>
      </c>
      <c r="F22" t="str">
        <v>'Serpent Spine'!G6</v>
      </c>
      <c r="G22" t="str">
        <v>'Prototype Archaic'!G6</v>
      </c>
      <c r="H22" t="str">
        <v>'Prototype Starglitter'!G6</v>
      </c>
      <c r="I22" t="str">
        <v>'Iron Sting'!G6</v>
      </c>
      <c r="J22" t="str">
        <v>'Mappa Mare'!G6</v>
      </c>
      <c r="K22" t="str">
        <v>'Compound Bow'!G6</v>
      </c>
      <c r="L22" t="str">
        <v>'Memory of Dust'!G6</v>
      </c>
      <c r="M22" t="str">
        <v>'Vortex Vanquisher'!G6</v>
      </c>
      <c r="N22" t="str">
        <v>'Lithic Spear'!G6</v>
      </c>
      <c r="O22" t="str">
        <v>'Staff of Homa'!G6</v>
      </c>
      <c r="P22" t="str">
        <v>'Luxurious Sea-Lord'!G6</v>
      </c>
      <c r="Q22" t="str">
        <v>'Fading Twilight'!G6</v>
      </c>
      <c r="R22" t="str">
        <v>'Cloudweaver'!G6</v>
      </c>
    </row>
    <row r="23" spans="1:20" x14ac:dyDescent="0.25">
      <c r="A23" s="210"/>
      <c r="B23" cm="1">
        <f t="array" aca="1" ref="B23" ca="1">SUM(INDIRECT(_xlfn.ANCHORARRAY(C23)))</f>
        <v>0</v>
      </c>
      <c r="C23" t="str" cm="1">
        <f t="array" ref="C23:R23">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7")</f>
        <v>'Skyrider Sword'!G7</v>
      </c>
      <c r="D23" t="str">
        <v>'Skyrider Greatsword'!G7</v>
      </c>
      <c r="E23" t="str">
        <v>'Black Tassel'!G7</v>
      </c>
      <c r="F23" t="str">
        <v>'Serpent Spine'!G7</v>
      </c>
      <c r="G23" t="str">
        <v>'Prototype Archaic'!G7</v>
      </c>
      <c r="H23" t="str">
        <v>'Prototype Starglitter'!G7</v>
      </c>
      <c r="I23" t="str">
        <v>'Iron Sting'!G7</v>
      </c>
      <c r="J23" t="str">
        <v>'Mappa Mare'!G7</v>
      </c>
      <c r="K23" t="str">
        <v>'Compound Bow'!G7</v>
      </c>
      <c r="L23" t="str">
        <v>'Memory of Dust'!G7</v>
      </c>
      <c r="M23" t="str">
        <v>'Vortex Vanquisher'!G7</v>
      </c>
      <c r="N23" t="str">
        <v>'Lithic Spear'!G7</v>
      </c>
      <c r="O23" t="str">
        <v>'Staff of Homa'!G7</v>
      </c>
      <c r="P23" t="str">
        <v>'Luxurious Sea-Lord'!G7</v>
      </c>
      <c r="Q23" t="str">
        <v>'Fading Twilight'!G7</v>
      </c>
      <c r="R23" t="str">
        <v>'Cloudweaver'!G7</v>
      </c>
    </row>
    <row r="24" spans="1:20" x14ac:dyDescent="0.25">
      <c r="A24" s="210"/>
      <c r="B24" cm="1">
        <f t="array" aca="1" ref="B24" ca="1">SUM(INDIRECT(_xlfn.ANCHORARRAY(C24)))</f>
        <v>0</v>
      </c>
      <c r="C24" t="str" cm="1">
        <f t="array" ref="C24:R24">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8")</f>
        <v>'Skyrider Sword'!G8</v>
      </c>
      <c r="D24" t="str">
        <v>'Skyrider Greatsword'!G8</v>
      </c>
      <c r="E24" t="str">
        <v>'Black Tassel'!G8</v>
      </c>
      <c r="F24" t="str">
        <v>'Serpent Spine'!G8</v>
      </c>
      <c r="G24" t="str">
        <v>'Prototype Archaic'!G8</v>
      </c>
      <c r="H24" t="str">
        <v>'Prototype Starglitter'!G8</v>
      </c>
      <c r="I24" t="str">
        <v>'Iron Sting'!G8</v>
      </c>
      <c r="J24" t="str">
        <v>'Mappa Mare'!G8</v>
      </c>
      <c r="K24" t="str">
        <v>'Compound Bow'!G8</v>
      </c>
      <c r="L24" t="str">
        <v>'Memory of Dust'!G8</v>
      </c>
      <c r="M24" t="str">
        <v>'Vortex Vanquisher'!G8</v>
      </c>
      <c r="N24" t="str">
        <v>'Lithic Spear'!G8</v>
      </c>
      <c r="O24" t="str">
        <v>'Staff of Homa'!G8</v>
      </c>
      <c r="P24" t="str">
        <v>'Luxurious Sea-Lord'!G8</v>
      </c>
      <c r="Q24" t="str">
        <v>'Fading Twilight'!G8</v>
      </c>
      <c r="R24" t="str">
        <v>'Cloudweaver'!G8</v>
      </c>
    </row>
    <row r="25" spans="1:20" x14ac:dyDescent="0.25">
      <c r="A25" s="210"/>
      <c r="B25" cm="1">
        <f t="array" aca="1" ref="B25" ca="1">SUM(INDIRECT(_xlfn.ANCHORARRAY(C25)))</f>
        <v>0</v>
      </c>
      <c r="C25" t="str" cm="1">
        <f t="array" ref="C25:R25">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9")</f>
        <v>'Skyrider Sword'!G9</v>
      </c>
      <c r="D25" t="str">
        <v>'Skyrider Greatsword'!G9</v>
      </c>
      <c r="E25" t="str">
        <v>'Black Tassel'!G9</v>
      </c>
      <c r="F25" t="str">
        <v>'Serpent Spine'!G9</v>
      </c>
      <c r="G25" t="str">
        <v>'Prototype Archaic'!G9</v>
      </c>
      <c r="H25" t="str">
        <v>'Prototype Starglitter'!G9</v>
      </c>
      <c r="I25" t="str">
        <v>'Iron Sting'!G9</v>
      </c>
      <c r="J25" t="str">
        <v>'Mappa Mare'!G9</v>
      </c>
      <c r="K25" t="str">
        <v>'Compound Bow'!G9</v>
      </c>
      <c r="L25" t="str">
        <v>'Memory of Dust'!G9</v>
      </c>
      <c r="M25" t="str">
        <v>'Vortex Vanquisher'!G9</v>
      </c>
      <c r="N25" t="str">
        <v>'Lithic Spear'!G9</v>
      </c>
      <c r="O25" t="str">
        <v>'Staff of Homa'!G9</v>
      </c>
      <c r="P25" t="str">
        <v>'Luxurious Sea-Lord'!G9</v>
      </c>
      <c r="Q25" t="str">
        <v>'Fading Twilight'!G9</v>
      </c>
      <c r="R25" t="str">
        <v>'Cloudweaver'!G9</v>
      </c>
    </row>
    <row r="26" spans="1:20" x14ac:dyDescent="0.25">
      <c r="A26" s="210" t="s">
        <v>89</v>
      </c>
      <c r="B26" cm="1">
        <f t="array" aca="1" ref="B26" ca="1">SUM(INDIRECT(_xlfn.ANCHORARRAY(C26)))</f>
        <v>0</v>
      </c>
      <c r="C26" t="str" cm="1">
        <f t="array" ref="C26:I26">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6")</f>
        <v>'Amenoma Kageuchi'!G6</v>
      </c>
      <c r="D26" t="str">
        <v>'Hakushin Ring'!G6</v>
      </c>
      <c r="E26" t="str">
        <v>'Mistsplitter Reforged'!G6</v>
      </c>
      <c r="F26" t="str">
        <v>'Everlasting Moonglow'!G6</v>
      </c>
      <c r="G26" t="str">
        <v>'Akuoumaru'!G6</v>
      </c>
      <c r="H26" t="str">
        <v>'Oathsworn Eye'!G6</v>
      </c>
      <c r="I26" t="str">
        <v>'Uraku Misugiri'!G6</v>
      </c>
    </row>
    <row r="27" spans="1:20" x14ac:dyDescent="0.25">
      <c r="A27" s="210"/>
      <c r="B27" cm="1">
        <f t="array" aca="1" ref="B27" ca="1">SUM(INDIRECT(_xlfn.ANCHORARRAY(C27)))</f>
        <v>0</v>
      </c>
      <c r="C27" t="str" cm="1">
        <f t="array" ref="C27:I27">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7")</f>
        <v>'Amenoma Kageuchi'!G7</v>
      </c>
      <c r="D27" t="str">
        <v>'Hakushin Ring'!G7</v>
      </c>
      <c r="E27" t="str">
        <v>'Mistsplitter Reforged'!G7</v>
      </c>
      <c r="F27" t="str">
        <v>'Everlasting Moonglow'!G7</v>
      </c>
      <c r="G27" t="str">
        <v>'Akuoumaru'!G7</v>
      </c>
      <c r="H27" t="str">
        <v>'Oathsworn Eye'!G7</v>
      </c>
      <c r="I27" t="str">
        <v>'Uraku Misugiri'!G7</v>
      </c>
    </row>
    <row r="28" spans="1:20" x14ac:dyDescent="0.25">
      <c r="A28" s="210"/>
      <c r="B28" cm="1">
        <f t="array" aca="1" ref="B28" ca="1">SUM(INDIRECT(_xlfn.ANCHORARRAY(C28)))</f>
        <v>0</v>
      </c>
      <c r="C28" t="str" cm="1">
        <f t="array" ref="C28:I28">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8")</f>
        <v>'Amenoma Kageuchi'!G8</v>
      </c>
      <c r="D28" t="str">
        <v>'Hakushin Ring'!G8</v>
      </c>
      <c r="E28" t="str">
        <v>'Mistsplitter Reforged'!G8</v>
      </c>
      <c r="F28" t="str">
        <v>'Everlasting Moonglow'!G8</v>
      </c>
      <c r="G28" t="str">
        <v>'Akuoumaru'!G8</v>
      </c>
      <c r="H28" t="str">
        <v>'Oathsworn Eye'!G8</v>
      </c>
      <c r="I28" t="str">
        <v>'Uraku Misugiri'!G8</v>
      </c>
    </row>
    <row r="29" spans="1:20" x14ac:dyDescent="0.25">
      <c r="A29" s="210"/>
      <c r="B29" cm="1">
        <f t="array" aca="1" ref="B29" ca="1">SUM(INDIRECT(_xlfn.ANCHORARRAY(C29)))</f>
        <v>0</v>
      </c>
      <c r="C29" t="str" cm="1">
        <f t="array" ref="C29:I29">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9")</f>
        <v>'Amenoma Kageuchi'!G9</v>
      </c>
      <c r="D29" t="str">
        <v>'Hakushin Ring'!G9</v>
      </c>
      <c r="E29" t="str">
        <v>'Mistsplitter Reforged'!G9</v>
      </c>
      <c r="F29" t="str">
        <v>'Everlasting Moonglow'!G9</v>
      </c>
      <c r="G29" t="str">
        <v>'Akuoumaru'!G9</v>
      </c>
      <c r="H29" t="str">
        <v>'Oathsworn Eye'!G9</v>
      </c>
      <c r="I29" t="str">
        <v>'Uraku Misugiri'!G9</v>
      </c>
    </row>
    <row r="30" spans="1:20" x14ac:dyDescent="0.25">
      <c r="A30" s="210" t="s">
        <v>95</v>
      </c>
      <c r="B30" cm="1">
        <f t="array" aca="1" ref="B30" ca="1">SUM(INDIRECT(_xlfn.ANCHORARRAY(C30)))</f>
        <v>0</v>
      </c>
      <c r="C30" t="str" cm="1">
        <f t="array" ref="C30:J30">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6")</f>
        <v>'Katsuragikiri Nagamasa'!G6</v>
      </c>
      <c r="D30" t="str">
        <v>'Hamayumi'!G6</v>
      </c>
      <c r="E30" t="str">
        <v>'Thundering Pulse'!G6</v>
      </c>
      <c r="F30" t="str">
        <v>'Mouun''s Moon'!G6</v>
      </c>
      <c r="G30" t="str">
        <v>'Redhorn Stonethresher'!G6</v>
      </c>
      <c r="H30" t="str">
        <v>'Haran Geppaku Futsu'!G6</v>
      </c>
      <c r="I30" t="str">
        <v>'Toukabou Shigure'!G6</v>
      </c>
      <c r="J30" t="str">
        <v>'Sunny Morning Sleep-In'!G6</v>
      </c>
    </row>
    <row r="31" spans="1:20" x14ac:dyDescent="0.25">
      <c r="A31" s="210"/>
      <c r="B31" cm="1">
        <f t="array" aca="1" ref="B31" ca="1">SUM(INDIRECT(_xlfn.ANCHORARRAY(C31)))</f>
        <v>0</v>
      </c>
      <c r="C31" t="str" cm="1">
        <f t="array" ref="C31:J31">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7")</f>
        <v>'Katsuragikiri Nagamasa'!G7</v>
      </c>
      <c r="D31" t="str">
        <v>'Hamayumi'!G7</v>
      </c>
      <c r="E31" t="str">
        <v>'Thundering Pulse'!G7</v>
      </c>
      <c r="F31" t="str">
        <v>'Mouun''s Moon'!G7</v>
      </c>
      <c r="G31" t="str">
        <v>'Redhorn Stonethresher'!G7</v>
      </c>
      <c r="H31" t="str">
        <v>'Haran Geppaku Futsu'!G7</v>
      </c>
      <c r="I31" t="str">
        <v>'Toukabou Shigure'!G7</v>
      </c>
      <c r="J31" t="str">
        <v>'Sunny Morning Sleep-In'!G7</v>
      </c>
    </row>
    <row r="32" spans="1:20" x14ac:dyDescent="0.25">
      <c r="A32" s="210"/>
      <c r="B32" cm="1">
        <f t="array" aca="1" ref="B32" ca="1">SUM(INDIRECT(_xlfn.ANCHORARRAY(C32)))</f>
        <v>0</v>
      </c>
      <c r="C32" t="str" cm="1">
        <f t="array" ref="C32:J32">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8")</f>
        <v>'Katsuragikiri Nagamasa'!G8</v>
      </c>
      <c r="D32" t="str">
        <v>'Hamayumi'!G8</v>
      </c>
      <c r="E32" t="str">
        <v>'Thundering Pulse'!G8</v>
      </c>
      <c r="F32" t="str">
        <v>'Mouun''s Moon'!G8</v>
      </c>
      <c r="G32" t="str">
        <v>'Redhorn Stonethresher'!G8</v>
      </c>
      <c r="H32" t="str">
        <v>'Haran Geppaku Futsu'!G8</v>
      </c>
      <c r="I32" t="str">
        <v>'Toukabou Shigure'!G8</v>
      </c>
      <c r="J32" t="str">
        <v>'Sunny Morning Sleep-In'!G8</v>
      </c>
    </row>
    <row r="33" spans="1:10" x14ac:dyDescent="0.25">
      <c r="A33" s="210"/>
      <c r="B33" cm="1">
        <f t="array" aca="1" ref="B33" ca="1">SUM(INDIRECT(_xlfn.ANCHORARRAY(C33)))</f>
        <v>0</v>
      </c>
      <c r="C33" t="str" cm="1">
        <f t="array" ref="C33:J33">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9")</f>
        <v>'Katsuragikiri Nagamasa'!G9</v>
      </c>
      <c r="D33" t="str">
        <v>'Hamayumi'!G9</v>
      </c>
      <c r="E33" t="str">
        <v>'Thundering Pulse'!G9</v>
      </c>
      <c r="F33" t="str">
        <v>'Mouun''s Moon'!G9</v>
      </c>
      <c r="G33" t="str">
        <v>'Redhorn Stonethresher'!G9</v>
      </c>
      <c r="H33" t="str">
        <v>'Haran Geppaku Futsu'!G9</v>
      </c>
      <c r="I33" t="str">
        <v>'Toukabou Shigure'!G9</v>
      </c>
      <c r="J33" t="str">
        <v>'Sunny Morning Sleep-In'!G9</v>
      </c>
    </row>
    <row r="34" spans="1:10" x14ac:dyDescent="0.25">
      <c r="A34" s="210" t="s">
        <v>101</v>
      </c>
      <c r="B34" cm="1">
        <f t="array" aca="1" ref="B34" ca="1">SUM(INDIRECT(_xlfn.ANCHORARRAY(C34)))</f>
        <v>0</v>
      </c>
      <c r="C34" t="str" cm="1">
        <f t="array" ref="C34:J34">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6")</f>
        <v>'Kitain Cross Spear'!G6</v>
      </c>
      <c r="D34" t="str">
        <v>'"The Catch"'!G6</v>
      </c>
      <c r="E34" t="str">
        <v>'Engulfing Lightning'!G6</v>
      </c>
      <c r="F34" t="str">
        <v>'Polar Star'!G6</v>
      </c>
      <c r="G34" t="str">
        <v>'Wavebreaker''s Fin'!G6</v>
      </c>
      <c r="H34" t="str">
        <v>'Kagura''s Verity'!G6</v>
      </c>
      <c r="I34" t="str">
        <v>'Kagotsurube Isshin'!G6</v>
      </c>
      <c r="J34" t="str">
        <v>'Tamayuratei no Ohanashi'!G6</v>
      </c>
    </row>
    <row r="35" spans="1:10" x14ac:dyDescent="0.25">
      <c r="A35" s="210"/>
      <c r="B35" cm="1">
        <f t="array" aca="1" ref="B35" ca="1">SUM(INDIRECT(_xlfn.ANCHORARRAY(C35)))</f>
        <v>0</v>
      </c>
      <c r="C35" t="str" cm="1">
        <f t="array" ref="C35:J35">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7")</f>
        <v>'Kitain Cross Spear'!G7</v>
      </c>
      <c r="D35" t="str">
        <v>'"The Catch"'!G7</v>
      </c>
      <c r="E35" t="str">
        <v>'Engulfing Lightning'!G7</v>
      </c>
      <c r="F35" t="str">
        <v>'Polar Star'!G7</v>
      </c>
      <c r="G35" t="str">
        <v>'Wavebreaker''s Fin'!G7</v>
      </c>
      <c r="H35" t="str">
        <v>'Kagura''s Verity'!G7</v>
      </c>
      <c r="I35" t="str">
        <v>'Kagotsurube Isshin'!G7</v>
      </c>
      <c r="J35" t="str">
        <v>'Tamayuratei no Ohanashi'!G7</v>
      </c>
    </row>
    <row r="36" spans="1:10" x14ac:dyDescent="0.25">
      <c r="A36" s="210"/>
      <c r="B36" cm="1">
        <f t="array" aca="1" ref="B36" ca="1">SUM(INDIRECT(_xlfn.ANCHORARRAY(C36)))</f>
        <v>0</v>
      </c>
      <c r="C36" t="str" cm="1">
        <f t="array" ref="C36:J36">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8")</f>
        <v>'Kitain Cross Spear'!G8</v>
      </c>
      <c r="D36" t="str">
        <v>'"The Catch"'!G8</v>
      </c>
      <c r="E36" t="str">
        <v>'Engulfing Lightning'!G8</v>
      </c>
      <c r="F36" t="str">
        <v>'Polar Star'!G8</v>
      </c>
      <c r="G36" t="str">
        <v>'Wavebreaker''s Fin'!G8</v>
      </c>
      <c r="H36" t="str">
        <v>'Kagura''s Verity'!G8</v>
      </c>
      <c r="I36" t="str">
        <v>'Kagotsurube Isshin'!G8</v>
      </c>
      <c r="J36" t="str">
        <v>'Tamayuratei no Ohanashi'!G8</v>
      </c>
    </row>
    <row r="37" spans="1:10" x14ac:dyDescent="0.25">
      <c r="A37" s="210"/>
      <c r="B37" cm="1">
        <f t="array" aca="1" ref="B37" ca="1">SUM(INDIRECT(_xlfn.ANCHORARRAY(C37)))</f>
        <v>0</v>
      </c>
      <c r="C37" t="str" cm="1">
        <f t="array" ref="C37:J37">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9")</f>
        <v>'Kitain Cross Spear'!G9</v>
      </c>
      <c r="D37" t="str">
        <v>'"The Catch"'!G9</v>
      </c>
      <c r="E37" t="str">
        <v>'Engulfing Lightning'!G9</v>
      </c>
      <c r="F37" t="str">
        <v>'Polar Star'!G9</v>
      </c>
      <c r="G37" t="str">
        <v>'Wavebreaker''s Fin'!G9</v>
      </c>
      <c r="H37" t="str">
        <v>'Kagura''s Verity'!G9</v>
      </c>
      <c r="I37" t="str">
        <v>'Kagotsurube Isshin'!G9</v>
      </c>
      <c r="J37" t="str">
        <v>'Tamayuratei no Ohanashi'!G9</v>
      </c>
    </row>
    <row r="38" spans="1:10" x14ac:dyDescent="0.25">
      <c r="A38" s="210" t="s">
        <v>107</v>
      </c>
      <c r="B38" cm="1">
        <f t="array" aca="1" ref="B38" ca="1">SUM(INDIRECT(_xlfn.ANCHORARRAY(C38)))</f>
        <v>0</v>
      </c>
      <c r="C38" t="str" cm="1">
        <f t="array" ref="C38:I38">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6")</f>
        <v>'Sapwood Blade'!G6</v>
      </c>
      <c r="D38" t="str">
        <v>'Forest Regalia'!G6</v>
      </c>
      <c r="E38" t="str">
        <v>'Key of Khaj-Nisat'!G6</v>
      </c>
      <c r="F38" t="str">
        <v>'Xiphos’ Moonlight'!G6</v>
      </c>
      <c r="G38" t="str">
        <v>'Light of Foliar Incision'!G6</v>
      </c>
      <c r="H38" t="str">
        <v>'Ibis Piercer'!G6</v>
      </c>
      <c r="I38" t="str">
        <v>'Dialogues of the Desert Sages'!G6</v>
      </c>
    </row>
    <row r="39" spans="1:10" x14ac:dyDescent="0.25">
      <c r="A39" s="210"/>
      <c r="B39" cm="1">
        <f t="array" aca="1" ref="B39" ca="1">SUM(INDIRECT(_xlfn.ANCHORARRAY(C39)))</f>
        <v>0</v>
      </c>
      <c r="C39" t="str" cm="1">
        <f t="array" ref="C39:I39">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7")</f>
        <v>'Sapwood Blade'!G7</v>
      </c>
      <c r="D39" t="str">
        <v>'Forest Regalia'!G7</v>
      </c>
      <c r="E39" t="str">
        <v>'Key of Khaj-Nisat'!G7</v>
      </c>
      <c r="F39" t="str">
        <v>'Xiphos’ Moonlight'!G7</v>
      </c>
      <c r="G39" t="str">
        <v>'Light of Foliar Incision'!G7</v>
      </c>
      <c r="H39" t="str">
        <v>'Ibis Piercer'!G7</v>
      </c>
      <c r="I39" t="str">
        <v>'Dialogues of the Desert Sages'!G7</v>
      </c>
    </row>
    <row r="40" spans="1:10" x14ac:dyDescent="0.25">
      <c r="A40" s="210"/>
      <c r="B40" cm="1">
        <f t="array" aca="1" ref="B40" ca="1">SUM(INDIRECT(_xlfn.ANCHORARRAY(C40)))</f>
        <v>0</v>
      </c>
      <c r="C40" t="str" cm="1">
        <f t="array" ref="C40:I40">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8")</f>
        <v>'Sapwood Blade'!G8</v>
      </c>
      <c r="D40" t="str">
        <v>'Forest Regalia'!G8</v>
      </c>
      <c r="E40" t="str">
        <v>'Key of Khaj-Nisat'!G8</v>
      </c>
      <c r="F40" t="str">
        <v>'Xiphos’ Moonlight'!G8</v>
      </c>
      <c r="G40" t="str">
        <v>'Light of Foliar Incision'!G8</v>
      </c>
      <c r="H40" t="str">
        <v>'Ibis Piercer'!G8</v>
      </c>
      <c r="I40" t="str">
        <v>'Dialogues of the Desert Sages'!G8</v>
      </c>
    </row>
    <row r="41" spans="1:10" x14ac:dyDescent="0.25">
      <c r="A41" s="210"/>
      <c r="B41" cm="1">
        <f t="array" aca="1" ref="B41" ca="1">SUM(INDIRECT(_xlfn.ANCHORARRAY(C41)))</f>
        <v>0</v>
      </c>
      <c r="C41" t="str" cm="1">
        <f t="array" ref="C41:I41">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9")</f>
        <v>'Sapwood Blade'!G9</v>
      </c>
      <c r="D41" t="str">
        <v>'Forest Regalia'!G9</v>
      </c>
      <c r="E41" t="str">
        <v>'Key of Khaj-Nisat'!G9</v>
      </c>
      <c r="F41" t="str">
        <v>'Xiphos’ Moonlight'!G9</v>
      </c>
      <c r="G41" t="str">
        <v>'Light of Foliar Incision'!G9</v>
      </c>
      <c r="H41" t="str">
        <v>'Ibis Piercer'!G9</v>
      </c>
      <c r="I41" t="str">
        <v>'Dialogues of the Desert Sages'!G9</v>
      </c>
    </row>
    <row r="42" spans="1:10" x14ac:dyDescent="0.25">
      <c r="A42" s="210" t="s">
        <v>113</v>
      </c>
      <c r="B42" cm="1">
        <f t="array" aca="1" ref="B42" ca="1">SUM(INDIRECT(_xlfn.ANCHORARRAY(C42)))</f>
        <v>0</v>
      </c>
      <c r="C42" t="str" cm="1">
        <f t="array" ref="C42:H42">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6")</f>
        <v>'Moonpiercer'!G6</v>
      </c>
      <c r="D42" t="str">
        <v>'Fruit of Fulfillment'!G6</v>
      </c>
      <c r="E42" t="str">
        <v>'Staff of the Scarlet Sands'!G6</v>
      </c>
      <c r="F42" t="str">
        <v>'Wandering Evenstar'!G6</v>
      </c>
      <c r="G42" t="str">
        <v>'A Thousand Floating Dreams'!G6</v>
      </c>
      <c r="H42" t="str">
        <v>'Talking Stick'!G6</v>
      </c>
    </row>
    <row r="43" spans="1:10" x14ac:dyDescent="0.25">
      <c r="A43" s="210"/>
      <c r="B43" cm="1">
        <f t="array" aca="1" ref="B43" ca="1">SUM(INDIRECT(_xlfn.ANCHORARRAY(C43)))</f>
        <v>0</v>
      </c>
      <c r="C43" t="str" cm="1">
        <f t="array" ref="C43:H43">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7")</f>
        <v>'Moonpiercer'!G7</v>
      </c>
      <c r="D43" t="str">
        <v>'Fruit of Fulfillment'!G7</v>
      </c>
      <c r="E43" t="str">
        <v>'Staff of the Scarlet Sands'!G7</v>
      </c>
      <c r="F43" t="str">
        <v>'Wandering Evenstar'!G7</v>
      </c>
      <c r="G43" t="str">
        <v>'A Thousand Floating Dreams'!G7</v>
      </c>
      <c r="H43" t="str">
        <v>'Talking Stick'!G7</v>
      </c>
    </row>
    <row r="44" spans="1:10" x14ac:dyDescent="0.25">
      <c r="A44" s="210"/>
      <c r="B44" cm="1">
        <f t="array" aca="1" ref="B44" ca="1">SUM(INDIRECT(_xlfn.ANCHORARRAY(C44)))</f>
        <v>0</v>
      </c>
      <c r="C44" t="str" cm="1">
        <f t="array" ref="C44:H44">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8")</f>
        <v>'Moonpiercer'!G8</v>
      </c>
      <c r="D44" t="str">
        <v>'Fruit of Fulfillment'!G8</v>
      </c>
      <c r="E44" t="str">
        <v>'Staff of the Scarlet Sands'!G8</v>
      </c>
      <c r="F44" t="str">
        <v>'Wandering Evenstar'!G8</v>
      </c>
      <c r="G44" t="str">
        <v>'A Thousand Floating Dreams'!G8</v>
      </c>
      <c r="H44" t="str">
        <v>'Talking Stick'!G8</v>
      </c>
    </row>
    <row r="45" spans="1:10" x14ac:dyDescent="0.25">
      <c r="A45" s="210"/>
      <c r="B45" cm="1">
        <f t="array" aca="1" ref="B45" ca="1">SUM(INDIRECT(_xlfn.ANCHORARRAY(C45)))</f>
        <v>0</v>
      </c>
      <c r="C45" t="str" cm="1">
        <f t="array" ref="C45:H45">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9")</f>
        <v>'Moonpiercer'!G9</v>
      </c>
      <c r="D45" t="str">
        <v>'Fruit of Fulfillment'!G9</v>
      </c>
      <c r="E45" t="str">
        <v>'Staff of the Scarlet Sands'!G9</v>
      </c>
      <c r="F45" t="str">
        <v>'Wandering Evenstar'!G9</v>
      </c>
      <c r="G45" t="str">
        <v>'A Thousand Floating Dreams'!G9</v>
      </c>
      <c r="H45" t="str">
        <v>'Talking Stick'!G9</v>
      </c>
    </row>
    <row r="46" spans="1:10" x14ac:dyDescent="0.25">
      <c r="A46" s="210" t="s">
        <v>119</v>
      </c>
      <c r="B46" cm="1">
        <f t="array" aca="1" ref="B46" ca="1">SUM(INDIRECT(_xlfn.ANCHORARRAY(C46)))</f>
        <v>0</v>
      </c>
      <c r="C46" t="str" cm="1">
        <f t="array" ref="C46:I46">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6")</f>
        <v>'King''s Squire'!G6</v>
      </c>
      <c r="D46" t="str">
        <v>'Hunter''s Path'!G6</v>
      </c>
      <c r="E46" t="str">
        <v>'End of the Line'!G6</v>
      </c>
      <c r="F46" t="str">
        <v>'Makhaira Aquamarine'!G6</v>
      </c>
      <c r="G46" t="str">
        <v>'Tullaytullah''s Remembrance'!G6</v>
      </c>
      <c r="H46" t="str">
        <v>'Beacon of the Reed Sea'!G6</v>
      </c>
      <c r="I46" t="str">
        <v>'Scion of the Blazing Sun'!G6</v>
      </c>
    </row>
    <row r="47" spans="1:10" x14ac:dyDescent="0.25">
      <c r="A47" s="210"/>
      <c r="B47" cm="1">
        <f t="array" aca="1" ref="B47" ca="1">SUM(INDIRECT(_xlfn.ANCHORARRAY(C47)))</f>
        <v>0</v>
      </c>
      <c r="C47" t="str" cm="1">
        <f t="array" ref="C47:I47">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7")</f>
        <v>'King''s Squire'!G7</v>
      </c>
      <c r="D47" t="str">
        <v>'Hunter''s Path'!G7</v>
      </c>
      <c r="E47" t="str">
        <v>'End of the Line'!G7</v>
      </c>
      <c r="F47" t="str">
        <v>'Makhaira Aquamarine'!G7</v>
      </c>
      <c r="G47" t="str">
        <v>'Tullaytullah''s Remembrance'!G7</v>
      </c>
      <c r="H47" t="str">
        <v>'Beacon of the Reed Sea'!G7</v>
      </c>
      <c r="I47" t="str">
        <v>'Scion of the Blazing Sun'!G7</v>
      </c>
    </row>
    <row r="48" spans="1:10" x14ac:dyDescent="0.25">
      <c r="A48" s="210"/>
      <c r="B48" cm="1">
        <f t="array" aca="1" ref="B48" ca="1">SUM(INDIRECT(_xlfn.ANCHORARRAY(C48)))</f>
        <v>0</v>
      </c>
      <c r="C48" t="str" cm="1">
        <f t="array" ref="C48:I48">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8")</f>
        <v>'King''s Squire'!G8</v>
      </c>
      <c r="D48" t="str">
        <v>'Hunter''s Path'!G8</v>
      </c>
      <c r="E48" t="str">
        <v>'End of the Line'!G8</v>
      </c>
      <c r="F48" t="str">
        <v>'Makhaira Aquamarine'!G8</v>
      </c>
      <c r="G48" t="str">
        <v>'Tullaytullah''s Remembrance'!G8</v>
      </c>
      <c r="H48" t="str">
        <v>'Beacon of the Reed Sea'!G8</v>
      </c>
      <c r="I48" t="str">
        <v>'Scion of the Blazing Sun'!G8</v>
      </c>
    </row>
    <row r="49" spans="1:11" x14ac:dyDescent="0.25">
      <c r="A49" s="210"/>
      <c r="B49" cm="1">
        <f t="array" aca="1" ref="B49" ca="1">SUM(INDIRECT(_xlfn.ANCHORARRAY(C49)))</f>
        <v>0</v>
      </c>
      <c r="C49" t="str" cm="1">
        <f t="array" ref="C49:I49">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9")</f>
        <v>'King''s Squire'!G9</v>
      </c>
      <c r="D49" t="str">
        <v>'Hunter''s Path'!G9</v>
      </c>
      <c r="E49" t="str">
        <v>'End of the Line'!G9</v>
      </c>
      <c r="F49" t="str">
        <v>'Makhaira Aquamarine'!G9</v>
      </c>
      <c r="G49" t="str">
        <v>'Tullaytullah''s Remembrance'!G9</v>
      </c>
      <c r="H49" t="str">
        <v>'Beacon of the Reed Sea'!G9</v>
      </c>
      <c r="I49" t="str">
        <v>'Scion of the Blazing Sun'!G9</v>
      </c>
    </row>
    <row r="50" spans="1:11" x14ac:dyDescent="0.25">
      <c r="A50" s="210" t="s">
        <v>125</v>
      </c>
      <c r="B50" cm="1">
        <f t="array" aca="1" ref="B50" ca="1">SUM(INDIRECT(_xlfn.ANCHORARRAY(C50)))</f>
        <v>0</v>
      </c>
      <c r="C50" t="str" cm="1">
        <f t="array" ref="C50:K50">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6")</f>
        <v>'Song of Stillness'!G6</v>
      </c>
      <c r="D50" t="str">
        <v>'The First Great Magic'!G6</v>
      </c>
      <c r="E50" t="str">
        <v>'Crossing of Fleuve Cendre'!G6</v>
      </c>
      <c r="F50" t="str">
        <v>'Prospector’s Drill'!G6</v>
      </c>
      <c r="G50" t="str">
        <v>'Range Gauge'!G6</v>
      </c>
      <c r="H50" t="str">
        <v>'Sword of Narzissenkreuz'!G6</v>
      </c>
      <c r="I50" t="str">
        <v>'Verdict'!G6</v>
      </c>
      <c r="J50" t="str">
        <v>'Absolution'!G6</v>
      </c>
      <c r="K50" t="str">
        <v>'Sequence of Solitude'!G6</v>
      </c>
    </row>
    <row r="51" spans="1:11" x14ac:dyDescent="0.25">
      <c r="A51" s="210"/>
      <c r="B51" cm="1">
        <f t="array" aca="1" ref="B51" ca="1">SUM(INDIRECT(_xlfn.ANCHORARRAY(C51)))</f>
        <v>0</v>
      </c>
      <c r="C51" t="str" cm="1">
        <f t="array" ref="C51:K51">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7")</f>
        <v>'Song of Stillness'!G7</v>
      </c>
      <c r="D51" t="str">
        <v>'The First Great Magic'!G7</v>
      </c>
      <c r="E51" t="str">
        <v>'Crossing of Fleuve Cendre'!G7</v>
      </c>
      <c r="F51" t="str">
        <v>'Prospector’s Drill'!G7</v>
      </c>
      <c r="G51" t="str">
        <v>'Range Gauge'!G7</v>
      </c>
      <c r="H51" t="str">
        <v>'Sword of Narzissenkreuz'!G7</v>
      </c>
      <c r="I51" t="str">
        <v>'Verdict'!G7</v>
      </c>
      <c r="J51" t="str">
        <v>'Absolution'!G7</v>
      </c>
      <c r="K51" t="str">
        <v>'Sequence of Solitude'!G7</v>
      </c>
    </row>
    <row r="52" spans="1:11" x14ac:dyDescent="0.25">
      <c r="A52" s="210"/>
      <c r="B52" cm="1">
        <f t="array" aca="1" ref="B52" ca="1">SUM(INDIRECT(_xlfn.ANCHORARRAY(C52)))</f>
        <v>0</v>
      </c>
      <c r="C52" t="str" cm="1">
        <f t="array" ref="C52:K52">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8")</f>
        <v>'Song of Stillness'!G8</v>
      </c>
      <c r="D52" t="str">
        <v>'The First Great Magic'!G8</v>
      </c>
      <c r="E52" t="str">
        <v>'Crossing of Fleuve Cendre'!G8</v>
      </c>
      <c r="F52" t="str">
        <v>'Prospector’s Drill'!G8</v>
      </c>
      <c r="G52" t="str">
        <v>'Range Gauge'!G8</v>
      </c>
      <c r="H52" t="str">
        <v>'Sword of Narzissenkreuz'!G8</v>
      </c>
      <c r="I52" t="str">
        <v>'Verdict'!G8</v>
      </c>
      <c r="J52" t="str">
        <v>'Absolution'!G8</v>
      </c>
      <c r="K52" t="str">
        <v>'Sequence of Solitude'!G8</v>
      </c>
    </row>
    <row r="53" spans="1:11" x14ac:dyDescent="0.25">
      <c r="A53" s="210"/>
      <c r="B53" cm="1">
        <f t="array" aca="1" ref="B53" ca="1">SUM(INDIRECT(_xlfn.ANCHORARRAY(C53)))</f>
        <v>0</v>
      </c>
      <c r="C53" t="str" cm="1">
        <f t="array" ref="C53:K53">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9")</f>
        <v>'Song of Stillness'!G9</v>
      </c>
      <c r="D53" t="str">
        <v>'The First Great Magic'!G9</v>
      </c>
      <c r="E53" t="str">
        <v>'Crossing of Fleuve Cendre'!G9</v>
      </c>
      <c r="F53" t="str">
        <v>'Prospector’s Drill'!G9</v>
      </c>
      <c r="G53" t="str">
        <v>'Range Gauge'!G9</v>
      </c>
      <c r="H53" t="str">
        <v>'Sword of Narzissenkreuz'!G9</v>
      </c>
      <c r="I53" t="str">
        <v>'Verdict'!G9</v>
      </c>
      <c r="J53" t="str">
        <v>'Absolution'!G9</v>
      </c>
      <c r="K53" t="str">
        <v>'Sequence of Solitude'!G9</v>
      </c>
    </row>
    <row r="54" spans="1:11" x14ac:dyDescent="0.25">
      <c r="A54" s="210" t="s">
        <v>128</v>
      </c>
      <c r="B54" cm="1">
        <f t="array" aca="1" ref="B54" ca="1">SUM(INDIRECT(_xlfn.ANCHORARRAY(C54)))</f>
        <v>0</v>
      </c>
      <c r="C54" t="str" cm="1">
        <f t="array" ref="C54:I54">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6")</f>
        <v>'Finale of the Deep'!G6</v>
      </c>
      <c r="D54" t="str">
        <v>'Flowing Purity'!G6</v>
      </c>
      <c r="E54" t="str">
        <v>'Tome of the Eternal Flow'!G6</v>
      </c>
      <c r="F54" t="str">
        <v>'The Dockhand''s Assistant'!G6</v>
      </c>
      <c r="G54" t="str">
        <v>'Splendor of Tranquil Waters'!G6</v>
      </c>
      <c r="H54" t="str">
        <v>'Pouring Heartstrings'!G6</v>
      </c>
      <c r="I54" t="str">
        <v>'Symphonist of Scents'!G6</v>
      </c>
    </row>
    <row r="55" spans="1:11" x14ac:dyDescent="0.25">
      <c r="A55" s="210"/>
      <c r="B55" cm="1">
        <f t="array" aca="1" ref="B55" ca="1">SUM(INDIRECT(_xlfn.ANCHORARRAY(C55)))</f>
        <v>0</v>
      </c>
      <c r="C55" t="str" cm="1">
        <f t="array" ref="C55:I55">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7")</f>
        <v>'Finale of the Deep'!G7</v>
      </c>
      <c r="D55" t="str">
        <v>'Flowing Purity'!G7</v>
      </c>
      <c r="E55" t="str">
        <v>'Tome of the Eternal Flow'!G7</v>
      </c>
      <c r="F55" t="str">
        <v>'The Dockhand''s Assistant'!G7</v>
      </c>
      <c r="G55" t="str">
        <v>'Splendor of Tranquil Waters'!G7</v>
      </c>
      <c r="H55" t="str">
        <v>'Pouring Heartstrings'!G7</v>
      </c>
      <c r="I55" t="str">
        <v>'Symphonist of Scents'!G7</v>
      </c>
    </row>
    <row r="56" spans="1:11" x14ac:dyDescent="0.25">
      <c r="A56" s="210"/>
      <c r="B56" cm="1">
        <f t="array" aca="1" ref="B56" ca="1">SUM(INDIRECT(_xlfn.ANCHORARRAY(C56)))</f>
        <v>0</v>
      </c>
      <c r="C56" t="str" cm="1">
        <f t="array" ref="C56:I56">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8")</f>
        <v>'Finale of the Deep'!G8</v>
      </c>
      <c r="D56" t="str">
        <v>'Flowing Purity'!G8</v>
      </c>
      <c r="E56" t="str">
        <v>'Tome of the Eternal Flow'!G8</v>
      </c>
      <c r="F56" t="str">
        <v>'The Dockhand''s Assistant'!G8</v>
      </c>
      <c r="G56" t="str">
        <v>'Splendor of Tranquil Waters'!G8</v>
      </c>
      <c r="H56" t="str">
        <v>'Pouring Heartstrings'!G8</v>
      </c>
      <c r="I56" t="str">
        <v>'Symphonist of Scents'!G8</v>
      </c>
    </row>
    <row r="57" spans="1:11" x14ac:dyDescent="0.25">
      <c r="A57" s="210"/>
      <c r="B57" cm="1">
        <f t="array" aca="1" ref="B57" ca="1">SUM(INDIRECT(_xlfn.ANCHORARRAY(C57)))</f>
        <v>0</v>
      </c>
      <c r="C57" t="str" cm="1">
        <f t="array" ref="C57:I57">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9")</f>
        <v>'Finale of the Deep'!G9</v>
      </c>
      <c r="D57" t="str">
        <v>'Flowing Purity'!G9</v>
      </c>
      <c r="E57" t="str">
        <v>'Tome of the Eternal Flow'!G9</v>
      </c>
      <c r="F57" t="str">
        <v>'The Dockhand''s Assistant'!G9</v>
      </c>
      <c r="G57" t="str">
        <v>'Splendor of Tranquil Waters'!G9</v>
      </c>
      <c r="H57" t="str">
        <v>'Pouring Heartstrings'!G9</v>
      </c>
      <c r="I57" t="str">
        <v>'Symphonist of Scents'!G9</v>
      </c>
    </row>
    <row r="58" spans="1:11" x14ac:dyDescent="0.25">
      <c r="A58" s="210" t="s">
        <v>131</v>
      </c>
      <c r="B58" cm="1">
        <f t="array" aca="1" ref="B58" ca="1">SUM(INDIRECT(_xlfn.ANCHORARRAY(C58)))</f>
        <v>0</v>
      </c>
      <c r="C58" t="str" cm="1">
        <f t="array" ref="C58:J58">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6")</f>
        <v>'Ballad of the Fjords'!G6</v>
      </c>
      <c r="D58" t="str">
        <v>'Tidal Shadow'!G6</v>
      </c>
      <c r="E58" t="str">
        <v>'Rightful Reward'!G6</v>
      </c>
      <c r="F58" t="str">
        <v>'Portable Power Saw'!G6</v>
      </c>
      <c r="G58" t="str">
        <v>'Cashflow Supervision'!G6</v>
      </c>
      <c r="H58" t="str">
        <v>'Ultimate Overlord’s Mega Magic'!G6</v>
      </c>
      <c r="I58" t="str">
        <v>'Crimson Moon’s Semblance'!G6</v>
      </c>
      <c r="J58" t="str">
        <v>'Lumidouce Elegy'!G6</v>
      </c>
    </row>
    <row r="59" spans="1:11" x14ac:dyDescent="0.25">
      <c r="A59" s="210"/>
      <c r="B59" cm="1">
        <f t="array" aca="1" ref="B59" ca="1">SUM(INDIRECT(_xlfn.ANCHORARRAY(C59)))</f>
        <v>0</v>
      </c>
      <c r="C59" t="str" cm="1">
        <f t="array" ref="C59:J59">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7")</f>
        <v>'Ballad of the Fjords'!G7</v>
      </c>
      <c r="D59" t="str">
        <v>'Tidal Shadow'!G7</v>
      </c>
      <c r="E59" t="str">
        <v>'Rightful Reward'!G7</v>
      </c>
      <c r="F59" t="str">
        <v>'Portable Power Saw'!G7</v>
      </c>
      <c r="G59" t="str">
        <v>'Cashflow Supervision'!G7</v>
      </c>
      <c r="H59" t="str">
        <v>'Ultimate Overlord’s Mega Magic'!G7</v>
      </c>
      <c r="I59" t="str">
        <v>'Crimson Moon’s Semblance'!G7</v>
      </c>
      <c r="J59" t="str">
        <v>'Lumidouce Elegy'!G7</v>
      </c>
    </row>
    <row r="60" spans="1:11" x14ac:dyDescent="0.25">
      <c r="A60" s="210"/>
      <c r="B60" cm="1">
        <f t="array" aca="1" ref="B60" ca="1">SUM(INDIRECT(_xlfn.ANCHORARRAY(C60)))</f>
        <v>0</v>
      </c>
      <c r="C60" t="str" cm="1">
        <f t="array" ref="C60:J60">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8")</f>
        <v>'Ballad of the Fjords'!G8</v>
      </c>
      <c r="D60" t="str">
        <v>'Tidal Shadow'!G8</v>
      </c>
      <c r="E60" t="str">
        <v>'Rightful Reward'!G8</v>
      </c>
      <c r="F60" t="str">
        <v>'Portable Power Saw'!G8</v>
      </c>
      <c r="G60" t="str">
        <v>'Cashflow Supervision'!G8</v>
      </c>
      <c r="H60" t="str">
        <v>'Ultimate Overlord’s Mega Magic'!G8</v>
      </c>
      <c r="I60" t="str">
        <v>'Crimson Moon’s Semblance'!G8</v>
      </c>
      <c r="J60" t="str">
        <v>'Lumidouce Elegy'!G8</v>
      </c>
    </row>
    <row r="61" spans="1:11" x14ac:dyDescent="0.25">
      <c r="A61" s="210"/>
      <c r="B61" cm="1">
        <f t="array" aca="1" ref="B61" ca="1">SUM(INDIRECT(_xlfn.ANCHORARRAY(C61)))</f>
        <v>0</v>
      </c>
      <c r="C61" t="str" cm="1">
        <f t="array" ref="C61:J61">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9")</f>
        <v>'Ballad of the Fjords'!G9</v>
      </c>
      <c r="D61" t="str">
        <v>'Tidal Shadow'!G9</v>
      </c>
      <c r="E61" t="str">
        <v>'Rightful Reward'!G9</v>
      </c>
      <c r="F61" t="str">
        <v>'Portable Power Saw'!G9</v>
      </c>
      <c r="G61" t="str">
        <v>'Cashflow Supervision'!G9</v>
      </c>
      <c r="H61" t="str">
        <v>'Ultimate Overlord’s Mega Magic'!G9</v>
      </c>
      <c r="I61" t="str">
        <v>'Crimson Moon’s Semblance'!G9</v>
      </c>
      <c r="J61" t="str">
        <v>'Lumidouce Elegy'!G9</v>
      </c>
    </row>
    <row r="62" spans="1:11" x14ac:dyDescent="0.25">
      <c r="A62" s="210" t="s">
        <v>134</v>
      </c>
      <c r="B62" cm="1">
        <f t="array" aca="1" ref="B62" ca="1">SUM(INDIRECT(_xlfn.ANCHORARRAY(C62)))</f>
        <v>0</v>
      </c>
      <c r="C62" t="str" cm="1">
        <f t="array" ref="C62:I62">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6")</f>
        <v>'Flute of Ezpitzal'!G6</v>
      </c>
      <c r="D62" t="str">
        <v>'Earth Shaker'!G6</v>
      </c>
      <c r="E62" t="str">
        <v>'Surf''s Up'!G6</v>
      </c>
      <c r="F62" t="str">
        <v>'Sturdy Bone'!G6</v>
      </c>
      <c r="G62" t="str">
        <v>'Waveriding Whirl'!G6</v>
      </c>
      <c r="H62" t="str">
        <v>'A Thousand Blazing Suns'!G6</v>
      </c>
      <c r="I62" t="str">
        <v>'Fractured Halo'!G6</v>
      </c>
    </row>
    <row r="63" spans="1:11" x14ac:dyDescent="0.25">
      <c r="A63" s="210"/>
      <c r="B63" cm="1">
        <f t="array" aca="1" ref="B63" ca="1">SUM(INDIRECT(_xlfn.ANCHORARRAY(C63)))</f>
        <v>0</v>
      </c>
      <c r="C63" t="str" cm="1">
        <f t="array" ref="C63:I63">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7")</f>
        <v>'Flute of Ezpitzal'!G7</v>
      </c>
      <c r="D63" t="str">
        <v>'Earth Shaker'!G7</v>
      </c>
      <c r="E63" t="str">
        <v>'Surf''s Up'!G7</v>
      </c>
      <c r="F63" t="str">
        <v>'Sturdy Bone'!G7</v>
      </c>
      <c r="G63" t="str">
        <v>'Waveriding Whirl'!G7</v>
      </c>
      <c r="H63" t="str">
        <v>'A Thousand Blazing Suns'!G7</v>
      </c>
      <c r="I63" t="str">
        <v>'Fractured Halo'!G7</v>
      </c>
    </row>
    <row r="64" spans="1:11" x14ac:dyDescent="0.25">
      <c r="A64" s="210"/>
      <c r="B64" cm="1">
        <f t="array" aca="1" ref="B64" ca="1">SUM(INDIRECT(_xlfn.ANCHORARRAY(C64)))</f>
        <v>0</v>
      </c>
      <c r="C64" t="str" cm="1">
        <f t="array" ref="C64:I64">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8")</f>
        <v>'Flute of Ezpitzal'!G8</v>
      </c>
      <c r="D64" t="str">
        <v>'Earth Shaker'!G8</v>
      </c>
      <c r="E64" t="str">
        <v>'Surf''s Up'!G8</v>
      </c>
      <c r="F64" t="str">
        <v>'Sturdy Bone'!G8</v>
      </c>
      <c r="G64" t="str">
        <v>'Waveriding Whirl'!G8</v>
      </c>
      <c r="H64" t="str">
        <v>'A Thousand Blazing Suns'!G8</v>
      </c>
      <c r="I64" t="str">
        <v>'Fractured Halo'!G8</v>
      </c>
    </row>
    <row r="65" spans="1:10" x14ac:dyDescent="0.25">
      <c r="A65" s="210"/>
      <c r="B65" cm="1">
        <f t="array" aca="1" ref="B65" ca="1">SUM(INDIRECT(_xlfn.ANCHORARRAY(C65)))</f>
        <v>0</v>
      </c>
      <c r="C65" t="str" cm="1">
        <f t="array" ref="C65:I65">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9")</f>
        <v>'Flute of Ezpitzal'!G9</v>
      </c>
      <c r="D65" t="str">
        <v>'Earth Shaker'!G9</v>
      </c>
      <c r="E65" t="str">
        <v>'Surf''s Up'!G9</v>
      </c>
      <c r="F65" t="str">
        <v>'Sturdy Bone'!G9</v>
      </c>
      <c r="G65" t="str">
        <v>'Waveriding Whirl'!G9</v>
      </c>
      <c r="H65" t="str">
        <v>'A Thousand Blazing Suns'!G9</v>
      </c>
      <c r="I65" t="str">
        <v>'Fractured Halo'!G9</v>
      </c>
    </row>
    <row r="66" spans="1:10" x14ac:dyDescent="0.25">
      <c r="A66" s="210" t="s">
        <v>135</v>
      </c>
      <c r="B66" cm="1">
        <f t="array" aca="1" ref="B66" ca="1">SUM(INDIRECT(_xlfn.ANCHORARRAY(C66)))</f>
        <v>3</v>
      </c>
      <c r="C66" t="str" cm="1">
        <f t="array" ref="C66:J66">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6")</f>
        <v>'Footprint of the Rainbow'!G6</v>
      </c>
      <c r="D66" t="str">
        <v>'Ring of Yaxche'!G6</v>
      </c>
      <c r="E66" t="str">
        <v>'Fang of the Mountain King'!G6</v>
      </c>
      <c r="F66" t="str">
        <v>'Mountain-Bracing Bolt'!G6</v>
      </c>
      <c r="G66" t="str">
        <v>'The Calamity of Eshu'!G6</v>
      </c>
      <c r="H66" t="str">
        <v>'Starcaller’s Watch'!G6</v>
      </c>
      <c r="I66" t="str">
        <v>'Vivid Notions'!G6</v>
      </c>
      <c r="J66" t="str">
        <v>'Flame-Forged Insight'!G6</v>
      </c>
    </row>
    <row r="67" spans="1:10" x14ac:dyDescent="0.25">
      <c r="A67" s="210"/>
      <c r="B67" cm="1">
        <f t="array" aca="1" ref="B67" ca="1">SUM(INDIRECT(_xlfn.ANCHORARRAY(C67)))</f>
        <v>9</v>
      </c>
      <c r="C67" t="str" cm="1">
        <f t="array" ref="C67:J67">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7")</f>
        <v>'Footprint of the Rainbow'!G7</v>
      </c>
      <c r="D67" t="str">
        <v>'Ring of Yaxche'!G7</v>
      </c>
      <c r="E67" t="str">
        <v>'Fang of the Mountain King'!G7</v>
      </c>
      <c r="F67" t="str">
        <v>'Mountain-Bracing Bolt'!G7</v>
      </c>
      <c r="G67" t="str">
        <v>'The Calamity of Eshu'!G7</v>
      </c>
      <c r="H67" t="str">
        <v>'Starcaller’s Watch'!G7</v>
      </c>
      <c r="I67" t="str">
        <v>'Vivid Notions'!G7</v>
      </c>
      <c r="J67" t="str">
        <v>'Flame-Forged Insight'!G7</v>
      </c>
    </row>
    <row r="68" spans="1:10" x14ac:dyDescent="0.25">
      <c r="A68" s="210"/>
      <c r="B68" cm="1">
        <f t="array" aca="1" ref="B68" ca="1">SUM(INDIRECT(_xlfn.ANCHORARRAY(C68)))</f>
        <v>9</v>
      </c>
      <c r="C68" t="str" cm="1">
        <f t="array" ref="C68:J68">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8")</f>
        <v>'Footprint of the Rainbow'!G8</v>
      </c>
      <c r="D68" t="str">
        <v>'Ring of Yaxche'!G8</v>
      </c>
      <c r="E68" t="str">
        <v>'Fang of the Mountain King'!G8</v>
      </c>
      <c r="F68" t="str">
        <v>'Mountain-Bracing Bolt'!G8</v>
      </c>
      <c r="G68" t="str">
        <v>'The Calamity of Eshu'!G8</v>
      </c>
      <c r="H68" t="str">
        <v>'Starcaller’s Watch'!G8</v>
      </c>
      <c r="I68" t="str">
        <v>'Vivid Notions'!G8</v>
      </c>
      <c r="J68" t="str">
        <v>'Flame-Forged Insight'!G8</v>
      </c>
    </row>
    <row r="69" spans="1:10" x14ac:dyDescent="0.25">
      <c r="A69" s="210"/>
      <c r="B69" cm="1">
        <f t="array" aca="1" ref="B69" ca="1">SUM(INDIRECT(_xlfn.ANCHORARRAY(C69)))</f>
        <v>4</v>
      </c>
      <c r="C69" t="str" cm="1">
        <f t="array" ref="C69:J69">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9")</f>
        <v>'Footprint of the Rainbow'!G9</v>
      </c>
      <c r="D69" t="str">
        <v>'Ring of Yaxche'!G9</v>
      </c>
      <c r="E69" t="str">
        <v>'Fang of the Mountain King'!G9</v>
      </c>
      <c r="F69" t="str">
        <v>'Mountain-Bracing Bolt'!G9</v>
      </c>
      <c r="G69" t="str">
        <v>'The Calamity of Eshu'!G9</v>
      </c>
      <c r="H69" t="str">
        <v>'Starcaller’s Watch'!G9</v>
      </c>
      <c r="I69" t="str">
        <v>'Vivid Notions'!G9</v>
      </c>
      <c r="J69" t="str">
        <v>'Flame-Forged Insight'!G9</v>
      </c>
    </row>
    <row r="70" spans="1:10" x14ac:dyDescent="0.25">
      <c r="A70" s="210" t="s">
        <v>137</v>
      </c>
      <c r="B70" cm="1">
        <f t="array" aca="1" ref="B70" ca="1">SUM(INDIRECT(_xlfn.ANCHORARRAY(C70)))</f>
        <v>0</v>
      </c>
      <c r="C70" t="str" cm="1">
        <f t="array" ref="C70:I70">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6")</f>
        <v>'Chain Breaker'!G6</v>
      </c>
      <c r="D70" t="str">
        <v>'Ash-Graven Drinking Horn'!G6</v>
      </c>
      <c r="E70" t="str">
        <v>'Peak Patrol Song'!G6</v>
      </c>
      <c r="F70" t="str">
        <v>'Fruitful Hook'!G6</v>
      </c>
      <c r="G70" t="str">
        <v>'Astral Vulture’s Crimson'!G6</v>
      </c>
      <c r="H70" t="str">
        <v>'Flower-Wreathed Feathers'!G6</v>
      </c>
      <c r="I70" t="str">
        <v>'Azurelight'!G6</v>
      </c>
    </row>
    <row r="71" spans="1:10" x14ac:dyDescent="0.25">
      <c r="A71" s="210"/>
      <c r="B71" cm="1">
        <f t="array" aca="1" ref="B71" ca="1">SUM(INDIRECT(_xlfn.ANCHORARRAY(C71)))</f>
        <v>0</v>
      </c>
      <c r="C71" t="str" cm="1">
        <f t="array" ref="C71:I71">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7")</f>
        <v>'Chain Breaker'!G7</v>
      </c>
      <c r="D71" t="str">
        <v>'Ash-Graven Drinking Horn'!G7</v>
      </c>
      <c r="E71" t="str">
        <v>'Peak Patrol Song'!G7</v>
      </c>
      <c r="F71" t="str">
        <v>'Fruitful Hook'!G7</v>
      </c>
      <c r="G71" t="str">
        <v>'Astral Vulture’s Crimson'!G7</v>
      </c>
      <c r="H71" t="str">
        <v>'Flower-Wreathed Feathers'!G7</v>
      </c>
      <c r="I71" t="str">
        <v>'Azurelight'!G7</v>
      </c>
    </row>
    <row r="72" spans="1:10" x14ac:dyDescent="0.25">
      <c r="A72" s="210"/>
      <c r="B72" cm="1">
        <f t="array" aca="1" ref="B72" ca="1">SUM(INDIRECT(_xlfn.ANCHORARRAY(C72)))</f>
        <v>0</v>
      </c>
      <c r="C72" t="str" cm="1">
        <f t="array" ref="C72:I72">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8")</f>
        <v>'Chain Breaker'!G8</v>
      </c>
      <c r="D72" t="str">
        <v>'Ash-Graven Drinking Horn'!G8</v>
      </c>
      <c r="E72" t="str">
        <v>'Peak Patrol Song'!G8</v>
      </c>
      <c r="F72" t="str">
        <v>'Fruitful Hook'!G8</v>
      </c>
      <c r="G72" t="str">
        <v>'Astral Vulture’s Crimson'!G8</v>
      </c>
      <c r="H72" t="str">
        <v>'Flower-Wreathed Feathers'!G8</v>
      </c>
      <c r="I72" t="str">
        <v>'Azurelight'!G8</v>
      </c>
    </row>
    <row r="73" spans="1:10" x14ac:dyDescent="0.25">
      <c r="A73" s="210"/>
      <c r="B73" cm="1">
        <f t="array" aca="1" ref="B73" ca="1">SUM(INDIRECT(_xlfn.ANCHORARRAY(C73)))</f>
        <v>0</v>
      </c>
      <c r="C73" t="str" cm="1">
        <f t="array" ref="C73:I73">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9")</f>
        <v>'Chain Breaker'!G9</v>
      </c>
      <c r="D73" t="str">
        <v>'Ash-Graven Drinking Horn'!G9</v>
      </c>
      <c r="E73" t="str">
        <v>'Peak Patrol Song'!G9</v>
      </c>
      <c r="F73" t="str">
        <v>'Fruitful Hook'!G9</v>
      </c>
      <c r="G73" t="str">
        <v>'Astral Vulture’s Crimson'!G9</v>
      </c>
      <c r="H73" t="str">
        <v>'Flower-Wreathed Feathers'!G9</v>
      </c>
      <c r="I73" t="str">
        <v>'Azurelight'!G9</v>
      </c>
    </row>
  </sheetData>
  <mergeCells count="18">
    <mergeCell ref="A22:A25"/>
    <mergeCell ref="A2:A5"/>
    <mergeCell ref="A6:A9"/>
    <mergeCell ref="A10:A13"/>
    <mergeCell ref="A14:A17"/>
    <mergeCell ref="A18:A21"/>
    <mergeCell ref="A38:A41"/>
    <mergeCell ref="A42:A45"/>
    <mergeCell ref="A46:A49"/>
    <mergeCell ref="A26:A29"/>
    <mergeCell ref="A30:A33"/>
    <mergeCell ref="A34:A37"/>
    <mergeCell ref="A62:A65"/>
    <mergeCell ref="A66:A69"/>
    <mergeCell ref="A70:A73"/>
    <mergeCell ref="A50:A53"/>
    <mergeCell ref="A54:A57"/>
    <mergeCell ref="A58:A61"/>
  </mergeCells>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A3455-C287-4918-B817-F04E3C391330}">
  <sheetPr codeName="Sheet6">
    <tabColor theme="5" tint="0.39997558519241921"/>
  </sheetPr>
  <dimension ref="A1:AA130"/>
  <sheetViews>
    <sheetView workbookViewId="0">
      <selection activeCell="B47" sqref="B47"/>
    </sheetView>
  </sheetViews>
  <sheetFormatPr defaultColWidth="8.85546875" defaultRowHeight="15" x14ac:dyDescent="0.25"/>
  <cols>
    <col min="3" max="3" width="24.85546875" bestFit="1" customWidth="1"/>
  </cols>
  <sheetData>
    <row r="1" spans="1:27" x14ac:dyDescent="0.25">
      <c r="A1" s="211" t="s">
        <v>191</v>
      </c>
      <c r="B1" s="61">
        <v>1</v>
      </c>
      <c r="C1" t="str" cm="1">
        <f t="array" ref="C1:C15">_xlfn._xlws.FILTER(INDEX(Common_Mob_Drops,,1),INDEX(Common_Mob_Drops,,1)&lt;&gt;"")</f>
        <v>Slime</v>
      </c>
      <c r="D1" cm="1">
        <f t="array" aca="1" ref="D1" ca="1">IFERROR(SUM(INDIRECT(_xlfn.ANCHORARRAY(E1))),0)</f>
        <v>0</v>
      </c>
      <c r="E1" t="str" cm="1">
        <f t="array" ref="E1:AA1">TRANSPOSE("'"&amp;IF(ISNUMBER(FIND("'",_xlfn._xlws.FILTER(INDEX(Weapon_List,,1),INDEX(Weapon_List,,5)=C1,))),LEFT(_xlfn._xlws.FILTER(INDEX(Weapon_List,,1),INDEX(Weapon_List,,5)=C1,),FIND("'",_xlfn._xlws.FILTER(INDEX(Weapon_List,,1),INDEX(Weapon_List,,5)=C1,)))&amp;"'"&amp;RIGHT(_xlfn._xlws.FILTER(INDEX(Weapon_List,,1),INDEX(Weapon_List,,5)=C1,),LEN(_xlfn._xlws.FILTER(INDEX(Weapon_List,,1),INDEX(Weapon_List,,5)=C1,))-FIND("'",_xlfn._xlws.FILTER(INDEX(Weapon_List,,1),INDEX(Weapon_List,,5)=C1,))),_xlfn._xlws.FILTER(INDEX(Weapon_List,,1),INDEX(Weapon_List,,5)=C1,))&amp;"'!G10")</f>
        <v>'Waster Greatsword'!G10</v>
      </c>
      <c r="F1" t="str">
        <v>'Old Merc''s Pal'!G10</v>
      </c>
      <c r="G1" t="str">
        <v>'Harbinger of Dawn'!G10</v>
      </c>
      <c r="H1" t="str">
        <v>'White Iron Greatsword'!G10</v>
      </c>
      <c r="I1" t="str">
        <v>'Magic Guide'!G10</v>
      </c>
      <c r="J1" t="str">
        <v>'Sharpshooter''s Oath'!G10</v>
      </c>
      <c r="K1" t="str">
        <v>'Royal Greatsword'!G10</v>
      </c>
      <c r="L1" t="str">
        <v>'Royal Bow'!G10</v>
      </c>
      <c r="M1" t="str">
        <v>'The Black Sword'!G10</v>
      </c>
      <c r="N1" t="str">
        <v>'Mappa Mare'!G10</v>
      </c>
      <c r="O1" t="str">
        <v>'The Flute'!G10</v>
      </c>
      <c r="P1" t="str">
        <v>'Favonius Lance'!G10</v>
      </c>
      <c r="Q1" t="str">
        <v>'Sacrificial Bow'!G10</v>
      </c>
      <c r="R1" t="str">
        <v>'Skyward Blade'!G10</v>
      </c>
      <c r="S1" t="str">
        <v>'Skyward Pride'!G10</v>
      </c>
      <c r="T1" t="str">
        <v>'Lost Prayer to the Sacred Winds'!G10</v>
      </c>
      <c r="U1" t="str">
        <v>'Amos'' Bow'!G10</v>
      </c>
      <c r="V1" t="str">
        <v>'Snow-Tombed Starsilver'!G10</v>
      </c>
      <c r="W1" t="str">
        <v>'Staff of Homa'!G10</v>
      </c>
      <c r="X1" t="str">
        <v>'Alley Hunter'!G10</v>
      </c>
      <c r="Y1" t="str">
        <v>'Luxurious Sea-Lord'!G10</v>
      </c>
      <c r="Z1" t="str">
        <v>'Missive Windspear'!G10</v>
      </c>
      <c r="AA1" t="str">
        <v>'Talking Stick'!G10</v>
      </c>
    </row>
    <row r="2" spans="1:27" x14ac:dyDescent="0.25">
      <c r="A2" s="211"/>
      <c r="B2" s="61">
        <v>1</v>
      </c>
      <c r="C2" t="str">
        <v>Hilichurl</v>
      </c>
      <c r="D2" cm="1">
        <f t="array" aca="1" ref="D2" ca="1">IFERROR(SUM(INDIRECT(_xlfn.ANCHORARRAY(E2))),0)</f>
        <v>0</v>
      </c>
      <c r="E2" t="str" cm="1">
        <f t="array" ref="E2:V2">TRANSPOSE("'"&amp;IF(ISNUMBER(FIND("'",_xlfn._xlws.FILTER(INDEX(Weapon_List,,1),INDEX(Weapon_List,,5)=C2,))),LEFT(_xlfn._xlws.FILTER(INDEX(Weapon_List,,1),INDEX(Weapon_List,,5)=C2,),FIND("'",_xlfn._xlws.FILTER(INDEX(Weapon_List,,1),INDEX(Weapon_List,,5)=C2,)))&amp;"'"&amp;RIGHT(_xlfn._xlws.FILTER(INDEX(Weapon_List,,1),INDEX(Weapon_List,,5)=C2,),LEN(_xlfn._xlws.FILTER(INDEX(Weapon_List,,1),INDEX(Weapon_List,,5)=C2,))-FIND("'",_xlfn._xlws.FILTER(INDEX(Weapon_List,,1),INDEX(Weapon_List,,5)=C2,))),_xlfn._xlws.FILTER(INDEX(Weapon_List,,1),INDEX(Weapon_List,,5)=C2,))&amp;"'!G10")</f>
        <v>'Apprentice''s Notes'!G10</v>
      </c>
      <c r="F2" t="str">
        <v>'Pocket Grimoire'!G10</v>
      </c>
      <c r="G2" t="str">
        <v>'Dark Iron Sword'!G10</v>
      </c>
      <c r="H2" t="str">
        <v>'Debate Club'!G10</v>
      </c>
      <c r="I2" t="str">
        <v>'Otherworldly Story'!G10</v>
      </c>
      <c r="J2" t="str">
        <v>'Slingshot'!G10</v>
      </c>
      <c r="K2" t="str">
        <v>'Prototype Archaic'!G10</v>
      </c>
      <c r="L2" t="str">
        <v>'Prototype Starglitter'!G10</v>
      </c>
      <c r="M2" t="str">
        <v>'Eye of Perception'!G10</v>
      </c>
      <c r="N2" t="str">
        <v>'The Widsith'!G10</v>
      </c>
      <c r="O2" t="str">
        <v>'Rust'!G10</v>
      </c>
      <c r="P2" t="str">
        <v>'Memory of Dust'!G10</v>
      </c>
      <c r="Q2" t="str">
        <v>'Summit Shaper'!G10</v>
      </c>
      <c r="R2" t="str">
        <v>'Song of Broken Pines'!G10</v>
      </c>
      <c r="S2" t="str">
        <v>'Dodoco Tales'!G10</v>
      </c>
      <c r="T2" t="str">
        <v>'Cinnabar Spindle'!G10</v>
      </c>
      <c r="U2" t="str">
        <v>'Wolf-Fang'!G10</v>
      </c>
      <c r="V2" t="str">
        <v>'Ring of Yaxche'!G10</v>
      </c>
    </row>
    <row r="3" spans="1:27" x14ac:dyDescent="0.25">
      <c r="A3" s="211"/>
      <c r="B3" s="61">
        <v>1</v>
      </c>
      <c r="C3" t="str">
        <v>Samachurl</v>
      </c>
      <c r="D3" cm="1">
        <f t="array" aca="1" ref="D3" ca="1">IFERROR(SUM(INDIRECT(_xlfn.ANCHORARRAY(E3))),0)</f>
        <v>0</v>
      </c>
      <c r="E3" t="str" cm="1">
        <f t="array" ref="E3:W3">TRANSPOSE("'"&amp;IF(ISNUMBER(FIND("'",_xlfn._xlws.FILTER(INDEX(Weapon_List,,1),INDEX(Weapon_List,,5)=C3,))),LEFT(_xlfn._xlws.FILTER(INDEX(Weapon_List,,1),INDEX(Weapon_List,,5)=C3,),FIND("'",_xlfn._xlws.FILTER(INDEX(Weapon_List,,1),INDEX(Weapon_List,,5)=C3,)))&amp;"'"&amp;RIGHT(_xlfn._xlws.FILTER(INDEX(Weapon_List,,1),INDEX(Weapon_List,,5)=C3,),LEN(_xlfn._xlws.FILTER(INDEX(Weapon_List,,1),INDEX(Weapon_List,,5)=C3,))-FIND("'",_xlfn._xlws.FILTER(INDEX(Weapon_List,,1),INDEX(Weapon_List,,5)=C3,))),_xlfn._xlws.FILTER(INDEX(Weapon_List,,1),INDEX(Weapon_List,,5)=C3,))&amp;"'!G10")</f>
        <v>'Beginner''s Protector'!G10</v>
      </c>
      <c r="F3" t="str">
        <v>'Iron Point'!G10</v>
      </c>
      <c r="G3" t="str">
        <v>'Traveler''s Handy Sword'!G10</v>
      </c>
      <c r="H3" t="str">
        <v>'TTDS'!G10</v>
      </c>
      <c r="I3" t="str">
        <v>'Recurve Bow'!G10</v>
      </c>
      <c r="J3" t="str">
        <v>'Blackcliff Agate'!G10</v>
      </c>
      <c r="K3" t="str">
        <v>'Sacrificial Sword'!G10</v>
      </c>
      <c r="L3" t="str">
        <v>'Rainslasher'!G10</v>
      </c>
      <c r="M3" t="str">
        <v>'Dragon''s Bane'!G10</v>
      </c>
      <c r="N3" t="str">
        <v>'Favonius Codex'!G10</v>
      </c>
      <c r="O3" t="str">
        <v>'Wolf''s Gravestone'!G10</v>
      </c>
      <c r="P3" t="str">
        <v>'Skyward Spine'!G10</v>
      </c>
      <c r="Q3" t="str">
        <v>'The Alley Flash'!G10</v>
      </c>
      <c r="R3" t="str">
        <v>'Wine and Song'!G10</v>
      </c>
      <c r="S3" t="str">
        <v>'Freedom-Sworn'!G10</v>
      </c>
      <c r="T3" t="str">
        <v>'Hakushin Ring'!G10</v>
      </c>
      <c r="U3" t="str">
        <v>'Fading Twilight'!G10</v>
      </c>
      <c r="V3" t="str">
        <v>'Sacrificial Jade'!G10</v>
      </c>
      <c r="W3" t="str">
        <v>'Crane’s Echoing Call'!G10</v>
      </c>
    </row>
    <row r="4" spans="1:27" x14ac:dyDescent="0.25">
      <c r="A4" s="211"/>
      <c r="B4" s="61">
        <v>1</v>
      </c>
      <c r="C4" t="str">
        <v>Hilichurl Shooter</v>
      </c>
      <c r="D4" cm="1">
        <f t="array" aca="1" ref="D4" ca="1">IFERROR(SUM(INDIRECT(_xlfn.ANCHORARRAY(E4))),0)</f>
        <v>10</v>
      </c>
      <c r="E4" t="str" cm="1">
        <f t="array" ref="E4:AA4">TRANSPOSE("'"&amp;IF(ISNUMBER(FIND("'",_xlfn._xlws.FILTER(INDEX(Weapon_List,,1),INDEX(Weapon_List,,5)=C4,))),LEFT(_xlfn._xlws.FILTER(INDEX(Weapon_List,,1),INDEX(Weapon_List,,5)=C4,),FIND("'",_xlfn._xlws.FILTER(INDEX(Weapon_List,,1),INDEX(Weapon_List,,5)=C4,)))&amp;"'"&amp;RIGHT(_xlfn._xlws.FILTER(INDEX(Weapon_List,,1),INDEX(Weapon_List,,5)=C4,),LEN(_xlfn._xlws.FILTER(INDEX(Weapon_List,,1),INDEX(Weapon_List,,5)=C4,))-FIND("'",_xlfn._xlws.FILTER(INDEX(Weapon_List,,1),INDEX(Weapon_List,,5)=C4,))),_xlfn._xlws.FILTER(INDEX(Weapon_List,,1),INDEX(Weapon_List,,5)=C4,))&amp;"'!G10")</f>
        <v>'Dull Blade'!G10</v>
      </c>
      <c r="F4" t="str">
        <v>'Silver Sword'!G10</v>
      </c>
      <c r="G4" t="str">
        <v>'Cool Steel'!G10</v>
      </c>
      <c r="H4" t="str">
        <v>'Bloodtainted Greatsword'!G10</v>
      </c>
      <c r="I4" t="str">
        <v>'Black Tassel'!G10</v>
      </c>
      <c r="J4" t="str">
        <v>'Raven Bow'!G10</v>
      </c>
      <c r="K4" t="str">
        <v>'Royal Longsword'!G10</v>
      </c>
      <c r="L4" t="str">
        <v>'Blackcliff Longsword'!G10</v>
      </c>
      <c r="M4" t="str">
        <v>'The Veridescent Hunt'!G10</v>
      </c>
      <c r="N4" t="str">
        <v>'Prototype Amber'!G10</v>
      </c>
      <c r="O4" t="str">
        <v>'Favonius Sword'!G10</v>
      </c>
      <c r="P4" t="str">
        <v>'Sacrificial Greatsword'!G10</v>
      </c>
      <c r="Q4" t="str">
        <v>'The Stringless'!G10</v>
      </c>
      <c r="R4" t="str">
        <v>'Aquila Favonia'!G10</v>
      </c>
      <c r="S4" t="str">
        <v>'Skyward Atlas'!G10</v>
      </c>
      <c r="T4" t="str">
        <v>'Skyward Harp'!G10</v>
      </c>
      <c r="U4" t="str">
        <v>'Lithic Blade'!G10</v>
      </c>
      <c r="V4" t="str">
        <v>'Lithic Spear'!G10</v>
      </c>
      <c r="W4" t="str">
        <v>'Hamayumi'!G10</v>
      </c>
      <c r="X4" t="str">
        <v>'Thundering Pulse'!G10</v>
      </c>
      <c r="Y4" t="str">
        <v>'King''s Squire'!G10</v>
      </c>
      <c r="Z4" t="str">
        <v>'Song of Stillness'!G10</v>
      </c>
      <c r="AA4" t="str">
        <v>'6.0 Forge Bow'!G10</v>
      </c>
    </row>
    <row r="5" spans="1:27" x14ac:dyDescent="0.25">
      <c r="A5" s="211"/>
      <c r="B5" s="61">
        <v>1</v>
      </c>
      <c r="C5" t="str">
        <v>Fatui</v>
      </c>
      <c r="D5" cm="1">
        <f t="array" aca="1" ref="D5" ca="1">IFERROR(SUM(INDIRECT(_xlfn.ANCHORARRAY(E5))),0)</f>
        <v>0</v>
      </c>
      <c r="E5" t="str" cm="1">
        <f t="array" ref="E5:T5">TRANSPOSE("'"&amp;IF(ISNUMBER(FIND("'",_xlfn._xlws.FILTER(INDEX(Weapon_List,,1),INDEX(Weapon_List,,5)=C5,))),LEFT(_xlfn._xlws.FILTER(INDEX(Weapon_List,,1),INDEX(Weapon_List,,5)=C5,),FIND("'",_xlfn._xlws.FILTER(INDEX(Weapon_List,,1),INDEX(Weapon_List,,5)=C5,)))&amp;"'"&amp;RIGHT(_xlfn._xlws.FILTER(INDEX(Weapon_List,,1),INDEX(Weapon_List,,5)=C5,),LEN(_xlfn._xlws.FILTER(INDEX(Weapon_List,,1),INDEX(Weapon_List,,5)=C5,))-FIND("'",_xlfn._xlws.FILTER(INDEX(Weapon_List,,1),INDEX(Weapon_List,,5)=C5,))),_xlfn._xlws.FILTER(INDEX(Weapon_List,,1),INDEX(Weapon_List,,5)=C5,))&amp;"'!G10")</f>
        <v>'Skyrider Sword'!G10</v>
      </c>
      <c r="F5" t="str">
        <v>'White Tassel'!G10</v>
      </c>
      <c r="G5" t="str">
        <v>'Twin Nephrite'!G10</v>
      </c>
      <c r="H5" t="str">
        <v>'Royal Spear'!G10</v>
      </c>
      <c r="I5" t="str">
        <v>'Royal Grimoire'!G10</v>
      </c>
      <c r="J5" t="str">
        <v>'Blackcliff Slasher'!G10</v>
      </c>
      <c r="K5" t="str">
        <v>'Blackcliff Pole'!G10</v>
      </c>
      <c r="L5" t="str">
        <v>'Prototype Rancour'!G10</v>
      </c>
      <c r="M5" t="str">
        <v>'Compound Bow'!G10</v>
      </c>
      <c r="N5" t="str">
        <v>'Favonius Greatsword'!G10</v>
      </c>
      <c r="O5" t="str">
        <v>'Primordial Jade Winged-Spear'!G10</v>
      </c>
      <c r="P5" t="str">
        <v>'Festering Desire'!G10</v>
      </c>
      <c r="Q5" t="str">
        <v>'Dragonspine Spear'!G10</v>
      </c>
      <c r="R5" t="str">
        <v>'Elegy for the End'!G10</v>
      </c>
      <c r="S5" t="str">
        <v>'Moonpiercer'!G10</v>
      </c>
      <c r="T5" t="str">
        <v>'Cloudweaver'!G10</v>
      </c>
    </row>
    <row r="6" spans="1:27" x14ac:dyDescent="0.25">
      <c r="A6" s="211"/>
      <c r="B6" s="61">
        <v>1</v>
      </c>
      <c r="C6" t="str">
        <v>Treasure Hoarder</v>
      </c>
      <c r="D6" cm="1">
        <f t="array" aca="1" ref="D6" ca="1">IFERROR(SUM(INDIRECT(_xlfn.ANCHORARRAY(E6))),0)</f>
        <v>0</v>
      </c>
      <c r="E6" t="str" cm="1">
        <f t="array" ref="E6:V6">TRANSPOSE("'"&amp;IF(ISNUMBER(FIND("'",_xlfn._xlws.FILTER(INDEX(Weapon_List,,1),INDEX(Weapon_List,,5)=C6,))),LEFT(_xlfn._xlws.FILTER(INDEX(Weapon_List,,1),INDEX(Weapon_List,,5)=C6,),FIND("'",_xlfn._xlws.FILTER(INDEX(Weapon_List,,1),INDEX(Weapon_List,,5)=C6,)))&amp;"'"&amp;RIGHT(_xlfn._xlws.FILTER(INDEX(Weapon_List,,1),INDEX(Weapon_List,,5)=C6,),LEN(_xlfn._xlws.FILTER(INDEX(Weapon_List,,1),INDEX(Weapon_List,,5)=C6,))-FIND("'",_xlfn._xlws.FILTER(INDEX(Weapon_List,,1),INDEX(Weapon_List,,5)=C6,))),_xlfn._xlws.FILTER(INDEX(Weapon_List,,1),INDEX(Weapon_List,,5)=C6,))&amp;"'!G10")</f>
        <v>'Hunter''s Bow'!G10</v>
      </c>
      <c r="F6" t="str">
        <v>'Seasoned Hunter''s Bow'!G10</v>
      </c>
      <c r="G6" t="str">
        <v>'Fillet Blade'!G10</v>
      </c>
      <c r="H6" t="str">
        <v>'Skyrider Greatsword'!G10</v>
      </c>
      <c r="I6" t="str">
        <v>'Emerald Orb'!G10</v>
      </c>
      <c r="J6" t="str">
        <v>'Messenger'!G10</v>
      </c>
      <c r="K6" t="str">
        <v>'Prototype Crescent'!G10</v>
      </c>
      <c r="L6" t="str">
        <v>'Whiteblind'!G10</v>
      </c>
      <c r="M6" t="str">
        <v>'Crescent Pike'!G10</v>
      </c>
      <c r="N6" t="str">
        <v>'Lion''s Roar'!G10</v>
      </c>
      <c r="O6" t="str">
        <v>'Sacrificial Fragments'!G10</v>
      </c>
      <c r="P6" t="str">
        <v>'The Unforged'!G10</v>
      </c>
      <c r="Q6" t="str">
        <v>'Vortex Vanquisher'!G10</v>
      </c>
      <c r="R6" t="str">
        <v>'Primordial Jade Cutter'!G10</v>
      </c>
      <c r="S6" t="str">
        <v>'Mitternachts Waltz'!G10</v>
      </c>
      <c r="T6" t="str">
        <v>'Kitain Cross Spear'!G10</v>
      </c>
      <c r="U6" t="str">
        <v>'Makhaira Aquamarine'!G10</v>
      </c>
      <c r="V6" t="str">
        <v>'Ballad of the Boundless Blue'!G10</v>
      </c>
    </row>
    <row r="7" spans="1:27" x14ac:dyDescent="0.25">
      <c r="A7" s="211"/>
      <c r="B7" s="61">
        <v>1</v>
      </c>
      <c r="C7" t="str">
        <v>Whopperflower</v>
      </c>
      <c r="D7" cm="1">
        <f t="array" aca="1" ref="D7" ca="1">IFERROR(SUM(INDIRECT(_xlfn.ANCHORARRAY(E7))),0)</f>
        <v>0</v>
      </c>
      <c r="E7" t="str" cm="1">
        <f t="array" ref="E7:S7">TRANSPOSE("'"&amp;IF(ISNUMBER(FIND("'",_xlfn._xlws.FILTER(INDEX(Weapon_List,,1),INDEX(Weapon_List,,5)=C7,))),LEFT(_xlfn._xlws.FILTER(INDEX(Weapon_List,,1),INDEX(Weapon_List,,5)=C7,),FIND("'",_xlfn._xlws.FILTER(INDEX(Weapon_List,,1),INDEX(Weapon_List,,5)=C7,)))&amp;"'"&amp;RIGHT(_xlfn._xlws.FILTER(INDEX(Weapon_List,,1),INDEX(Weapon_List,,5)=C7,),LEN(_xlfn._xlws.FILTER(INDEX(Weapon_List,,1),INDEX(Weapon_List,,5)=C7,))-FIND("'",_xlfn._xlws.FILTER(INDEX(Weapon_List,,1),INDEX(Weapon_List,,5)=C7,))),_xlfn._xlws.FILTER(INDEX(Weapon_List,,1),INDEX(Weapon_List,,5)=C7,))&amp;"'!G10")</f>
        <v>'Ferrous Shadow'!G10</v>
      </c>
      <c r="F7" t="str">
        <v>'Halberd'!G10</v>
      </c>
      <c r="G7" t="str">
        <v>'Blackcliff Warbow'!G10</v>
      </c>
      <c r="H7" t="str">
        <v>'Serpent Spine'!G10</v>
      </c>
      <c r="I7" t="str">
        <v>'Deathmatch'!G10</v>
      </c>
      <c r="J7" t="str">
        <v>'Solar Pearl'!G10</v>
      </c>
      <c r="K7" t="str">
        <v>'Iron Sting'!G10</v>
      </c>
      <c r="L7" t="str">
        <v>'The Bell'!G10</v>
      </c>
      <c r="M7" t="str">
        <v>'Favonius Warbow'!G10</v>
      </c>
      <c r="N7" t="str">
        <v>'Frostbearer'!G10</v>
      </c>
      <c r="O7" t="str">
        <v>'Windblume Ode'!G10</v>
      </c>
      <c r="P7" t="str">
        <v>'Calamity Queller'!G10</v>
      </c>
      <c r="Q7" t="str">
        <v>'Ballad of the Fjords'!G10</v>
      </c>
      <c r="R7" t="str">
        <v>'Lumidouce Elegy'!G10</v>
      </c>
      <c r="S7" t="str">
        <v>'Mountain-Bracing Bolt'!G10</v>
      </c>
    </row>
    <row r="8" spans="1:27" x14ac:dyDescent="0.25">
      <c r="A8" s="211"/>
      <c r="B8" s="61">
        <v>1</v>
      </c>
      <c r="C8" t="str">
        <v>Nobushi</v>
      </c>
      <c r="D8" cm="1">
        <f t="array" aca="1" ref="D8" ca="1">IFERROR(SUM(INDIRECT(_xlfn.ANCHORARRAY(E8))),0)</f>
        <v>0</v>
      </c>
      <c r="E8" t="str" cm="1">
        <f t="array" ref="E8:P8">TRANSPOSE("'"&amp;IF(ISNUMBER(FIND("'",_xlfn._xlws.FILTER(INDEX(Weapon_List,,1),INDEX(Weapon_List,,5)=C8,))),LEFT(_xlfn._xlws.FILTER(INDEX(Weapon_List,,1),INDEX(Weapon_List,,5)=C8,),FIND("'",_xlfn._xlws.FILTER(INDEX(Weapon_List,,1),INDEX(Weapon_List,,5)=C8,)))&amp;"'"&amp;RIGHT(_xlfn._xlws.FILTER(INDEX(Weapon_List,,1),INDEX(Weapon_List,,5)=C8,),LEN(_xlfn._xlws.FILTER(INDEX(Weapon_List,,1),INDEX(Weapon_List,,5)=C8,))-FIND("'",_xlfn._xlws.FILTER(INDEX(Weapon_List,,1),INDEX(Weapon_List,,5)=C8,))),_xlfn._xlws.FILTER(INDEX(Weapon_List,,1),INDEX(Weapon_List,,5)=C8,))&amp;"'!G10")</f>
        <v>'Amenoma Kageuchi'!G10</v>
      </c>
      <c r="F8" t="str">
        <v>'Katsuragikiri Nagamasa'!G10</v>
      </c>
      <c r="G8" t="str">
        <v>'Mistsplitter Reforged'!G10</v>
      </c>
      <c r="H8" t="str">
        <v>'Engulfing Lightning'!G10</v>
      </c>
      <c r="I8" t="str">
        <v>'Akuoumaru'!G10</v>
      </c>
      <c r="J8" t="str">
        <v>'Wavebreaker''s Fin'!G10</v>
      </c>
      <c r="K8" t="str">
        <v>'Redhorn Stonethresher'!G10</v>
      </c>
      <c r="L8" t="str">
        <v>'Haran Geppaku Futsu'!G10</v>
      </c>
      <c r="M8" t="str">
        <v>'Toukabou Shigure'!G10</v>
      </c>
      <c r="N8" t="str">
        <v>'Finale of the Deep'!G10</v>
      </c>
      <c r="O8" t="str">
        <v>'Uraku Misugiri'!G10</v>
      </c>
      <c r="P8" t="str">
        <v>'Tamayuratei no Ohanashi'!G10</v>
      </c>
    </row>
    <row r="9" spans="1:27" x14ac:dyDescent="0.25">
      <c r="A9" s="211"/>
      <c r="B9" s="61">
        <v>1</v>
      </c>
      <c r="C9" t="str">
        <v>Specter</v>
      </c>
      <c r="D9" cm="1">
        <f t="array" aca="1" ref="D9" ca="1">IFERROR(SUM(INDIRECT(_xlfn.ANCHORARRAY(E9))),0)</f>
        <v>0</v>
      </c>
      <c r="E9" t="str" cm="1">
        <f t="array" ref="E9:O9">TRANSPOSE("'"&amp;IF(ISNUMBER(FIND("'",_xlfn._xlws.FILTER(INDEX(Weapon_List,,1),INDEX(Weapon_List,,5)=C9,))),LEFT(_xlfn._xlws.FILTER(INDEX(Weapon_List,,1),INDEX(Weapon_List,,5)=C9,),FIND("'",_xlfn._xlws.FILTER(INDEX(Weapon_List,,1),INDEX(Weapon_List,,5)=C9,)))&amp;"'"&amp;RIGHT(_xlfn._xlws.FILTER(INDEX(Weapon_List,,1),INDEX(Weapon_List,,5)=C9,),LEN(_xlfn._xlws.FILTER(INDEX(Weapon_List,,1),INDEX(Weapon_List,,5)=C9,))-FIND("'",_xlfn._xlws.FILTER(INDEX(Weapon_List,,1),INDEX(Weapon_List,,5)=C9,))),_xlfn._xlws.FILTER(INDEX(Weapon_List,,1),INDEX(Weapon_List,,5)=C9,))&amp;"'!G10")</f>
        <v>'"The Catch"'!G10</v>
      </c>
      <c r="F9" t="str">
        <v>'Everlasting Moonglow'!G10</v>
      </c>
      <c r="G9" t="str">
        <v>'Polar Star'!G10</v>
      </c>
      <c r="H9" t="str">
        <v>'Mouun''s Moon'!G10</v>
      </c>
      <c r="I9" t="str">
        <v>'Kagura''s Verity'!G10</v>
      </c>
      <c r="J9" t="str">
        <v>'Oathsworn Eye'!G10</v>
      </c>
      <c r="K9" t="str">
        <v>'Aqua Simulacra'!G10</v>
      </c>
      <c r="L9" t="str">
        <v>'Kagotsurube Isshin'!G10</v>
      </c>
      <c r="M9" t="str">
        <v>'Mailed Flower'!G10</v>
      </c>
      <c r="N9" t="str">
        <v>'Dialogues of the Desert Sages'!G10</v>
      </c>
      <c r="O9" t="str">
        <v>'Sunny Morning Sleep-In'!G10</v>
      </c>
    </row>
    <row r="10" spans="1:27" x14ac:dyDescent="0.25">
      <c r="A10" s="211"/>
      <c r="B10" s="61">
        <v>1</v>
      </c>
      <c r="C10" t="str">
        <v>Floating Fungi</v>
      </c>
      <c r="D10" cm="1">
        <f t="array" aca="1" ref="D10" ca="1">IFERROR(SUM(INDIRECT(_xlfn.ANCHORARRAY(E10))),0)</f>
        <v>0</v>
      </c>
      <c r="E10" t="str" cm="1">
        <f t="array" ref="E10:L10">TRANSPOSE("'"&amp;IF(ISNUMBER(FIND("'",_xlfn._xlws.FILTER(INDEX(Weapon_List,,1),INDEX(Weapon_List,,5)=C10,))),LEFT(_xlfn._xlws.FILTER(INDEX(Weapon_List,,1),INDEX(Weapon_List,,5)=C10,),FIND("'",_xlfn._xlws.FILTER(INDEX(Weapon_List,,1),INDEX(Weapon_List,,5)=C10,)))&amp;"'"&amp;RIGHT(_xlfn._xlws.FILTER(INDEX(Weapon_List,,1),INDEX(Weapon_List,,5)=C10,),LEN(_xlfn._xlws.FILTER(INDEX(Weapon_List,,1),INDEX(Weapon_List,,5)=C10,))-FIND("'",_xlfn._xlws.FILTER(INDEX(Weapon_List,,1),INDEX(Weapon_List,,5)=C10,))),_xlfn._xlws.FILTER(INDEX(Weapon_List,,1),INDEX(Weapon_List,,5)=C10,))&amp;"'!G10")</f>
        <v>'Fruit of Fulfillment'!G10</v>
      </c>
      <c r="F10" t="str">
        <v>'End of the Line'!G10</v>
      </c>
      <c r="G10" t="str">
        <v>'Staff of the Scarlet Sands'!G10</v>
      </c>
      <c r="H10" t="str">
        <v>'Wandering Evenstar'!G10</v>
      </c>
      <c r="I10" t="str">
        <v>'A Thousand Floating Dreams'!G10</v>
      </c>
      <c r="J10" t="str">
        <v>'Tullaytullah''s Remembrance'!G10</v>
      </c>
      <c r="K10" t="str">
        <v>'Jadefall''s Splendor'!G10</v>
      </c>
      <c r="L10" t="str">
        <v>'Scion of the Blazing Sun'!G10</v>
      </c>
    </row>
    <row r="11" spans="1:27" x14ac:dyDescent="0.25">
      <c r="A11" s="211"/>
      <c r="B11" s="61">
        <v>1</v>
      </c>
      <c r="C11" t="str">
        <v>Eremite</v>
      </c>
      <c r="D11" cm="1">
        <f t="array" aca="1" ref="D11" ca="1">IFERROR(SUM(INDIRECT(_xlfn.ANCHORARRAY(E11))),0)</f>
        <v>0</v>
      </c>
      <c r="E11" t="str" cm="1">
        <f t="array" ref="E11:L11">TRANSPOSE("'"&amp;IF(ISNUMBER(FIND("'",_xlfn._xlws.FILTER(INDEX(Weapon_List,,1),INDEX(Weapon_List,,5)=C11,))),LEFT(_xlfn._xlws.FILTER(INDEX(Weapon_List,,1),INDEX(Weapon_List,,5)=C11,),FIND("'",_xlfn._xlws.FILTER(INDEX(Weapon_List,,1),INDEX(Weapon_List,,5)=C11,)))&amp;"'"&amp;RIGHT(_xlfn._xlws.FILTER(INDEX(Weapon_List,,1),INDEX(Weapon_List,,5)=C11,),LEN(_xlfn._xlws.FILTER(INDEX(Weapon_List,,1),INDEX(Weapon_List,,5)=C11,))-FIND("'",_xlfn._xlws.FILTER(INDEX(Weapon_List,,1),INDEX(Weapon_List,,5)=C11,))),_xlfn._xlws.FILTER(INDEX(Weapon_List,,1),INDEX(Weapon_List,,5)=C11,))&amp;"'!G10")</f>
        <v>'Sapwood Blade'!G10</v>
      </c>
      <c r="F11" t="str">
        <v>'Forest Regalia'!G10</v>
      </c>
      <c r="G11" t="str">
        <v>'Hunter''s Path'!G10</v>
      </c>
      <c r="H11" t="str">
        <v>'Key of Khaj-Nisat'!G10</v>
      </c>
      <c r="I11" t="str">
        <v>'Xiphos’ Moonlight'!G10</v>
      </c>
      <c r="J11" t="str">
        <v>'Light of Foliar Incision'!G10</v>
      </c>
      <c r="K11" t="str">
        <v>'Beacon of the Reed Sea'!G10</v>
      </c>
      <c r="L11" t="str">
        <v>'Ibis Piercer'!G10</v>
      </c>
    </row>
    <row r="12" spans="1:27" x14ac:dyDescent="0.25">
      <c r="A12" s="211"/>
      <c r="B12" s="61">
        <v>1</v>
      </c>
      <c r="C12" t="str">
        <v>Fontemer Aberrant</v>
      </c>
      <c r="D12" cm="1">
        <f t="array" aca="1" ref="D12" ca="1">IFERROR(SUM(INDIRECT(_xlfn.ANCHORARRAY(E12))),0)</f>
        <v>10</v>
      </c>
      <c r="E12" t="str" cm="1">
        <f t="array" ref="E12:O12">TRANSPOSE("'"&amp;IF(ISNUMBER(FIND("'",_xlfn._xlws.FILTER(INDEX(Weapon_List,,1),INDEX(Weapon_List,,5)=C12,))),LEFT(_xlfn._xlws.FILTER(INDEX(Weapon_List,,1),INDEX(Weapon_List,,5)=C12,),FIND("'",_xlfn._xlws.FILTER(INDEX(Weapon_List,,1),INDEX(Weapon_List,,5)=C12,)))&amp;"'"&amp;RIGHT(_xlfn._xlws.FILTER(INDEX(Weapon_List,,1),INDEX(Weapon_List,,5)=C12,),LEN(_xlfn._xlws.FILTER(INDEX(Weapon_List,,1),INDEX(Weapon_List,,5)=C12,))-FIND("'",_xlfn._xlws.FILTER(INDEX(Weapon_List,,1),INDEX(Weapon_List,,5)=C12,))),_xlfn._xlws.FILTER(INDEX(Weapon_List,,1),INDEX(Weapon_List,,5)=C12,))&amp;"'!G10")</f>
        <v>'Flowing Purity'!G10</v>
      </c>
      <c r="F12" t="str">
        <v>'The First Great Magic'!G10</v>
      </c>
      <c r="G12" t="str">
        <v>'Crossing of Fleuve Cendre'!G10</v>
      </c>
      <c r="H12" t="str">
        <v>'The Dockhand''s Assistant'!G10</v>
      </c>
      <c r="I12" t="str">
        <v>'Cashflow Supervision'!G10</v>
      </c>
      <c r="J12" t="str">
        <v>'Range Gauge'!G10</v>
      </c>
      <c r="K12" t="str">
        <v>'Splendor of Tranquil Waters'!G10</v>
      </c>
      <c r="L12" t="str">
        <v>'Sword of Narzissenkreuz'!G10</v>
      </c>
      <c r="M12" t="str">
        <v>'Pouring Heartstrings'!G10</v>
      </c>
      <c r="N12" t="str">
        <v>'Symphonist of Scents'!G10</v>
      </c>
      <c r="O12" t="str">
        <v>'Flame-Forged Insight'!G10</v>
      </c>
    </row>
    <row r="13" spans="1:27" x14ac:dyDescent="0.25">
      <c r="A13" s="211"/>
      <c r="B13" s="61">
        <v>1</v>
      </c>
      <c r="C13" t="str">
        <v>Clockwork Meka</v>
      </c>
      <c r="D13" cm="1">
        <f t="array" aca="1" ref="D13" ca="1">IFERROR(SUM(INDIRECT(_xlfn.ANCHORARRAY(E13))),0)</f>
        <v>0</v>
      </c>
      <c r="E13" t="str" cm="1">
        <f t="array" ref="E13:N13">TRANSPOSE("'"&amp;IF(ISNUMBER(FIND("'",_xlfn._xlws.FILTER(INDEX(Weapon_List,,1),INDEX(Weapon_List,,5)=C13,))),LEFT(_xlfn._xlws.FILTER(INDEX(Weapon_List,,1),INDEX(Weapon_List,,5)=C13,),FIND("'",_xlfn._xlws.FILTER(INDEX(Weapon_List,,1),INDEX(Weapon_List,,5)=C13,)))&amp;"'"&amp;RIGHT(_xlfn._xlws.FILTER(INDEX(Weapon_List,,1),INDEX(Weapon_List,,5)=C13,),LEN(_xlfn._xlws.FILTER(INDEX(Weapon_List,,1),INDEX(Weapon_List,,5)=C13,))-FIND("'",_xlfn._xlws.FILTER(INDEX(Weapon_List,,1),INDEX(Weapon_List,,5)=C13,))),_xlfn._xlws.FILTER(INDEX(Weapon_List,,1),INDEX(Weapon_List,,5)=C13,))&amp;"'!G10")</f>
        <v>'Tidal Shadow'!G10</v>
      </c>
      <c r="F13" t="str">
        <v>'Rightful Reward'!G10</v>
      </c>
      <c r="G13" t="str">
        <v>'Tome of the Eternal Flow'!G10</v>
      </c>
      <c r="H13" t="str">
        <v>'Portable Power Saw'!G10</v>
      </c>
      <c r="I13" t="str">
        <v>'Prospector’s Drill'!G10</v>
      </c>
      <c r="J13" t="str">
        <v>'Verdict'!G10</v>
      </c>
      <c r="K13" t="str">
        <v>'Ultimate Overlord’s Mega Magic'!G10</v>
      </c>
      <c r="L13" t="str">
        <v>'Crimson Moon’s Semblance'!G10</v>
      </c>
      <c r="M13" t="str">
        <v>'Absolution'!G10</v>
      </c>
      <c r="N13" t="str">
        <v>'Sequence of Solitude'!G10</v>
      </c>
    </row>
    <row r="14" spans="1:27" x14ac:dyDescent="0.25">
      <c r="A14" s="211"/>
      <c r="B14" s="61">
        <v>1</v>
      </c>
      <c r="C14" t="str">
        <v>Saurian</v>
      </c>
      <c r="D14" cm="1">
        <f t="array" aca="1" ref="D14" ca="1">IFERROR(SUM(INDIRECT(_xlfn.ANCHORARRAY(E14))),0)</f>
        <v>0</v>
      </c>
      <c r="E14" t="str" cm="1">
        <f t="array" ref="E14:N14">TRANSPOSE("'"&amp;IF(ISNUMBER(FIND("'",_xlfn._xlws.FILTER(INDEX(Weapon_List,,1),INDEX(Weapon_List,,5)=C14,))),LEFT(_xlfn._xlws.FILTER(INDEX(Weapon_List,,1),INDEX(Weapon_List,,5)=C14,),FIND("'",_xlfn._xlws.FILTER(INDEX(Weapon_List,,1),INDEX(Weapon_List,,5)=C14,)))&amp;"'"&amp;RIGHT(_xlfn._xlws.FILTER(INDEX(Weapon_List,,1),INDEX(Weapon_List,,5)=C14,),LEN(_xlfn._xlws.FILTER(INDEX(Weapon_List,,1),INDEX(Weapon_List,,5)=C14,))-FIND("'",_xlfn._xlws.FILTER(INDEX(Weapon_List,,1),INDEX(Weapon_List,,5)=C14,))),_xlfn._xlws.FILTER(INDEX(Weapon_List,,1),INDEX(Weapon_List,,5)=C14,))&amp;"'!G10")</f>
        <v>'Flute of Ezpitzal'!G10</v>
      </c>
      <c r="F14" t="str">
        <v>'Chain Breaker'!G10</v>
      </c>
      <c r="G14" t="str">
        <v>'Surf''s Up'!G10</v>
      </c>
      <c r="H14" t="str">
        <v>'Ash-Graven Drinking Horn'!G10</v>
      </c>
      <c r="I14" t="str">
        <v>'Peak Patrol Song'!G10</v>
      </c>
      <c r="J14" t="str">
        <v>'Fruitful Hook'!G10</v>
      </c>
      <c r="K14" t="str">
        <v>'Waveriding Whirl'!G10</v>
      </c>
      <c r="L14" t="str">
        <v>'A Thousand Blazing Suns'!G10</v>
      </c>
      <c r="M14" t="str">
        <v>'Vivid Notions'!G10</v>
      </c>
      <c r="N14" t="str">
        <v>'Fractured Halo'!G10</v>
      </c>
    </row>
    <row r="15" spans="1:27" x14ac:dyDescent="0.25">
      <c r="A15" s="211"/>
      <c r="B15" s="61">
        <v>1</v>
      </c>
      <c r="C15" t="str">
        <v>Sauroform Tribal Warrior</v>
      </c>
      <c r="D15" cm="1">
        <f t="array" aca="1" ref="D15" ca="1">IFERROR(SUM(INDIRECT(_xlfn.ANCHORARRAY(E15))),0)</f>
        <v>0</v>
      </c>
      <c r="E15" t="str" cm="1">
        <f t="array" ref="E15:M15">TRANSPOSE("'"&amp;IF(ISNUMBER(FIND("'",_xlfn._xlws.FILTER(INDEX(Weapon_List,,1),INDEX(Weapon_List,,5)=C15,))),LEFT(_xlfn._xlws.FILTER(INDEX(Weapon_List,,1),INDEX(Weapon_List,,5)=C15,),FIND("'",_xlfn._xlws.FILTER(INDEX(Weapon_List,,1),INDEX(Weapon_List,,5)=C15,)))&amp;"'"&amp;RIGHT(_xlfn._xlws.FILTER(INDEX(Weapon_List,,1),INDEX(Weapon_List,,5)=C15,),LEN(_xlfn._xlws.FILTER(INDEX(Weapon_List,,1),INDEX(Weapon_List,,5)=C15,))-FIND("'",_xlfn._xlws.FILTER(INDEX(Weapon_List,,1),INDEX(Weapon_List,,5)=C15,))),_xlfn._xlws.FILTER(INDEX(Weapon_List,,1),INDEX(Weapon_List,,5)=C15,))&amp;"'!G10")</f>
        <v>'Earth Shaker'!G10</v>
      </c>
      <c r="F15" t="str">
        <v>'Footprint of the Rainbow'!G10</v>
      </c>
      <c r="G15" t="str">
        <v>'Fang of the Mountain King'!G10</v>
      </c>
      <c r="H15" t="str">
        <v>'Sturdy Bone'!G10</v>
      </c>
      <c r="I15" t="str">
        <v>'Astral Vulture’s Crimson'!G10</v>
      </c>
      <c r="J15" t="str">
        <v>'The Calamity of Eshu'!G10</v>
      </c>
      <c r="K15" t="str">
        <v>'Flower-Wreathed Feathers'!G10</v>
      </c>
      <c r="L15" t="str">
        <v>'Starcaller’s Watch'!G10</v>
      </c>
      <c r="M15" t="str">
        <v>'Azurelight'!G10</v>
      </c>
    </row>
    <row r="16" spans="1:27" x14ac:dyDescent="0.25">
      <c r="A16" s="211"/>
      <c r="B16" s="61">
        <v>1</v>
      </c>
      <c r="D16" cm="1">
        <f t="array" aca="1" ref="D16" ca="1">IFERROR(SUM(INDIRECT(_xlfn.ANCHORARRAY(E16))),0)</f>
        <v>0</v>
      </c>
      <c r="E16" t="str" cm="1">
        <f t="array" ref="E16">TRANSPOSE("'"&amp;IF(ISNUMBER(FIND("'",_xlfn._xlws.FILTER(INDEX(Weapon_List,,1),INDEX(Weapon_List,,5)=C16,))),LEFT(_xlfn._xlws.FILTER(INDEX(Weapon_List,,1),INDEX(Weapon_List,,5)=C16,),FIND("'",_xlfn._xlws.FILTER(INDEX(Weapon_List,,1),INDEX(Weapon_List,,5)=C16,)))&amp;"'"&amp;RIGHT(_xlfn._xlws.FILTER(INDEX(Weapon_List,,1),INDEX(Weapon_List,,5)=C16,),LEN(_xlfn._xlws.FILTER(INDEX(Weapon_List,,1),INDEX(Weapon_List,,5)=C16,))-FIND("'",_xlfn._xlws.FILTER(INDEX(Weapon_List,,1),INDEX(Weapon_List,,5)=C16,))),_xlfn._xlws.FILTER(INDEX(Weapon_List,,1),INDEX(Weapon_List,,5)=C16,))&amp;"'!G10")</f>
        <v>'0'!G10</v>
      </c>
    </row>
    <row r="17" spans="1:27" x14ac:dyDescent="0.25">
      <c r="A17" s="211"/>
      <c r="B17" s="61">
        <v>1</v>
      </c>
      <c r="D17" cm="1">
        <f t="array" aca="1" ref="D17" ca="1">IFERROR(SUM(INDIRECT(_xlfn.ANCHORARRAY(E17))),0)</f>
        <v>0</v>
      </c>
      <c r="E17" t="str" cm="1">
        <f t="array" ref="E17">TRANSPOSE("'"&amp;IF(ISNUMBER(FIND("'",_xlfn._xlws.FILTER(INDEX(Weapon_List,,1),INDEX(Weapon_List,,5)=C17,))),LEFT(_xlfn._xlws.FILTER(INDEX(Weapon_List,,1),INDEX(Weapon_List,,5)=C17,),FIND("'",_xlfn._xlws.FILTER(INDEX(Weapon_List,,1),INDEX(Weapon_List,,5)=C17,)))&amp;"'"&amp;RIGHT(_xlfn._xlws.FILTER(INDEX(Weapon_List,,1),INDEX(Weapon_List,,5)=C17,),LEN(_xlfn._xlws.FILTER(INDEX(Weapon_List,,1),INDEX(Weapon_List,,5)=C17,))-FIND("'",_xlfn._xlws.FILTER(INDEX(Weapon_List,,1),INDEX(Weapon_List,,5)=C17,))),_xlfn._xlws.FILTER(INDEX(Weapon_List,,1),INDEX(Weapon_List,,5)=C17,))&amp;"'!G10")</f>
        <v>'0'!G10</v>
      </c>
    </row>
    <row r="18" spans="1:27" x14ac:dyDescent="0.25">
      <c r="A18" s="211"/>
      <c r="B18" s="61">
        <v>1</v>
      </c>
      <c r="D18" cm="1">
        <f t="array" aca="1" ref="D18" ca="1">IFERROR(SUM(INDIRECT(_xlfn.ANCHORARRAY(E18))),0)</f>
        <v>0</v>
      </c>
      <c r="E18" t="str" cm="1">
        <f t="array" ref="E18">TRANSPOSE("'"&amp;IF(ISNUMBER(FIND("'",_xlfn._xlws.FILTER(INDEX(Weapon_List,,1),INDEX(Weapon_List,,5)=C18,))),LEFT(_xlfn._xlws.FILTER(INDEX(Weapon_List,,1),INDEX(Weapon_List,,5)=C18,),FIND("'",_xlfn._xlws.FILTER(INDEX(Weapon_List,,1),INDEX(Weapon_List,,5)=C18,)))&amp;"'"&amp;RIGHT(_xlfn._xlws.FILTER(INDEX(Weapon_List,,1),INDEX(Weapon_List,,5)=C18,),LEN(_xlfn._xlws.FILTER(INDEX(Weapon_List,,1),INDEX(Weapon_List,,5)=C18,))-FIND("'",_xlfn._xlws.FILTER(INDEX(Weapon_List,,1),INDEX(Weapon_List,,5)=C18,))),_xlfn._xlws.FILTER(INDEX(Weapon_List,,1),INDEX(Weapon_List,,5)=C18,))&amp;"'!G10")</f>
        <v>'0'!G10</v>
      </c>
    </row>
    <row r="19" spans="1:27" x14ac:dyDescent="0.25">
      <c r="A19" s="211"/>
      <c r="B19" s="61">
        <v>2</v>
      </c>
      <c r="C19" t="str" cm="1">
        <f t="array" ref="C19:C33">_xlfn._xlws.FILTER(INDEX(Common_Mob_Drops,,1),INDEX(Common_Mob_Drops,,1)&lt;&gt;"")</f>
        <v>Slime</v>
      </c>
      <c r="D19" cm="1">
        <f t="array" aca="1" ref="D19" ca="1">IFERROR(SUM(INDIRECT(_xlfn.ANCHORARRAY(E19))),0)</f>
        <v>0</v>
      </c>
      <c r="E19" t="str" cm="1">
        <f t="array" ref="E19:AA19">TRANSPOSE("'"&amp;IF(ISNUMBER(FIND("'",_xlfn._xlws.FILTER(INDEX(Weapon_List,,1),INDEX(Weapon_List,,5)=C19,))),LEFT(_xlfn._xlws.FILTER(INDEX(Weapon_List,,1),INDEX(Weapon_List,,5)=C19,),FIND("'",_xlfn._xlws.FILTER(INDEX(Weapon_List,,1),INDEX(Weapon_List,,5)=C19,)))&amp;"'"&amp;RIGHT(_xlfn._xlws.FILTER(INDEX(Weapon_List,,1),INDEX(Weapon_List,,5)=C19,),LEN(_xlfn._xlws.FILTER(INDEX(Weapon_List,,1),INDEX(Weapon_List,,5)=C19,))-FIND("'",_xlfn._xlws.FILTER(INDEX(Weapon_List,,1),INDEX(Weapon_List,,5)=C19,))),_xlfn._xlws.FILTER(INDEX(Weapon_List,,1),INDEX(Weapon_List,,5)=C19,))&amp;"'!G11")</f>
        <v>'Waster Greatsword'!G11</v>
      </c>
      <c r="F19" t="str">
        <v>'Old Merc''s Pal'!G11</v>
      </c>
      <c r="G19" t="str">
        <v>'Harbinger of Dawn'!G11</v>
      </c>
      <c r="H19" t="str">
        <v>'White Iron Greatsword'!G11</v>
      </c>
      <c r="I19" t="str">
        <v>'Magic Guide'!G11</v>
      </c>
      <c r="J19" t="str">
        <v>'Sharpshooter''s Oath'!G11</v>
      </c>
      <c r="K19" t="str">
        <v>'Royal Greatsword'!G11</v>
      </c>
      <c r="L19" t="str">
        <v>'Royal Bow'!G11</v>
      </c>
      <c r="M19" t="str">
        <v>'The Black Sword'!G11</v>
      </c>
      <c r="N19" t="str">
        <v>'Mappa Mare'!G11</v>
      </c>
      <c r="O19" t="str">
        <v>'The Flute'!G11</v>
      </c>
      <c r="P19" t="str">
        <v>'Favonius Lance'!G11</v>
      </c>
      <c r="Q19" t="str">
        <v>'Sacrificial Bow'!G11</v>
      </c>
      <c r="R19" t="str">
        <v>'Skyward Blade'!G11</v>
      </c>
      <c r="S19" t="str">
        <v>'Skyward Pride'!G11</v>
      </c>
      <c r="T19" t="str">
        <v>'Lost Prayer to the Sacred Winds'!G11</v>
      </c>
      <c r="U19" t="str">
        <v>'Amos'' Bow'!G11</v>
      </c>
      <c r="V19" t="str">
        <v>'Snow-Tombed Starsilver'!G11</v>
      </c>
      <c r="W19" t="str">
        <v>'Staff of Homa'!G11</v>
      </c>
      <c r="X19" t="str">
        <v>'Alley Hunter'!G11</v>
      </c>
      <c r="Y19" t="str">
        <v>'Luxurious Sea-Lord'!G11</v>
      </c>
      <c r="Z19" t="str">
        <v>'Missive Windspear'!G11</v>
      </c>
      <c r="AA19" t="str">
        <v>'Talking Stick'!G11</v>
      </c>
    </row>
    <row r="20" spans="1:27" x14ac:dyDescent="0.25">
      <c r="A20" s="211"/>
      <c r="B20" s="61">
        <v>2</v>
      </c>
      <c r="C20" t="str">
        <v>Hilichurl</v>
      </c>
      <c r="D20" cm="1">
        <f t="array" aca="1" ref="D20" ca="1">IFERROR(SUM(INDIRECT(_xlfn.ANCHORARRAY(E20))),0)</f>
        <v>0</v>
      </c>
      <c r="E20" t="str" cm="1">
        <f t="array" ref="E20:V20">TRANSPOSE("'"&amp;IF(ISNUMBER(FIND("'",_xlfn._xlws.FILTER(INDEX(Weapon_List,,1),INDEX(Weapon_List,,5)=C20,))),LEFT(_xlfn._xlws.FILTER(INDEX(Weapon_List,,1),INDEX(Weapon_List,,5)=C20,),FIND("'",_xlfn._xlws.FILTER(INDEX(Weapon_List,,1),INDEX(Weapon_List,,5)=C20,)))&amp;"'"&amp;RIGHT(_xlfn._xlws.FILTER(INDEX(Weapon_List,,1),INDEX(Weapon_List,,5)=C20,),LEN(_xlfn._xlws.FILTER(INDEX(Weapon_List,,1),INDEX(Weapon_List,,5)=C20,))-FIND("'",_xlfn._xlws.FILTER(INDEX(Weapon_List,,1),INDEX(Weapon_List,,5)=C20,))),_xlfn._xlws.FILTER(INDEX(Weapon_List,,1),INDEX(Weapon_List,,5)=C20,))&amp;"'!G11")</f>
        <v>'Apprentice''s Notes'!G11</v>
      </c>
      <c r="F20" t="str">
        <v>'Pocket Grimoire'!G11</v>
      </c>
      <c r="G20" t="str">
        <v>'Dark Iron Sword'!G11</v>
      </c>
      <c r="H20" t="str">
        <v>'Debate Club'!G11</v>
      </c>
      <c r="I20" t="str">
        <v>'Otherworldly Story'!G11</v>
      </c>
      <c r="J20" t="str">
        <v>'Slingshot'!G11</v>
      </c>
      <c r="K20" t="str">
        <v>'Prototype Archaic'!G11</v>
      </c>
      <c r="L20" t="str">
        <v>'Prototype Starglitter'!G11</v>
      </c>
      <c r="M20" t="str">
        <v>'Eye of Perception'!G11</v>
      </c>
      <c r="N20" t="str">
        <v>'The Widsith'!G11</v>
      </c>
      <c r="O20" t="str">
        <v>'Rust'!G11</v>
      </c>
      <c r="P20" t="str">
        <v>'Memory of Dust'!G11</v>
      </c>
      <c r="Q20" t="str">
        <v>'Summit Shaper'!G11</v>
      </c>
      <c r="R20" t="str">
        <v>'Song of Broken Pines'!G11</v>
      </c>
      <c r="S20" t="str">
        <v>'Dodoco Tales'!G11</v>
      </c>
      <c r="T20" t="str">
        <v>'Cinnabar Spindle'!G11</v>
      </c>
      <c r="U20" t="str">
        <v>'Wolf-Fang'!G11</v>
      </c>
      <c r="V20" t="str">
        <v>'Ring of Yaxche'!G11</v>
      </c>
    </row>
    <row r="21" spans="1:27" x14ac:dyDescent="0.25">
      <c r="A21" s="211"/>
      <c r="B21" s="61">
        <v>2</v>
      </c>
      <c r="C21" t="str">
        <v>Samachurl</v>
      </c>
      <c r="D21" cm="1">
        <f t="array" aca="1" ref="D21" ca="1">IFERROR(SUM(INDIRECT(_xlfn.ANCHORARRAY(E21))),0)</f>
        <v>0</v>
      </c>
      <c r="E21" t="str" cm="1">
        <f t="array" ref="E21:W21">TRANSPOSE("'"&amp;IF(ISNUMBER(FIND("'",_xlfn._xlws.FILTER(INDEX(Weapon_List,,1),INDEX(Weapon_List,,5)=C21,))),LEFT(_xlfn._xlws.FILTER(INDEX(Weapon_List,,1),INDEX(Weapon_List,,5)=C21,),FIND("'",_xlfn._xlws.FILTER(INDEX(Weapon_List,,1),INDEX(Weapon_List,,5)=C21,)))&amp;"'"&amp;RIGHT(_xlfn._xlws.FILTER(INDEX(Weapon_List,,1),INDEX(Weapon_List,,5)=C21,),LEN(_xlfn._xlws.FILTER(INDEX(Weapon_List,,1),INDEX(Weapon_List,,5)=C21,))-FIND("'",_xlfn._xlws.FILTER(INDEX(Weapon_List,,1),INDEX(Weapon_List,,5)=C21,))),_xlfn._xlws.FILTER(INDEX(Weapon_List,,1),INDEX(Weapon_List,,5)=C21,))&amp;"'!G11")</f>
        <v>'Beginner''s Protector'!G11</v>
      </c>
      <c r="F21" t="str">
        <v>'Iron Point'!G11</v>
      </c>
      <c r="G21" t="str">
        <v>'Traveler''s Handy Sword'!G11</v>
      </c>
      <c r="H21" t="str">
        <v>'TTDS'!G11</v>
      </c>
      <c r="I21" t="str">
        <v>'Recurve Bow'!G11</v>
      </c>
      <c r="J21" t="str">
        <v>'Blackcliff Agate'!G11</v>
      </c>
      <c r="K21" t="str">
        <v>'Sacrificial Sword'!G11</v>
      </c>
      <c r="L21" t="str">
        <v>'Rainslasher'!G11</v>
      </c>
      <c r="M21" t="str">
        <v>'Dragon''s Bane'!G11</v>
      </c>
      <c r="N21" t="str">
        <v>'Favonius Codex'!G11</v>
      </c>
      <c r="O21" t="str">
        <v>'Wolf''s Gravestone'!G11</v>
      </c>
      <c r="P21" t="str">
        <v>'Skyward Spine'!G11</v>
      </c>
      <c r="Q21" t="str">
        <v>'The Alley Flash'!G11</v>
      </c>
      <c r="R21" t="str">
        <v>'Wine and Song'!G11</v>
      </c>
      <c r="S21" t="str">
        <v>'Freedom-Sworn'!G11</v>
      </c>
      <c r="T21" t="str">
        <v>'Hakushin Ring'!G11</v>
      </c>
      <c r="U21" t="str">
        <v>'Fading Twilight'!G11</v>
      </c>
      <c r="V21" t="str">
        <v>'Sacrificial Jade'!G11</v>
      </c>
      <c r="W21" t="str">
        <v>'Crane’s Echoing Call'!G11</v>
      </c>
    </row>
    <row r="22" spans="1:27" x14ac:dyDescent="0.25">
      <c r="A22" s="211"/>
      <c r="B22" s="61">
        <v>2</v>
      </c>
      <c r="C22" t="str">
        <v>Hilichurl Shooter</v>
      </c>
      <c r="D22" cm="1">
        <f t="array" aca="1" ref="D22" ca="1">IFERROR(SUM(INDIRECT(_xlfn.ANCHORARRAY(E22))),0)</f>
        <v>15</v>
      </c>
      <c r="E22" t="str" cm="1">
        <f t="array" ref="E22:AA22">TRANSPOSE("'"&amp;IF(ISNUMBER(FIND("'",_xlfn._xlws.FILTER(INDEX(Weapon_List,,1),INDEX(Weapon_List,,5)=C22,))),LEFT(_xlfn._xlws.FILTER(INDEX(Weapon_List,,1),INDEX(Weapon_List,,5)=C22,),FIND("'",_xlfn._xlws.FILTER(INDEX(Weapon_List,,1),INDEX(Weapon_List,,5)=C22,)))&amp;"'"&amp;RIGHT(_xlfn._xlws.FILTER(INDEX(Weapon_List,,1),INDEX(Weapon_List,,5)=C22,),LEN(_xlfn._xlws.FILTER(INDEX(Weapon_List,,1),INDEX(Weapon_List,,5)=C22,))-FIND("'",_xlfn._xlws.FILTER(INDEX(Weapon_List,,1),INDEX(Weapon_List,,5)=C22,))),_xlfn._xlws.FILTER(INDEX(Weapon_List,,1),INDEX(Weapon_List,,5)=C22,))&amp;"'!G11")</f>
        <v>'Dull Blade'!G11</v>
      </c>
      <c r="F22" t="str">
        <v>'Silver Sword'!G11</v>
      </c>
      <c r="G22" t="str">
        <v>'Cool Steel'!G11</v>
      </c>
      <c r="H22" t="str">
        <v>'Bloodtainted Greatsword'!G11</v>
      </c>
      <c r="I22" t="str">
        <v>'Black Tassel'!G11</v>
      </c>
      <c r="J22" t="str">
        <v>'Raven Bow'!G11</v>
      </c>
      <c r="K22" t="str">
        <v>'Royal Longsword'!G11</v>
      </c>
      <c r="L22" t="str">
        <v>'Blackcliff Longsword'!G11</v>
      </c>
      <c r="M22" t="str">
        <v>'The Veridescent Hunt'!G11</v>
      </c>
      <c r="N22" t="str">
        <v>'Prototype Amber'!G11</v>
      </c>
      <c r="O22" t="str">
        <v>'Favonius Sword'!G11</v>
      </c>
      <c r="P22" t="str">
        <v>'Sacrificial Greatsword'!G11</v>
      </c>
      <c r="Q22" t="str">
        <v>'The Stringless'!G11</v>
      </c>
      <c r="R22" t="str">
        <v>'Aquila Favonia'!G11</v>
      </c>
      <c r="S22" t="str">
        <v>'Skyward Atlas'!G11</v>
      </c>
      <c r="T22" t="str">
        <v>'Skyward Harp'!G11</v>
      </c>
      <c r="U22" t="str">
        <v>'Lithic Blade'!G11</v>
      </c>
      <c r="V22" t="str">
        <v>'Lithic Spear'!G11</v>
      </c>
      <c r="W22" t="str">
        <v>'Hamayumi'!G11</v>
      </c>
      <c r="X22" t="str">
        <v>'Thundering Pulse'!G11</v>
      </c>
      <c r="Y22" t="str">
        <v>'King''s Squire'!G11</v>
      </c>
      <c r="Z22" t="str">
        <v>'Song of Stillness'!G11</v>
      </c>
      <c r="AA22" t="str">
        <v>'6.0 Forge Bow'!G11</v>
      </c>
    </row>
    <row r="23" spans="1:27" x14ac:dyDescent="0.25">
      <c r="A23" s="211"/>
      <c r="B23" s="61">
        <v>2</v>
      </c>
      <c r="C23" t="str">
        <v>Fatui</v>
      </c>
      <c r="D23" cm="1">
        <f t="array" aca="1" ref="D23" ca="1">IFERROR(SUM(INDIRECT(_xlfn.ANCHORARRAY(E23))),0)</f>
        <v>0</v>
      </c>
      <c r="E23" t="str" cm="1">
        <f t="array" ref="E23:T23">TRANSPOSE("'"&amp;IF(ISNUMBER(FIND("'",_xlfn._xlws.FILTER(INDEX(Weapon_List,,1),INDEX(Weapon_List,,5)=C23,))),LEFT(_xlfn._xlws.FILTER(INDEX(Weapon_List,,1),INDEX(Weapon_List,,5)=C23,),FIND("'",_xlfn._xlws.FILTER(INDEX(Weapon_List,,1),INDEX(Weapon_List,,5)=C23,)))&amp;"'"&amp;RIGHT(_xlfn._xlws.FILTER(INDEX(Weapon_List,,1),INDEX(Weapon_List,,5)=C23,),LEN(_xlfn._xlws.FILTER(INDEX(Weapon_List,,1),INDEX(Weapon_List,,5)=C23,))-FIND("'",_xlfn._xlws.FILTER(INDEX(Weapon_List,,1),INDEX(Weapon_List,,5)=C23,))),_xlfn._xlws.FILTER(INDEX(Weapon_List,,1),INDEX(Weapon_List,,5)=C23,))&amp;"'!G11")</f>
        <v>'Skyrider Sword'!G11</v>
      </c>
      <c r="F23" t="str">
        <v>'White Tassel'!G11</v>
      </c>
      <c r="G23" t="str">
        <v>'Twin Nephrite'!G11</v>
      </c>
      <c r="H23" t="str">
        <v>'Royal Spear'!G11</v>
      </c>
      <c r="I23" t="str">
        <v>'Royal Grimoire'!G11</v>
      </c>
      <c r="J23" t="str">
        <v>'Blackcliff Slasher'!G11</v>
      </c>
      <c r="K23" t="str">
        <v>'Blackcliff Pole'!G11</v>
      </c>
      <c r="L23" t="str">
        <v>'Prototype Rancour'!G11</v>
      </c>
      <c r="M23" t="str">
        <v>'Compound Bow'!G11</v>
      </c>
      <c r="N23" t="str">
        <v>'Favonius Greatsword'!G11</v>
      </c>
      <c r="O23" t="str">
        <v>'Primordial Jade Winged-Spear'!G11</v>
      </c>
      <c r="P23" t="str">
        <v>'Festering Desire'!G11</v>
      </c>
      <c r="Q23" t="str">
        <v>'Dragonspine Spear'!G11</v>
      </c>
      <c r="R23" t="str">
        <v>'Elegy for the End'!G11</v>
      </c>
      <c r="S23" t="str">
        <v>'Moonpiercer'!G11</v>
      </c>
      <c r="T23" t="str">
        <v>'Cloudweaver'!G11</v>
      </c>
    </row>
    <row r="24" spans="1:27" x14ac:dyDescent="0.25">
      <c r="A24" s="211"/>
      <c r="B24" s="61">
        <v>2</v>
      </c>
      <c r="C24" t="str">
        <v>Treasure Hoarder</v>
      </c>
      <c r="D24" cm="1">
        <f t="array" aca="1" ref="D24" ca="1">IFERROR(SUM(INDIRECT(_xlfn.ANCHORARRAY(E24))),0)</f>
        <v>0</v>
      </c>
      <c r="E24" t="str" cm="1">
        <f t="array" ref="E24:V24">TRANSPOSE("'"&amp;IF(ISNUMBER(FIND("'",_xlfn._xlws.FILTER(INDEX(Weapon_List,,1),INDEX(Weapon_List,,5)=C24,))),LEFT(_xlfn._xlws.FILTER(INDEX(Weapon_List,,1),INDEX(Weapon_List,,5)=C24,),FIND("'",_xlfn._xlws.FILTER(INDEX(Weapon_List,,1),INDEX(Weapon_List,,5)=C24,)))&amp;"'"&amp;RIGHT(_xlfn._xlws.FILTER(INDEX(Weapon_List,,1),INDEX(Weapon_List,,5)=C24,),LEN(_xlfn._xlws.FILTER(INDEX(Weapon_List,,1),INDEX(Weapon_List,,5)=C24,))-FIND("'",_xlfn._xlws.FILTER(INDEX(Weapon_List,,1),INDEX(Weapon_List,,5)=C24,))),_xlfn._xlws.FILTER(INDEX(Weapon_List,,1),INDEX(Weapon_List,,5)=C24,))&amp;"'!G11")</f>
        <v>'Hunter''s Bow'!G11</v>
      </c>
      <c r="F24" t="str">
        <v>'Seasoned Hunter''s Bow'!G11</v>
      </c>
      <c r="G24" t="str">
        <v>'Fillet Blade'!G11</v>
      </c>
      <c r="H24" t="str">
        <v>'Skyrider Greatsword'!G11</v>
      </c>
      <c r="I24" t="str">
        <v>'Emerald Orb'!G11</v>
      </c>
      <c r="J24" t="str">
        <v>'Messenger'!G11</v>
      </c>
      <c r="K24" t="str">
        <v>'Prototype Crescent'!G11</v>
      </c>
      <c r="L24" t="str">
        <v>'Whiteblind'!G11</v>
      </c>
      <c r="M24" t="str">
        <v>'Crescent Pike'!G11</v>
      </c>
      <c r="N24" t="str">
        <v>'Lion''s Roar'!G11</v>
      </c>
      <c r="O24" t="str">
        <v>'Sacrificial Fragments'!G11</v>
      </c>
      <c r="P24" t="str">
        <v>'The Unforged'!G11</v>
      </c>
      <c r="Q24" t="str">
        <v>'Vortex Vanquisher'!G11</v>
      </c>
      <c r="R24" t="str">
        <v>'Primordial Jade Cutter'!G11</v>
      </c>
      <c r="S24" t="str">
        <v>'Mitternachts Waltz'!G11</v>
      </c>
      <c r="T24" t="str">
        <v>'Kitain Cross Spear'!G11</v>
      </c>
      <c r="U24" t="str">
        <v>'Makhaira Aquamarine'!G11</v>
      </c>
      <c r="V24" t="str">
        <v>'Ballad of the Boundless Blue'!G11</v>
      </c>
    </row>
    <row r="25" spans="1:27" x14ac:dyDescent="0.25">
      <c r="A25" s="211"/>
      <c r="B25" s="61">
        <v>2</v>
      </c>
      <c r="C25" t="str">
        <v>Whopperflower</v>
      </c>
      <c r="D25" cm="1">
        <f t="array" aca="1" ref="D25" ca="1">IFERROR(SUM(INDIRECT(_xlfn.ANCHORARRAY(E25))),0)</f>
        <v>0</v>
      </c>
      <c r="E25" t="str" cm="1">
        <f t="array" ref="E25:S25">TRANSPOSE("'"&amp;IF(ISNUMBER(FIND("'",_xlfn._xlws.FILTER(INDEX(Weapon_List,,1),INDEX(Weapon_List,,5)=C25,))),LEFT(_xlfn._xlws.FILTER(INDEX(Weapon_List,,1),INDEX(Weapon_List,,5)=C25,),FIND("'",_xlfn._xlws.FILTER(INDEX(Weapon_List,,1),INDEX(Weapon_List,,5)=C25,)))&amp;"'"&amp;RIGHT(_xlfn._xlws.FILTER(INDEX(Weapon_List,,1),INDEX(Weapon_List,,5)=C25,),LEN(_xlfn._xlws.FILTER(INDEX(Weapon_List,,1),INDEX(Weapon_List,,5)=C25,))-FIND("'",_xlfn._xlws.FILTER(INDEX(Weapon_List,,1),INDEX(Weapon_List,,5)=C25,))),_xlfn._xlws.FILTER(INDEX(Weapon_List,,1),INDEX(Weapon_List,,5)=C25,))&amp;"'!G11")</f>
        <v>'Ferrous Shadow'!G11</v>
      </c>
      <c r="F25" t="str">
        <v>'Halberd'!G11</v>
      </c>
      <c r="G25" t="str">
        <v>'Blackcliff Warbow'!G11</v>
      </c>
      <c r="H25" t="str">
        <v>'Serpent Spine'!G11</v>
      </c>
      <c r="I25" t="str">
        <v>'Deathmatch'!G11</v>
      </c>
      <c r="J25" t="str">
        <v>'Solar Pearl'!G11</v>
      </c>
      <c r="K25" t="str">
        <v>'Iron Sting'!G11</v>
      </c>
      <c r="L25" t="str">
        <v>'The Bell'!G11</v>
      </c>
      <c r="M25" t="str">
        <v>'Favonius Warbow'!G11</v>
      </c>
      <c r="N25" t="str">
        <v>'Frostbearer'!G11</v>
      </c>
      <c r="O25" t="str">
        <v>'Windblume Ode'!G11</v>
      </c>
      <c r="P25" t="str">
        <v>'Calamity Queller'!G11</v>
      </c>
      <c r="Q25" t="str">
        <v>'Ballad of the Fjords'!G11</v>
      </c>
      <c r="R25" t="str">
        <v>'Lumidouce Elegy'!G11</v>
      </c>
      <c r="S25" t="str">
        <v>'Mountain-Bracing Bolt'!G11</v>
      </c>
    </row>
    <row r="26" spans="1:27" x14ac:dyDescent="0.25">
      <c r="A26" s="211"/>
      <c r="B26" s="61">
        <v>2</v>
      </c>
      <c r="C26" t="str">
        <v>Nobushi</v>
      </c>
      <c r="D26" cm="1">
        <f t="array" aca="1" ref="D26" ca="1">IFERROR(SUM(INDIRECT(_xlfn.ANCHORARRAY(E26))),0)</f>
        <v>0</v>
      </c>
      <c r="E26" t="str" cm="1">
        <f t="array" ref="E26:P26">TRANSPOSE("'"&amp;IF(ISNUMBER(FIND("'",_xlfn._xlws.FILTER(INDEX(Weapon_List,,1),INDEX(Weapon_List,,5)=C26,))),LEFT(_xlfn._xlws.FILTER(INDEX(Weapon_List,,1),INDEX(Weapon_List,,5)=C26,),FIND("'",_xlfn._xlws.FILTER(INDEX(Weapon_List,,1),INDEX(Weapon_List,,5)=C26,)))&amp;"'"&amp;RIGHT(_xlfn._xlws.FILTER(INDEX(Weapon_List,,1),INDEX(Weapon_List,,5)=C26,),LEN(_xlfn._xlws.FILTER(INDEX(Weapon_List,,1),INDEX(Weapon_List,,5)=C26,))-FIND("'",_xlfn._xlws.FILTER(INDEX(Weapon_List,,1),INDEX(Weapon_List,,5)=C26,))),_xlfn._xlws.FILTER(INDEX(Weapon_List,,1),INDEX(Weapon_List,,5)=C26,))&amp;"'!G11")</f>
        <v>'Amenoma Kageuchi'!G11</v>
      </c>
      <c r="F26" t="str">
        <v>'Katsuragikiri Nagamasa'!G11</v>
      </c>
      <c r="G26" t="str">
        <v>'Mistsplitter Reforged'!G11</v>
      </c>
      <c r="H26" t="str">
        <v>'Engulfing Lightning'!G11</v>
      </c>
      <c r="I26" t="str">
        <v>'Akuoumaru'!G11</v>
      </c>
      <c r="J26" t="str">
        <v>'Wavebreaker''s Fin'!G11</v>
      </c>
      <c r="K26" t="str">
        <v>'Redhorn Stonethresher'!G11</v>
      </c>
      <c r="L26" t="str">
        <v>'Haran Geppaku Futsu'!G11</v>
      </c>
      <c r="M26" t="str">
        <v>'Toukabou Shigure'!G11</v>
      </c>
      <c r="N26" t="str">
        <v>'Finale of the Deep'!G11</v>
      </c>
      <c r="O26" t="str">
        <v>'Uraku Misugiri'!G11</v>
      </c>
      <c r="P26" t="str">
        <v>'Tamayuratei no Ohanashi'!G11</v>
      </c>
    </row>
    <row r="27" spans="1:27" x14ac:dyDescent="0.25">
      <c r="A27" s="211"/>
      <c r="B27" s="61">
        <v>2</v>
      </c>
      <c r="C27" t="str">
        <v>Specter</v>
      </c>
      <c r="D27" cm="1">
        <f t="array" aca="1" ref="D27" ca="1">IFERROR(SUM(INDIRECT(_xlfn.ANCHORARRAY(E27))),0)</f>
        <v>0</v>
      </c>
      <c r="E27" t="str" cm="1">
        <f t="array" ref="E27:O27">TRANSPOSE("'"&amp;IF(ISNUMBER(FIND("'",_xlfn._xlws.FILTER(INDEX(Weapon_List,,1),INDEX(Weapon_List,,5)=C27,))),LEFT(_xlfn._xlws.FILTER(INDEX(Weapon_List,,1),INDEX(Weapon_List,,5)=C27,),FIND("'",_xlfn._xlws.FILTER(INDEX(Weapon_List,,1),INDEX(Weapon_List,,5)=C27,)))&amp;"'"&amp;RIGHT(_xlfn._xlws.FILTER(INDEX(Weapon_List,,1),INDEX(Weapon_List,,5)=C27,),LEN(_xlfn._xlws.FILTER(INDEX(Weapon_List,,1),INDEX(Weapon_List,,5)=C27,))-FIND("'",_xlfn._xlws.FILTER(INDEX(Weapon_List,,1),INDEX(Weapon_List,,5)=C27,))),_xlfn._xlws.FILTER(INDEX(Weapon_List,,1),INDEX(Weapon_List,,5)=C27,))&amp;"'!G11")</f>
        <v>'"The Catch"'!G11</v>
      </c>
      <c r="F27" t="str">
        <v>'Everlasting Moonglow'!G11</v>
      </c>
      <c r="G27" t="str">
        <v>'Polar Star'!G11</v>
      </c>
      <c r="H27" t="str">
        <v>'Mouun''s Moon'!G11</v>
      </c>
      <c r="I27" t="str">
        <v>'Kagura''s Verity'!G11</v>
      </c>
      <c r="J27" t="str">
        <v>'Oathsworn Eye'!G11</v>
      </c>
      <c r="K27" t="str">
        <v>'Aqua Simulacra'!G11</v>
      </c>
      <c r="L27" t="str">
        <v>'Kagotsurube Isshin'!G11</v>
      </c>
      <c r="M27" t="str">
        <v>'Mailed Flower'!G11</v>
      </c>
      <c r="N27" t="str">
        <v>'Dialogues of the Desert Sages'!G11</v>
      </c>
      <c r="O27" t="str">
        <v>'Sunny Morning Sleep-In'!G11</v>
      </c>
    </row>
    <row r="28" spans="1:27" x14ac:dyDescent="0.25">
      <c r="A28" s="211"/>
      <c r="B28" s="61">
        <v>2</v>
      </c>
      <c r="C28" t="str">
        <v>Floating Fungi</v>
      </c>
      <c r="D28" cm="1">
        <f t="array" aca="1" ref="D28" ca="1">IFERROR(SUM(INDIRECT(_xlfn.ANCHORARRAY(E28))),0)</f>
        <v>0</v>
      </c>
      <c r="E28" t="str" cm="1">
        <f t="array" ref="E28:L28">TRANSPOSE("'"&amp;IF(ISNUMBER(FIND("'",_xlfn._xlws.FILTER(INDEX(Weapon_List,,1),INDEX(Weapon_List,,5)=C28,))),LEFT(_xlfn._xlws.FILTER(INDEX(Weapon_List,,1),INDEX(Weapon_List,,5)=C28,),FIND("'",_xlfn._xlws.FILTER(INDEX(Weapon_List,,1),INDEX(Weapon_List,,5)=C28,)))&amp;"'"&amp;RIGHT(_xlfn._xlws.FILTER(INDEX(Weapon_List,,1),INDEX(Weapon_List,,5)=C28,),LEN(_xlfn._xlws.FILTER(INDEX(Weapon_List,,1),INDEX(Weapon_List,,5)=C28,))-FIND("'",_xlfn._xlws.FILTER(INDEX(Weapon_List,,1),INDEX(Weapon_List,,5)=C28,))),_xlfn._xlws.FILTER(INDEX(Weapon_List,,1),INDEX(Weapon_List,,5)=C28,))&amp;"'!G11")</f>
        <v>'Fruit of Fulfillment'!G11</v>
      </c>
      <c r="F28" t="str">
        <v>'End of the Line'!G11</v>
      </c>
      <c r="G28" t="str">
        <v>'Staff of the Scarlet Sands'!G11</v>
      </c>
      <c r="H28" t="str">
        <v>'Wandering Evenstar'!G11</v>
      </c>
      <c r="I28" t="str">
        <v>'A Thousand Floating Dreams'!G11</v>
      </c>
      <c r="J28" t="str">
        <v>'Tullaytullah''s Remembrance'!G11</v>
      </c>
      <c r="K28" t="str">
        <v>'Jadefall''s Splendor'!G11</v>
      </c>
      <c r="L28" t="str">
        <v>'Scion of the Blazing Sun'!G11</v>
      </c>
    </row>
    <row r="29" spans="1:27" x14ac:dyDescent="0.25">
      <c r="A29" s="211"/>
      <c r="B29" s="61">
        <v>2</v>
      </c>
      <c r="C29" t="str">
        <v>Eremite</v>
      </c>
      <c r="D29" cm="1">
        <f t="array" aca="1" ref="D29" ca="1">IFERROR(SUM(INDIRECT(_xlfn.ANCHORARRAY(E29))),0)</f>
        <v>0</v>
      </c>
      <c r="E29" t="str" cm="1">
        <f t="array" ref="E29:L29">TRANSPOSE("'"&amp;IF(ISNUMBER(FIND("'",_xlfn._xlws.FILTER(INDEX(Weapon_List,,1),INDEX(Weapon_List,,5)=C29,))),LEFT(_xlfn._xlws.FILTER(INDEX(Weapon_List,,1),INDEX(Weapon_List,,5)=C29,),FIND("'",_xlfn._xlws.FILTER(INDEX(Weapon_List,,1),INDEX(Weapon_List,,5)=C29,)))&amp;"'"&amp;RIGHT(_xlfn._xlws.FILTER(INDEX(Weapon_List,,1),INDEX(Weapon_List,,5)=C29,),LEN(_xlfn._xlws.FILTER(INDEX(Weapon_List,,1),INDEX(Weapon_List,,5)=C29,))-FIND("'",_xlfn._xlws.FILTER(INDEX(Weapon_List,,1),INDEX(Weapon_List,,5)=C29,))),_xlfn._xlws.FILTER(INDEX(Weapon_List,,1),INDEX(Weapon_List,,5)=C29,))&amp;"'!G11")</f>
        <v>'Sapwood Blade'!G11</v>
      </c>
      <c r="F29" t="str">
        <v>'Forest Regalia'!G11</v>
      </c>
      <c r="G29" t="str">
        <v>'Hunter''s Path'!G11</v>
      </c>
      <c r="H29" t="str">
        <v>'Key of Khaj-Nisat'!G11</v>
      </c>
      <c r="I29" t="str">
        <v>'Xiphos’ Moonlight'!G11</v>
      </c>
      <c r="J29" t="str">
        <v>'Light of Foliar Incision'!G11</v>
      </c>
      <c r="K29" t="str">
        <v>'Beacon of the Reed Sea'!G11</v>
      </c>
      <c r="L29" t="str">
        <v>'Ibis Piercer'!G11</v>
      </c>
    </row>
    <row r="30" spans="1:27" x14ac:dyDescent="0.25">
      <c r="A30" s="211"/>
      <c r="B30" s="61">
        <v>2</v>
      </c>
      <c r="C30" t="str">
        <v>Fontemer Aberrant</v>
      </c>
      <c r="D30" cm="1">
        <f t="array" aca="1" ref="D30" ca="1">IFERROR(SUM(INDIRECT(_xlfn.ANCHORARRAY(E30))),0)</f>
        <v>15</v>
      </c>
      <c r="E30" t="str" cm="1">
        <f t="array" ref="E30:O30">TRANSPOSE("'"&amp;IF(ISNUMBER(FIND("'",_xlfn._xlws.FILTER(INDEX(Weapon_List,,1),INDEX(Weapon_List,,5)=C30,))),LEFT(_xlfn._xlws.FILTER(INDEX(Weapon_List,,1),INDEX(Weapon_List,,5)=C30,),FIND("'",_xlfn._xlws.FILTER(INDEX(Weapon_List,,1),INDEX(Weapon_List,,5)=C30,)))&amp;"'"&amp;RIGHT(_xlfn._xlws.FILTER(INDEX(Weapon_List,,1),INDEX(Weapon_List,,5)=C30,),LEN(_xlfn._xlws.FILTER(INDEX(Weapon_List,,1),INDEX(Weapon_List,,5)=C30,))-FIND("'",_xlfn._xlws.FILTER(INDEX(Weapon_List,,1),INDEX(Weapon_List,,5)=C30,))),_xlfn._xlws.FILTER(INDEX(Weapon_List,,1),INDEX(Weapon_List,,5)=C30,))&amp;"'!G11")</f>
        <v>'Flowing Purity'!G11</v>
      </c>
      <c r="F30" t="str">
        <v>'The First Great Magic'!G11</v>
      </c>
      <c r="G30" t="str">
        <v>'Crossing of Fleuve Cendre'!G11</v>
      </c>
      <c r="H30" t="str">
        <v>'The Dockhand''s Assistant'!G11</v>
      </c>
      <c r="I30" t="str">
        <v>'Cashflow Supervision'!G11</v>
      </c>
      <c r="J30" t="str">
        <v>'Range Gauge'!G11</v>
      </c>
      <c r="K30" t="str">
        <v>'Splendor of Tranquil Waters'!G11</v>
      </c>
      <c r="L30" t="str">
        <v>'Sword of Narzissenkreuz'!G11</v>
      </c>
      <c r="M30" t="str">
        <v>'Pouring Heartstrings'!G11</v>
      </c>
      <c r="N30" t="str">
        <v>'Symphonist of Scents'!G11</v>
      </c>
      <c r="O30" t="str">
        <v>'Flame-Forged Insight'!G11</v>
      </c>
    </row>
    <row r="31" spans="1:27" x14ac:dyDescent="0.25">
      <c r="A31" s="211"/>
      <c r="B31" s="61">
        <v>2</v>
      </c>
      <c r="C31" t="str">
        <v>Clockwork Meka</v>
      </c>
      <c r="D31" cm="1">
        <f t="array" aca="1" ref="D31" ca="1">IFERROR(SUM(INDIRECT(_xlfn.ANCHORARRAY(E31))),0)</f>
        <v>0</v>
      </c>
      <c r="E31" t="str" cm="1">
        <f t="array" ref="E31:N31">TRANSPOSE("'"&amp;IF(ISNUMBER(FIND("'",_xlfn._xlws.FILTER(INDEX(Weapon_List,,1),INDEX(Weapon_List,,5)=C31,))),LEFT(_xlfn._xlws.FILTER(INDEX(Weapon_List,,1),INDEX(Weapon_List,,5)=C31,),FIND("'",_xlfn._xlws.FILTER(INDEX(Weapon_List,,1),INDEX(Weapon_List,,5)=C31,)))&amp;"'"&amp;RIGHT(_xlfn._xlws.FILTER(INDEX(Weapon_List,,1),INDEX(Weapon_List,,5)=C31,),LEN(_xlfn._xlws.FILTER(INDEX(Weapon_List,,1),INDEX(Weapon_List,,5)=C31,))-FIND("'",_xlfn._xlws.FILTER(INDEX(Weapon_List,,1),INDEX(Weapon_List,,5)=C31,))),_xlfn._xlws.FILTER(INDEX(Weapon_List,,1),INDEX(Weapon_List,,5)=C31,))&amp;"'!G11")</f>
        <v>'Tidal Shadow'!G11</v>
      </c>
      <c r="F31" t="str">
        <v>'Rightful Reward'!G11</v>
      </c>
      <c r="G31" t="str">
        <v>'Tome of the Eternal Flow'!G11</v>
      </c>
      <c r="H31" t="str">
        <v>'Portable Power Saw'!G11</v>
      </c>
      <c r="I31" t="str">
        <v>'Prospector’s Drill'!G11</v>
      </c>
      <c r="J31" t="str">
        <v>'Verdict'!G11</v>
      </c>
      <c r="K31" t="str">
        <v>'Ultimate Overlord’s Mega Magic'!G11</v>
      </c>
      <c r="L31" t="str">
        <v>'Crimson Moon’s Semblance'!G11</v>
      </c>
      <c r="M31" t="str">
        <v>'Absolution'!G11</v>
      </c>
      <c r="N31" t="str">
        <v>'Sequence of Solitude'!G11</v>
      </c>
    </row>
    <row r="32" spans="1:27" x14ac:dyDescent="0.25">
      <c r="A32" s="211"/>
      <c r="B32" s="61">
        <v>2</v>
      </c>
      <c r="C32" t="str">
        <v>Saurian</v>
      </c>
      <c r="D32" cm="1">
        <f t="array" aca="1" ref="D32" ca="1">IFERROR(SUM(INDIRECT(_xlfn.ANCHORARRAY(E32))),0)</f>
        <v>0</v>
      </c>
      <c r="E32" t="str" cm="1">
        <f t="array" ref="E32:N32">TRANSPOSE("'"&amp;IF(ISNUMBER(FIND("'",_xlfn._xlws.FILTER(INDEX(Weapon_List,,1),INDEX(Weapon_List,,5)=C32,))),LEFT(_xlfn._xlws.FILTER(INDEX(Weapon_List,,1),INDEX(Weapon_List,,5)=C32,),FIND("'",_xlfn._xlws.FILTER(INDEX(Weapon_List,,1),INDEX(Weapon_List,,5)=C32,)))&amp;"'"&amp;RIGHT(_xlfn._xlws.FILTER(INDEX(Weapon_List,,1),INDEX(Weapon_List,,5)=C32,),LEN(_xlfn._xlws.FILTER(INDEX(Weapon_List,,1),INDEX(Weapon_List,,5)=C32,))-FIND("'",_xlfn._xlws.FILTER(INDEX(Weapon_List,,1),INDEX(Weapon_List,,5)=C32,))),_xlfn._xlws.FILTER(INDEX(Weapon_List,,1),INDEX(Weapon_List,,5)=C32,))&amp;"'!G11")</f>
        <v>'Flute of Ezpitzal'!G11</v>
      </c>
      <c r="F32" t="str">
        <v>'Chain Breaker'!G11</v>
      </c>
      <c r="G32" t="str">
        <v>'Surf''s Up'!G11</v>
      </c>
      <c r="H32" t="str">
        <v>'Ash-Graven Drinking Horn'!G11</v>
      </c>
      <c r="I32" t="str">
        <v>'Peak Patrol Song'!G11</v>
      </c>
      <c r="J32" t="str">
        <v>'Fruitful Hook'!G11</v>
      </c>
      <c r="K32" t="str">
        <v>'Waveriding Whirl'!G11</v>
      </c>
      <c r="L32" t="str">
        <v>'A Thousand Blazing Suns'!G11</v>
      </c>
      <c r="M32" t="str">
        <v>'Vivid Notions'!G11</v>
      </c>
      <c r="N32" t="str">
        <v>'Fractured Halo'!G11</v>
      </c>
    </row>
    <row r="33" spans="1:27" x14ac:dyDescent="0.25">
      <c r="A33" s="211"/>
      <c r="B33" s="61">
        <v>2</v>
      </c>
      <c r="C33" t="str">
        <v>Sauroform Tribal Warrior</v>
      </c>
      <c r="D33" cm="1">
        <f t="array" aca="1" ref="D33" ca="1">IFERROR(SUM(INDIRECT(_xlfn.ANCHORARRAY(E33))),0)</f>
        <v>0</v>
      </c>
      <c r="E33" t="str" cm="1">
        <f t="array" ref="E33:M33">TRANSPOSE("'"&amp;IF(ISNUMBER(FIND("'",_xlfn._xlws.FILTER(INDEX(Weapon_List,,1),INDEX(Weapon_List,,5)=C33,))),LEFT(_xlfn._xlws.FILTER(INDEX(Weapon_List,,1),INDEX(Weapon_List,,5)=C33,),FIND("'",_xlfn._xlws.FILTER(INDEX(Weapon_List,,1),INDEX(Weapon_List,,5)=C33,)))&amp;"'"&amp;RIGHT(_xlfn._xlws.FILTER(INDEX(Weapon_List,,1),INDEX(Weapon_List,,5)=C33,),LEN(_xlfn._xlws.FILTER(INDEX(Weapon_List,,1),INDEX(Weapon_List,,5)=C33,))-FIND("'",_xlfn._xlws.FILTER(INDEX(Weapon_List,,1),INDEX(Weapon_List,,5)=C33,))),_xlfn._xlws.FILTER(INDEX(Weapon_List,,1),INDEX(Weapon_List,,5)=C33,))&amp;"'!G11")</f>
        <v>'Earth Shaker'!G11</v>
      </c>
      <c r="F33" t="str">
        <v>'Footprint of the Rainbow'!G11</v>
      </c>
      <c r="G33" t="str">
        <v>'Fang of the Mountain King'!G11</v>
      </c>
      <c r="H33" t="str">
        <v>'Sturdy Bone'!G11</v>
      </c>
      <c r="I33" t="str">
        <v>'Astral Vulture’s Crimson'!G11</v>
      </c>
      <c r="J33" t="str">
        <v>'The Calamity of Eshu'!G11</v>
      </c>
      <c r="K33" t="str">
        <v>'Flower-Wreathed Feathers'!G11</v>
      </c>
      <c r="L33" t="str">
        <v>'Starcaller’s Watch'!G11</v>
      </c>
      <c r="M33" t="str">
        <v>'Azurelight'!G11</v>
      </c>
    </row>
    <row r="34" spans="1:27" x14ac:dyDescent="0.25">
      <c r="A34" s="211"/>
      <c r="B34" s="61">
        <v>2</v>
      </c>
      <c r="D34" cm="1">
        <f t="array" aca="1" ref="D34" ca="1">IFERROR(SUM(INDIRECT(_xlfn.ANCHORARRAY(E34))),0)</f>
        <v>0</v>
      </c>
      <c r="E34" t="str" cm="1">
        <f t="array" ref="E34">TRANSPOSE("'"&amp;IF(ISNUMBER(FIND("'",_xlfn._xlws.FILTER(INDEX(Weapon_List,,1),INDEX(Weapon_List,,5)=C34,))),LEFT(_xlfn._xlws.FILTER(INDEX(Weapon_List,,1),INDEX(Weapon_List,,5)=C34,),FIND("'",_xlfn._xlws.FILTER(INDEX(Weapon_List,,1),INDEX(Weapon_List,,5)=C34,)))&amp;"'"&amp;RIGHT(_xlfn._xlws.FILTER(INDEX(Weapon_List,,1),INDEX(Weapon_List,,5)=C34,),LEN(_xlfn._xlws.FILTER(INDEX(Weapon_List,,1),INDEX(Weapon_List,,5)=C34,))-FIND("'",_xlfn._xlws.FILTER(INDEX(Weapon_List,,1),INDEX(Weapon_List,,5)=C34,))),_xlfn._xlws.FILTER(INDEX(Weapon_List,,1),INDEX(Weapon_List,,5)=C34,))&amp;"'!G11")</f>
        <v>'0'!G11</v>
      </c>
    </row>
    <row r="35" spans="1:27" x14ac:dyDescent="0.25">
      <c r="A35" s="211"/>
      <c r="B35" s="61">
        <v>2</v>
      </c>
      <c r="D35" cm="1">
        <f t="array" aca="1" ref="D35" ca="1">IFERROR(SUM(INDIRECT(_xlfn.ANCHORARRAY(E35))),0)</f>
        <v>0</v>
      </c>
      <c r="E35" t="str" cm="1">
        <f t="array" ref="E35">TRANSPOSE("'"&amp;IF(ISNUMBER(FIND("'",_xlfn._xlws.FILTER(INDEX(Weapon_List,,1),INDEX(Weapon_List,,5)=C35,))),LEFT(_xlfn._xlws.FILTER(INDEX(Weapon_List,,1),INDEX(Weapon_List,,5)=C35,),FIND("'",_xlfn._xlws.FILTER(INDEX(Weapon_List,,1),INDEX(Weapon_List,,5)=C35,)))&amp;"'"&amp;RIGHT(_xlfn._xlws.FILTER(INDEX(Weapon_List,,1),INDEX(Weapon_List,,5)=C35,),LEN(_xlfn._xlws.FILTER(INDEX(Weapon_List,,1),INDEX(Weapon_List,,5)=C35,))-FIND("'",_xlfn._xlws.FILTER(INDEX(Weapon_List,,1),INDEX(Weapon_List,,5)=C35,))),_xlfn._xlws.FILTER(INDEX(Weapon_List,,1),INDEX(Weapon_List,,5)=C35,))&amp;"'!G11")</f>
        <v>'0'!G11</v>
      </c>
    </row>
    <row r="36" spans="1:27" x14ac:dyDescent="0.25">
      <c r="A36" s="211"/>
      <c r="B36" s="61">
        <v>2</v>
      </c>
      <c r="D36" cm="1">
        <f t="array" aca="1" ref="D36" ca="1">IFERROR(SUM(INDIRECT(_xlfn.ANCHORARRAY(E36))),0)</f>
        <v>0</v>
      </c>
      <c r="E36" t="str" cm="1">
        <f t="array" ref="E36">TRANSPOSE("'"&amp;IF(ISNUMBER(FIND("'",_xlfn._xlws.FILTER(INDEX(Weapon_List,,1),INDEX(Weapon_List,,5)=C36,))),LEFT(_xlfn._xlws.FILTER(INDEX(Weapon_List,,1),INDEX(Weapon_List,,5)=C36,),FIND("'",_xlfn._xlws.FILTER(INDEX(Weapon_List,,1),INDEX(Weapon_List,,5)=C36,)))&amp;"'"&amp;RIGHT(_xlfn._xlws.FILTER(INDEX(Weapon_List,,1),INDEX(Weapon_List,,5)=C36,),LEN(_xlfn._xlws.FILTER(INDEX(Weapon_List,,1),INDEX(Weapon_List,,5)=C36,))-FIND("'",_xlfn._xlws.FILTER(INDEX(Weapon_List,,1),INDEX(Weapon_List,,5)=C36,))),_xlfn._xlws.FILTER(INDEX(Weapon_List,,1),INDEX(Weapon_List,,5)=C36,))&amp;"'!G11")</f>
        <v>'0'!G11</v>
      </c>
    </row>
    <row r="37" spans="1:27" x14ac:dyDescent="0.25">
      <c r="A37" s="211"/>
      <c r="B37" s="61">
        <v>3</v>
      </c>
      <c r="C37" t="str" cm="1">
        <f t="array" ref="C37:C51">_xlfn._xlws.FILTER(INDEX(Common_Mob_Drops,,1),INDEX(Common_Mob_Drops,,1)&lt;&gt;"")</f>
        <v>Slime</v>
      </c>
      <c r="D37" cm="1">
        <f t="array" aca="1" ref="D37" ca="1">IFERROR(SUM(INDIRECT(_xlfn.ANCHORARRAY(E37))),0)</f>
        <v>0</v>
      </c>
      <c r="E37" t="str" cm="1">
        <f t="array" ref="E37:AA37">TRANSPOSE("'"&amp;IF(ISNUMBER(FIND("'",_xlfn._xlws.FILTER(INDEX(Weapon_List,,1),INDEX(Weapon_List,,5)=C37,))),LEFT(_xlfn._xlws.FILTER(INDEX(Weapon_List,,1),INDEX(Weapon_List,,5)=C37,),FIND("'",_xlfn._xlws.FILTER(INDEX(Weapon_List,,1),INDEX(Weapon_List,,5)=C37,)))&amp;"'"&amp;RIGHT(_xlfn._xlws.FILTER(INDEX(Weapon_List,,1),INDEX(Weapon_List,,5)=C37,),LEN(_xlfn._xlws.FILTER(INDEX(Weapon_List,,1),INDEX(Weapon_List,,5)=C37,))-FIND("'",_xlfn._xlws.FILTER(INDEX(Weapon_List,,1),INDEX(Weapon_List,,5)=C37,))),_xlfn._xlws.FILTER(INDEX(Weapon_List,,1),INDEX(Weapon_List,,5)=C37,))&amp;"'!G12")</f>
        <v>'Waster Greatsword'!G12</v>
      </c>
      <c r="F37" t="str">
        <v>'Old Merc''s Pal'!G12</v>
      </c>
      <c r="G37" t="str">
        <v>'Harbinger of Dawn'!G12</v>
      </c>
      <c r="H37" t="str">
        <v>'White Iron Greatsword'!G12</v>
      </c>
      <c r="I37" t="str">
        <v>'Magic Guide'!G12</v>
      </c>
      <c r="J37" t="str">
        <v>'Sharpshooter''s Oath'!G12</v>
      </c>
      <c r="K37" t="str">
        <v>'Royal Greatsword'!G12</v>
      </c>
      <c r="L37" t="str">
        <v>'Royal Bow'!G12</v>
      </c>
      <c r="M37" t="str">
        <v>'The Black Sword'!G12</v>
      </c>
      <c r="N37" t="str">
        <v>'Mappa Mare'!G12</v>
      </c>
      <c r="O37" t="str">
        <v>'The Flute'!G12</v>
      </c>
      <c r="P37" t="str">
        <v>'Favonius Lance'!G12</v>
      </c>
      <c r="Q37" t="str">
        <v>'Sacrificial Bow'!G12</v>
      </c>
      <c r="R37" t="str">
        <v>'Skyward Blade'!G12</v>
      </c>
      <c r="S37" t="str">
        <v>'Skyward Pride'!G12</v>
      </c>
      <c r="T37" t="str">
        <v>'Lost Prayer to the Sacred Winds'!G12</v>
      </c>
      <c r="U37" t="str">
        <v>'Amos'' Bow'!G12</v>
      </c>
      <c r="V37" t="str">
        <v>'Snow-Tombed Starsilver'!G12</v>
      </c>
      <c r="W37" t="str">
        <v>'Staff of Homa'!G12</v>
      </c>
      <c r="X37" t="str">
        <v>'Alley Hunter'!G12</v>
      </c>
      <c r="Y37" t="str">
        <v>'Luxurious Sea-Lord'!G12</v>
      </c>
      <c r="Z37" t="str">
        <v>'Missive Windspear'!G12</v>
      </c>
      <c r="AA37" t="str">
        <v>'Talking Stick'!G12</v>
      </c>
    </row>
    <row r="38" spans="1:27" x14ac:dyDescent="0.25">
      <c r="A38" s="211"/>
      <c r="B38" s="61">
        <v>3</v>
      </c>
      <c r="C38" t="str">
        <v>Hilichurl</v>
      </c>
      <c r="D38" cm="1">
        <f t="array" aca="1" ref="D38" ca="1">IFERROR(SUM(INDIRECT(_xlfn.ANCHORARRAY(E38))),0)</f>
        <v>0</v>
      </c>
      <c r="E38" t="str" cm="1">
        <f t="array" ref="E38:V38">TRANSPOSE("'"&amp;IF(ISNUMBER(FIND("'",_xlfn._xlws.FILTER(INDEX(Weapon_List,,1),INDEX(Weapon_List,,5)=C38,))),LEFT(_xlfn._xlws.FILTER(INDEX(Weapon_List,,1),INDEX(Weapon_List,,5)=C38,),FIND("'",_xlfn._xlws.FILTER(INDEX(Weapon_List,,1),INDEX(Weapon_List,,5)=C38,)))&amp;"'"&amp;RIGHT(_xlfn._xlws.FILTER(INDEX(Weapon_List,,1),INDEX(Weapon_List,,5)=C38,),LEN(_xlfn._xlws.FILTER(INDEX(Weapon_List,,1),INDEX(Weapon_List,,5)=C38,))-FIND("'",_xlfn._xlws.FILTER(INDEX(Weapon_List,,1),INDEX(Weapon_List,,5)=C38,))),_xlfn._xlws.FILTER(INDEX(Weapon_List,,1),INDEX(Weapon_List,,5)=C38,))&amp;"'!G12")</f>
        <v>'Apprentice''s Notes'!G12</v>
      </c>
      <c r="F38" t="str">
        <v>'Pocket Grimoire'!G12</v>
      </c>
      <c r="G38" t="str">
        <v>'Dark Iron Sword'!G12</v>
      </c>
      <c r="H38" t="str">
        <v>'Debate Club'!G12</v>
      </c>
      <c r="I38" t="str">
        <v>'Otherworldly Story'!G12</v>
      </c>
      <c r="J38" t="str">
        <v>'Slingshot'!G12</v>
      </c>
      <c r="K38" t="str">
        <v>'Prototype Archaic'!G12</v>
      </c>
      <c r="L38" t="str">
        <v>'Prototype Starglitter'!G12</v>
      </c>
      <c r="M38" t="str">
        <v>'Eye of Perception'!G12</v>
      </c>
      <c r="N38" t="str">
        <v>'The Widsith'!G12</v>
      </c>
      <c r="O38" t="str">
        <v>'Rust'!G12</v>
      </c>
      <c r="P38" t="str">
        <v>'Memory of Dust'!G12</v>
      </c>
      <c r="Q38" t="str">
        <v>'Summit Shaper'!G12</v>
      </c>
      <c r="R38" t="str">
        <v>'Song of Broken Pines'!G12</v>
      </c>
      <c r="S38" t="str">
        <v>'Dodoco Tales'!G12</v>
      </c>
      <c r="T38" t="str">
        <v>'Cinnabar Spindle'!G12</v>
      </c>
      <c r="U38" t="str">
        <v>'Wolf-Fang'!G12</v>
      </c>
      <c r="V38" t="str">
        <v>'Ring of Yaxche'!G12</v>
      </c>
    </row>
    <row r="39" spans="1:27" x14ac:dyDescent="0.25">
      <c r="A39" s="211"/>
      <c r="B39" s="61">
        <v>3</v>
      </c>
      <c r="C39" t="str">
        <v>Samachurl</v>
      </c>
      <c r="D39" cm="1">
        <f t="array" aca="1" ref="D39" ca="1">IFERROR(SUM(INDIRECT(_xlfn.ANCHORARRAY(E39))),0)</f>
        <v>0</v>
      </c>
      <c r="E39" t="str" cm="1">
        <f t="array" ref="E39:W39">TRANSPOSE("'"&amp;IF(ISNUMBER(FIND("'",_xlfn._xlws.FILTER(INDEX(Weapon_List,,1),INDEX(Weapon_List,,5)=C39,))),LEFT(_xlfn._xlws.FILTER(INDEX(Weapon_List,,1),INDEX(Weapon_List,,5)=C39,),FIND("'",_xlfn._xlws.FILTER(INDEX(Weapon_List,,1),INDEX(Weapon_List,,5)=C39,)))&amp;"'"&amp;RIGHT(_xlfn._xlws.FILTER(INDEX(Weapon_List,,1),INDEX(Weapon_List,,5)=C39,),LEN(_xlfn._xlws.FILTER(INDEX(Weapon_List,,1),INDEX(Weapon_List,,5)=C39,))-FIND("'",_xlfn._xlws.FILTER(INDEX(Weapon_List,,1),INDEX(Weapon_List,,5)=C39,))),_xlfn._xlws.FILTER(INDEX(Weapon_List,,1),INDEX(Weapon_List,,5)=C39,))&amp;"'!G12")</f>
        <v>'Beginner''s Protector'!G12</v>
      </c>
      <c r="F39" t="str">
        <v>'Iron Point'!G12</v>
      </c>
      <c r="G39" t="str">
        <v>'Traveler''s Handy Sword'!G12</v>
      </c>
      <c r="H39" t="str">
        <v>'TTDS'!G12</v>
      </c>
      <c r="I39" t="str">
        <v>'Recurve Bow'!G12</v>
      </c>
      <c r="J39" t="str">
        <v>'Blackcliff Agate'!G12</v>
      </c>
      <c r="K39" t="str">
        <v>'Sacrificial Sword'!G12</v>
      </c>
      <c r="L39" t="str">
        <v>'Rainslasher'!G12</v>
      </c>
      <c r="M39" t="str">
        <v>'Dragon''s Bane'!G12</v>
      </c>
      <c r="N39" t="str">
        <v>'Favonius Codex'!G12</v>
      </c>
      <c r="O39" t="str">
        <v>'Wolf''s Gravestone'!G12</v>
      </c>
      <c r="P39" t="str">
        <v>'Skyward Spine'!G12</v>
      </c>
      <c r="Q39" t="str">
        <v>'The Alley Flash'!G12</v>
      </c>
      <c r="R39" t="str">
        <v>'Wine and Song'!G12</v>
      </c>
      <c r="S39" t="str">
        <v>'Freedom-Sworn'!G12</v>
      </c>
      <c r="T39" t="str">
        <v>'Hakushin Ring'!G12</v>
      </c>
      <c r="U39" t="str">
        <v>'Fading Twilight'!G12</v>
      </c>
      <c r="V39" t="str">
        <v>'Sacrificial Jade'!G12</v>
      </c>
      <c r="W39" t="str">
        <v>'Crane’s Echoing Call'!G12</v>
      </c>
    </row>
    <row r="40" spans="1:27" x14ac:dyDescent="0.25">
      <c r="A40" s="211"/>
      <c r="B40" s="61">
        <v>3</v>
      </c>
      <c r="C40" t="str">
        <v>Hilichurl Shooter</v>
      </c>
      <c r="D40" cm="1">
        <f t="array" aca="1" ref="D40" ca="1">IFERROR(SUM(INDIRECT(_xlfn.ANCHORARRAY(E40))),0)</f>
        <v>18</v>
      </c>
      <c r="E40" t="str" cm="1">
        <f t="array" ref="E40:AA40">TRANSPOSE("'"&amp;IF(ISNUMBER(FIND("'",_xlfn._xlws.FILTER(INDEX(Weapon_List,,1),INDEX(Weapon_List,,5)=C40,))),LEFT(_xlfn._xlws.FILTER(INDEX(Weapon_List,,1),INDEX(Weapon_List,,5)=C40,),FIND("'",_xlfn._xlws.FILTER(INDEX(Weapon_List,,1),INDEX(Weapon_List,,5)=C40,)))&amp;"'"&amp;RIGHT(_xlfn._xlws.FILTER(INDEX(Weapon_List,,1),INDEX(Weapon_List,,5)=C40,),LEN(_xlfn._xlws.FILTER(INDEX(Weapon_List,,1),INDEX(Weapon_List,,5)=C40,))-FIND("'",_xlfn._xlws.FILTER(INDEX(Weapon_List,,1),INDEX(Weapon_List,,5)=C40,))),_xlfn._xlws.FILTER(INDEX(Weapon_List,,1),INDEX(Weapon_List,,5)=C40,))&amp;"'!G12")</f>
        <v>'Dull Blade'!G12</v>
      </c>
      <c r="F40" t="str">
        <v>'Silver Sword'!G12</v>
      </c>
      <c r="G40" t="str">
        <v>'Cool Steel'!G12</v>
      </c>
      <c r="H40" t="str">
        <v>'Bloodtainted Greatsword'!G12</v>
      </c>
      <c r="I40" t="str">
        <v>'Black Tassel'!G12</v>
      </c>
      <c r="J40" t="str">
        <v>'Raven Bow'!G12</v>
      </c>
      <c r="K40" t="str">
        <v>'Royal Longsword'!G12</v>
      </c>
      <c r="L40" t="str">
        <v>'Blackcliff Longsword'!G12</v>
      </c>
      <c r="M40" t="str">
        <v>'The Veridescent Hunt'!G12</v>
      </c>
      <c r="N40" t="str">
        <v>'Prototype Amber'!G12</v>
      </c>
      <c r="O40" t="str">
        <v>'Favonius Sword'!G12</v>
      </c>
      <c r="P40" t="str">
        <v>'Sacrificial Greatsword'!G12</v>
      </c>
      <c r="Q40" t="str">
        <v>'The Stringless'!G12</v>
      </c>
      <c r="R40" t="str">
        <v>'Aquila Favonia'!G12</v>
      </c>
      <c r="S40" t="str">
        <v>'Skyward Atlas'!G12</v>
      </c>
      <c r="T40" t="str">
        <v>'Skyward Harp'!G12</v>
      </c>
      <c r="U40" t="str">
        <v>'Lithic Blade'!G12</v>
      </c>
      <c r="V40" t="str">
        <v>'Lithic Spear'!G12</v>
      </c>
      <c r="W40" t="str">
        <v>'Hamayumi'!G12</v>
      </c>
      <c r="X40" t="str">
        <v>'Thundering Pulse'!G12</v>
      </c>
      <c r="Y40" t="str">
        <v>'King''s Squire'!G12</v>
      </c>
      <c r="Z40" t="str">
        <v>'Song of Stillness'!G12</v>
      </c>
      <c r="AA40" t="str">
        <v>'6.0 Forge Bow'!G12</v>
      </c>
    </row>
    <row r="41" spans="1:27" x14ac:dyDescent="0.25">
      <c r="A41" s="211"/>
      <c r="B41" s="61">
        <v>3</v>
      </c>
      <c r="C41" t="str">
        <v>Fatui</v>
      </c>
      <c r="D41" cm="1">
        <f t="array" aca="1" ref="D41" ca="1">IFERROR(SUM(INDIRECT(_xlfn.ANCHORARRAY(E41))),0)</f>
        <v>0</v>
      </c>
      <c r="E41" t="str" cm="1">
        <f t="array" ref="E41:T41">TRANSPOSE("'"&amp;IF(ISNUMBER(FIND("'",_xlfn._xlws.FILTER(INDEX(Weapon_List,,1),INDEX(Weapon_List,,5)=C41,))),LEFT(_xlfn._xlws.FILTER(INDEX(Weapon_List,,1),INDEX(Weapon_List,,5)=C41,),FIND("'",_xlfn._xlws.FILTER(INDEX(Weapon_List,,1),INDEX(Weapon_List,,5)=C41,)))&amp;"'"&amp;RIGHT(_xlfn._xlws.FILTER(INDEX(Weapon_List,,1),INDEX(Weapon_List,,5)=C41,),LEN(_xlfn._xlws.FILTER(INDEX(Weapon_List,,1),INDEX(Weapon_List,,5)=C41,))-FIND("'",_xlfn._xlws.FILTER(INDEX(Weapon_List,,1),INDEX(Weapon_List,,5)=C41,))),_xlfn._xlws.FILTER(INDEX(Weapon_List,,1),INDEX(Weapon_List,,5)=C41,))&amp;"'!G12")</f>
        <v>'Skyrider Sword'!G12</v>
      </c>
      <c r="F41" t="str">
        <v>'White Tassel'!G12</v>
      </c>
      <c r="G41" t="str">
        <v>'Twin Nephrite'!G12</v>
      </c>
      <c r="H41" t="str">
        <v>'Royal Spear'!G12</v>
      </c>
      <c r="I41" t="str">
        <v>'Royal Grimoire'!G12</v>
      </c>
      <c r="J41" t="str">
        <v>'Blackcliff Slasher'!G12</v>
      </c>
      <c r="K41" t="str">
        <v>'Blackcliff Pole'!G12</v>
      </c>
      <c r="L41" t="str">
        <v>'Prototype Rancour'!G12</v>
      </c>
      <c r="M41" t="str">
        <v>'Compound Bow'!G12</v>
      </c>
      <c r="N41" t="str">
        <v>'Favonius Greatsword'!G12</v>
      </c>
      <c r="O41" t="str">
        <v>'Primordial Jade Winged-Spear'!G12</v>
      </c>
      <c r="P41" t="str">
        <v>'Festering Desire'!G12</v>
      </c>
      <c r="Q41" t="str">
        <v>'Dragonspine Spear'!G12</v>
      </c>
      <c r="R41" t="str">
        <v>'Elegy for the End'!G12</v>
      </c>
      <c r="S41" t="str">
        <v>'Moonpiercer'!G12</v>
      </c>
      <c r="T41" t="str">
        <v>'Cloudweaver'!G12</v>
      </c>
    </row>
    <row r="42" spans="1:27" x14ac:dyDescent="0.25">
      <c r="A42" s="211"/>
      <c r="B42" s="61">
        <v>3</v>
      </c>
      <c r="C42" t="str">
        <v>Treasure Hoarder</v>
      </c>
      <c r="D42" cm="1">
        <f t="array" aca="1" ref="D42" ca="1">IFERROR(SUM(INDIRECT(_xlfn.ANCHORARRAY(E42))),0)</f>
        <v>0</v>
      </c>
      <c r="E42" t="str" cm="1">
        <f t="array" ref="E42:V42">TRANSPOSE("'"&amp;IF(ISNUMBER(FIND("'",_xlfn._xlws.FILTER(INDEX(Weapon_List,,1),INDEX(Weapon_List,,5)=C42,))),LEFT(_xlfn._xlws.FILTER(INDEX(Weapon_List,,1),INDEX(Weapon_List,,5)=C42,),FIND("'",_xlfn._xlws.FILTER(INDEX(Weapon_List,,1),INDEX(Weapon_List,,5)=C42,)))&amp;"'"&amp;RIGHT(_xlfn._xlws.FILTER(INDEX(Weapon_List,,1),INDEX(Weapon_List,,5)=C42,),LEN(_xlfn._xlws.FILTER(INDEX(Weapon_List,,1),INDEX(Weapon_List,,5)=C42,))-FIND("'",_xlfn._xlws.FILTER(INDEX(Weapon_List,,1),INDEX(Weapon_List,,5)=C42,))),_xlfn._xlws.FILTER(INDEX(Weapon_List,,1),INDEX(Weapon_List,,5)=C42,))&amp;"'!G12")</f>
        <v>'Hunter''s Bow'!G12</v>
      </c>
      <c r="F42" t="str">
        <v>'Seasoned Hunter''s Bow'!G12</v>
      </c>
      <c r="G42" t="str">
        <v>'Fillet Blade'!G12</v>
      </c>
      <c r="H42" t="str">
        <v>'Skyrider Greatsword'!G12</v>
      </c>
      <c r="I42" t="str">
        <v>'Emerald Orb'!G12</v>
      </c>
      <c r="J42" t="str">
        <v>'Messenger'!G12</v>
      </c>
      <c r="K42" t="str">
        <v>'Prototype Crescent'!G12</v>
      </c>
      <c r="L42" t="str">
        <v>'Whiteblind'!G12</v>
      </c>
      <c r="M42" t="str">
        <v>'Crescent Pike'!G12</v>
      </c>
      <c r="N42" t="str">
        <v>'Lion''s Roar'!G12</v>
      </c>
      <c r="O42" t="str">
        <v>'Sacrificial Fragments'!G12</v>
      </c>
      <c r="P42" t="str">
        <v>'The Unforged'!G12</v>
      </c>
      <c r="Q42" t="str">
        <v>'Vortex Vanquisher'!G12</v>
      </c>
      <c r="R42" t="str">
        <v>'Primordial Jade Cutter'!G12</v>
      </c>
      <c r="S42" t="str">
        <v>'Mitternachts Waltz'!G12</v>
      </c>
      <c r="T42" t="str">
        <v>'Kitain Cross Spear'!G12</v>
      </c>
      <c r="U42" t="str">
        <v>'Makhaira Aquamarine'!G12</v>
      </c>
      <c r="V42" t="str">
        <v>'Ballad of the Boundless Blue'!G12</v>
      </c>
    </row>
    <row r="43" spans="1:27" x14ac:dyDescent="0.25">
      <c r="A43" s="211"/>
      <c r="B43" s="61">
        <v>3</v>
      </c>
      <c r="C43" t="str">
        <v>Whopperflower</v>
      </c>
      <c r="D43" cm="1">
        <f t="array" aca="1" ref="D43" ca="1">IFERROR(SUM(INDIRECT(_xlfn.ANCHORARRAY(E43))),0)</f>
        <v>0</v>
      </c>
      <c r="E43" t="str" cm="1">
        <f t="array" ref="E43:S43">TRANSPOSE("'"&amp;IF(ISNUMBER(FIND("'",_xlfn._xlws.FILTER(INDEX(Weapon_List,,1),INDEX(Weapon_List,,5)=C43,))),LEFT(_xlfn._xlws.FILTER(INDEX(Weapon_List,,1),INDEX(Weapon_List,,5)=C43,),FIND("'",_xlfn._xlws.FILTER(INDEX(Weapon_List,,1),INDEX(Weapon_List,,5)=C43,)))&amp;"'"&amp;RIGHT(_xlfn._xlws.FILTER(INDEX(Weapon_List,,1),INDEX(Weapon_List,,5)=C43,),LEN(_xlfn._xlws.FILTER(INDEX(Weapon_List,,1),INDEX(Weapon_List,,5)=C43,))-FIND("'",_xlfn._xlws.FILTER(INDEX(Weapon_List,,1),INDEX(Weapon_List,,5)=C43,))),_xlfn._xlws.FILTER(INDEX(Weapon_List,,1),INDEX(Weapon_List,,5)=C43,))&amp;"'!G12")</f>
        <v>'Ferrous Shadow'!G12</v>
      </c>
      <c r="F43" t="str">
        <v>'Halberd'!G12</v>
      </c>
      <c r="G43" t="str">
        <v>'Blackcliff Warbow'!G12</v>
      </c>
      <c r="H43" t="str">
        <v>'Serpent Spine'!G12</v>
      </c>
      <c r="I43" t="str">
        <v>'Deathmatch'!G12</v>
      </c>
      <c r="J43" t="str">
        <v>'Solar Pearl'!G12</v>
      </c>
      <c r="K43" t="str">
        <v>'Iron Sting'!G12</v>
      </c>
      <c r="L43" t="str">
        <v>'The Bell'!G12</v>
      </c>
      <c r="M43" t="str">
        <v>'Favonius Warbow'!G12</v>
      </c>
      <c r="N43" t="str">
        <v>'Frostbearer'!G12</v>
      </c>
      <c r="O43" t="str">
        <v>'Windblume Ode'!G12</v>
      </c>
      <c r="P43" t="str">
        <v>'Calamity Queller'!G12</v>
      </c>
      <c r="Q43" t="str">
        <v>'Ballad of the Fjords'!G12</v>
      </c>
      <c r="R43" t="str">
        <v>'Lumidouce Elegy'!G12</v>
      </c>
      <c r="S43" t="str">
        <v>'Mountain-Bracing Bolt'!G12</v>
      </c>
    </row>
    <row r="44" spans="1:27" x14ac:dyDescent="0.25">
      <c r="A44" s="211"/>
      <c r="B44" s="61">
        <v>3</v>
      </c>
      <c r="C44" t="str">
        <v>Nobushi</v>
      </c>
      <c r="D44" cm="1">
        <f t="array" aca="1" ref="D44" ca="1">IFERROR(SUM(INDIRECT(_xlfn.ANCHORARRAY(E44))),0)</f>
        <v>0</v>
      </c>
      <c r="E44" t="str" cm="1">
        <f t="array" ref="E44:P44">TRANSPOSE("'"&amp;IF(ISNUMBER(FIND("'",_xlfn._xlws.FILTER(INDEX(Weapon_List,,1),INDEX(Weapon_List,,5)=C44,))),LEFT(_xlfn._xlws.FILTER(INDEX(Weapon_List,,1),INDEX(Weapon_List,,5)=C44,),FIND("'",_xlfn._xlws.FILTER(INDEX(Weapon_List,,1),INDEX(Weapon_List,,5)=C44,)))&amp;"'"&amp;RIGHT(_xlfn._xlws.FILTER(INDEX(Weapon_List,,1),INDEX(Weapon_List,,5)=C44,),LEN(_xlfn._xlws.FILTER(INDEX(Weapon_List,,1),INDEX(Weapon_List,,5)=C44,))-FIND("'",_xlfn._xlws.FILTER(INDEX(Weapon_List,,1),INDEX(Weapon_List,,5)=C44,))),_xlfn._xlws.FILTER(INDEX(Weapon_List,,1),INDEX(Weapon_List,,5)=C44,))&amp;"'!G12")</f>
        <v>'Amenoma Kageuchi'!G12</v>
      </c>
      <c r="F44" t="str">
        <v>'Katsuragikiri Nagamasa'!G12</v>
      </c>
      <c r="G44" t="str">
        <v>'Mistsplitter Reforged'!G12</v>
      </c>
      <c r="H44" t="str">
        <v>'Engulfing Lightning'!G12</v>
      </c>
      <c r="I44" t="str">
        <v>'Akuoumaru'!G12</v>
      </c>
      <c r="J44" t="str">
        <v>'Wavebreaker''s Fin'!G12</v>
      </c>
      <c r="K44" t="str">
        <v>'Redhorn Stonethresher'!G12</v>
      </c>
      <c r="L44" t="str">
        <v>'Haran Geppaku Futsu'!G12</v>
      </c>
      <c r="M44" t="str">
        <v>'Toukabou Shigure'!G12</v>
      </c>
      <c r="N44" t="str">
        <v>'Finale of the Deep'!G12</v>
      </c>
      <c r="O44" t="str">
        <v>'Uraku Misugiri'!G12</v>
      </c>
      <c r="P44" t="str">
        <v>'Tamayuratei no Ohanashi'!G12</v>
      </c>
    </row>
    <row r="45" spans="1:27" x14ac:dyDescent="0.25">
      <c r="A45" s="211"/>
      <c r="B45" s="61">
        <v>3</v>
      </c>
      <c r="C45" t="str">
        <v>Specter</v>
      </c>
      <c r="D45" cm="1">
        <f t="array" aca="1" ref="D45" ca="1">IFERROR(SUM(INDIRECT(_xlfn.ANCHORARRAY(E45))),0)</f>
        <v>0</v>
      </c>
      <c r="E45" t="str" cm="1">
        <f t="array" ref="E45:O45">TRANSPOSE("'"&amp;IF(ISNUMBER(FIND("'",_xlfn._xlws.FILTER(INDEX(Weapon_List,,1),INDEX(Weapon_List,,5)=C45,))),LEFT(_xlfn._xlws.FILTER(INDEX(Weapon_List,,1),INDEX(Weapon_List,,5)=C45,),FIND("'",_xlfn._xlws.FILTER(INDEX(Weapon_List,,1),INDEX(Weapon_List,,5)=C45,)))&amp;"'"&amp;RIGHT(_xlfn._xlws.FILTER(INDEX(Weapon_List,,1),INDEX(Weapon_List,,5)=C45,),LEN(_xlfn._xlws.FILTER(INDEX(Weapon_List,,1),INDEX(Weapon_List,,5)=C45,))-FIND("'",_xlfn._xlws.FILTER(INDEX(Weapon_List,,1),INDEX(Weapon_List,,5)=C45,))),_xlfn._xlws.FILTER(INDEX(Weapon_List,,1),INDEX(Weapon_List,,5)=C45,))&amp;"'!G12")</f>
        <v>'"The Catch"'!G12</v>
      </c>
      <c r="F45" t="str">
        <v>'Everlasting Moonglow'!G12</v>
      </c>
      <c r="G45" t="str">
        <v>'Polar Star'!G12</v>
      </c>
      <c r="H45" t="str">
        <v>'Mouun''s Moon'!G12</v>
      </c>
      <c r="I45" t="str">
        <v>'Kagura''s Verity'!G12</v>
      </c>
      <c r="J45" t="str">
        <v>'Oathsworn Eye'!G12</v>
      </c>
      <c r="K45" t="str">
        <v>'Aqua Simulacra'!G12</v>
      </c>
      <c r="L45" t="str">
        <v>'Kagotsurube Isshin'!G12</v>
      </c>
      <c r="M45" t="str">
        <v>'Mailed Flower'!G12</v>
      </c>
      <c r="N45" t="str">
        <v>'Dialogues of the Desert Sages'!G12</v>
      </c>
      <c r="O45" t="str">
        <v>'Sunny Morning Sleep-In'!G12</v>
      </c>
    </row>
    <row r="46" spans="1:27" x14ac:dyDescent="0.25">
      <c r="A46" s="211"/>
      <c r="B46" s="61">
        <v>3</v>
      </c>
      <c r="C46" t="str">
        <v>Floating Fungi</v>
      </c>
      <c r="D46" cm="1">
        <f t="array" aca="1" ref="D46" ca="1">IFERROR(SUM(INDIRECT(_xlfn.ANCHORARRAY(E46))),0)</f>
        <v>0</v>
      </c>
      <c r="E46" t="str" cm="1">
        <f t="array" ref="E46:L46">TRANSPOSE("'"&amp;IF(ISNUMBER(FIND("'",_xlfn._xlws.FILTER(INDEX(Weapon_List,,1),INDEX(Weapon_List,,5)=C46,))),LEFT(_xlfn._xlws.FILTER(INDEX(Weapon_List,,1),INDEX(Weapon_List,,5)=C46,),FIND("'",_xlfn._xlws.FILTER(INDEX(Weapon_List,,1),INDEX(Weapon_List,,5)=C46,)))&amp;"'"&amp;RIGHT(_xlfn._xlws.FILTER(INDEX(Weapon_List,,1),INDEX(Weapon_List,,5)=C46,),LEN(_xlfn._xlws.FILTER(INDEX(Weapon_List,,1),INDEX(Weapon_List,,5)=C46,))-FIND("'",_xlfn._xlws.FILTER(INDEX(Weapon_List,,1),INDEX(Weapon_List,,5)=C46,))),_xlfn._xlws.FILTER(INDEX(Weapon_List,,1),INDEX(Weapon_List,,5)=C46,))&amp;"'!G12")</f>
        <v>'Fruit of Fulfillment'!G12</v>
      </c>
      <c r="F46" t="str">
        <v>'End of the Line'!G12</v>
      </c>
      <c r="G46" t="str">
        <v>'Staff of the Scarlet Sands'!G12</v>
      </c>
      <c r="H46" t="str">
        <v>'Wandering Evenstar'!G12</v>
      </c>
      <c r="I46" t="str">
        <v>'A Thousand Floating Dreams'!G12</v>
      </c>
      <c r="J46" t="str">
        <v>'Tullaytullah''s Remembrance'!G12</v>
      </c>
      <c r="K46" t="str">
        <v>'Jadefall''s Splendor'!G12</v>
      </c>
      <c r="L46" t="str">
        <v>'Scion of the Blazing Sun'!G12</v>
      </c>
    </row>
    <row r="47" spans="1:27" x14ac:dyDescent="0.25">
      <c r="A47" s="211"/>
      <c r="B47" s="61">
        <v>3</v>
      </c>
      <c r="C47" t="str">
        <v>Eremite</v>
      </c>
      <c r="D47" cm="1">
        <f t="array" aca="1" ref="D47" ca="1">IFERROR(SUM(INDIRECT(_xlfn.ANCHORARRAY(E47))),0)</f>
        <v>0</v>
      </c>
      <c r="E47" t="str" cm="1">
        <f t="array" ref="E47:L47">TRANSPOSE("'"&amp;IF(ISNUMBER(FIND("'",_xlfn._xlws.FILTER(INDEX(Weapon_List,,1),INDEX(Weapon_List,,5)=C47,))),LEFT(_xlfn._xlws.FILTER(INDEX(Weapon_List,,1),INDEX(Weapon_List,,5)=C47,),FIND("'",_xlfn._xlws.FILTER(INDEX(Weapon_List,,1),INDEX(Weapon_List,,5)=C47,)))&amp;"'"&amp;RIGHT(_xlfn._xlws.FILTER(INDEX(Weapon_List,,1),INDEX(Weapon_List,,5)=C47,),LEN(_xlfn._xlws.FILTER(INDEX(Weapon_List,,1),INDEX(Weapon_List,,5)=C47,))-FIND("'",_xlfn._xlws.FILTER(INDEX(Weapon_List,,1),INDEX(Weapon_List,,5)=C47,))),_xlfn._xlws.FILTER(INDEX(Weapon_List,,1),INDEX(Weapon_List,,5)=C47,))&amp;"'!G12")</f>
        <v>'Sapwood Blade'!G12</v>
      </c>
      <c r="F47" t="str">
        <v>'Forest Regalia'!G12</v>
      </c>
      <c r="G47" t="str">
        <v>'Hunter''s Path'!G12</v>
      </c>
      <c r="H47" t="str">
        <v>'Key of Khaj-Nisat'!G12</v>
      </c>
      <c r="I47" t="str">
        <v>'Xiphos’ Moonlight'!G12</v>
      </c>
      <c r="J47" t="str">
        <v>'Light of Foliar Incision'!G12</v>
      </c>
      <c r="K47" t="str">
        <v>'Beacon of the Reed Sea'!G12</v>
      </c>
      <c r="L47" t="str">
        <v>'Ibis Piercer'!G12</v>
      </c>
    </row>
    <row r="48" spans="1:27" x14ac:dyDescent="0.25">
      <c r="A48" s="211"/>
      <c r="B48" s="61">
        <v>3</v>
      </c>
      <c r="C48" t="str">
        <v>Fontemer Aberrant</v>
      </c>
      <c r="D48" cm="1">
        <f t="array" aca="1" ref="D48" ca="1">IFERROR(SUM(INDIRECT(_xlfn.ANCHORARRAY(E48))),0)</f>
        <v>18</v>
      </c>
      <c r="E48" t="str" cm="1">
        <f t="array" ref="E48:O48">TRANSPOSE("'"&amp;IF(ISNUMBER(FIND("'",_xlfn._xlws.FILTER(INDEX(Weapon_List,,1),INDEX(Weapon_List,,5)=C48,))),LEFT(_xlfn._xlws.FILTER(INDEX(Weapon_List,,1),INDEX(Weapon_List,,5)=C48,),FIND("'",_xlfn._xlws.FILTER(INDEX(Weapon_List,,1),INDEX(Weapon_List,,5)=C48,)))&amp;"'"&amp;RIGHT(_xlfn._xlws.FILTER(INDEX(Weapon_List,,1),INDEX(Weapon_List,,5)=C48,),LEN(_xlfn._xlws.FILTER(INDEX(Weapon_List,,1),INDEX(Weapon_List,,5)=C48,))-FIND("'",_xlfn._xlws.FILTER(INDEX(Weapon_List,,1),INDEX(Weapon_List,,5)=C48,))),_xlfn._xlws.FILTER(INDEX(Weapon_List,,1),INDEX(Weapon_List,,5)=C48,))&amp;"'!G12")</f>
        <v>'Flowing Purity'!G12</v>
      </c>
      <c r="F48" t="str">
        <v>'The First Great Magic'!G12</v>
      </c>
      <c r="G48" t="str">
        <v>'Crossing of Fleuve Cendre'!G12</v>
      </c>
      <c r="H48" t="str">
        <v>'The Dockhand''s Assistant'!G12</v>
      </c>
      <c r="I48" t="str">
        <v>'Cashflow Supervision'!G12</v>
      </c>
      <c r="J48" t="str">
        <v>'Range Gauge'!G12</v>
      </c>
      <c r="K48" t="str">
        <v>'Splendor of Tranquil Waters'!G12</v>
      </c>
      <c r="L48" t="str">
        <v>'Sword of Narzissenkreuz'!G12</v>
      </c>
      <c r="M48" t="str">
        <v>'Pouring Heartstrings'!G12</v>
      </c>
      <c r="N48" t="str">
        <v>'Symphonist of Scents'!G12</v>
      </c>
      <c r="O48" t="str">
        <v>'Flame-Forged Insight'!G12</v>
      </c>
    </row>
    <row r="49" spans="1:26" x14ac:dyDescent="0.25">
      <c r="A49" s="211"/>
      <c r="B49" s="61">
        <v>3</v>
      </c>
      <c r="C49" t="str">
        <v>Clockwork Meka</v>
      </c>
      <c r="D49" cm="1">
        <f t="array" aca="1" ref="D49" ca="1">IFERROR(SUM(INDIRECT(_xlfn.ANCHORARRAY(E49))),0)</f>
        <v>0</v>
      </c>
      <c r="E49" t="str" cm="1">
        <f t="array" ref="E49:N49">TRANSPOSE("'"&amp;IF(ISNUMBER(FIND("'",_xlfn._xlws.FILTER(INDEX(Weapon_List,,1),INDEX(Weapon_List,,5)=C49,))),LEFT(_xlfn._xlws.FILTER(INDEX(Weapon_List,,1),INDEX(Weapon_List,,5)=C49,),FIND("'",_xlfn._xlws.FILTER(INDEX(Weapon_List,,1),INDEX(Weapon_List,,5)=C49,)))&amp;"'"&amp;RIGHT(_xlfn._xlws.FILTER(INDEX(Weapon_List,,1),INDEX(Weapon_List,,5)=C49,),LEN(_xlfn._xlws.FILTER(INDEX(Weapon_List,,1),INDEX(Weapon_List,,5)=C49,))-FIND("'",_xlfn._xlws.FILTER(INDEX(Weapon_List,,1),INDEX(Weapon_List,,5)=C49,))),_xlfn._xlws.FILTER(INDEX(Weapon_List,,1),INDEX(Weapon_List,,5)=C49,))&amp;"'!G12")</f>
        <v>'Tidal Shadow'!G12</v>
      </c>
      <c r="F49" t="str">
        <v>'Rightful Reward'!G12</v>
      </c>
      <c r="G49" t="str">
        <v>'Tome of the Eternal Flow'!G12</v>
      </c>
      <c r="H49" t="str">
        <v>'Portable Power Saw'!G12</v>
      </c>
      <c r="I49" t="str">
        <v>'Prospector’s Drill'!G12</v>
      </c>
      <c r="J49" t="str">
        <v>'Verdict'!G12</v>
      </c>
      <c r="K49" t="str">
        <v>'Ultimate Overlord’s Mega Magic'!G12</v>
      </c>
      <c r="L49" t="str">
        <v>'Crimson Moon’s Semblance'!G12</v>
      </c>
      <c r="M49" t="str">
        <v>'Absolution'!G12</v>
      </c>
      <c r="N49" t="str">
        <v>'Sequence of Solitude'!G12</v>
      </c>
    </row>
    <row r="50" spans="1:26" x14ac:dyDescent="0.25">
      <c r="A50" s="211"/>
      <c r="B50" s="61">
        <v>3</v>
      </c>
      <c r="C50" t="str">
        <v>Saurian</v>
      </c>
      <c r="D50" cm="1">
        <f t="array" aca="1" ref="D50" ca="1">IFERROR(SUM(INDIRECT(_xlfn.ANCHORARRAY(E50))),0)</f>
        <v>0</v>
      </c>
      <c r="E50" t="str" cm="1">
        <f t="array" ref="E50:N50">TRANSPOSE("'"&amp;IF(ISNUMBER(FIND("'",_xlfn._xlws.FILTER(INDEX(Weapon_List,,1),INDEX(Weapon_List,,5)=C50,))),LEFT(_xlfn._xlws.FILTER(INDEX(Weapon_List,,1),INDEX(Weapon_List,,5)=C50,),FIND("'",_xlfn._xlws.FILTER(INDEX(Weapon_List,,1),INDEX(Weapon_List,,5)=C50,)))&amp;"'"&amp;RIGHT(_xlfn._xlws.FILTER(INDEX(Weapon_List,,1),INDEX(Weapon_List,,5)=C50,),LEN(_xlfn._xlws.FILTER(INDEX(Weapon_List,,1),INDEX(Weapon_List,,5)=C50,))-FIND("'",_xlfn._xlws.FILTER(INDEX(Weapon_List,,1),INDEX(Weapon_List,,5)=C50,))),_xlfn._xlws.FILTER(INDEX(Weapon_List,,1),INDEX(Weapon_List,,5)=C50,))&amp;"'!G12")</f>
        <v>'Flute of Ezpitzal'!G12</v>
      </c>
      <c r="F50" t="str">
        <v>'Chain Breaker'!G12</v>
      </c>
      <c r="G50" t="str">
        <v>'Surf''s Up'!G12</v>
      </c>
      <c r="H50" t="str">
        <v>'Ash-Graven Drinking Horn'!G12</v>
      </c>
      <c r="I50" t="str">
        <v>'Peak Patrol Song'!G12</v>
      </c>
      <c r="J50" t="str">
        <v>'Fruitful Hook'!G12</v>
      </c>
      <c r="K50" t="str">
        <v>'Waveriding Whirl'!G12</v>
      </c>
      <c r="L50" t="str">
        <v>'A Thousand Blazing Suns'!G12</v>
      </c>
      <c r="M50" t="str">
        <v>'Vivid Notions'!G12</v>
      </c>
      <c r="N50" t="str">
        <v>'Fractured Halo'!G12</v>
      </c>
    </row>
    <row r="51" spans="1:26" x14ac:dyDescent="0.25">
      <c r="A51" s="211"/>
      <c r="B51" s="61">
        <v>3</v>
      </c>
      <c r="C51" t="str">
        <v>Sauroform Tribal Warrior</v>
      </c>
      <c r="D51" cm="1">
        <f t="array" aca="1" ref="D51" ca="1">IFERROR(SUM(INDIRECT(_xlfn.ANCHORARRAY(E51))),0)</f>
        <v>0</v>
      </c>
      <c r="E51" t="str" cm="1">
        <f t="array" ref="E51:M51">TRANSPOSE("'"&amp;IF(ISNUMBER(FIND("'",_xlfn._xlws.FILTER(INDEX(Weapon_List,,1),INDEX(Weapon_List,,5)=C51,))),LEFT(_xlfn._xlws.FILTER(INDEX(Weapon_List,,1),INDEX(Weapon_List,,5)=C51,),FIND("'",_xlfn._xlws.FILTER(INDEX(Weapon_List,,1),INDEX(Weapon_List,,5)=C51,)))&amp;"'"&amp;RIGHT(_xlfn._xlws.FILTER(INDEX(Weapon_List,,1),INDEX(Weapon_List,,5)=C51,),LEN(_xlfn._xlws.FILTER(INDEX(Weapon_List,,1),INDEX(Weapon_List,,5)=C51,))-FIND("'",_xlfn._xlws.FILTER(INDEX(Weapon_List,,1),INDEX(Weapon_List,,5)=C51,))),_xlfn._xlws.FILTER(INDEX(Weapon_List,,1),INDEX(Weapon_List,,5)=C51,))&amp;"'!G12")</f>
        <v>'Earth Shaker'!G12</v>
      </c>
      <c r="F51" t="str">
        <v>'Footprint of the Rainbow'!G12</v>
      </c>
      <c r="G51" t="str">
        <v>'Fang of the Mountain King'!G12</v>
      </c>
      <c r="H51" t="str">
        <v>'Sturdy Bone'!G12</v>
      </c>
      <c r="I51" t="str">
        <v>'Astral Vulture’s Crimson'!G12</v>
      </c>
      <c r="J51" t="str">
        <v>'The Calamity of Eshu'!G12</v>
      </c>
      <c r="K51" t="str">
        <v>'Flower-Wreathed Feathers'!G12</v>
      </c>
      <c r="L51" t="str">
        <v>'Starcaller’s Watch'!G12</v>
      </c>
      <c r="M51" t="str">
        <v>'Azurelight'!G12</v>
      </c>
    </row>
    <row r="52" spans="1:26" x14ac:dyDescent="0.25">
      <c r="A52" s="211"/>
      <c r="B52" s="61">
        <v>3</v>
      </c>
      <c r="D52" cm="1">
        <f t="array" aca="1" ref="D52" ca="1">IFERROR(SUM(INDIRECT(_xlfn.ANCHORARRAY(E52))),0)</f>
        <v>0</v>
      </c>
      <c r="E52" t="str" cm="1">
        <f t="array" ref="E52">TRANSPOSE("'"&amp;IF(ISNUMBER(FIND("'",_xlfn._xlws.FILTER(INDEX(Weapon_List,,1),INDEX(Weapon_List,,5)=C52,))),LEFT(_xlfn._xlws.FILTER(INDEX(Weapon_List,,1),INDEX(Weapon_List,,5)=C52,),FIND("'",_xlfn._xlws.FILTER(INDEX(Weapon_List,,1),INDEX(Weapon_List,,5)=C52,)))&amp;"'"&amp;RIGHT(_xlfn._xlws.FILTER(INDEX(Weapon_List,,1),INDEX(Weapon_List,,5)=C52,),LEN(_xlfn._xlws.FILTER(INDEX(Weapon_List,,1),INDEX(Weapon_List,,5)=C52,))-FIND("'",_xlfn._xlws.FILTER(INDEX(Weapon_List,,1),INDEX(Weapon_List,,5)=C52,))),_xlfn._xlws.FILTER(INDEX(Weapon_List,,1),INDEX(Weapon_List,,5)=C52,))&amp;"'!G12")</f>
        <v>'0'!G12</v>
      </c>
    </row>
    <row r="53" spans="1:26" x14ac:dyDescent="0.25">
      <c r="A53" s="211"/>
      <c r="B53" s="61">
        <v>3</v>
      </c>
      <c r="D53" cm="1">
        <f t="array" aca="1" ref="D53" ca="1">IFERROR(SUM(INDIRECT(_xlfn.ANCHORARRAY(E53))),0)</f>
        <v>0</v>
      </c>
      <c r="E53" t="str" cm="1">
        <f t="array" ref="E53">TRANSPOSE("'"&amp;IF(ISNUMBER(FIND("'",_xlfn._xlws.FILTER(INDEX(Weapon_List,,1),INDEX(Weapon_List,,5)=C53,))),LEFT(_xlfn._xlws.FILTER(INDEX(Weapon_List,,1),INDEX(Weapon_List,,5)=C53,),FIND("'",_xlfn._xlws.FILTER(INDEX(Weapon_List,,1),INDEX(Weapon_List,,5)=C53,)))&amp;"'"&amp;RIGHT(_xlfn._xlws.FILTER(INDEX(Weapon_List,,1),INDEX(Weapon_List,,5)=C53,),LEN(_xlfn._xlws.FILTER(INDEX(Weapon_List,,1),INDEX(Weapon_List,,5)=C53,))-FIND("'",_xlfn._xlws.FILTER(INDEX(Weapon_List,,1),INDEX(Weapon_List,,5)=C53,))),_xlfn._xlws.FILTER(INDEX(Weapon_List,,1),INDEX(Weapon_List,,5)=C53,))&amp;"'!G12")</f>
        <v>'0'!G12</v>
      </c>
    </row>
    <row r="54" spans="1:26" x14ac:dyDescent="0.25">
      <c r="A54" s="211"/>
      <c r="B54" s="61">
        <v>3</v>
      </c>
      <c r="D54" cm="1">
        <f t="array" aca="1" ref="D54" ca="1">IFERROR(SUM(INDIRECT(_xlfn.ANCHORARRAY(E54))),0)</f>
        <v>0</v>
      </c>
      <c r="E54" t="str" cm="1">
        <f t="array" ref="E54">TRANSPOSE("'"&amp;IF(ISNUMBER(FIND("'",_xlfn._xlws.FILTER(INDEX(Weapon_List,,1),INDEX(Weapon_List,,5)=C54,))),LEFT(_xlfn._xlws.FILTER(INDEX(Weapon_List,,1),INDEX(Weapon_List,,5)=C54,),FIND("'",_xlfn._xlws.FILTER(INDEX(Weapon_List,,1),INDEX(Weapon_List,,5)=C54,)))&amp;"'"&amp;RIGHT(_xlfn._xlws.FILTER(INDEX(Weapon_List,,1),INDEX(Weapon_List,,5)=C54,),LEN(_xlfn._xlws.FILTER(INDEX(Weapon_List,,1),INDEX(Weapon_List,,5)=C54,))-FIND("'",_xlfn._xlws.FILTER(INDEX(Weapon_List,,1),INDEX(Weapon_List,,5)=C54,))),_xlfn._xlws.FILTER(INDEX(Weapon_List,,1),INDEX(Weapon_List,,5)=C54,))&amp;"'!G12")</f>
        <v>'0'!G12</v>
      </c>
    </row>
    <row r="55" spans="1:26" x14ac:dyDescent="0.25">
      <c r="B55" s="61">
        <v>3</v>
      </c>
      <c r="D55" cm="1">
        <f t="array" aca="1" ref="D55" ca="1">IFERROR(SUM(INDIRECT(_xlfn.ANCHORARRAY(E55))),0)</f>
        <v>0</v>
      </c>
      <c r="E55" t="str" cm="1">
        <f t="array" ref="E55">TRANSPOSE("'"&amp;IF(ISNUMBER(FIND("'",_xlfn._xlws.FILTER(INDEX(Weapon_List,,1),INDEX(Weapon_List,,5)=C55,))),LEFT(_xlfn._xlws.FILTER(INDEX(Weapon_List,,1),INDEX(Weapon_List,,5)=C55,),FIND("'",_xlfn._xlws.FILTER(INDEX(Weapon_List,,1),INDEX(Weapon_List,,5)=C55,)))&amp;"'"&amp;RIGHT(_xlfn._xlws.FILTER(INDEX(Weapon_List,,1),INDEX(Weapon_List,,5)=C55,),LEN(_xlfn._xlws.FILTER(INDEX(Weapon_List,,1),INDEX(Weapon_List,,5)=C55,))-FIND("'",_xlfn._xlws.FILTER(INDEX(Weapon_List,,1),INDEX(Weapon_List,,5)=C55,))),_xlfn._xlws.FILTER(INDEX(Weapon_List,,1),INDEX(Weapon_List,,5)=C55,))&amp;"'!G12")</f>
        <v>'0'!G12</v>
      </c>
    </row>
    <row r="56" spans="1:26" x14ac:dyDescent="0.25">
      <c r="A56" s="211" t="s">
        <v>192</v>
      </c>
      <c r="B56" s="61">
        <v>2</v>
      </c>
      <c r="C56" t="str" cm="1">
        <f t="array" ref="C56:C80">_xlfn._xlws.FILTER(INDEX(Elite_Mob_Drops,,1),INDEX(Elite_Mob_Drops,,1)&lt;&gt;"")</f>
        <v>Mitachurl</v>
      </c>
      <c r="D56" cm="1">
        <f t="array" aca="1" ref="D56" ca="1">IFERROR(SUM(INDIRECT(_xlfn.ANCHORARRAY(E56))),0)</f>
        <v>0</v>
      </c>
      <c r="E56" t="str" cm="1">
        <f t="array" ref="E56:Z56">TRANSPOSE("'"&amp;IF(ISNUMBER(FIND("'",_xlfn._xlws.FILTER(INDEX(Weapon_List,,1),INDEX(Weapon_List,,6)=C56,))),LEFT(_xlfn._xlws.FILTER(INDEX(Weapon_List,,1),INDEX(Weapon_List,,6)=C56,),FIND("'",_xlfn._xlws.FILTER(INDEX(Weapon_List,,1),INDEX(Weapon_List,,6)=C56,)))&amp;"'"&amp;RIGHT(_xlfn._xlws.FILTER(INDEX(Weapon_List,,1),INDEX(Weapon_List,,6)=C56,),LEN(_xlfn._xlws.FILTER(INDEX(Weapon_List,,1),INDEX(Weapon_List,,6)=C56,))-FIND("'",_xlfn._xlws.FILTER(INDEX(Weapon_List,,1),INDEX(Weapon_List,,6)=C56,))),_xlfn._xlws.FILTER(INDEX(Weapon_List,,1),INDEX(Weapon_List,,6)=C56,))&amp;"'!G13")</f>
        <v>'Dull Blade'!G13</v>
      </c>
      <c r="F56" t="str">
        <v>'Apprentice''s Notes'!G13</v>
      </c>
      <c r="G56" t="str">
        <v>'Silver Sword'!G13</v>
      </c>
      <c r="H56" t="str">
        <v>'Pocket Grimoire'!G13</v>
      </c>
      <c r="I56" t="str">
        <v>'Cool Steel'!G13</v>
      </c>
      <c r="J56" t="str">
        <v>'Ferrous Shadow'!G13</v>
      </c>
      <c r="K56" t="str">
        <v>'Magic Guide'!G13</v>
      </c>
      <c r="L56" t="str">
        <v>'Raven Bow'!G13</v>
      </c>
      <c r="M56" t="str">
        <v>'Royal Longsword'!G13</v>
      </c>
      <c r="N56" t="str">
        <v>'Royal Grimoire'!G13</v>
      </c>
      <c r="O56" t="str">
        <v>'The Veridescent Hunt'!G13</v>
      </c>
      <c r="P56" t="str">
        <v>'Favonius Sword'!G13</v>
      </c>
      <c r="Q56" t="str">
        <v>'The Bell'!G13</v>
      </c>
      <c r="R56" t="str">
        <v>'Favonius Codex'!G13</v>
      </c>
      <c r="S56" t="str">
        <v>'The Stringless'!G13</v>
      </c>
      <c r="T56" t="str">
        <v>'Aquila Favonia'!G13</v>
      </c>
      <c r="U56" t="str">
        <v>'Festering Desire'!G13</v>
      </c>
      <c r="V56" t="str">
        <v>'Snow-Tombed Starsilver'!G13</v>
      </c>
      <c r="W56" t="str">
        <v>'The Alley Flash'!G13</v>
      </c>
      <c r="X56" t="str">
        <v>'Elegy for the End'!G13</v>
      </c>
      <c r="Y56" t="str">
        <v>'Song of Broken Pines'!G13</v>
      </c>
      <c r="Z56" t="str">
        <v>'Mitternachts Waltz'!G13</v>
      </c>
    </row>
    <row r="57" spans="1:26" x14ac:dyDescent="0.25">
      <c r="A57" s="211"/>
      <c r="B57" s="61">
        <v>2</v>
      </c>
      <c r="C57" t="str">
        <v>Abyss Mage</v>
      </c>
      <c r="D57" cm="1">
        <f t="array" aca="1" ref="D57" ca="1">IFERROR(SUM(INDIRECT(_xlfn.ANCHORARRAY(E57))),0)</f>
        <v>0</v>
      </c>
      <c r="E57" t="str" cm="1">
        <f t="array" ref="E57:Z57">TRANSPOSE("'"&amp;IF(ISNUMBER(FIND("'",_xlfn._xlws.FILTER(INDEX(Weapon_List,,1),INDEX(Weapon_List,,6)=C57,))),LEFT(_xlfn._xlws.FILTER(INDEX(Weapon_List,,1),INDEX(Weapon_List,,6)=C57,),FIND("'",_xlfn._xlws.FILTER(INDEX(Weapon_List,,1),INDEX(Weapon_List,,6)=C57,)))&amp;"'"&amp;RIGHT(_xlfn._xlws.FILTER(INDEX(Weapon_List,,1),INDEX(Weapon_List,,6)=C57,),LEN(_xlfn._xlws.FILTER(INDEX(Weapon_List,,1),INDEX(Weapon_List,,6)=C57,))-FIND("'",_xlfn._xlws.FILTER(INDEX(Weapon_List,,1),INDEX(Weapon_List,,6)=C57,))),_xlfn._xlws.FILTER(INDEX(Weapon_List,,1),INDEX(Weapon_List,,6)=C57,))&amp;"'!G13")</f>
        <v>'Waster Greatsword'!G13</v>
      </c>
      <c r="F57" t="str">
        <v>'Hunter''s Bow'!G13</v>
      </c>
      <c r="G57" t="str">
        <v>'Old Merc''s Pal'!G13</v>
      </c>
      <c r="H57" t="str">
        <v>'Seasoned Hunter''s Bow'!G13</v>
      </c>
      <c r="I57" t="str">
        <v>'Harbinger of Dawn'!G13</v>
      </c>
      <c r="J57" t="str">
        <v>'Bloodtainted Greatsword'!G13</v>
      </c>
      <c r="K57" t="str">
        <v>'TTDS'!G13</v>
      </c>
      <c r="L57" t="str">
        <v>'Sharpshooter''s Oath'!G13</v>
      </c>
      <c r="M57" t="str">
        <v>'The Black Sword'!G13</v>
      </c>
      <c r="N57" t="str">
        <v>'Deathmatch'!G13</v>
      </c>
      <c r="O57" t="str">
        <v>'The Flute'!G13</v>
      </c>
      <c r="P57" t="str">
        <v>'Sacrificial Greatsword'!G13</v>
      </c>
      <c r="Q57" t="str">
        <v>'The Widsith'!G13</v>
      </c>
      <c r="R57" t="str">
        <v>'Sacrificial Bow'!G13</v>
      </c>
      <c r="S57" t="str">
        <v>'Skyward Blade'!G13</v>
      </c>
      <c r="T57" t="str">
        <v>'Skyward Pride'!G13</v>
      </c>
      <c r="U57" t="str">
        <v>'Skyward Atlas'!G13</v>
      </c>
      <c r="V57" t="str">
        <v>'Skyward Harp'!G13</v>
      </c>
      <c r="W57" t="str">
        <v>'Windblume Ode'!G13</v>
      </c>
      <c r="X57" t="str">
        <v>'Staff of Homa'!G13</v>
      </c>
      <c r="Y57" t="str">
        <v>'Wine and Song'!G13</v>
      </c>
      <c r="Z57" t="str">
        <v>'Dodoco Tales'!G13</v>
      </c>
    </row>
    <row r="58" spans="1:26" x14ac:dyDescent="0.25">
      <c r="A58" s="211"/>
      <c r="B58" s="61">
        <v>2</v>
      </c>
      <c r="C58" t="str">
        <v>Ruin Machine 1</v>
      </c>
      <c r="D58" cm="1">
        <f t="array" aca="1" ref="D58" ca="1">IFERROR(SUM(INDIRECT(_xlfn.ANCHORARRAY(E58))),0)</f>
        <v>0</v>
      </c>
      <c r="E58" t="str" cm="1">
        <f t="array" ref="E58:Z58">TRANSPOSE("'"&amp;IF(ISNUMBER(FIND("'",_xlfn._xlws.FILTER(INDEX(Weapon_List,,1),INDEX(Weapon_List,,6)=C58,))),LEFT(_xlfn._xlws.FILTER(INDEX(Weapon_List,,1),INDEX(Weapon_List,,6)=C58,),FIND("'",_xlfn._xlws.FILTER(INDEX(Weapon_List,,1),INDEX(Weapon_List,,6)=C58,)))&amp;"'"&amp;RIGHT(_xlfn._xlws.FILTER(INDEX(Weapon_List,,1),INDEX(Weapon_List,,6)=C58,),LEN(_xlfn._xlws.FILTER(INDEX(Weapon_List,,1),INDEX(Weapon_List,,6)=C58,))-FIND("'",_xlfn._xlws.FILTER(INDEX(Weapon_List,,1),INDEX(Weapon_List,,6)=C58,))),_xlfn._xlws.FILTER(INDEX(Weapon_List,,1),INDEX(Weapon_List,,6)=C58,))&amp;"'!G13")</f>
        <v>'Beginner''s Protector'!G13</v>
      </c>
      <c r="F58" t="str">
        <v>'Iron Point'!G13</v>
      </c>
      <c r="G58" t="str">
        <v>'Traveler''s Handy Sword'!G13</v>
      </c>
      <c r="H58" t="str">
        <v>'White Iron Greatsword'!G13</v>
      </c>
      <c r="I58" t="str">
        <v>'Otherworldly Story'!G13</v>
      </c>
      <c r="J58" t="str">
        <v>'Recurve Bow'!G13</v>
      </c>
      <c r="K58" t="str">
        <v>'Royal Greatsword'!G13</v>
      </c>
      <c r="L58" t="str">
        <v>'Royal Bow'!G13</v>
      </c>
      <c r="M58" t="str">
        <v>'Sacrificial Sword'!G13</v>
      </c>
      <c r="N58" t="str">
        <v>'Favonius Greatsword'!G13</v>
      </c>
      <c r="O58" t="str">
        <v>'Favonius Lance'!G13</v>
      </c>
      <c r="P58" t="str">
        <v>'Sacrificial Fragments'!G13</v>
      </c>
      <c r="Q58" t="str">
        <v>'Favonius Warbow'!G13</v>
      </c>
      <c r="R58" t="str">
        <v>'Wolf''s Gravestone'!G13</v>
      </c>
      <c r="S58" t="str">
        <v>'Skyward Spine'!G13</v>
      </c>
      <c r="T58" t="str">
        <v>'Lost Prayer to the Sacred Winds'!G13</v>
      </c>
      <c r="U58" t="str">
        <v>'Amos'' Bow'!G13</v>
      </c>
      <c r="V58" t="str">
        <v>'Frostbearer'!G13</v>
      </c>
      <c r="W58" t="str">
        <v>'Alley Hunter'!G13</v>
      </c>
      <c r="X58" t="str">
        <v>'Freedom-Sworn'!G13</v>
      </c>
      <c r="Y58" t="str">
        <v>'Cinnabar Spindle'!G13</v>
      </c>
      <c r="Z58" t="str">
        <v>'Wolf-Fang'!G13</v>
      </c>
    </row>
    <row r="59" spans="1:26" x14ac:dyDescent="0.25">
      <c r="A59" s="211"/>
      <c r="B59" s="61">
        <v>2</v>
      </c>
      <c r="C59" t="str">
        <v>Fatui Cicin Mage</v>
      </c>
      <c r="D59" cm="1">
        <f t="array" aca="1" ref="D59" ca="1">IFERROR(SUM(INDIRECT(_xlfn.ANCHORARRAY(E59))),0)</f>
        <v>0</v>
      </c>
      <c r="E59" t="str" cm="1">
        <f t="array" ref="E59:W59">TRANSPOSE("'"&amp;IF(ISNUMBER(FIND("'",_xlfn._xlws.FILTER(INDEX(Weapon_List,,1),INDEX(Weapon_List,,6)=C59,))),LEFT(_xlfn._xlws.FILTER(INDEX(Weapon_List,,1),INDEX(Weapon_List,,6)=C59,),FIND("'",_xlfn._xlws.FILTER(INDEX(Weapon_List,,1),INDEX(Weapon_List,,6)=C59,)))&amp;"'"&amp;RIGHT(_xlfn._xlws.FILTER(INDEX(Weapon_List,,1),INDEX(Weapon_List,,6)=C59,),LEN(_xlfn._xlws.FILTER(INDEX(Weapon_List,,1),INDEX(Weapon_List,,6)=C59,))-FIND("'",_xlfn._xlws.FILTER(INDEX(Weapon_List,,1),INDEX(Weapon_List,,6)=C59,))),_xlfn._xlws.FILTER(INDEX(Weapon_List,,1),INDEX(Weapon_List,,6)=C59,))&amp;"'!G13")</f>
        <v>'Fillet Blade'!G13</v>
      </c>
      <c r="F59" t="str">
        <v>'Debate Club'!G13</v>
      </c>
      <c r="G59" t="str">
        <v>'Halberd'!G13</v>
      </c>
      <c r="H59" t="str">
        <v>'Twin Nephrite'!G13</v>
      </c>
      <c r="I59" t="str">
        <v>'Messenger'!G13</v>
      </c>
      <c r="J59" t="str">
        <v>'Royal Spear'!G13</v>
      </c>
      <c r="K59" t="str">
        <v>'Blackcliff Slasher'!G13</v>
      </c>
      <c r="L59" t="str">
        <v>'Blackcliff Pole'!G13</v>
      </c>
      <c r="M59" t="str">
        <v>'Prototype Rancour'!G13</v>
      </c>
      <c r="N59" t="str">
        <v>'Prototype Amber'!G13</v>
      </c>
      <c r="O59" t="str">
        <v>'Prototype Crescent'!G13</v>
      </c>
      <c r="P59" t="str">
        <v>'Rainslasher'!G13</v>
      </c>
      <c r="Q59" t="str">
        <v>'Dragon''s Bane'!G13</v>
      </c>
      <c r="R59" t="str">
        <v>'Eye of Perception'!G13</v>
      </c>
      <c r="S59" t="str">
        <v>'The Unforged'!G13</v>
      </c>
      <c r="T59" t="str">
        <v>'Dragonspine Spear'!G13</v>
      </c>
      <c r="U59" t="str">
        <v>'Primordial Jade Cutter'!G13</v>
      </c>
      <c r="V59" t="str">
        <v>'Calamity Queller'!G13</v>
      </c>
      <c r="W59" t="str">
        <v>'Sacrificial Jade'!G13</v>
      </c>
    </row>
    <row r="60" spans="1:26" x14ac:dyDescent="0.25">
      <c r="A60" s="211"/>
      <c r="B60" s="61">
        <v>2</v>
      </c>
      <c r="C60" t="str">
        <v>Fatui Agent</v>
      </c>
      <c r="D60" cm="1">
        <f t="array" aca="1" ref="D60" ca="1">IFERROR(SUM(INDIRECT(_xlfn.ANCHORARRAY(E60))),0)</f>
        <v>0</v>
      </c>
      <c r="E60" t="str" cm="1">
        <f t="array" ref="E60:T60">TRANSPOSE("'"&amp;IF(ISNUMBER(FIND("'",_xlfn._xlws.FILTER(INDEX(Weapon_List,,1),INDEX(Weapon_List,,6)=C60,))),LEFT(_xlfn._xlws.FILTER(INDEX(Weapon_List,,1),INDEX(Weapon_List,,6)=C60,),FIND("'",_xlfn._xlws.FILTER(INDEX(Weapon_List,,1),INDEX(Weapon_List,,6)=C60,)))&amp;"'"&amp;RIGHT(_xlfn._xlws.FILTER(INDEX(Weapon_List,,1),INDEX(Weapon_List,,6)=C60,),LEN(_xlfn._xlws.FILTER(INDEX(Weapon_List,,1),INDEX(Weapon_List,,6)=C60,))-FIND("'",_xlfn._xlws.FILTER(INDEX(Weapon_List,,1),INDEX(Weapon_List,,6)=C60,))),_xlfn._xlws.FILTER(INDEX(Weapon_List,,1),INDEX(Weapon_List,,6)=C60,))&amp;"'!G13")</f>
        <v>'Dark Iron Sword'!G13</v>
      </c>
      <c r="F60" t="str">
        <v>'White Tassel'!G13</v>
      </c>
      <c r="G60" t="str">
        <v>'Emerald Orb'!G13</v>
      </c>
      <c r="H60" t="str">
        <v>'Slingshot'!G13</v>
      </c>
      <c r="I60" t="str">
        <v>'Blackcliff Longsword'!G13</v>
      </c>
      <c r="J60" t="str">
        <v>'Blackcliff Agate'!G13</v>
      </c>
      <c r="K60" t="str">
        <v>'Blackcliff Warbow'!G13</v>
      </c>
      <c r="L60" t="str">
        <v>'Solar Pearl'!G13</v>
      </c>
      <c r="M60" t="str">
        <v>'Whiteblind'!G13</v>
      </c>
      <c r="N60" t="str">
        <v>'Crescent Pike'!G13</v>
      </c>
      <c r="O60" t="str">
        <v>'Lion''s Roar'!G13</v>
      </c>
      <c r="P60" t="str">
        <v>'Rust'!G13</v>
      </c>
      <c r="Q60" t="str">
        <v>'Primordial Jade Winged-Spear'!G13</v>
      </c>
      <c r="R60" t="str">
        <v>'Summit Shaper'!G13</v>
      </c>
      <c r="S60" t="str">
        <v>'Lithic Blade'!G13</v>
      </c>
      <c r="T60" t="str">
        <v>'Fading Twilight'!G13</v>
      </c>
    </row>
    <row r="61" spans="1:26" x14ac:dyDescent="0.25">
      <c r="A61" s="211"/>
      <c r="B61" s="61">
        <v>2</v>
      </c>
      <c r="C61" t="str">
        <v>Vishap</v>
      </c>
      <c r="D61" cm="1">
        <f t="array" aca="1" ref="D61" ca="1">IFERROR(SUM(INDIRECT(_xlfn.ANCHORARRAY(E61))),0)</f>
        <v>0</v>
      </c>
      <c r="E61" t="str" cm="1">
        <f t="array" ref="E61:R61">TRANSPOSE("'"&amp;IF(ISNUMBER(FIND("'",_xlfn._xlws.FILTER(INDEX(Weapon_List,,1),INDEX(Weapon_List,,6)=C61,))),LEFT(_xlfn._xlws.FILTER(INDEX(Weapon_List,,1),INDEX(Weapon_List,,6)=C61,),FIND("'",_xlfn._xlws.FILTER(INDEX(Weapon_List,,1),INDEX(Weapon_List,,6)=C61,)))&amp;"'"&amp;RIGHT(_xlfn._xlws.FILTER(INDEX(Weapon_List,,1),INDEX(Weapon_List,,6)=C61,),LEN(_xlfn._xlws.FILTER(INDEX(Weapon_List,,1),INDEX(Weapon_List,,6)=C61,))-FIND("'",_xlfn._xlws.FILTER(INDEX(Weapon_List,,1),INDEX(Weapon_List,,6)=C61,))),_xlfn._xlws.FILTER(INDEX(Weapon_List,,1),INDEX(Weapon_List,,6)=C61,))&amp;"'!G13")</f>
        <v>'Skyrider Sword'!G13</v>
      </c>
      <c r="F61" t="str">
        <v>'Skyrider Greatsword'!G13</v>
      </c>
      <c r="G61" t="str">
        <v>'Black Tassel'!G13</v>
      </c>
      <c r="H61" t="str">
        <v>'Serpent Spine'!G13</v>
      </c>
      <c r="I61" t="str">
        <v>'Prototype Archaic'!G13</v>
      </c>
      <c r="J61" t="str">
        <v>'Prototype Starglitter'!G13</v>
      </c>
      <c r="K61" t="str">
        <v>'Iron Sting'!G13</v>
      </c>
      <c r="L61" t="str">
        <v>'Mappa Mare'!G13</v>
      </c>
      <c r="M61" t="str">
        <v>'Compound Bow'!G13</v>
      </c>
      <c r="N61" t="str">
        <v>'Memory of Dust'!G13</v>
      </c>
      <c r="O61" t="str">
        <v>'Vortex Vanquisher'!G13</v>
      </c>
      <c r="P61" t="str">
        <v>'Lithic Spear'!G13</v>
      </c>
      <c r="Q61" t="str">
        <v>'Luxurious Sea-Lord'!G13</v>
      </c>
      <c r="R61" t="str">
        <v>'Ballad of the Boundless Blue'!G13</v>
      </c>
    </row>
    <row r="62" spans="1:26" x14ac:dyDescent="0.25">
      <c r="A62" s="211"/>
      <c r="B62" s="61">
        <v>2</v>
      </c>
      <c r="C62" t="str">
        <v>Ruin Machine 2</v>
      </c>
      <c r="D62" cm="1">
        <f t="array" aca="1" ref="D62" ca="1">IFERROR(SUM(INDIRECT(_xlfn.ANCHORARRAY(E62))),0)</f>
        <v>0</v>
      </c>
      <c r="E62" t="str" cm="1">
        <f t="array" ref="E62:K62">TRANSPOSE("'"&amp;IF(ISNUMBER(FIND("'",_xlfn._xlws.FILTER(INDEX(Weapon_List,,1),INDEX(Weapon_List,,6)=C62,))),LEFT(_xlfn._xlws.FILTER(INDEX(Weapon_List,,1),INDEX(Weapon_List,,6)=C62,),FIND("'",_xlfn._xlws.FILTER(INDEX(Weapon_List,,1),INDEX(Weapon_List,,6)=C62,)))&amp;"'"&amp;RIGHT(_xlfn._xlws.FILTER(INDEX(Weapon_List,,1),INDEX(Weapon_List,,6)=C62,),LEN(_xlfn._xlws.FILTER(INDEX(Weapon_List,,1),INDEX(Weapon_List,,6)=C62,))-FIND("'",_xlfn._xlws.FILTER(INDEX(Weapon_List,,1),INDEX(Weapon_List,,6)=C62,))),_xlfn._xlws.FILTER(INDEX(Weapon_List,,1),INDEX(Weapon_List,,6)=C62,))&amp;"'!G13")</f>
        <v>'Amenoma Kageuchi'!G13</v>
      </c>
      <c r="F62" t="str">
        <v>'Katsuragikiri Nagamasa'!G13</v>
      </c>
      <c r="G62" t="str">
        <v>'Kitain Cross Spear'!G13</v>
      </c>
      <c r="H62" t="str">
        <v>'Mistsplitter Reforged'!G13</v>
      </c>
      <c r="I62" t="str">
        <v>'"The Catch"'!G13</v>
      </c>
      <c r="J62" t="str">
        <v>'Engulfing Lightning'!G13</v>
      </c>
      <c r="K62" t="str">
        <v>'Uraku Misugiri'!G13</v>
      </c>
    </row>
    <row r="63" spans="1:26" x14ac:dyDescent="0.25">
      <c r="A63" s="211"/>
      <c r="B63" s="61">
        <v>2</v>
      </c>
      <c r="C63" t="str">
        <v>Mirror Maiden</v>
      </c>
      <c r="D63" cm="1">
        <f t="array" aca="1" ref="D63" ca="1">IFERROR(SUM(INDIRECT(_xlfn.ANCHORARRAY(E63))),0)</f>
        <v>0</v>
      </c>
      <c r="E63" t="str" cm="1">
        <f t="array" ref="E63:I63">TRANSPOSE("'"&amp;IF(ISNUMBER(FIND("'",_xlfn._xlws.FILTER(INDEX(Weapon_List,,1),INDEX(Weapon_List,,6)=C63,))),LEFT(_xlfn._xlws.FILTER(INDEX(Weapon_List,,1),INDEX(Weapon_List,,6)=C63,),FIND("'",_xlfn._xlws.FILTER(INDEX(Weapon_List,,1),INDEX(Weapon_List,,6)=C63,)))&amp;"'"&amp;RIGHT(_xlfn._xlws.FILTER(INDEX(Weapon_List,,1),INDEX(Weapon_List,,6)=C63,),LEN(_xlfn._xlws.FILTER(INDEX(Weapon_List,,1),INDEX(Weapon_List,,6)=C63,))-FIND("'",_xlfn._xlws.FILTER(INDEX(Weapon_List,,1),INDEX(Weapon_List,,6)=C63,))),_xlfn._xlws.FILTER(INDEX(Weapon_List,,1),INDEX(Weapon_List,,6)=C63,))&amp;"'!G13")</f>
        <v>'Hakushin Ring'!G13</v>
      </c>
      <c r="F63" t="str">
        <v>'Hamayumi'!G13</v>
      </c>
      <c r="G63" t="str">
        <v>'Thundering Pulse'!G13</v>
      </c>
      <c r="H63" t="str">
        <v>'Everlasting Moonglow'!G13</v>
      </c>
      <c r="I63" t="str">
        <v>'Mouun''s Moon'!G13</v>
      </c>
    </row>
    <row r="64" spans="1:26" x14ac:dyDescent="0.25">
      <c r="A64" s="211"/>
      <c r="B64" s="61">
        <v>2</v>
      </c>
      <c r="C64" t="str">
        <v>Rifthound</v>
      </c>
      <c r="D64" cm="1">
        <f t="array" aca="1" ref="D64" ca="1">IFERROR(SUM(INDIRECT(_xlfn.ANCHORARRAY(E64))),0)</f>
        <v>0</v>
      </c>
      <c r="E64" t="str" cm="1">
        <f t="array" ref="E64:J64">TRANSPOSE("'"&amp;IF(ISNUMBER(FIND("'",_xlfn._xlws.FILTER(INDEX(Weapon_List,,1),INDEX(Weapon_List,,6)=C64,))),LEFT(_xlfn._xlws.FILTER(INDEX(Weapon_List,,1),INDEX(Weapon_List,,6)=C64,),FIND("'",_xlfn._xlws.FILTER(INDEX(Weapon_List,,1),INDEX(Weapon_List,,6)=C64,)))&amp;"'"&amp;RIGHT(_xlfn._xlws.FILTER(INDEX(Weapon_List,,1),INDEX(Weapon_List,,6)=C64,),LEN(_xlfn._xlws.FILTER(INDEX(Weapon_List,,1),INDEX(Weapon_List,,6)=C64,))-FIND("'",_xlfn._xlws.FILTER(INDEX(Weapon_List,,1),INDEX(Weapon_List,,6)=C64,))),_xlfn._xlws.FILTER(INDEX(Weapon_List,,1),INDEX(Weapon_List,,6)=C64,))&amp;"'!G13")</f>
        <v>'Akuoumaru'!G13</v>
      </c>
      <c r="F64" t="str">
        <v>'Polar Star'!G13</v>
      </c>
      <c r="G64" t="str">
        <v>'Wavebreaker''s Fin'!G13</v>
      </c>
      <c r="H64" t="str">
        <v>'Redhorn Stonethresher'!G13</v>
      </c>
      <c r="I64" t="str">
        <v>'Kagura''s Verity'!G13</v>
      </c>
      <c r="J64" t="str">
        <v>'Oathsworn Eye'!G13</v>
      </c>
    </row>
    <row r="65" spans="1:11" x14ac:dyDescent="0.25">
      <c r="A65" s="211"/>
      <c r="B65" s="61">
        <v>2</v>
      </c>
      <c r="C65" t="str">
        <v>Shadowy Husk</v>
      </c>
      <c r="D65" cm="1">
        <f t="array" aca="1" ref="D65" ca="1">IFERROR(SUM(INDIRECT(_xlfn.ANCHORARRAY(E65))),0)</f>
        <v>0</v>
      </c>
      <c r="E65" t="str" cm="1">
        <f t="array" ref="E65:I65">TRANSPOSE("'"&amp;IF(ISNUMBER(FIND("'",_xlfn._xlws.FILTER(INDEX(Weapon_List,,1),INDEX(Weapon_List,,6)=C65,))),LEFT(_xlfn._xlws.FILTER(INDEX(Weapon_List,,1),INDEX(Weapon_List,,6)=C65,),FIND("'",_xlfn._xlws.FILTER(INDEX(Weapon_List,,1),INDEX(Weapon_List,,6)=C65,)))&amp;"'"&amp;RIGHT(_xlfn._xlws.FILTER(INDEX(Weapon_List,,1),INDEX(Weapon_List,,6)=C65,),LEN(_xlfn._xlws.FILTER(INDEX(Weapon_List,,1),INDEX(Weapon_List,,6)=C65,))-FIND("'",_xlfn._xlws.FILTER(INDEX(Weapon_List,,1),INDEX(Weapon_List,,6)=C65,))),_xlfn._xlws.FILTER(INDEX(Weapon_List,,1),INDEX(Weapon_List,,6)=C65,))&amp;"'!G13")</f>
        <v>'Haran Geppaku Futsu'!G13</v>
      </c>
      <c r="F65" t="str">
        <v>'Aqua Simulacra'!G13</v>
      </c>
      <c r="G65" t="str">
        <v>'Kagotsurube Isshin'!G13</v>
      </c>
      <c r="H65" t="str">
        <v>'Fruit of Fulfillment'!G13</v>
      </c>
      <c r="I65" t="str">
        <v>'Missive Windspear'!G13</v>
      </c>
    </row>
    <row r="66" spans="1:11" x14ac:dyDescent="0.25">
      <c r="A66" s="211"/>
      <c r="B66" s="61">
        <v>2</v>
      </c>
      <c r="C66" t="str">
        <v>Ruin Machine 3</v>
      </c>
      <c r="D66" cm="1">
        <f t="array" aca="1" ref="D66" ca="1">IFERROR(SUM(INDIRECT(_xlfn.ANCHORARRAY(E66))),0)</f>
        <v>0</v>
      </c>
      <c r="E66" t="str" cm="1">
        <f t="array" ref="E66:I66">TRANSPOSE("'"&amp;IF(ISNUMBER(FIND("'",_xlfn._xlws.FILTER(INDEX(Weapon_List,,1),INDEX(Weapon_List,,6)=C66,))),LEFT(_xlfn._xlws.FILTER(INDEX(Weapon_List,,1),INDEX(Weapon_List,,6)=C66,),FIND("'",_xlfn._xlws.FILTER(INDEX(Weapon_List,,1),INDEX(Weapon_List,,6)=C66,)))&amp;"'"&amp;RIGHT(_xlfn._xlws.FILTER(INDEX(Weapon_List,,1),INDEX(Weapon_List,,6)=C66,),LEN(_xlfn._xlws.FILTER(INDEX(Weapon_List,,1),INDEX(Weapon_List,,6)=C66,))-FIND("'",_xlfn._xlws.FILTER(INDEX(Weapon_List,,1),INDEX(Weapon_List,,6)=C66,))),_xlfn._xlws.FILTER(INDEX(Weapon_List,,1),INDEX(Weapon_List,,6)=C66,))&amp;"'!G13")</f>
        <v>'Sapwood Blade'!G13</v>
      </c>
      <c r="F66" t="str">
        <v>'Forest Regalia'!G13</v>
      </c>
      <c r="G66" t="str">
        <v>'Moonpiercer'!G13</v>
      </c>
      <c r="H66" t="str">
        <v>'Staff of the Scarlet Sands'!G13</v>
      </c>
      <c r="I66" t="str">
        <v>'Makhaira Aquamarine'!G13</v>
      </c>
    </row>
    <row r="67" spans="1:11" x14ac:dyDescent="0.25">
      <c r="A67" s="211"/>
      <c r="B67" s="61">
        <v>2</v>
      </c>
      <c r="C67" t="str">
        <v>Activated Fungi</v>
      </c>
      <c r="D67" cm="1">
        <f t="array" aca="1" ref="D67" ca="1">IFERROR(SUM(INDIRECT(_xlfn.ANCHORARRAY(E67))),0)</f>
        <v>0</v>
      </c>
      <c r="E67" t="str" cm="1">
        <f t="array" ref="E67:I67">TRANSPOSE("'"&amp;IF(ISNUMBER(FIND("'",_xlfn._xlws.FILTER(INDEX(Weapon_List,,1),INDEX(Weapon_List,,6)=C67,))),LEFT(_xlfn._xlws.FILTER(INDEX(Weapon_List,,1),INDEX(Weapon_List,,6)=C67,),FIND("'",_xlfn._xlws.FILTER(INDEX(Weapon_List,,1),INDEX(Weapon_List,,6)=C67,)))&amp;"'"&amp;RIGHT(_xlfn._xlws.FILTER(INDEX(Weapon_List,,1),INDEX(Weapon_List,,6)=C67,),LEN(_xlfn._xlws.FILTER(INDEX(Weapon_List,,1),INDEX(Weapon_List,,6)=C67,))-FIND("'",_xlfn._xlws.FILTER(INDEX(Weapon_List,,1),INDEX(Weapon_List,,6)=C67,))),_xlfn._xlws.FILTER(INDEX(Weapon_List,,1),INDEX(Weapon_List,,6)=C67,))&amp;"'!G13")</f>
        <v>'King''s Squire'!G13</v>
      </c>
      <c r="F67" t="str">
        <v>'Hunter''s Path'!G13</v>
      </c>
      <c r="G67" t="str">
        <v>'End of the Line'!G13</v>
      </c>
      <c r="H67" t="str">
        <v>'Wandering Evenstar'!G13</v>
      </c>
      <c r="I67" t="str">
        <v>'Tullaytullah''s Remembrance'!G13</v>
      </c>
    </row>
    <row r="68" spans="1:11" x14ac:dyDescent="0.25">
      <c r="A68" s="211"/>
      <c r="B68" s="61">
        <v>2</v>
      </c>
      <c r="C68" t="str">
        <v>Primal Construct</v>
      </c>
      <c r="D68" cm="1">
        <f t="array" aca="1" ref="D68" ca="1">IFERROR(SUM(INDIRECT(_xlfn.ANCHORARRAY(E68))),0)</f>
        <v>0</v>
      </c>
      <c r="E68" t="str" cm="1">
        <f t="array" ref="E68:H68">TRANSPOSE("'"&amp;IF(ISNUMBER(FIND("'",_xlfn._xlws.FILTER(INDEX(Weapon_List,,1),INDEX(Weapon_List,,6)=C68,))),LEFT(_xlfn._xlws.FILTER(INDEX(Weapon_List,,1),INDEX(Weapon_List,,6)=C68,),FIND("'",_xlfn._xlws.FILTER(INDEX(Weapon_List,,1),INDEX(Weapon_List,,6)=C68,)))&amp;"'"&amp;RIGHT(_xlfn._xlws.FILTER(INDEX(Weapon_List,,1),INDEX(Weapon_List,,6)=C68,),LEN(_xlfn._xlws.FILTER(INDEX(Weapon_List,,1),INDEX(Weapon_List,,6)=C68,))-FIND("'",_xlfn._xlws.FILTER(INDEX(Weapon_List,,1),INDEX(Weapon_List,,6)=C68,))),_xlfn._xlws.FILTER(INDEX(Weapon_List,,1),INDEX(Weapon_List,,6)=C68,))&amp;"'!G13")</f>
        <v>'Key of Khaj-Nisat'!G13</v>
      </c>
      <c r="F68" t="str">
        <v>'Xiphos’ Moonlight'!G13</v>
      </c>
      <c r="G68" t="str">
        <v>'A Thousand Floating Dreams'!G13</v>
      </c>
      <c r="H68" t="str">
        <v>'Toukabou Shigure'!G13</v>
      </c>
    </row>
    <row r="69" spans="1:11" x14ac:dyDescent="0.25">
      <c r="A69" s="211"/>
      <c r="B69" s="61">
        <v>2</v>
      </c>
      <c r="C69" t="str">
        <v>Consecrated Beast</v>
      </c>
      <c r="D69" cm="1">
        <f t="array" aca="1" ref="D69" ca="1">IFERROR(SUM(INDIRECT(_xlfn.ANCHORARRAY(E69))),0)</f>
        <v>0</v>
      </c>
      <c r="E69" t="str" cm="1">
        <f t="array" ref="E69:H69">TRANSPOSE("'"&amp;IF(ISNUMBER(FIND("'",_xlfn._xlws.FILTER(INDEX(Weapon_List,,1),INDEX(Weapon_List,,6)=C69,))),LEFT(_xlfn._xlws.FILTER(INDEX(Weapon_List,,1),INDEX(Weapon_List,,6)=C69,),FIND("'",_xlfn._xlws.FILTER(INDEX(Weapon_List,,1),INDEX(Weapon_List,,6)=C69,)))&amp;"'"&amp;RIGHT(_xlfn._xlws.FILTER(INDEX(Weapon_List,,1),INDEX(Weapon_List,,6)=C69,),LEN(_xlfn._xlws.FILTER(INDEX(Weapon_List,,1),INDEX(Weapon_List,,6)=C69,))-FIND("'",_xlfn._xlws.FILTER(INDEX(Weapon_List,,1),INDEX(Weapon_List,,6)=C69,))),_xlfn._xlws.FILTER(INDEX(Weapon_List,,1),INDEX(Weapon_List,,6)=C69,))&amp;"'!G13")</f>
        <v>'Light of Foliar Incision'!G13</v>
      </c>
      <c r="F69" t="str">
        <v>'Beacon of the Reed Sea'!G13</v>
      </c>
      <c r="G69" t="str">
        <v>'Mailed Flower'!G13</v>
      </c>
      <c r="H69" t="str">
        <v>'Talking Stick'!G13</v>
      </c>
    </row>
    <row r="70" spans="1:11" x14ac:dyDescent="0.25">
      <c r="A70" s="211"/>
      <c r="B70" s="61">
        <v>2</v>
      </c>
      <c r="C70" t="str">
        <v>Hilichurl Rogue</v>
      </c>
      <c r="D70" cm="1">
        <f t="array" aca="1" ref="D70" ca="1">IFERROR(SUM(INDIRECT(_xlfn.ANCHORARRAY(E70))),0)</f>
        <v>0</v>
      </c>
      <c r="E70" t="str" cm="1">
        <f t="array" ref="E70:H70">TRANSPOSE("'"&amp;IF(ISNUMBER(FIND("'",_xlfn._xlws.FILTER(INDEX(Weapon_List,,1),INDEX(Weapon_List,,6)=C70,))),LEFT(_xlfn._xlws.FILTER(INDEX(Weapon_List,,1),INDEX(Weapon_List,,6)=C70,),FIND("'",_xlfn._xlws.FILTER(INDEX(Weapon_List,,1),INDEX(Weapon_List,,6)=C70,)))&amp;"'"&amp;RIGHT(_xlfn._xlws.FILTER(INDEX(Weapon_List,,1),INDEX(Weapon_List,,6)=C70,),LEN(_xlfn._xlws.FILTER(INDEX(Weapon_List,,1),INDEX(Weapon_List,,6)=C70,))-FIND("'",_xlfn._xlws.FILTER(INDEX(Weapon_List,,1),INDEX(Weapon_List,,6)=C70,))),_xlfn._xlws.FILTER(INDEX(Weapon_List,,1),INDEX(Weapon_List,,6)=C70,))&amp;"'!G13")</f>
        <v>'Jadefall''s Splendor'!G13</v>
      </c>
      <c r="F70" t="str">
        <v>'Ibis Piercer'!G13</v>
      </c>
      <c r="G70" t="str">
        <v>'Ballad of the Fjords'!G13</v>
      </c>
      <c r="H70" t="str">
        <v>'Scion of the Blazing Sun'!G13</v>
      </c>
    </row>
    <row r="71" spans="1:11" x14ac:dyDescent="0.25">
      <c r="A71" s="211"/>
      <c r="B71" s="61">
        <v>2</v>
      </c>
      <c r="C71" t="str">
        <v>Tainted Hydro Phantasm</v>
      </c>
      <c r="D71" cm="1">
        <f t="array" aca="1" ref="D71" ca="1">IFERROR(SUM(INDIRECT(_xlfn.ANCHORARRAY(E71))),0)</f>
        <v>0</v>
      </c>
      <c r="E71" t="str" cm="1">
        <f t="array" ref="E71:K71">TRANSPOSE("'"&amp;IF(ISNUMBER(FIND("'",_xlfn._xlws.FILTER(INDEX(Weapon_List,,1),INDEX(Weapon_List,,6)=C71,))),LEFT(_xlfn._xlws.FILTER(INDEX(Weapon_List,,1),INDEX(Weapon_List,,6)=C71,),FIND("'",_xlfn._xlws.FILTER(INDEX(Weapon_List,,1),INDEX(Weapon_List,,6)=C71,)))&amp;"'"&amp;RIGHT(_xlfn._xlws.FILTER(INDEX(Weapon_List,,1),INDEX(Weapon_List,,6)=C71,),LEN(_xlfn._xlws.FILTER(INDEX(Weapon_List,,1),INDEX(Weapon_List,,6)=C71,))-FIND("'",_xlfn._xlws.FILTER(INDEX(Weapon_List,,1),INDEX(Weapon_List,,6)=C71,))),_xlfn._xlws.FILTER(INDEX(Weapon_List,,1),INDEX(Weapon_List,,6)=C71,))&amp;"'!G13")</f>
        <v>'Finale of the Deep'!G13</v>
      </c>
      <c r="F71" t="str">
        <v>'Song of Stillness'!G13</v>
      </c>
      <c r="G71" t="str">
        <v>'The First Great Magic'!G13</v>
      </c>
      <c r="H71" t="str">
        <v>'Crossing of Fleuve Cendre'!G13</v>
      </c>
      <c r="I71" t="str">
        <v>'Range Gauge'!G13</v>
      </c>
      <c r="J71" t="str">
        <v>'Splendor of Tranquil Waters'!G13</v>
      </c>
      <c r="K71" t="str">
        <v>'Symphonist of Scents'!G13</v>
      </c>
    </row>
    <row r="72" spans="1:11" x14ac:dyDescent="0.25">
      <c r="A72" s="211"/>
      <c r="B72" s="61">
        <v>2</v>
      </c>
      <c r="C72" t="str">
        <v>Breacher Primus</v>
      </c>
      <c r="D72" cm="1">
        <f t="array" aca="1" ref="D72" ca="1">IFERROR(SUM(INDIRECT(_xlfn.ANCHORARRAY(E72))),0)</f>
        <v>0</v>
      </c>
      <c r="E72" t="str" cm="1">
        <f t="array" ref="E72:J72">TRANSPOSE("'"&amp;IF(ISNUMBER(FIND("'",_xlfn._xlws.FILTER(INDEX(Weapon_List,,1),INDEX(Weapon_List,,6)=C72,))),LEFT(_xlfn._xlws.FILTER(INDEX(Weapon_List,,1),INDEX(Weapon_List,,6)=C72,),FIND("'",_xlfn._xlws.FILTER(INDEX(Weapon_List,,1),INDEX(Weapon_List,,6)=C72,)))&amp;"'"&amp;RIGHT(_xlfn._xlws.FILTER(INDEX(Weapon_List,,1),INDEX(Weapon_List,,6)=C72,),LEN(_xlfn._xlws.FILTER(INDEX(Weapon_List,,1),INDEX(Weapon_List,,6)=C72,))-FIND("'",_xlfn._xlws.FILTER(INDEX(Weapon_List,,1),INDEX(Weapon_List,,6)=C72,))),_xlfn._xlws.FILTER(INDEX(Weapon_List,,1),INDEX(Weapon_List,,6)=C72,))&amp;"'!G13")</f>
        <v>'Tidal Shadow'!G13</v>
      </c>
      <c r="F72" t="str">
        <v>'Rightful Reward'!G13</v>
      </c>
      <c r="G72" t="str">
        <v>'Flowing Purity'!G13</v>
      </c>
      <c r="H72" t="str">
        <v>'Tome of the Eternal Flow'!G13</v>
      </c>
      <c r="I72" t="str">
        <v>'Portable Power Saw'!G13</v>
      </c>
      <c r="J72" t="str">
        <v>'Verdict'!G13</v>
      </c>
    </row>
    <row r="73" spans="1:11" x14ac:dyDescent="0.25">
      <c r="A73" s="211"/>
      <c r="B73" s="61">
        <v>2</v>
      </c>
      <c r="C73" t="str">
        <v>Fatui Operative</v>
      </c>
      <c r="D73" cm="1">
        <f t="array" aca="1" ref="D73" ca="1">IFERROR(SUM(INDIRECT(_xlfn.ANCHORARRAY(E73))),0)</f>
        <v>0</v>
      </c>
      <c r="E73" t="str" cm="1">
        <f t="array" ref="E73:J73">TRANSPOSE("'"&amp;IF(ISNUMBER(FIND("'",_xlfn._xlws.FILTER(INDEX(Weapon_List,,1),INDEX(Weapon_List,,6)=C73,))),LEFT(_xlfn._xlws.FILTER(INDEX(Weapon_List,,1),INDEX(Weapon_List,,6)=C73,),FIND("'",_xlfn._xlws.FILTER(INDEX(Weapon_List,,1),INDEX(Weapon_List,,6)=C73,)))&amp;"'"&amp;RIGHT(_xlfn._xlws.FILTER(INDEX(Weapon_List,,1),INDEX(Weapon_List,,6)=C73,),LEN(_xlfn._xlws.FILTER(INDEX(Weapon_List,,1),INDEX(Weapon_List,,6)=C73,))-FIND("'",_xlfn._xlws.FILTER(INDEX(Weapon_List,,1),INDEX(Weapon_List,,6)=C73,))),_xlfn._xlws.FILTER(INDEX(Weapon_List,,1),INDEX(Weapon_List,,6)=C73,))&amp;"'!G13")</f>
        <v>'The Dockhand''s Assistant'!G13</v>
      </c>
      <c r="F73" t="str">
        <v>'Cashflow Supervision'!G13</v>
      </c>
      <c r="G73" t="str">
        <v>'Prospector’s Drill'!G13</v>
      </c>
      <c r="H73" t="str">
        <v>'Sword of Narzissenkreuz'!G13</v>
      </c>
      <c r="I73" t="str">
        <v>'Ultimate Overlord’s Mega Magic'!G13</v>
      </c>
      <c r="J73" t="str">
        <v>'Absolution'!G13</v>
      </c>
    </row>
    <row r="74" spans="1:11" x14ac:dyDescent="0.25">
      <c r="A74" s="211"/>
      <c r="B74" s="61">
        <v>2</v>
      </c>
      <c r="C74" t="str">
        <v>Xuanwen Beast</v>
      </c>
      <c r="D74" cm="1">
        <f t="array" aca="1" ref="D74" ca="1">IFERROR(SUM(INDIRECT(_xlfn.ANCHORARRAY(E74))),0)</f>
        <v>0</v>
      </c>
      <c r="E74" t="str" cm="1">
        <f t="array" ref="E74:H74">TRANSPOSE("'"&amp;IF(ISNUMBER(FIND("'",_xlfn._xlws.FILTER(INDEX(Weapon_List,,1),INDEX(Weapon_List,,6)=C74,))),LEFT(_xlfn._xlws.FILTER(INDEX(Weapon_List,,1),INDEX(Weapon_List,,6)=C74,),FIND("'",_xlfn._xlws.FILTER(INDEX(Weapon_List,,1),INDEX(Weapon_List,,6)=C74,)))&amp;"'"&amp;RIGHT(_xlfn._xlws.FILTER(INDEX(Weapon_List,,1),INDEX(Weapon_List,,6)=C74,),LEN(_xlfn._xlws.FILTER(INDEX(Weapon_List,,1),INDEX(Weapon_List,,6)=C74,))-FIND("'",_xlfn._xlws.FILTER(INDEX(Weapon_List,,1),INDEX(Weapon_List,,6)=C74,))),_xlfn._xlws.FILTER(INDEX(Weapon_List,,1),INDEX(Weapon_List,,6)=C74,))&amp;"'!G13")</f>
        <v>'Crane’s Echoing Call'!G13</v>
      </c>
      <c r="F74" t="str">
        <v>'Dialogues of the Desert Sages'!G13</v>
      </c>
      <c r="G74" t="str">
        <v>'Pouring Heartstrings'!G13</v>
      </c>
      <c r="H74" t="str">
        <v>'Chain Breaker'!G13</v>
      </c>
    </row>
    <row r="75" spans="1:11" x14ac:dyDescent="0.25">
      <c r="A75" s="211"/>
      <c r="B75" s="61">
        <v>2</v>
      </c>
      <c r="C75" t="str">
        <v>Golem Guard</v>
      </c>
      <c r="D75" cm="1">
        <f t="array" aca="1" ref="D75" ca="1">IFERROR(SUM(INDIRECT(_xlfn.ANCHORARRAY(E75))),0)</f>
        <v>0</v>
      </c>
      <c r="E75" t="str" cm="1">
        <f t="array" ref="E75:H75">TRANSPOSE("'"&amp;IF(ISNUMBER(FIND("'",_xlfn._xlws.FILTER(INDEX(Weapon_List,,1),INDEX(Weapon_List,,6)=C75,))),LEFT(_xlfn._xlws.FILTER(INDEX(Weapon_List,,1),INDEX(Weapon_List,,6)=C75,),FIND("'",_xlfn._xlws.FILTER(INDEX(Weapon_List,,1),INDEX(Weapon_List,,6)=C75,)))&amp;"'"&amp;RIGHT(_xlfn._xlws.FILTER(INDEX(Weapon_List,,1),INDEX(Weapon_List,,6)=C75,),LEN(_xlfn._xlws.FILTER(INDEX(Weapon_List,,1),INDEX(Weapon_List,,6)=C75,))-FIND("'",_xlfn._xlws.FILTER(INDEX(Weapon_List,,1),INDEX(Weapon_List,,6)=C75,))),_xlfn._xlws.FILTER(INDEX(Weapon_List,,1),INDEX(Weapon_List,,6)=C75,))&amp;"'!G13")</f>
        <v>'Crimson Moon’s Semblance'!G13</v>
      </c>
      <c r="F75" t="str">
        <v>'Cloudweaver'!G13</v>
      </c>
      <c r="G75" t="str">
        <v>'Lumidouce Elegy'!G13</v>
      </c>
      <c r="H75" t="str">
        <v>'Flute of Ezpitzal'!G13</v>
      </c>
    </row>
    <row r="76" spans="1:11" x14ac:dyDescent="0.25">
      <c r="A76" s="211"/>
      <c r="B76" s="61">
        <v>2</v>
      </c>
      <c r="C76" t="str">
        <v>Wayob Manifestation</v>
      </c>
      <c r="D76" cm="1">
        <f t="array" aca="1" ref="D76" ca="1">IFERROR(SUM(INDIRECT(_xlfn.ANCHORARRAY(E76))),0)</f>
        <v>0</v>
      </c>
      <c r="E76" t="str" cm="1">
        <f t="array" ref="E76:I76">TRANSPOSE("'"&amp;IF(ISNUMBER(FIND("'",_xlfn._xlws.FILTER(INDEX(Weapon_List,,1),INDEX(Weapon_List,,6)=C76,))),LEFT(_xlfn._xlws.FILTER(INDEX(Weapon_List,,1),INDEX(Weapon_List,,6)=C76,),FIND("'",_xlfn._xlws.FILTER(INDEX(Weapon_List,,1),INDEX(Weapon_List,,6)=C76,)))&amp;"'"&amp;RIGHT(_xlfn._xlws.FILTER(INDEX(Weapon_List,,1),INDEX(Weapon_List,,6)=C76,),LEN(_xlfn._xlws.FILTER(INDEX(Weapon_List,,1),INDEX(Weapon_List,,6)=C76,))-FIND("'",_xlfn._xlws.FILTER(INDEX(Weapon_List,,1),INDEX(Weapon_List,,6)=C76,))),_xlfn._xlws.FILTER(INDEX(Weapon_List,,1),INDEX(Weapon_List,,6)=C76,))&amp;"'!G13")</f>
        <v>'Ring of Yaxche'!G13</v>
      </c>
      <c r="F76" t="str">
        <v>'Surf''s Up'!G13</v>
      </c>
      <c r="G76" t="str">
        <v>'Sturdy Bone'!G13</v>
      </c>
      <c r="H76" t="str">
        <v>'Waveriding Whirl'!G13</v>
      </c>
      <c r="I76" t="str">
        <v>'Starcaller’s Watch'!G13</v>
      </c>
    </row>
    <row r="77" spans="1:11" x14ac:dyDescent="0.25">
      <c r="A77" s="211"/>
      <c r="B77" s="61">
        <v>2</v>
      </c>
      <c r="C77" t="str">
        <v>Avatar of Lava</v>
      </c>
      <c r="D77" cm="1">
        <f t="array" aca="1" ref="D77" ca="1">IFERROR(SUM(INDIRECT(_xlfn.ANCHORARRAY(E77))),0)</f>
        <v>0</v>
      </c>
      <c r="E77" t="str" cm="1">
        <f t="array" ref="E77:I77">TRANSPOSE("'"&amp;IF(ISNUMBER(FIND("'",_xlfn._xlws.FILTER(INDEX(Weapon_List,,1),INDEX(Weapon_List,,6)=C77,))),LEFT(_xlfn._xlws.FILTER(INDEX(Weapon_List,,1),INDEX(Weapon_List,,6)=C77,),FIND("'",_xlfn._xlws.FILTER(INDEX(Weapon_List,,1),INDEX(Weapon_List,,6)=C77,)))&amp;"'"&amp;RIGHT(_xlfn._xlws.FILTER(INDEX(Weapon_List,,1),INDEX(Weapon_List,,6)=C77,),LEN(_xlfn._xlws.FILTER(INDEX(Weapon_List,,1),INDEX(Weapon_List,,6)=C77,))-FIND("'",_xlfn._xlws.FILTER(INDEX(Weapon_List,,1),INDEX(Weapon_List,,6)=C77,))),_xlfn._xlws.FILTER(INDEX(Weapon_List,,1),INDEX(Weapon_List,,6)=C77,))&amp;"'!G13")</f>
        <v>'Earth Shaker'!G13</v>
      </c>
      <c r="F77" t="str">
        <v>'Fang of the Mountain King'!G13</v>
      </c>
      <c r="G77" t="str">
        <v>'Mountain-Bracing Bolt'!G13</v>
      </c>
      <c r="H77" t="str">
        <v>'Flower-Wreathed Feathers'!G13</v>
      </c>
      <c r="I77" t="str">
        <v>'Sunny Morning Sleep-In'!G13</v>
      </c>
    </row>
    <row r="78" spans="1:11" x14ac:dyDescent="0.25">
      <c r="A78" s="211"/>
      <c r="B78" s="61">
        <v>2</v>
      </c>
      <c r="C78" t="str">
        <v>Secret Source Automaton</v>
      </c>
      <c r="D78" cm="1">
        <f t="array" aca="1" ref="D78" ca="1">IFERROR(SUM(INDIRECT(_xlfn.ANCHORARRAY(E78))),0)</f>
        <v>0</v>
      </c>
      <c r="E78" t="str" cm="1">
        <f t="array" ref="E78:I78">TRANSPOSE("'"&amp;IF(ISNUMBER(FIND("'",_xlfn._xlws.FILTER(INDEX(Weapon_List,,1),INDEX(Weapon_List,,6)=C78,))),LEFT(_xlfn._xlws.FILTER(INDEX(Weapon_List,,1),INDEX(Weapon_List,,6)=C78,),FIND("'",_xlfn._xlws.FILTER(INDEX(Weapon_List,,1),INDEX(Weapon_List,,6)=C78,)))&amp;"'"&amp;RIGHT(_xlfn._xlws.FILTER(INDEX(Weapon_List,,1),INDEX(Weapon_List,,6)=C78,),LEN(_xlfn._xlws.FILTER(INDEX(Weapon_List,,1),INDEX(Weapon_List,,6)=C78,))-FIND("'",_xlfn._xlws.FILTER(INDEX(Weapon_List,,1),INDEX(Weapon_List,,6)=C78,))),_xlfn._xlws.FILTER(INDEX(Weapon_List,,1),INDEX(Weapon_List,,6)=C78,))&amp;"'!G13")</f>
        <v>'Footprint of the Rainbow'!G13</v>
      </c>
      <c r="F78" t="str">
        <v>'Ash-Graven Drinking Horn'!G13</v>
      </c>
      <c r="G78" t="str">
        <v>'Peak Patrol Song'!G13</v>
      </c>
      <c r="H78" t="str">
        <v>'Fruitful Hook'!G13</v>
      </c>
      <c r="I78" t="str">
        <v>'A Thousand Blazing Suns'!G13</v>
      </c>
    </row>
    <row r="79" spans="1:11" x14ac:dyDescent="0.25">
      <c r="A79" s="211"/>
      <c r="B79" s="61">
        <v>2</v>
      </c>
      <c r="C79" t="str">
        <v>Tenebrous Mimiflora</v>
      </c>
      <c r="D79" cm="1">
        <f t="array" aca="1" ref="D79" ca="1">IFERROR(SUM(INDIRECT(_xlfn.ANCHORARRAY(E79))),0)</f>
        <v>0</v>
      </c>
      <c r="E79" t="str" cm="1">
        <f t="array" ref="E79:H79">TRANSPOSE("'"&amp;IF(ISNUMBER(FIND("'",_xlfn._xlws.FILTER(INDEX(Weapon_List,,1),INDEX(Weapon_List,,6)=C79,))),LEFT(_xlfn._xlws.FILTER(INDEX(Weapon_List,,1),INDEX(Weapon_List,,6)=C79,),FIND("'",_xlfn._xlws.FILTER(INDEX(Weapon_List,,1),INDEX(Weapon_List,,6)=C79,)))&amp;"'"&amp;RIGHT(_xlfn._xlws.FILTER(INDEX(Weapon_List,,1),INDEX(Weapon_List,,6)=C79,),LEN(_xlfn._xlws.FILTER(INDEX(Weapon_List,,1),INDEX(Weapon_List,,6)=C79,))-FIND("'",_xlfn._xlws.FILTER(INDEX(Weapon_List,,1),INDEX(Weapon_List,,6)=C79,))),_xlfn._xlws.FILTER(INDEX(Weapon_List,,1),INDEX(Weapon_List,,6)=C79,))&amp;"'!G13")</f>
        <v>'Astral Vulture’s Crimson'!G13</v>
      </c>
      <c r="F79" t="str">
        <v>'The Calamity of Eshu'!G13</v>
      </c>
      <c r="G79" t="str">
        <v>'Tamayuratei no Ohanashi'!G13</v>
      </c>
      <c r="H79" t="str">
        <v>'Azurelight'!G13</v>
      </c>
    </row>
    <row r="80" spans="1:11" x14ac:dyDescent="0.25">
      <c r="A80" s="211"/>
      <c r="B80" s="61">
        <v>2</v>
      </c>
      <c r="C80" t="str">
        <v>Furnace Shell Mountain Weasel</v>
      </c>
      <c r="D80" cm="1">
        <f t="array" aca="1" ref="D80" ca="1">IFERROR(SUM(INDIRECT(_xlfn.ANCHORARRAY(E80))),0)</f>
        <v>15</v>
      </c>
      <c r="E80" t="str" cm="1">
        <f t="array" ref="E80:H80">TRANSPOSE("'"&amp;IF(ISNUMBER(FIND("'",_xlfn._xlws.FILTER(INDEX(Weapon_List,,1),INDEX(Weapon_List,,6)=C80,))),LEFT(_xlfn._xlws.FILTER(INDEX(Weapon_List,,1),INDEX(Weapon_List,,6)=C80,),FIND("'",_xlfn._xlws.FILTER(INDEX(Weapon_List,,1),INDEX(Weapon_List,,6)=C80,)))&amp;"'"&amp;RIGHT(_xlfn._xlws.FILTER(INDEX(Weapon_List,,1),INDEX(Weapon_List,,6)=C80,),LEN(_xlfn._xlws.FILTER(INDEX(Weapon_List,,1),INDEX(Weapon_List,,6)=C80,))-FIND("'",_xlfn._xlws.FILTER(INDEX(Weapon_List,,1),INDEX(Weapon_List,,6)=C80,))),_xlfn._xlws.FILTER(INDEX(Weapon_List,,1),INDEX(Weapon_List,,6)=C80,))&amp;"'!G13")</f>
        <v>'Vivid Notions'!G13</v>
      </c>
      <c r="F80" t="str">
        <v>'Sequence of Solitude'!G13</v>
      </c>
      <c r="G80" t="str">
        <v>'Fractured Halo'!G13</v>
      </c>
      <c r="H80" t="str">
        <v>'Flame-Forged Insight'!G13</v>
      </c>
    </row>
    <row r="81" spans="1:26" x14ac:dyDescent="0.25">
      <c r="A81" s="211"/>
      <c r="B81" s="61">
        <v>3</v>
      </c>
      <c r="C81" t="str" cm="1">
        <f t="array" ref="C81:C105">_xlfn._xlws.FILTER(INDEX(Elite_Mob_Drops,,1),INDEX(Elite_Mob_Drops,,1)&lt;&gt;"")</f>
        <v>Mitachurl</v>
      </c>
      <c r="D81" cm="1">
        <f t="array" aca="1" ref="D81" ca="1">IFERROR(SUM(INDIRECT(_xlfn.ANCHORARRAY(E81))),0)</f>
        <v>0</v>
      </c>
      <c r="E81" t="str" cm="1">
        <f t="array" ref="E81:Z81">TRANSPOSE("'"&amp;IF(ISNUMBER(FIND("'",_xlfn._xlws.FILTER(INDEX(Weapon_List,,1),INDEX(Weapon_List,,6)=C81,))),LEFT(_xlfn._xlws.FILTER(INDEX(Weapon_List,,1),INDEX(Weapon_List,,6)=C81,),FIND("'",_xlfn._xlws.FILTER(INDEX(Weapon_List,,1),INDEX(Weapon_List,,6)=C81,)))&amp;"'"&amp;RIGHT(_xlfn._xlws.FILTER(INDEX(Weapon_List,,1),INDEX(Weapon_List,,6)=C81,),LEN(_xlfn._xlws.FILTER(INDEX(Weapon_List,,1),INDEX(Weapon_List,,6)=C81,))-FIND("'",_xlfn._xlws.FILTER(INDEX(Weapon_List,,1),INDEX(Weapon_List,,6)=C81,))),_xlfn._xlws.FILTER(INDEX(Weapon_List,,1),INDEX(Weapon_List,,6)=C81,))&amp;"'!G14")</f>
        <v>'Dull Blade'!G14</v>
      </c>
      <c r="F81" t="str">
        <v>'Apprentice''s Notes'!G14</v>
      </c>
      <c r="G81" t="str">
        <v>'Silver Sword'!G14</v>
      </c>
      <c r="H81" t="str">
        <v>'Pocket Grimoire'!G14</v>
      </c>
      <c r="I81" t="str">
        <v>'Cool Steel'!G14</v>
      </c>
      <c r="J81" t="str">
        <v>'Ferrous Shadow'!G14</v>
      </c>
      <c r="K81" t="str">
        <v>'Magic Guide'!G14</v>
      </c>
      <c r="L81" t="str">
        <v>'Raven Bow'!G14</v>
      </c>
      <c r="M81" t="str">
        <v>'Royal Longsword'!G14</v>
      </c>
      <c r="N81" t="str">
        <v>'Royal Grimoire'!G14</v>
      </c>
      <c r="O81" t="str">
        <v>'The Veridescent Hunt'!G14</v>
      </c>
      <c r="P81" t="str">
        <v>'Favonius Sword'!G14</v>
      </c>
      <c r="Q81" t="str">
        <v>'The Bell'!G14</v>
      </c>
      <c r="R81" t="str">
        <v>'Favonius Codex'!G14</v>
      </c>
      <c r="S81" t="str">
        <v>'The Stringless'!G14</v>
      </c>
      <c r="T81" t="str">
        <v>'Aquila Favonia'!G14</v>
      </c>
      <c r="U81" t="str">
        <v>'Festering Desire'!G14</v>
      </c>
      <c r="V81" t="str">
        <v>'Snow-Tombed Starsilver'!G14</v>
      </c>
      <c r="W81" t="str">
        <v>'The Alley Flash'!G14</v>
      </c>
      <c r="X81" t="str">
        <v>'Elegy for the End'!G14</v>
      </c>
      <c r="Y81" t="str">
        <v>'Song of Broken Pines'!G14</v>
      </c>
      <c r="Z81" t="str">
        <v>'Mitternachts Waltz'!G14</v>
      </c>
    </row>
    <row r="82" spans="1:26" x14ac:dyDescent="0.25">
      <c r="A82" s="211"/>
      <c r="B82" s="61">
        <v>3</v>
      </c>
      <c r="C82" t="str">
        <v>Abyss Mage</v>
      </c>
      <c r="D82" cm="1">
        <f t="array" aca="1" ref="D82" ca="1">IFERROR(SUM(INDIRECT(_xlfn.ANCHORARRAY(E82))),0)</f>
        <v>0</v>
      </c>
      <c r="E82" t="str" cm="1">
        <f t="array" ref="E82:Z82">TRANSPOSE("'"&amp;IF(ISNUMBER(FIND("'",_xlfn._xlws.FILTER(INDEX(Weapon_List,,1),INDEX(Weapon_List,,6)=C82,))),LEFT(_xlfn._xlws.FILTER(INDEX(Weapon_List,,1),INDEX(Weapon_List,,6)=C82,),FIND("'",_xlfn._xlws.FILTER(INDEX(Weapon_List,,1),INDEX(Weapon_List,,6)=C82,)))&amp;"'"&amp;RIGHT(_xlfn._xlws.FILTER(INDEX(Weapon_List,,1),INDEX(Weapon_List,,6)=C82,),LEN(_xlfn._xlws.FILTER(INDEX(Weapon_List,,1),INDEX(Weapon_List,,6)=C82,))-FIND("'",_xlfn._xlws.FILTER(INDEX(Weapon_List,,1),INDEX(Weapon_List,,6)=C82,))),_xlfn._xlws.FILTER(INDEX(Weapon_List,,1),INDEX(Weapon_List,,6)=C82,))&amp;"'!G14")</f>
        <v>'Waster Greatsword'!G14</v>
      </c>
      <c r="F82" t="str">
        <v>'Hunter''s Bow'!G14</v>
      </c>
      <c r="G82" t="str">
        <v>'Old Merc''s Pal'!G14</v>
      </c>
      <c r="H82" t="str">
        <v>'Seasoned Hunter''s Bow'!G14</v>
      </c>
      <c r="I82" t="str">
        <v>'Harbinger of Dawn'!G14</v>
      </c>
      <c r="J82" t="str">
        <v>'Bloodtainted Greatsword'!G14</v>
      </c>
      <c r="K82" t="str">
        <v>'TTDS'!G14</v>
      </c>
      <c r="L82" t="str">
        <v>'Sharpshooter''s Oath'!G14</v>
      </c>
      <c r="M82" t="str">
        <v>'The Black Sword'!G14</v>
      </c>
      <c r="N82" t="str">
        <v>'Deathmatch'!G14</v>
      </c>
      <c r="O82" t="str">
        <v>'The Flute'!G14</v>
      </c>
      <c r="P82" t="str">
        <v>'Sacrificial Greatsword'!G14</v>
      </c>
      <c r="Q82" t="str">
        <v>'The Widsith'!G14</v>
      </c>
      <c r="R82" t="str">
        <v>'Sacrificial Bow'!G14</v>
      </c>
      <c r="S82" t="str">
        <v>'Skyward Blade'!G14</v>
      </c>
      <c r="T82" t="str">
        <v>'Skyward Pride'!G14</v>
      </c>
      <c r="U82" t="str">
        <v>'Skyward Atlas'!G14</v>
      </c>
      <c r="V82" t="str">
        <v>'Skyward Harp'!G14</v>
      </c>
      <c r="W82" t="str">
        <v>'Windblume Ode'!G14</v>
      </c>
      <c r="X82" t="str">
        <v>'Staff of Homa'!G14</v>
      </c>
      <c r="Y82" t="str">
        <v>'Wine and Song'!G14</v>
      </c>
      <c r="Z82" t="str">
        <v>'Dodoco Tales'!G14</v>
      </c>
    </row>
    <row r="83" spans="1:26" x14ac:dyDescent="0.25">
      <c r="A83" s="211"/>
      <c r="B83" s="61">
        <v>3</v>
      </c>
      <c r="C83" t="str">
        <v>Ruin Machine 1</v>
      </c>
      <c r="D83" cm="1">
        <f t="array" aca="1" ref="D83" ca="1">IFERROR(SUM(INDIRECT(_xlfn.ANCHORARRAY(E83))),0)</f>
        <v>0</v>
      </c>
      <c r="E83" t="str" cm="1">
        <f t="array" ref="E83:Z83">TRANSPOSE("'"&amp;IF(ISNUMBER(FIND("'",_xlfn._xlws.FILTER(INDEX(Weapon_List,,1),INDEX(Weapon_List,,6)=C83,))),LEFT(_xlfn._xlws.FILTER(INDEX(Weapon_List,,1),INDEX(Weapon_List,,6)=C83,),FIND("'",_xlfn._xlws.FILTER(INDEX(Weapon_List,,1),INDEX(Weapon_List,,6)=C83,)))&amp;"'"&amp;RIGHT(_xlfn._xlws.FILTER(INDEX(Weapon_List,,1),INDEX(Weapon_List,,6)=C83,),LEN(_xlfn._xlws.FILTER(INDEX(Weapon_List,,1),INDEX(Weapon_List,,6)=C83,))-FIND("'",_xlfn._xlws.FILTER(INDEX(Weapon_List,,1),INDEX(Weapon_List,,6)=C83,))),_xlfn._xlws.FILTER(INDEX(Weapon_List,,1),INDEX(Weapon_List,,6)=C83,))&amp;"'!G14")</f>
        <v>'Beginner''s Protector'!G14</v>
      </c>
      <c r="F83" t="str">
        <v>'Iron Point'!G14</v>
      </c>
      <c r="G83" t="str">
        <v>'Traveler''s Handy Sword'!G14</v>
      </c>
      <c r="H83" t="str">
        <v>'White Iron Greatsword'!G14</v>
      </c>
      <c r="I83" t="str">
        <v>'Otherworldly Story'!G14</v>
      </c>
      <c r="J83" t="str">
        <v>'Recurve Bow'!G14</v>
      </c>
      <c r="K83" t="str">
        <v>'Royal Greatsword'!G14</v>
      </c>
      <c r="L83" t="str">
        <v>'Royal Bow'!G14</v>
      </c>
      <c r="M83" t="str">
        <v>'Sacrificial Sword'!G14</v>
      </c>
      <c r="N83" t="str">
        <v>'Favonius Greatsword'!G14</v>
      </c>
      <c r="O83" t="str">
        <v>'Favonius Lance'!G14</v>
      </c>
      <c r="P83" t="str">
        <v>'Sacrificial Fragments'!G14</v>
      </c>
      <c r="Q83" t="str">
        <v>'Favonius Warbow'!G14</v>
      </c>
      <c r="R83" t="str">
        <v>'Wolf''s Gravestone'!G14</v>
      </c>
      <c r="S83" t="str">
        <v>'Skyward Spine'!G14</v>
      </c>
      <c r="T83" t="str">
        <v>'Lost Prayer to the Sacred Winds'!G14</v>
      </c>
      <c r="U83" t="str">
        <v>'Amos'' Bow'!G14</v>
      </c>
      <c r="V83" t="str">
        <v>'Frostbearer'!G14</v>
      </c>
      <c r="W83" t="str">
        <v>'Alley Hunter'!G14</v>
      </c>
      <c r="X83" t="str">
        <v>'Freedom-Sworn'!G14</v>
      </c>
      <c r="Y83" t="str">
        <v>'Cinnabar Spindle'!G14</v>
      </c>
      <c r="Z83" t="str">
        <v>'Wolf-Fang'!G14</v>
      </c>
    </row>
    <row r="84" spans="1:26" x14ac:dyDescent="0.25">
      <c r="A84" s="211"/>
      <c r="B84" s="61">
        <v>3</v>
      </c>
      <c r="C84" t="str">
        <v>Fatui Cicin Mage</v>
      </c>
      <c r="D84" cm="1">
        <f t="array" aca="1" ref="D84" ca="1">IFERROR(SUM(INDIRECT(_xlfn.ANCHORARRAY(E84))),0)</f>
        <v>0</v>
      </c>
      <c r="E84" t="str" cm="1">
        <f t="array" ref="E84:W84">TRANSPOSE("'"&amp;IF(ISNUMBER(FIND("'",_xlfn._xlws.FILTER(INDEX(Weapon_List,,1),INDEX(Weapon_List,,6)=C84,))),LEFT(_xlfn._xlws.FILTER(INDEX(Weapon_List,,1),INDEX(Weapon_List,,6)=C84,),FIND("'",_xlfn._xlws.FILTER(INDEX(Weapon_List,,1),INDEX(Weapon_List,,6)=C84,)))&amp;"'"&amp;RIGHT(_xlfn._xlws.FILTER(INDEX(Weapon_List,,1),INDEX(Weapon_List,,6)=C84,),LEN(_xlfn._xlws.FILTER(INDEX(Weapon_List,,1),INDEX(Weapon_List,,6)=C84,))-FIND("'",_xlfn._xlws.FILTER(INDEX(Weapon_List,,1),INDEX(Weapon_List,,6)=C84,))),_xlfn._xlws.FILTER(INDEX(Weapon_List,,1),INDEX(Weapon_List,,6)=C84,))&amp;"'!G14")</f>
        <v>'Fillet Blade'!G14</v>
      </c>
      <c r="F84" t="str">
        <v>'Debate Club'!G14</v>
      </c>
      <c r="G84" t="str">
        <v>'Halberd'!G14</v>
      </c>
      <c r="H84" t="str">
        <v>'Twin Nephrite'!G14</v>
      </c>
      <c r="I84" t="str">
        <v>'Messenger'!G14</v>
      </c>
      <c r="J84" t="str">
        <v>'Royal Spear'!G14</v>
      </c>
      <c r="K84" t="str">
        <v>'Blackcliff Slasher'!G14</v>
      </c>
      <c r="L84" t="str">
        <v>'Blackcliff Pole'!G14</v>
      </c>
      <c r="M84" t="str">
        <v>'Prototype Rancour'!G14</v>
      </c>
      <c r="N84" t="str">
        <v>'Prototype Amber'!G14</v>
      </c>
      <c r="O84" t="str">
        <v>'Prototype Crescent'!G14</v>
      </c>
      <c r="P84" t="str">
        <v>'Rainslasher'!G14</v>
      </c>
      <c r="Q84" t="str">
        <v>'Dragon''s Bane'!G14</v>
      </c>
      <c r="R84" t="str">
        <v>'Eye of Perception'!G14</v>
      </c>
      <c r="S84" t="str">
        <v>'The Unforged'!G14</v>
      </c>
      <c r="T84" t="str">
        <v>'Dragonspine Spear'!G14</v>
      </c>
      <c r="U84" t="str">
        <v>'Primordial Jade Cutter'!G14</v>
      </c>
      <c r="V84" t="str">
        <v>'Calamity Queller'!G14</v>
      </c>
      <c r="W84" t="str">
        <v>'Sacrificial Jade'!G14</v>
      </c>
    </row>
    <row r="85" spans="1:26" x14ac:dyDescent="0.25">
      <c r="A85" s="211"/>
      <c r="B85" s="61">
        <v>3</v>
      </c>
      <c r="C85" t="str">
        <v>Fatui Agent</v>
      </c>
      <c r="D85" cm="1">
        <f t="array" aca="1" ref="D85" ca="1">IFERROR(SUM(INDIRECT(_xlfn.ANCHORARRAY(E85))),0)</f>
        <v>0</v>
      </c>
      <c r="E85" t="str" cm="1">
        <f t="array" ref="E85:T85">TRANSPOSE("'"&amp;IF(ISNUMBER(FIND("'",_xlfn._xlws.FILTER(INDEX(Weapon_List,,1),INDEX(Weapon_List,,6)=C85,))),LEFT(_xlfn._xlws.FILTER(INDEX(Weapon_List,,1),INDEX(Weapon_List,,6)=C85,),FIND("'",_xlfn._xlws.FILTER(INDEX(Weapon_List,,1),INDEX(Weapon_List,,6)=C85,)))&amp;"'"&amp;RIGHT(_xlfn._xlws.FILTER(INDEX(Weapon_List,,1),INDEX(Weapon_List,,6)=C85,),LEN(_xlfn._xlws.FILTER(INDEX(Weapon_List,,1),INDEX(Weapon_List,,6)=C85,))-FIND("'",_xlfn._xlws.FILTER(INDEX(Weapon_List,,1),INDEX(Weapon_List,,6)=C85,))),_xlfn._xlws.FILTER(INDEX(Weapon_List,,1),INDEX(Weapon_List,,6)=C85,))&amp;"'!G14")</f>
        <v>'Dark Iron Sword'!G14</v>
      </c>
      <c r="F85" t="str">
        <v>'White Tassel'!G14</v>
      </c>
      <c r="G85" t="str">
        <v>'Emerald Orb'!G14</v>
      </c>
      <c r="H85" t="str">
        <v>'Slingshot'!G14</v>
      </c>
      <c r="I85" t="str">
        <v>'Blackcliff Longsword'!G14</v>
      </c>
      <c r="J85" t="str">
        <v>'Blackcliff Agate'!G14</v>
      </c>
      <c r="K85" t="str">
        <v>'Blackcliff Warbow'!G14</v>
      </c>
      <c r="L85" t="str">
        <v>'Solar Pearl'!G14</v>
      </c>
      <c r="M85" t="str">
        <v>'Whiteblind'!G14</v>
      </c>
      <c r="N85" t="str">
        <v>'Crescent Pike'!G14</v>
      </c>
      <c r="O85" t="str">
        <v>'Lion''s Roar'!G14</v>
      </c>
      <c r="P85" t="str">
        <v>'Rust'!G14</v>
      </c>
      <c r="Q85" t="str">
        <v>'Primordial Jade Winged-Spear'!G14</v>
      </c>
      <c r="R85" t="str">
        <v>'Summit Shaper'!G14</v>
      </c>
      <c r="S85" t="str">
        <v>'Lithic Blade'!G14</v>
      </c>
      <c r="T85" t="str">
        <v>'Fading Twilight'!G14</v>
      </c>
    </row>
    <row r="86" spans="1:26" x14ac:dyDescent="0.25">
      <c r="A86" s="211"/>
      <c r="B86" s="61">
        <v>3</v>
      </c>
      <c r="C86" t="str">
        <v>Vishap</v>
      </c>
      <c r="D86" cm="1">
        <f t="array" aca="1" ref="D86" ca="1">IFERROR(SUM(INDIRECT(_xlfn.ANCHORARRAY(E86))),0)</f>
        <v>0</v>
      </c>
      <c r="E86" t="str" cm="1">
        <f t="array" ref="E86:R86">TRANSPOSE("'"&amp;IF(ISNUMBER(FIND("'",_xlfn._xlws.FILTER(INDEX(Weapon_List,,1),INDEX(Weapon_List,,6)=C86,))),LEFT(_xlfn._xlws.FILTER(INDEX(Weapon_List,,1),INDEX(Weapon_List,,6)=C86,),FIND("'",_xlfn._xlws.FILTER(INDEX(Weapon_List,,1),INDEX(Weapon_List,,6)=C86,)))&amp;"'"&amp;RIGHT(_xlfn._xlws.FILTER(INDEX(Weapon_List,,1),INDEX(Weapon_List,,6)=C86,),LEN(_xlfn._xlws.FILTER(INDEX(Weapon_List,,1),INDEX(Weapon_List,,6)=C86,))-FIND("'",_xlfn._xlws.FILTER(INDEX(Weapon_List,,1),INDEX(Weapon_List,,6)=C86,))),_xlfn._xlws.FILTER(INDEX(Weapon_List,,1),INDEX(Weapon_List,,6)=C86,))&amp;"'!G14")</f>
        <v>'Skyrider Sword'!G14</v>
      </c>
      <c r="F86" t="str">
        <v>'Skyrider Greatsword'!G14</v>
      </c>
      <c r="G86" t="str">
        <v>'Black Tassel'!G14</v>
      </c>
      <c r="H86" t="str">
        <v>'Serpent Spine'!G14</v>
      </c>
      <c r="I86" t="str">
        <v>'Prototype Archaic'!G14</v>
      </c>
      <c r="J86" t="str">
        <v>'Prototype Starglitter'!G14</v>
      </c>
      <c r="K86" t="str">
        <v>'Iron Sting'!G14</v>
      </c>
      <c r="L86" t="str">
        <v>'Mappa Mare'!G14</v>
      </c>
      <c r="M86" t="str">
        <v>'Compound Bow'!G14</v>
      </c>
      <c r="N86" t="str">
        <v>'Memory of Dust'!G14</v>
      </c>
      <c r="O86" t="str">
        <v>'Vortex Vanquisher'!G14</v>
      </c>
      <c r="P86" t="str">
        <v>'Lithic Spear'!G14</v>
      </c>
      <c r="Q86" t="str">
        <v>'Luxurious Sea-Lord'!G14</v>
      </c>
      <c r="R86" t="str">
        <v>'Ballad of the Boundless Blue'!G14</v>
      </c>
    </row>
    <row r="87" spans="1:26" x14ac:dyDescent="0.25">
      <c r="A87" s="211"/>
      <c r="B87" s="61">
        <v>3</v>
      </c>
      <c r="C87" t="str">
        <v>Ruin Machine 2</v>
      </c>
      <c r="D87" cm="1">
        <f t="array" aca="1" ref="D87" ca="1">IFERROR(SUM(INDIRECT(_xlfn.ANCHORARRAY(E87))),0)</f>
        <v>0</v>
      </c>
      <c r="E87" t="str" cm="1">
        <f t="array" ref="E87:K87">TRANSPOSE("'"&amp;IF(ISNUMBER(FIND("'",_xlfn._xlws.FILTER(INDEX(Weapon_List,,1),INDEX(Weapon_List,,6)=C87,))),LEFT(_xlfn._xlws.FILTER(INDEX(Weapon_List,,1),INDEX(Weapon_List,,6)=C87,),FIND("'",_xlfn._xlws.FILTER(INDEX(Weapon_List,,1),INDEX(Weapon_List,,6)=C87,)))&amp;"'"&amp;RIGHT(_xlfn._xlws.FILTER(INDEX(Weapon_List,,1),INDEX(Weapon_List,,6)=C87,),LEN(_xlfn._xlws.FILTER(INDEX(Weapon_List,,1),INDEX(Weapon_List,,6)=C87,))-FIND("'",_xlfn._xlws.FILTER(INDEX(Weapon_List,,1),INDEX(Weapon_List,,6)=C87,))),_xlfn._xlws.FILTER(INDEX(Weapon_List,,1),INDEX(Weapon_List,,6)=C87,))&amp;"'!G14")</f>
        <v>'Amenoma Kageuchi'!G14</v>
      </c>
      <c r="F87" t="str">
        <v>'Katsuragikiri Nagamasa'!G14</v>
      </c>
      <c r="G87" t="str">
        <v>'Kitain Cross Spear'!G14</v>
      </c>
      <c r="H87" t="str">
        <v>'Mistsplitter Reforged'!G14</v>
      </c>
      <c r="I87" t="str">
        <v>'"The Catch"'!G14</v>
      </c>
      <c r="J87" t="str">
        <v>'Engulfing Lightning'!G14</v>
      </c>
      <c r="K87" t="str">
        <v>'Uraku Misugiri'!G14</v>
      </c>
    </row>
    <row r="88" spans="1:26" x14ac:dyDescent="0.25">
      <c r="A88" s="211"/>
      <c r="B88" s="61">
        <v>3</v>
      </c>
      <c r="C88" t="str">
        <v>Mirror Maiden</v>
      </c>
      <c r="D88" cm="1">
        <f t="array" aca="1" ref="D88" ca="1">IFERROR(SUM(INDIRECT(_xlfn.ANCHORARRAY(E88))),0)</f>
        <v>0</v>
      </c>
      <c r="E88" t="str" cm="1">
        <f t="array" ref="E88:I88">TRANSPOSE("'"&amp;IF(ISNUMBER(FIND("'",_xlfn._xlws.FILTER(INDEX(Weapon_List,,1),INDEX(Weapon_List,,6)=C88,))),LEFT(_xlfn._xlws.FILTER(INDEX(Weapon_List,,1),INDEX(Weapon_List,,6)=C88,),FIND("'",_xlfn._xlws.FILTER(INDEX(Weapon_List,,1),INDEX(Weapon_List,,6)=C88,)))&amp;"'"&amp;RIGHT(_xlfn._xlws.FILTER(INDEX(Weapon_List,,1),INDEX(Weapon_List,,6)=C88,),LEN(_xlfn._xlws.FILTER(INDEX(Weapon_List,,1),INDEX(Weapon_List,,6)=C88,))-FIND("'",_xlfn._xlws.FILTER(INDEX(Weapon_List,,1),INDEX(Weapon_List,,6)=C88,))),_xlfn._xlws.FILTER(INDEX(Weapon_List,,1),INDEX(Weapon_List,,6)=C88,))&amp;"'!G14")</f>
        <v>'Hakushin Ring'!G14</v>
      </c>
      <c r="F88" t="str">
        <v>'Hamayumi'!G14</v>
      </c>
      <c r="G88" t="str">
        <v>'Thundering Pulse'!G14</v>
      </c>
      <c r="H88" t="str">
        <v>'Everlasting Moonglow'!G14</v>
      </c>
      <c r="I88" t="str">
        <v>'Mouun''s Moon'!G14</v>
      </c>
    </row>
    <row r="89" spans="1:26" x14ac:dyDescent="0.25">
      <c r="A89" s="211"/>
      <c r="B89" s="61">
        <v>3</v>
      </c>
      <c r="C89" t="str">
        <v>Rifthound</v>
      </c>
      <c r="D89" cm="1">
        <f t="array" aca="1" ref="D89" ca="1">IFERROR(SUM(INDIRECT(_xlfn.ANCHORARRAY(E89))),0)</f>
        <v>0</v>
      </c>
      <c r="E89" t="str" cm="1">
        <f t="array" ref="E89:J89">TRANSPOSE("'"&amp;IF(ISNUMBER(FIND("'",_xlfn._xlws.FILTER(INDEX(Weapon_List,,1),INDEX(Weapon_List,,6)=C89,))),LEFT(_xlfn._xlws.FILTER(INDEX(Weapon_List,,1),INDEX(Weapon_List,,6)=C89,),FIND("'",_xlfn._xlws.FILTER(INDEX(Weapon_List,,1),INDEX(Weapon_List,,6)=C89,)))&amp;"'"&amp;RIGHT(_xlfn._xlws.FILTER(INDEX(Weapon_List,,1),INDEX(Weapon_List,,6)=C89,),LEN(_xlfn._xlws.FILTER(INDEX(Weapon_List,,1),INDEX(Weapon_List,,6)=C89,))-FIND("'",_xlfn._xlws.FILTER(INDEX(Weapon_List,,1),INDEX(Weapon_List,,6)=C89,))),_xlfn._xlws.FILTER(INDEX(Weapon_List,,1),INDEX(Weapon_List,,6)=C89,))&amp;"'!G14")</f>
        <v>'Akuoumaru'!G14</v>
      </c>
      <c r="F89" t="str">
        <v>'Polar Star'!G14</v>
      </c>
      <c r="G89" t="str">
        <v>'Wavebreaker''s Fin'!G14</v>
      </c>
      <c r="H89" t="str">
        <v>'Redhorn Stonethresher'!G14</v>
      </c>
      <c r="I89" t="str">
        <v>'Kagura''s Verity'!G14</v>
      </c>
      <c r="J89" t="str">
        <v>'Oathsworn Eye'!G14</v>
      </c>
    </row>
    <row r="90" spans="1:26" x14ac:dyDescent="0.25">
      <c r="A90" s="211"/>
      <c r="B90" s="61">
        <v>3</v>
      </c>
      <c r="C90" t="str">
        <v>Shadowy Husk</v>
      </c>
      <c r="D90" cm="1">
        <f t="array" aca="1" ref="D90" ca="1">IFERROR(SUM(INDIRECT(_xlfn.ANCHORARRAY(E90))),0)</f>
        <v>0</v>
      </c>
      <c r="E90" t="str" cm="1">
        <f t="array" ref="E90:I90">TRANSPOSE("'"&amp;IF(ISNUMBER(FIND("'",_xlfn._xlws.FILTER(INDEX(Weapon_List,,1),INDEX(Weapon_List,,6)=C90,))),LEFT(_xlfn._xlws.FILTER(INDEX(Weapon_List,,1),INDEX(Weapon_List,,6)=C90,),FIND("'",_xlfn._xlws.FILTER(INDEX(Weapon_List,,1),INDEX(Weapon_List,,6)=C90,)))&amp;"'"&amp;RIGHT(_xlfn._xlws.FILTER(INDEX(Weapon_List,,1),INDEX(Weapon_List,,6)=C90,),LEN(_xlfn._xlws.FILTER(INDEX(Weapon_List,,1),INDEX(Weapon_List,,6)=C90,))-FIND("'",_xlfn._xlws.FILTER(INDEX(Weapon_List,,1),INDEX(Weapon_List,,6)=C90,))),_xlfn._xlws.FILTER(INDEX(Weapon_List,,1),INDEX(Weapon_List,,6)=C90,))&amp;"'!G14")</f>
        <v>'Haran Geppaku Futsu'!G14</v>
      </c>
      <c r="F90" t="str">
        <v>'Aqua Simulacra'!G14</v>
      </c>
      <c r="G90" t="str">
        <v>'Kagotsurube Isshin'!G14</v>
      </c>
      <c r="H90" t="str">
        <v>'Fruit of Fulfillment'!G14</v>
      </c>
      <c r="I90" t="str">
        <v>'Missive Windspear'!G14</v>
      </c>
    </row>
    <row r="91" spans="1:26" x14ac:dyDescent="0.25">
      <c r="A91" s="211"/>
      <c r="B91" s="61">
        <v>3</v>
      </c>
      <c r="C91" t="str">
        <v>Ruin Machine 3</v>
      </c>
      <c r="D91" cm="1">
        <f t="array" aca="1" ref="D91" ca="1">IFERROR(SUM(INDIRECT(_xlfn.ANCHORARRAY(E91))),0)</f>
        <v>0</v>
      </c>
      <c r="E91" t="str" cm="1">
        <f t="array" ref="E91:I91">TRANSPOSE("'"&amp;IF(ISNUMBER(FIND("'",_xlfn._xlws.FILTER(INDEX(Weapon_List,,1),INDEX(Weapon_List,,6)=C91,))),LEFT(_xlfn._xlws.FILTER(INDEX(Weapon_List,,1),INDEX(Weapon_List,,6)=C91,),FIND("'",_xlfn._xlws.FILTER(INDEX(Weapon_List,,1),INDEX(Weapon_List,,6)=C91,)))&amp;"'"&amp;RIGHT(_xlfn._xlws.FILTER(INDEX(Weapon_List,,1),INDEX(Weapon_List,,6)=C91,),LEN(_xlfn._xlws.FILTER(INDEX(Weapon_List,,1),INDEX(Weapon_List,,6)=C91,))-FIND("'",_xlfn._xlws.FILTER(INDEX(Weapon_List,,1),INDEX(Weapon_List,,6)=C91,))),_xlfn._xlws.FILTER(INDEX(Weapon_List,,1),INDEX(Weapon_List,,6)=C91,))&amp;"'!G14")</f>
        <v>'Sapwood Blade'!G14</v>
      </c>
      <c r="F91" t="str">
        <v>'Forest Regalia'!G14</v>
      </c>
      <c r="G91" t="str">
        <v>'Moonpiercer'!G14</v>
      </c>
      <c r="H91" t="str">
        <v>'Staff of the Scarlet Sands'!G14</v>
      </c>
      <c r="I91" t="str">
        <v>'Makhaira Aquamarine'!G14</v>
      </c>
    </row>
    <row r="92" spans="1:26" x14ac:dyDescent="0.25">
      <c r="A92" s="211"/>
      <c r="B92" s="61">
        <v>3</v>
      </c>
      <c r="C92" t="str">
        <v>Activated Fungi</v>
      </c>
      <c r="D92" cm="1">
        <f t="array" aca="1" ref="D92" ca="1">IFERROR(SUM(INDIRECT(_xlfn.ANCHORARRAY(E92))),0)</f>
        <v>0</v>
      </c>
      <c r="E92" t="str" cm="1">
        <f t="array" ref="E92:I92">TRANSPOSE("'"&amp;IF(ISNUMBER(FIND("'",_xlfn._xlws.FILTER(INDEX(Weapon_List,,1),INDEX(Weapon_List,,6)=C92,))),LEFT(_xlfn._xlws.FILTER(INDEX(Weapon_List,,1),INDEX(Weapon_List,,6)=C92,),FIND("'",_xlfn._xlws.FILTER(INDEX(Weapon_List,,1),INDEX(Weapon_List,,6)=C92,)))&amp;"'"&amp;RIGHT(_xlfn._xlws.FILTER(INDEX(Weapon_List,,1),INDEX(Weapon_List,,6)=C92,),LEN(_xlfn._xlws.FILTER(INDEX(Weapon_List,,1),INDEX(Weapon_List,,6)=C92,))-FIND("'",_xlfn._xlws.FILTER(INDEX(Weapon_List,,1),INDEX(Weapon_List,,6)=C92,))),_xlfn._xlws.FILTER(INDEX(Weapon_List,,1),INDEX(Weapon_List,,6)=C92,))&amp;"'!G14")</f>
        <v>'King''s Squire'!G14</v>
      </c>
      <c r="F92" t="str">
        <v>'Hunter''s Path'!G14</v>
      </c>
      <c r="G92" t="str">
        <v>'End of the Line'!G14</v>
      </c>
      <c r="H92" t="str">
        <v>'Wandering Evenstar'!G14</v>
      </c>
      <c r="I92" t="str">
        <v>'Tullaytullah''s Remembrance'!G14</v>
      </c>
    </row>
    <row r="93" spans="1:26" x14ac:dyDescent="0.25">
      <c r="A93" s="211"/>
      <c r="B93" s="61">
        <v>3</v>
      </c>
      <c r="C93" t="str">
        <v>Primal Construct</v>
      </c>
      <c r="D93" cm="1">
        <f t="array" aca="1" ref="D93" ca="1">IFERROR(SUM(INDIRECT(_xlfn.ANCHORARRAY(E93))),0)</f>
        <v>0</v>
      </c>
      <c r="E93" t="str" cm="1">
        <f t="array" ref="E93:H93">TRANSPOSE("'"&amp;IF(ISNUMBER(FIND("'",_xlfn._xlws.FILTER(INDEX(Weapon_List,,1),INDEX(Weapon_List,,6)=C93,))),LEFT(_xlfn._xlws.FILTER(INDEX(Weapon_List,,1),INDEX(Weapon_List,,6)=C93,),FIND("'",_xlfn._xlws.FILTER(INDEX(Weapon_List,,1),INDEX(Weapon_List,,6)=C93,)))&amp;"'"&amp;RIGHT(_xlfn._xlws.FILTER(INDEX(Weapon_List,,1),INDEX(Weapon_List,,6)=C93,),LEN(_xlfn._xlws.FILTER(INDEX(Weapon_List,,1),INDEX(Weapon_List,,6)=C93,))-FIND("'",_xlfn._xlws.FILTER(INDEX(Weapon_List,,1),INDEX(Weapon_List,,6)=C93,))),_xlfn._xlws.FILTER(INDEX(Weapon_List,,1),INDEX(Weapon_List,,6)=C93,))&amp;"'!G14")</f>
        <v>'Key of Khaj-Nisat'!G14</v>
      </c>
      <c r="F93" t="str">
        <v>'Xiphos’ Moonlight'!G14</v>
      </c>
      <c r="G93" t="str">
        <v>'A Thousand Floating Dreams'!G14</v>
      </c>
      <c r="H93" t="str">
        <v>'Toukabou Shigure'!G14</v>
      </c>
    </row>
    <row r="94" spans="1:26" x14ac:dyDescent="0.25">
      <c r="A94" s="211"/>
      <c r="B94" s="61">
        <v>3</v>
      </c>
      <c r="C94" t="str">
        <v>Consecrated Beast</v>
      </c>
      <c r="D94" cm="1">
        <f t="array" aca="1" ref="D94" ca="1">IFERROR(SUM(INDIRECT(_xlfn.ANCHORARRAY(E94))),0)</f>
        <v>0</v>
      </c>
      <c r="E94" t="str" cm="1">
        <f t="array" ref="E94:H94">TRANSPOSE("'"&amp;IF(ISNUMBER(FIND("'",_xlfn._xlws.FILTER(INDEX(Weapon_List,,1),INDEX(Weapon_List,,6)=C94,))),LEFT(_xlfn._xlws.FILTER(INDEX(Weapon_List,,1),INDEX(Weapon_List,,6)=C94,),FIND("'",_xlfn._xlws.FILTER(INDEX(Weapon_List,,1),INDEX(Weapon_List,,6)=C94,)))&amp;"'"&amp;RIGHT(_xlfn._xlws.FILTER(INDEX(Weapon_List,,1),INDEX(Weapon_List,,6)=C94,),LEN(_xlfn._xlws.FILTER(INDEX(Weapon_List,,1),INDEX(Weapon_List,,6)=C94,))-FIND("'",_xlfn._xlws.FILTER(INDEX(Weapon_List,,1),INDEX(Weapon_List,,6)=C94,))),_xlfn._xlws.FILTER(INDEX(Weapon_List,,1),INDEX(Weapon_List,,6)=C94,))&amp;"'!G14")</f>
        <v>'Light of Foliar Incision'!G14</v>
      </c>
      <c r="F94" t="str">
        <v>'Beacon of the Reed Sea'!G14</v>
      </c>
      <c r="G94" t="str">
        <v>'Mailed Flower'!G14</v>
      </c>
      <c r="H94" t="str">
        <v>'Talking Stick'!G14</v>
      </c>
    </row>
    <row r="95" spans="1:26" x14ac:dyDescent="0.25">
      <c r="A95" s="211"/>
      <c r="B95" s="61">
        <v>3</v>
      </c>
      <c r="C95" t="str">
        <v>Hilichurl Rogue</v>
      </c>
      <c r="D95" cm="1">
        <f t="array" aca="1" ref="D95" ca="1">IFERROR(SUM(INDIRECT(_xlfn.ANCHORARRAY(E95))),0)</f>
        <v>0</v>
      </c>
      <c r="E95" t="str" cm="1">
        <f t="array" ref="E95:H95">TRANSPOSE("'"&amp;IF(ISNUMBER(FIND("'",_xlfn._xlws.FILTER(INDEX(Weapon_List,,1),INDEX(Weapon_List,,6)=C95,))),LEFT(_xlfn._xlws.FILTER(INDEX(Weapon_List,,1),INDEX(Weapon_List,,6)=C95,),FIND("'",_xlfn._xlws.FILTER(INDEX(Weapon_List,,1),INDEX(Weapon_List,,6)=C95,)))&amp;"'"&amp;RIGHT(_xlfn._xlws.FILTER(INDEX(Weapon_List,,1),INDEX(Weapon_List,,6)=C95,),LEN(_xlfn._xlws.FILTER(INDEX(Weapon_List,,1),INDEX(Weapon_List,,6)=C95,))-FIND("'",_xlfn._xlws.FILTER(INDEX(Weapon_List,,1),INDEX(Weapon_List,,6)=C95,))),_xlfn._xlws.FILTER(INDEX(Weapon_List,,1),INDEX(Weapon_List,,6)=C95,))&amp;"'!G14")</f>
        <v>'Jadefall''s Splendor'!G14</v>
      </c>
      <c r="F95" t="str">
        <v>'Ibis Piercer'!G14</v>
      </c>
      <c r="G95" t="str">
        <v>'Ballad of the Fjords'!G14</v>
      </c>
      <c r="H95" t="str">
        <v>'Scion of the Blazing Sun'!G14</v>
      </c>
    </row>
    <row r="96" spans="1:26" x14ac:dyDescent="0.25">
      <c r="A96" s="211"/>
      <c r="B96" s="61">
        <v>3</v>
      </c>
      <c r="C96" t="str">
        <v>Tainted Hydro Phantasm</v>
      </c>
      <c r="D96" cm="1">
        <f t="array" aca="1" ref="D96" ca="1">IFERROR(SUM(INDIRECT(_xlfn.ANCHORARRAY(E96))),0)</f>
        <v>0</v>
      </c>
      <c r="E96" t="str" cm="1">
        <f t="array" ref="E96:K96">TRANSPOSE("'"&amp;IF(ISNUMBER(FIND("'",_xlfn._xlws.FILTER(INDEX(Weapon_List,,1),INDEX(Weapon_List,,6)=C96,))),LEFT(_xlfn._xlws.FILTER(INDEX(Weapon_List,,1),INDEX(Weapon_List,,6)=C96,),FIND("'",_xlfn._xlws.FILTER(INDEX(Weapon_List,,1),INDEX(Weapon_List,,6)=C96,)))&amp;"'"&amp;RIGHT(_xlfn._xlws.FILTER(INDEX(Weapon_List,,1),INDEX(Weapon_List,,6)=C96,),LEN(_xlfn._xlws.FILTER(INDEX(Weapon_List,,1),INDEX(Weapon_List,,6)=C96,))-FIND("'",_xlfn._xlws.FILTER(INDEX(Weapon_List,,1),INDEX(Weapon_List,,6)=C96,))),_xlfn._xlws.FILTER(INDEX(Weapon_List,,1),INDEX(Weapon_List,,6)=C96,))&amp;"'!G14")</f>
        <v>'Finale of the Deep'!G14</v>
      </c>
      <c r="F96" t="str">
        <v>'Song of Stillness'!G14</v>
      </c>
      <c r="G96" t="str">
        <v>'The First Great Magic'!G14</v>
      </c>
      <c r="H96" t="str">
        <v>'Crossing of Fleuve Cendre'!G14</v>
      </c>
      <c r="I96" t="str">
        <v>'Range Gauge'!G14</v>
      </c>
      <c r="J96" t="str">
        <v>'Splendor of Tranquil Waters'!G14</v>
      </c>
      <c r="K96" t="str">
        <v>'Symphonist of Scents'!G14</v>
      </c>
    </row>
    <row r="97" spans="1:26" x14ac:dyDescent="0.25">
      <c r="A97" s="211"/>
      <c r="B97" s="61">
        <v>3</v>
      </c>
      <c r="C97" t="str">
        <v>Breacher Primus</v>
      </c>
      <c r="D97" cm="1">
        <f t="array" aca="1" ref="D97" ca="1">IFERROR(SUM(INDIRECT(_xlfn.ANCHORARRAY(E97))),0)</f>
        <v>0</v>
      </c>
      <c r="E97" t="str" cm="1">
        <f t="array" ref="E97:J97">TRANSPOSE("'"&amp;IF(ISNUMBER(FIND("'",_xlfn._xlws.FILTER(INDEX(Weapon_List,,1),INDEX(Weapon_List,,6)=C97,))),LEFT(_xlfn._xlws.FILTER(INDEX(Weapon_List,,1),INDEX(Weapon_List,,6)=C97,),FIND("'",_xlfn._xlws.FILTER(INDEX(Weapon_List,,1),INDEX(Weapon_List,,6)=C97,)))&amp;"'"&amp;RIGHT(_xlfn._xlws.FILTER(INDEX(Weapon_List,,1),INDEX(Weapon_List,,6)=C97,),LEN(_xlfn._xlws.FILTER(INDEX(Weapon_List,,1),INDEX(Weapon_List,,6)=C97,))-FIND("'",_xlfn._xlws.FILTER(INDEX(Weapon_List,,1),INDEX(Weapon_List,,6)=C97,))),_xlfn._xlws.FILTER(INDEX(Weapon_List,,1),INDEX(Weapon_List,,6)=C97,))&amp;"'!G14")</f>
        <v>'Tidal Shadow'!G14</v>
      </c>
      <c r="F97" t="str">
        <v>'Rightful Reward'!G14</v>
      </c>
      <c r="G97" t="str">
        <v>'Flowing Purity'!G14</v>
      </c>
      <c r="H97" t="str">
        <v>'Tome of the Eternal Flow'!G14</v>
      </c>
      <c r="I97" t="str">
        <v>'Portable Power Saw'!G14</v>
      </c>
      <c r="J97" t="str">
        <v>'Verdict'!G14</v>
      </c>
    </row>
    <row r="98" spans="1:26" x14ac:dyDescent="0.25">
      <c r="A98" s="211"/>
      <c r="B98" s="61">
        <v>3</v>
      </c>
      <c r="C98" t="str">
        <v>Fatui Operative</v>
      </c>
      <c r="D98" cm="1">
        <f t="array" aca="1" ref="D98" ca="1">IFERROR(SUM(INDIRECT(_xlfn.ANCHORARRAY(E98))),0)</f>
        <v>0</v>
      </c>
      <c r="E98" t="str" cm="1">
        <f t="array" ref="E98:J98">TRANSPOSE("'"&amp;IF(ISNUMBER(FIND("'",_xlfn._xlws.FILTER(INDEX(Weapon_List,,1),INDEX(Weapon_List,,6)=C98,))),LEFT(_xlfn._xlws.FILTER(INDEX(Weapon_List,,1),INDEX(Weapon_List,,6)=C98,),FIND("'",_xlfn._xlws.FILTER(INDEX(Weapon_List,,1),INDEX(Weapon_List,,6)=C98,)))&amp;"'"&amp;RIGHT(_xlfn._xlws.FILTER(INDEX(Weapon_List,,1),INDEX(Weapon_List,,6)=C98,),LEN(_xlfn._xlws.FILTER(INDEX(Weapon_List,,1),INDEX(Weapon_List,,6)=C98,))-FIND("'",_xlfn._xlws.FILTER(INDEX(Weapon_List,,1),INDEX(Weapon_List,,6)=C98,))),_xlfn._xlws.FILTER(INDEX(Weapon_List,,1),INDEX(Weapon_List,,6)=C98,))&amp;"'!G14")</f>
        <v>'The Dockhand''s Assistant'!G14</v>
      </c>
      <c r="F98" t="str">
        <v>'Cashflow Supervision'!G14</v>
      </c>
      <c r="G98" t="str">
        <v>'Prospector’s Drill'!G14</v>
      </c>
      <c r="H98" t="str">
        <v>'Sword of Narzissenkreuz'!G14</v>
      </c>
      <c r="I98" t="str">
        <v>'Ultimate Overlord’s Mega Magic'!G14</v>
      </c>
      <c r="J98" t="str">
        <v>'Absolution'!G14</v>
      </c>
    </row>
    <row r="99" spans="1:26" x14ac:dyDescent="0.25">
      <c r="A99" s="211"/>
      <c r="B99" s="61">
        <v>3</v>
      </c>
      <c r="C99" t="str">
        <v>Xuanwen Beast</v>
      </c>
      <c r="D99" cm="1">
        <f t="array" aca="1" ref="D99" ca="1">IFERROR(SUM(INDIRECT(_xlfn.ANCHORARRAY(E99))),0)</f>
        <v>0</v>
      </c>
      <c r="E99" t="str" cm="1">
        <f t="array" ref="E99:H99">TRANSPOSE("'"&amp;IF(ISNUMBER(FIND("'",_xlfn._xlws.FILTER(INDEX(Weapon_List,,1),INDEX(Weapon_List,,6)=C99,))),LEFT(_xlfn._xlws.FILTER(INDEX(Weapon_List,,1),INDEX(Weapon_List,,6)=C99,),FIND("'",_xlfn._xlws.FILTER(INDEX(Weapon_List,,1),INDEX(Weapon_List,,6)=C99,)))&amp;"'"&amp;RIGHT(_xlfn._xlws.FILTER(INDEX(Weapon_List,,1),INDEX(Weapon_List,,6)=C99,),LEN(_xlfn._xlws.FILTER(INDEX(Weapon_List,,1),INDEX(Weapon_List,,6)=C99,))-FIND("'",_xlfn._xlws.FILTER(INDEX(Weapon_List,,1),INDEX(Weapon_List,,6)=C99,))),_xlfn._xlws.FILTER(INDEX(Weapon_List,,1),INDEX(Weapon_List,,6)=C99,))&amp;"'!G14")</f>
        <v>'Crane’s Echoing Call'!G14</v>
      </c>
      <c r="F99" t="str">
        <v>'Dialogues of the Desert Sages'!G14</v>
      </c>
      <c r="G99" t="str">
        <v>'Pouring Heartstrings'!G14</v>
      </c>
      <c r="H99" t="str">
        <v>'Chain Breaker'!G14</v>
      </c>
    </row>
    <row r="100" spans="1:26" x14ac:dyDescent="0.25">
      <c r="A100" s="211"/>
      <c r="B100" s="61">
        <v>3</v>
      </c>
      <c r="C100" t="str">
        <v>Golem Guard</v>
      </c>
      <c r="D100" cm="1">
        <f t="array" aca="1" ref="D100" ca="1">IFERROR(SUM(INDIRECT(_xlfn.ANCHORARRAY(E100))),0)</f>
        <v>0</v>
      </c>
      <c r="E100" t="str" cm="1">
        <f t="array" ref="E100:H100">TRANSPOSE("'"&amp;IF(ISNUMBER(FIND("'",_xlfn._xlws.FILTER(INDEX(Weapon_List,,1),INDEX(Weapon_List,,6)=C100,))),LEFT(_xlfn._xlws.FILTER(INDEX(Weapon_List,,1),INDEX(Weapon_List,,6)=C100,),FIND("'",_xlfn._xlws.FILTER(INDEX(Weapon_List,,1),INDEX(Weapon_List,,6)=C100,)))&amp;"'"&amp;RIGHT(_xlfn._xlws.FILTER(INDEX(Weapon_List,,1),INDEX(Weapon_List,,6)=C100,),LEN(_xlfn._xlws.FILTER(INDEX(Weapon_List,,1),INDEX(Weapon_List,,6)=C100,))-FIND("'",_xlfn._xlws.FILTER(INDEX(Weapon_List,,1),INDEX(Weapon_List,,6)=C100,))),_xlfn._xlws.FILTER(INDEX(Weapon_List,,1),INDEX(Weapon_List,,6)=C100,))&amp;"'!G14")</f>
        <v>'Crimson Moon’s Semblance'!G14</v>
      </c>
      <c r="F100" t="str">
        <v>'Cloudweaver'!G14</v>
      </c>
      <c r="G100" t="str">
        <v>'Lumidouce Elegy'!G14</v>
      </c>
      <c r="H100" t="str">
        <v>'Flute of Ezpitzal'!G14</v>
      </c>
    </row>
    <row r="101" spans="1:26" x14ac:dyDescent="0.25">
      <c r="A101" s="211"/>
      <c r="B101" s="61">
        <v>3</v>
      </c>
      <c r="C101" t="str">
        <v>Wayob Manifestation</v>
      </c>
      <c r="D101" cm="1">
        <f t="array" aca="1" ref="D101" ca="1">IFERROR(SUM(INDIRECT(_xlfn.ANCHORARRAY(E101))),0)</f>
        <v>0</v>
      </c>
      <c r="E101" t="str" cm="1">
        <f t="array" ref="E101:I101">TRANSPOSE("'"&amp;IF(ISNUMBER(FIND("'",_xlfn._xlws.FILTER(INDEX(Weapon_List,,1),INDEX(Weapon_List,,6)=C101,))),LEFT(_xlfn._xlws.FILTER(INDEX(Weapon_List,,1),INDEX(Weapon_List,,6)=C101,),FIND("'",_xlfn._xlws.FILTER(INDEX(Weapon_List,,1),INDEX(Weapon_List,,6)=C101,)))&amp;"'"&amp;RIGHT(_xlfn._xlws.FILTER(INDEX(Weapon_List,,1),INDEX(Weapon_List,,6)=C101,),LEN(_xlfn._xlws.FILTER(INDEX(Weapon_List,,1),INDEX(Weapon_List,,6)=C101,))-FIND("'",_xlfn._xlws.FILTER(INDEX(Weapon_List,,1),INDEX(Weapon_List,,6)=C101,))),_xlfn._xlws.FILTER(INDEX(Weapon_List,,1),INDEX(Weapon_List,,6)=C101,))&amp;"'!G14")</f>
        <v>'Ring of Yaxche'!G14</v>
      </c>
      <c r="F101" t="str">
        <v>'Surf''s Up'!G14</v>
      </c>
      <c r="G101" t="str">
        <v>'Sturdy Bone'!G14</v>
      </c>
      <c r="H101" t="str">
        <v>'Waveriding Whirl'!G14</v>
      </c>
      <c r="I101" t="str">
        <v>'Starcaller’s Watch'!G14</v>
      </c>
    </row>
    <row r="102" spans="1:26" x14ac:dyDescent="0.25">
      <c r="A102" s="211"/>
      <c r="B102" s="61">
        <v>3</v>
      </c>
      <c r="C102" t="str">
        <v>Avatar of Lava</v>
      </c>
      <c r="D102" cm="1">
        <f t="array" aca="1" ref="D102" ca="1">IFERROR(SUM(INDIRECT(_xlfn.ANCHORARRAY(E102))),0)</f>
        <v>0</v>
      </c>
      <c r="E102" t="str" cm="1">
        <f t="array" ref="E102:I102">TRANSPOSE("'"&amp;IF(ISNUMBER(FIND("'",_xlfn._xlws.FILTER(INDEX(Weapon_List,,1),INDEX(Weapon_List,,6)=C102,))),LEFT(_xlfn._xlws.FILTER(INDEX(Weapon_List,,1),INDEX(Weapon_List,,6)=C102,),FIND("'",_xlfn._xlws.FILTER(INDEX(Weapon_List,,1),INDEX(Weapon_List,,6)=C102,)))&amp;"'"&amp;RIGHT(_xlfn._xlws.FILTER(INDEX(Weapon_List,,1),INDEX(Weapon_List,,6)=C102,),LEN(_xlfn._xlws.FILTER(INDEX(Weapon_List,,1),INDEX(Weapon_List,,6)=C102,))-FIND("'",_xlfn._xlws.FILTER(INDEX(Weapon_List,,1),INDEX(Weapon_List,,6)=C102,))),_xlfn._xlws.FILTER(INDEX(Weapon_List,,1),INDEX(Weapon_List,,6)=C102,))&amp;"'!G14")</f>
        <v>'Earth Shaker'!G14</v>
      </c>
      <c r="F102" t="str">
        <v>'Fang of the Mountain King'!G14</v>
      </c>
      <c r="G102" t="str">
        <v>'Mountain-Bracing Bolt'!G14</v>
      </c>
      <c r="H102" t="str">
        <v>'Flower-Wreathed Feathers'!G14</v>
      </c>
      <c r="I102" t="str">
        <v>'Sunny Morning Sleep-In'!G14</v>
      </c>
    </row>
    <row r="103" spans="1:26" x14ac:dyDescent="0.25">
      <c r="A103" s="211"/>
      <c r="B103" s="61">
        <v>3</v>
      </c>
      <c r="C103" t="str">
        <v>Secret Source Automaton</v>
      </c>
      <c r="D103" cm="1">
        <f t="array" aca="1" ref="D103" ca="1">IFERROR(SUM(INDIRECT(_xlfn.ANCHORARRAY(E103))),0)</f>
        <v>0</v>
      </c>
      <c r="E103" t="str" cm="1">
        <f t="array" ref="E103:I103">TRANSPOSE("'"&amp;IF(ISNUMBER(FIND("'",_xlfn._xlws.FILTER(INDEX(Weapon_List,,1),INDEX(Weapon_List,,6)=C103,))),LEFT(_xlfn._xlws.FILTER(INDEX(Weapon_List,,1),INDEX(Weapon_List,,6)=C103,),FIND("'",_xlfn._xlws.FILTER(INDEX(Weapon_List,,1),INDEX(Weapon_List,,6)=C103,)))&amp;"'"&amp;RIGHT(_xlfn._xlws.FILTER(INDEX(Weapon_List,,1),INDEX(Weapon_List,,6)=C103,),LEN(_xlfn._xlws.FILTER(INDEX(Weapon_List,,1),INDEX(Weapon_List,,6)=C103,))-FIND("'",_xlfn._xlws.FILTER(INDEX(Weapon_List,,1),INDEX(Weapon_List,,6)=C103,))),_xlfn._xlws.FILTER(INDEX(Weapon_List,,1),INDEX(Weapon_List,,6)=C103,))&amp;"'!G14")</f>
        <v>'Footprint of the Rainbow'!G14</v>
      </c>
      <c r="F103" t="str">
        <v>'Ash-Graven Drinking Horn'!G14</v>
      </c>
      <c r="G103" t="str">
        <v>'Peak Patrol Song'!G14</v>
      </c>
      <c r="H103" t="str">
        <v>'Fruitful Hook'!G14</v>
      </c>
      <c r="I103" t="str">
        <v>'A Thousand Blazing Suns'!G14</v>
      </c>
    </row>
    <row r="104" spans="1:26" x14ac:dyDescent="0.25">
      <c r="A104" s="211"/>
      <c r="B104" s="61">
        <v>3</v>
      </c>
      <c r="C104" t="str">
        <v>Tenebrous Mimiflora</v>
      </c>
      <c r="D104" cm="1">
        <f t="array" aca="1" ref="D104" ca="1">IFERROR(SUM(INDIRECT(_xlfn.ANCHORARRAY(E104))),0)</f>
        <v>0</v>
      </c>
      <c r="E104" t="str" cm="1">
        <f t="array" ref="E104:H104">TRANSPOSE("'"&amp;IF(ISNUMBER(FIND("'",_xlfn._xlws.FILTER(INDEX(Weapon_List,,1),INDEX(Weapon_List,,6)=C104,))),LEFT(_xlfn._xlws.FILTER(INDEX(Weapon_List,,1),INDEX(Weapon_List,,6)=C104,),FIND("'",_xlfn._xlws.FILTER(INDEX(Weapon_List,,1),INDEX(Weapon_List,,6)=C104,)))&amp;"'"&amp;RIGHT(_xlfn._xlws.FILTER(INDEX(Weapon_List,,1),INDEX(Weapon_List,,6)=C104,),LEN(_xlfn._xlws.FILTER(INDEX(Weapon_List,,1),INDEX(Weapon_List,,6)=C104,))-FIND("'",_xlfn._xlws.FILTER(INDEX(Weapon_List,,1),INDEX(Weapon_List,,6)=C104,))),_xlfn._xlws.FILTER(INDEX(Weapon_List,,1),INDEX(Weapon_List,,6)=C104,))&amp;"'!G14")</f>
        <v>'Astral Vulture’s Crimson'!G14</v>
      </c>
      <c r="F104" t="str">
        <v>'The Calamity of Eshu'!G14</v>
      </c>
      <c r="G104" t="str">
        <v>'Tamayuratei no Ohanashi'!G14</v>
      </c>
      <c r="H104" t="str">
        <v>'Azurelight'!G14</v>
      </c>
    </row>
    <row r="105" spans="1:26" x14ac:dyDescent="0.25">
      <c r="A105" s="211"/>
      <c r="B105" s="61">
        <v>3</v>
      </c>
      <c r="C105" t="str">
        <v>Furnace Shell Mountain Weasel</v>
      </c>
      <c r="D105" cm="1">
        <f t="array" aca="1" ref="D105" ca="1">IFERROR(SUM(INDIRECT(_xlfn.ANCHORARRAY(E105))),0)</f>
        <v>18</v>
      </c>
      <c r="E105" t="str" cm="1">
        <f t="array" ref="E105:H105">TRANSPOSE("'"&amp;IF(ISNUMBER(FIND("'",_xlfn._xlws.FILTER(INDEX(Weapon_List,,1),INDEX(Weapon_List,,6)=C105,))),LEFT(_xlfn._xlws.FILTER(INDEX(Weapon_List,,1),INDEX(Weapon_List,,6)=C105,),FIND("'",_xlfn._xlws.FILTER(INDEX(Weapon_List,,1),INDEX(Weapon_List,,6)=C105,)))&amp;"'"&amp;RIGHT(_xlfn._xlws.FILTER(INDEX(Weapon_List,,1),INDEX(Weapon_List,,6)=C105,),LEN(_xlfn._xlws.FILTER(INDEX(Weapon_List,,1),INDEX(Weapon_List,,6)=C105,))-FIND("'",_xlfn._xlws.FILTER(INDEX(Weapon_List,,1),INDEX(Weapon_List,,6)=C105,))),_xlfn._xlws.FILTER(INDEX(Weapon_List,,1),INDEX(Weapon_List,,6)=C105,))&amp;"'!G14")</f>
        <v>'Vivid Notions'!G14</v>
      </c>
      <c r="F105" t="str">
        <v>'Sequence of Solitude'!G14</v>
      </c>
      <c r="G105" t="str">
        <v>'Fractured Halo'!G14</v>
      </c>
      <c r="H105" t="str">
        <v>'Flame-Forged Insight'!G14</v>
      </c>
    </row>
    <row r="106" spans="1:26" x14ac:dyDescent="0.25">
      <c r="A106" s="211"/>
      <c r="B106" s="61">
        <v>4</v>
      </c>
      <c r="C106" t="str" cm="1">
        <f t="array" ref="C106:C130">_xlfn._xlws.FILTER(INDEX(Elite_Mob_Drops,,1),INDEX(Elite_Mob_Drops,,1)&lt;&gt;"")</f>
        <v>Mitachurl</v>
      </c>
      <c r="D106" cm="1">
        <f t="array" aca="1" ref="D106" ca="1">IFERROR(SUM(INDIRECT(_xlfn.ANCHORARRAY(E106))),0)</f>
        <v>0</v>
      </c>
      <c r="E106" t="str" cm="1">
        <f t="array" ref="E106:Z106">TRANSPOSE("'"&amp;IF(ISNUMBER(FIND("'",_xlfn._xlws.FILTER(INDEX(Weapon_List,,1),INDEX(Weapon_List,,6)=C106,))),LEFT(_xlfn._xlws.FILTER(INDEX(Weapon_List,,1),INDEX(Weapon_List,,6)=C106,),FIND("'",_xlfn._xlws.FILTER(INDEX(Weapon_List,,1),INDEX(Weapon_List,,6)=C106,)))&amp;"'"&amp;RIGHT(_xlfn._xlws.FILTER(INDEX(Weapon_List,,1),INDEX(Weapon_List,,6)=C106,),LEN(_xlfn._xlws.FILTER(INDEX(Weapon_List,,1),INDEX(Weapon_List,,6)=C106,))-FIND("'",_xlfn._xlws.FILTER(INDEX(Weapon_List,,1),INDEX(Weapon_List,,6)=C106,))),_xlfn._xlws.FILTER(INDEX(Weapon_List,,1),INDEX(Weapon_List,,6)=C106,))&amp;"'!G15")</f>
        <v>'Dull Blade'!G15</v>
      </c>
      <c r="F106" t="str">
        <v>'Apprentice''s Notes'!G15</v>
      </c>
      <c r="G106" t="str">
        <v>'Silver Sword'!G15</v>
      </c>
      <c r="H106" t="str">
        <v>'Pocket Grimoire'!G15</v>
      </c>
      <c r="I106" t="str">
        <v>'Cool Steel'!G15</v>
      </c>
      <c r="J106" t="str">
        <v>'Ferrous Shadow'!G15</v>
      </c>
      <c r="K106" t="str">
        <v>'Magic Guide'!G15</v>
      </c>
      <c r="L106" t="str">
        <v>'Raven Bow'!G15</v>
      </c>
      <c r="M106" t="str">
        <v>'Royal Longsword'!G15</v>
      </c>
      <c r="N106" t="str">
        <v>'Royal Grimoire'!G15</v>
      </c>
      <c r="O106" t="str">
        <v>'The Veridescent Hunt'!G15</v>
      </c>
      <c r="P106" t="str">
        <v>'Favonius Sword'!G15</v>
      </c>
      <c r="Q106" t="str">
        <v>'The Bell'!G15</v>
      </c>
      <c r="R106" t="str">
        <v>'Favonius Codex'!G15</v>
      </c>
      <c r="S106" t="str">
        <v>'The Stringless'!G15</v>
      </c>
      <c r="T106" t="str">
        <v>'Aquila Favonia'!G15</v>
      </c>
      <c r="U106" t="str">
        <v>'Festering Desire'!G15</v>
      </c>
      <c r="V106" t="str">
        <v>'Snow-Tombed Starsilver'!G15</v>
      </c>
      <c r="W106" t="str">
        <v>'The Alley Flash'!G15</v>
      </c>
      <c r="X106" t="str">
        <v>'Elegy for the End'!G15</v>
      </c>
      <c r="Y106" t="str">
        <v>'Song of Broken Pines'!G15</v>
      </c>
      <c r="Z106" t="str">
        <v>'Mitternachts Waltz'!G15</v>
      </c>
    </row>
    <row r="107" spans="1:26" x14ac:dyDescent="0.25">
      <c r="A107" s="211"/>
      <c r="B107" s="61">
        <v>4</v>
      </c>
      <c r="C107" t="str">
        <v>Abyss Mage</v>
      </c>
      <c r="D107" cm="1">
        <f t="array" aca="1" ref="D107" ca="1">IFERROR(SUM(INDIRECT(_xlfn.ANCHORARRAY(E107))),0)</f>
        <v>0</v>
      </c>
      <c r="E107" t="str" cm="1">
        <f t="array" ref="E107:Z107">TRANSPOSE("'"&amp;IF(ISNUMBER(FIND("'",_xlfn._xlws.FILTER(INDEX(Weapon_List,,1),INDEX(Weapon_List,,6)=C107,))),LEFT(_xlfn._xlws.FILTER(INDEX(Weapon_List,,1),INDEX(Weapon_List,,6)=C107,),FIND("'",_xlfn._xlws.FILTER(INDEX(Weapon_List,,1),INDEX(Weapon_List,,6)=C107,)))&amp;"'"&amp;RIGHT(_xlfn._xlws.FILTER(INDEX(Weapon_List,,1),INDEX(Weapon_List,,6)=C107,),LEN(_xlfn._xlws.FILTER(INDEX(Weapon_List,,1),INDEX(Weapon_List,,6)=C107,))-FIND("'",_xlfn._xlws.FILTER(INDEX(Weapon_List,,1),INDEX(Weapon_List,,6)=C107,))),_xlfn._xlws.FILTER(INDEX(Weapon_List,,1),INDEX(Weapon_List,,6)=C107,))&amp;"'!G15")</f>
        <v>'Waster Greatsword'!G15</v>
      </c>
      <c r="F107" t="str">
        <v>'Hunter''s Bow'!G15</v>
      </c>
      <c r="G107" t="str">
        <v>'Old Merc''s Pal'!G15</v>
      </c>
      <c r="H107" t="str">
        <v>'Seasoned Hunter''s Bow'!G15</v>
      </c>
      <c r="I107" t="str">
        <v>'Harbinger of Dawn'!G15</v>
      </c>
      <c r="J107" t="str">
        <v>'Bloodtainted Greatsword'!G15</v>
      </c>
      <c r="K107" t="str">
        <v>'TTDS'!G15</v>
      </c>
      <c r="L107" t="str">
        <v>'Sharpshooter''s Oath'!G15</v>
      </c>
      <c r="M107" t="str">
        <v>'The Black Sword'!G15</v>
      </c>
      <c r="N107" t="str">
        <v>'Deathmatch'!G15</v>
      </c>
      <c r="O107" t="str">
        <v>'The Flute'!G15</v>
      </c>
      <c r="P107" t="str">
        <v>'Sacrificial Greatsword'!G15</v>
      </c>
      <c r="Q107" t="str">
        <v>'The Widsith'!G15</v>
      </c>
      <c r="R107" t="str">
        <v>'Sacrificial Bow'!G15</v>
      </c>
      <c r="S107" t="str">
        <v>'Skyward Blade'!G15</v>
      </c>
      <c r="T107" t="str">
        <v>'Skyward Pride'!G15</v>
      </c>
      <c r="U107" t="str">
        <v>'Skyward Atlas'!G15</v>
      </c>
      <c r="V107" t="str">
        <v>'Skyward Harp'!G15</v>
      </c>
      <c r="W107" t="str">
        <v>'Windblume Ode'!G15</v>
      </c>
      <c r="X107" t="str">
        <v>'Staff of Homa'!G15</v>
      </c>
      <c r="Y107" t="str">
        <v>'Wine and Song'!G15</v>
      </c>
      <c r="Z107" t="str">
        <v>'Dodoco Tales'!G15</v>
      </c>
    </row>
    <row r="108" spans="1:26" x14ac:dyDescent="0.25">
      <c r="A108" s="211"/>
      <c r="B108" s="61">
        <v>4</v>
      </c>
      <c r="C108" t="str">
        <v>Ruin Machine 1</v>
      </c>
      <c r="D108" cm="1">
        <f t="array" aca="1" ref="D108" ca="1">IFERROR(SUM(INDIRECT(_xlfn.ANCHORARRAY(E108))),0)</f>
        <v>0</v>
      </c>
      <c r="E108" t="str" cm="1">
        <f t="array" ref="E108:Z108">TRANSPOSE("'"&amp;IF(ISNUMBER(FIND("'",_xlfn._xlws.FILTER(INDEX(Weapon_List,,1),INDEX(Weapon_List,,6)=C108,))),LEFT(_xlfn._xlws.FILTER(INDEX(Weapon_List,,1),INDEX(Weapon_List,,6)=C108,),FIND("'",_xlfn._xlws.FILTER(INDEX(Weapon_List,,1),INDEX(Weapon_List,,6)=C108,)))&amp;"'"&amp;RIGHT(_xlfn._xlws.FILTER(INDEX(Weapon_List,,1),INDEX(Weapon_List,,6)=C108,),LEN(_xlfn._xlws.FILTER(INDEX(Weapon_List,,1),INDEX(Weapon_List,,6)=C108,))-FIND("'",_xlfn._xlws.FILTER(INDEX(Weapon_List,,1),INDEX(Weapon_List,,6)=C108,))),_xlfn._xlws.FILTER(INDEX(Weapon_List,,1),INDEX(Weapon_List,,6)=C108,))&amp;"'!G15")</f>
        <v>'Beginner''s Protector'!G15</v>
      </c>
      <c r="F108" t="str">
        <v>'Iron Point'!G15</v>
      </c>
      <c r="G108" t="str">
        <v>'Traveler''s Handy Sword'!G15</v>
      </c>
      <c r="H108" t="str">
        <v>'White Iron Greatsword'!G15</v>
      </c>
      <c r="I108" t="str">
        <v>'Otherworldly Story'!G15</v>
      </c>
      <c r="J108" t="str">
        <v>'Recurve Bow'!G15</v>
      </c>
      <c r="K108" t="str">
        <v>'Royal Greatsword'!G15</v>
      </c>
      <c r="L108" t="str">
        <v>'Royal Bow'!G15</v>
      </c>
      <c r="M108" t="str">
        <v>'Sacrificial Sword'!G15</v>
      </c>
      <c r="N108" t="str">
        <v>'Favonius Greatsword'!G15</v>
      </c>
      <c r="O108" t="str">
        <v>'Favonius Lance'!G15</v>
      </c>
      <c r="P108" t="str">
        <v>'Sacrificial Fragments'!G15</v>
      </c>
      <c r="Q108" t="str">
        <v>'Favonius Warbow'!G15</v>
      </c>
      <c r="R108" t="str">
        <v>'Wolf''s Gravestone'!G15</v>
      </c>
      <c r="S108" t="str">
        <v>'Skyward Spine'!G15</v>
      </c>
      <c r="T108" t="str">
        <v>'Lost Prayer to the Sacred Winds'!G15</v>
      </c>
      <c r="U108" t="str">
        <v>'Amos'' Bow'!G15</v>
      </c>
      <c r="V108" t="str">
        <v>'Frostbearer'!G15</v>
      </c>
      <c r="W108" t="str">
        <v>'Alley Hunter'!G15</v>
      </c>
      <c r="X108" t="str">
        <v>'Freedom-Sworn'!G15</v>
      </c>
      <c r="Y108" t="str">
        <v>'Cinnabar Spindle'!G15</v>
      </c>
      <c r="Z108" t="str">
        <v>'Wolf-Fang'!G15</v>
      </c>
    </row>
    <row r="109" spans="1:26" x14ac:dyDescent="0.25">
      <c r="A109" s="211"/>
      <c r="B109" s="61">
        <v>4</v>
      </c>
      <c r="C109" t="str">
        <v>Fatui Cicin Mage</v>
      </c>
      <c r="D109" cm="1">
        <f t="array" aca="1" ref="D109" ca="1">IFERROR(SUM(INDIRECT(_xlfn.ANCHORARRAY(E109))),0)</f>
        <v>0</v>
      </c>
      <c r="E109" t="str" cm="1">
        <f t="array" ref="E109:W109">TRANSPOSE("'"&amp;IF(ISNUMBER(FIND("'",_xlfn._xlws.FILTER(INDEX(Weapon_List,,1),INDEX(Weapon_List,,6)=C109,))),LEFT(_xlfn._xlws.FILTER(INDEX(Weapon_List,,1),INDEX(Weapon_List,,6)=C109,),FIND("'",_xlfn._xlws.FILTER(INDEX(Weapon_List,,1),INDEX(Weapon_List,,6)=C109,)))&amp;"'"&amp;RIGHT(_xlfn._xlws.FILTER(INDEX(Weapon_List,,1),INDEX(Weapon_List,,6)=C109,),LEN(_xlfn._xlws.FILTER(INDEX(Weapon_List,,1),INDEX(Weapon_List,,6)=C109,))-FIND("'",_xlfn._xlws.FILTER(INDEX(Weapon_List,,1),INDEX(Weapon_List,,6)=C109,))),_xlfn._xlws.FILTER(INDEX(Weapon_List,,1),INDEX(Weapon_List,,6)=C109,))&amp;"'!G15")</f>
        <v>'Fillet Blade'!G15</v>
      </c>
      <c r="F109" t="str">
        <v>'Debate Club'!G15</v>
      </c>
      <c r="G109" t="str">
        <v>'Halberd'!G15</v>
      </c>
      <c r="H109" t="str">
        <v>'Twin Nephrite'!G15</v>
      </c>
      <c r="I109" t="str">
        <v>'Messenger'!G15</v>
      </c>
      <c r="J109" t="str">
        <v>'Royal Spear'!G15</v>
      </c>
      <c r="K109" t="str">
        <v>'Blackcliff Slasher'!G15</v>
      </c>
      <c r="L109" t="str">
        <v>'Blackcliff Pole'!G15</v>
      </c>
      <c r="M109" t="str">
        <v>'Prototype Rancour'!G15</v>
      </c>
      <c r="N109" t="str">
        <v>'Prototype Amber'!G15</v>
      </c>
      <c r="O109" t="str">
        <v>'Prototype Crescent'!G15</v>
      </c>
      <c r="P109" t="str">
        <v>'Rainslasher'!G15</v>
      </c>
      <c r="Q109" t="str">
        <v>'Dragon''s Bane'!G15</v>
      </c>
      <c r="R109" t="str">
        <v>'Eye of Perception'!G15</v>
      </c>
      <c r="S109" t="str">
        <v>'The Unforged'!G15</v>
      </c>
      <c r="T109" t="str">
        <v>'Dragonspine Spear'!G15</v>
      </c>
      <c r="U109" t="str">
        <v>'Primordial Jade Cutter'!G15</v>
      </c>
      <c r="V109" t="str">
        <v>'Calamity Queller'!G15</v>
      </c>
      <c r="W109" t="str">
        <v>'Sacrificial Jade'!G15</v>
      </c>
    </row>
    <row r="110" spans="1:26" x14ac:dyDescent="0.25">
      <c r="A110" s="211"/>
      <c r="B110" s="61">
        <v>4</v>
      </c>
      <c r="C110" t="str">
        <v>Fatui Agent</v>
      </c>
      <c r="D110" cm="1">
        <f t="array" aca="1" ref="D110" ca="1">IFERROR(SUM(INDIRECT(_xlfn.ANCHORARRAY(E110))),0)</f>
        <v>0</v>
      </c>
      <c r="E110" t="str" cm="1">
        <f t="array" ref="E110:T110">TRANSPOSE("'"&amp;IF(ISNUMBER(FIND("'",_xlfn._xlws.FILTER(INDEX(Weapon_List,,1),INDEX(Weapon_List,,6)=C110,))),LEFT(_xlfn._xlws.FILTER(INDEX(Weapon_List,,1),INDEX(Weapon_List,,6)=C110,),FIND("'",_xlfn._xlws.FILTER(INDEX(Weapon_List,,1),INDEX(Weapon_List,,6)=C110,)))&amp;"'"&amp;RIGHT(_xlfn._xlws.FILTER(INDEX(Weapon_List,,1),INDEX(Weapon_List,,6)=C110,),LEN(_xlfn._xlws.FILTER(INDEX(Weapon_List,,1),INDEX(Weapon_List,,6)=C110,))-FIND("'",_xlfn._xlws.FILTER(INDEX(Weapon_List,,1),INDEX(Weapon_List,,6)=C110,))),_xlfn._xlws.FILTER(INDEX(Weapon_List,,1),INDEX(Weapon_List,,6)=C110,))&amp;"'!G15")</f>
        <v>'Dark Iron Sword'!G15</v>
      </c>
      <c r="F110" t="str">
        <v>'White Tassel'!G15</v>
      </c>
      <c r="G110" t="str">
        <v>'Emerald Orb'!G15</v>
      </c>
      <c r="H110" t="str">
        <v>'Slingshot'!G15</v>
      </c>
      <c r="I110" t="str">
        <v>'Blackcliff Longsword'!G15</v>
      </c>
      <c r="J110" t="str">
        <v>'Blackcliff Agate'!G15</v>
      </c>
      <c r="K110" t="str">
        <v>'Blackcliff Warbow'!G15</v>
      </c>
      <c r="L110" t="str">
        <v>'Solar Pearl'!G15</v>
      </c>
      <c r="M110" t="str">
        <v>'Whiteblind'!G15</v>
      </c>
      <c r="N110" t="str">
        <v>'Crescent Pike'!G15</v>
      </c>
      <c r="O110" t="str">
        <v>'Lion''s Roar'!G15</v>
      </c>
      <c r="P110" t="str">
        <v>'Rust'!G15</v>
      </c>
      <c r="Q110" t="str">
        <v>'Primordial Jade Winged-Spear'!G15</v>
      </c>
      <c r="R110" t="str">
        <v>'Summit Shaper'!G15</v>
      </c>
      <c r="S110" t="str">
        <v>'Lithic Blade'!G15</v>
      </c>
      <c r="T110" t="str">
        <v>'Fading Twilight'!G15</v>
      </c>
    </row>
    <row r="111" spans="1:26" x14ac:dyDescent="0.25">
      <c r="A111" s="211"/>
      <c r="B111" s="61">
        <v>4</v>
      </c>
      <c r="C111" t="str">
        <v>Vishap</v>
      </c>
      <c r="D111" cm="1">
        <f t="array" aca="1" ref="D111" ca="1">IFERROR(SUM(INDIRECT(_xlfn.ANCHORARRAY(E111))),0)</f>
        <v>0</v>
      </c>
      <c r="E111" t="str" cm="1">
        <f t="array" ref="E111:R111">TRANSPOSE("'"&amp;IF(ISNUMBER(FIND("'",_xlfn._xlws.FILTER(INDEX(Weapon_List,,1),INDEX(Weapon_List,,6)=C111,))),LEFT(_xlfn._xlws.FILTER(INDEX(Weapon_List,,1),INDEX(Weapon_List,,6)=C111,),FIND("'",_xlfn._xlws.FILTER(INDEX(Weapon_List,,1),INDEX(Weapon_List,,6)=C111,)))&amp;"'"&amp;RIGHT(_xlfn._xlws.FILTER(INDEX(Weapon_List,,1),INDEX(Weapon_List,,6)=C111,),LEN(_xlfn._xlws.FILTER(INDEX(Weapon_List,,1),INDEX(Weapon_List,,6)=C111,))-FIND("'",_xlfn._xlws.FILTER(INDEX(Weapon_List,,1),INDEX(Weapon_List,,6)=C111,))),_xlfn._xlws.FILTER(INDEX(Weapon_List,,1),INDEX(Weapon_List,,6)=C111,))&amp;"'!G15")</f>
        <v>'Skyrider Sword'!G15</v>
      </c>
      <c r="F111" t="str">
        <v>'Skyrider Greatsword'!G15</v>
      </c>
      <c r="G111" t="str">
        <v>'Black Tassel'!G15</v>
      </c>
      <c r="H111" t="str">
        <v>'Serpent Spine'!G15</v>
      </c>
      <c r="I111" t="str">
        <v>'Prototype Archaic'!G15</v>
      </c>
      <c r="J111" t="str">
        <v>'Prototype Starglitter'!G15</v>
      </c>
      <c r="K111" t="str">
        <v>'Iron Sting'!G15</v>
      </c>
      <c r="L111" t="str">
        <v>'Mappa Mare'!G15</v>
      </c>
      <c r="M111" t="str">
        <v>'Compound Bow'!G15</v>
      </c>
      <c r="N111" t="str">
        <v>'Memory of Dust'!G15</v>
      </c>
      <c r="O111" t="str">
        <v>'Vortex Vanquisher'!G15</v>
      </c>
      <c r="P111" t="str">
        <v>'Lithic Spear'!G15</v>
      </c>
      <c r="Q111" t="str">
        <v>'Luxurious Sea-Lord'!G15</v>
      </c>
      <c r="R111" t="str">
        <v>'Ballad of the Boundless Blue'!G15</v>
      </c>
    </row>
    <row r="112" spans="1:26" x14ac:dyDescent="0.25">
      <c r="A112" s="211"/>
      <c r="B112" s="61">
        <v>4</v>
      </c>
      <c r="C112" t="str">
        <v>Ruin Machine 2</v>
      </c>
      <c r="D112" cm="1">
        <f t="array" aca="1" ref="D112" ca="1">IFERROR(SUM(INDIRECT(_xlfn.ANCHORARRAY(E112))),0)</f>
        <v>0</v>
      </c>
      <c r="E112" t="str" cm="1">
        <f t="array" ref="E112:K112">TRANSPOSE("'"&amp;IF(ISNUMBER(FIND("'",_xlfn._xlws.FILTER(INDEX(Weapon_List,,1),INDEX(Weapon_List,,6)=C112,))),LEFT(_xlfn._xlws.FILTER(INDEX(Weapon_List,,1),INDEX(Weapon_List,,6)=C112,),FIND("'",_xlfn._xlws.FILTER(INDEX(Weapon_List,,1),INDEX(Weapon_List,,6)=C112,)))&amp;"'"&amp;RIGHT(_xlfn._xlws.FILTER(INDEX(Weapon_List,,1),INDEX(Weapon_List,,6)=C112,),LEN(_xlfn._xlws.FILTER(INDEX(Weapon_List,,1),INDEX(Weapon_List,,6)=C112,))-FIND("'",_xlfn._xlws.FILTER(INDEX(Weapon_List,,1),INDEX(Weapon_List,,6)=C112,))),_xlfn._xlws.FILTER(INDEX(Weapon_List,,1),INDEX(Weapon_List,,6)=C112,))&amp;"'!G15")</f>
        <v>'Amenoma Kageuchi'!G15</v>
      </c>
      <c r="F112" t="str">
        <v>'Katsuragikiri Nagamasa'!G15</v>
      </c>
      <c r="G112" t="str">
        <v>'Kitain Cross Spear'!G15</v>
      </c>
      <c r="H112" t="str">
        <v>'Mistsplitter Reforged'!G15</v>
      </c>
      <c r="I112" t="str">
        <v>'"The Catch"'!G15</v>
      </c>
      <c r="J112" t="str">
        <v>'Engulfing Lightning'!G15</v>
      </c>
      <c r="K112" t="str">
        <v>'Uraku Misugiri'!G15</v>
      </c>
    </row>
    <row r="113" spans="1:11" x14ac:dyDescent="0.25">
      <c r="A113" s="211"/>
      <c r="B113" s="61">
        <v>4</v>
      </c>
      <c r="C113" t="str">
        <v>Mirror Maiden</v>
      </c>
      <c r="D113" cm="1">
        <f t="array" aca="1" ref="D113" ca="1">IFERROR(SUM(INDIRECT(_xlfn.ANCHORARRAY(E113))),0)</f>
        <v>0</v>
      </c>
      <c r="E113" t="str" cm="1">
        <f t="array" ref="E113:I113">TRANSPOSE("'"&amp;IF(ISNUMBER(FIND("'",_xlfn._xlws.FILTER(INDEX(Weapon_List,,1),INDEX(Weapon_List,,6)=C113,))),LEFT(_xlfn._xlws.FILTER(INDEX(Weapon_List,,1),INDEX(Weapon_List,,6)=C113,),FIND("'",_xlfn._xlws.FILTER(INDEX(Weapon_List,,1),INDEX(Weapon_List,,6)=C113,)))&amp;"'"&amp;RIGHT(_xlfn._xlws.FILTER(INDEX(Weapon_List,,1),INDEX(Weapon_List,,6)=C113,),LEN(_xlfn._xlws.FILTER(INDEX(Weapon_List,,1),INDEX(Weapon_List,,6)=C113,))-FIND("'",_xlfn._xlws.FILTER(INDEX(Weapon_List,,1),INDEX(Weapon_List,,6)=C113,))),_xlfn._xlws.FILTER(INDEX(Weapon_List,,1),INDEX(Weapon_List,,6)=C113,))&amp;"'!G15")</f>
        <v>'Hakushin Ring'!G15</v>
      </c>
      <c r="F113" t="str">
        <v>'Hamayumi'!G15</v>
      </c>
      <c r="G113" t="str">
        <v>'Thundering Pulse'!G15</v>
      </c>
      <c r="H113" t="str">
        <v>'Everlasting Moonglow'!G15</v>
      </c>
      <c r="I113" t="str">
        <v>'Mouun''s Moon'!G15</v>
      </c>
    </row>
    <row r="114" spans="1:11" x14ac:dyDescent="0.25">
      <c r="A114" s="211"/>
      <c r="B114" s="61">
        <v>4</v>
      </c>
      <c r="C114" t="str">
        <v>Rifthound</v>
      </c>
      <c r="D114" cm="1">
        <f t="array" aca="1" ref="D114" ca="1">IFERROR(SUM(INDIRECT(_xlfn.ANCHORARRAY(E114))),0)</f>
        <v>0</v>
      </c>
      <c r="E114" t="str" cm="1">
        <f t="array" ref="E114:J114">TRANSPOSE("'"&amp;IF(ISNUMBER(FIND("'",_xlfn._xlws.FILTER(INDEX(Weapon_List,,1),INDEX(Weapon_List,,6)=C114,))),LEFT(_xlfn._xlws.FILTER(INDEX(Weapon_List,,1),INDEX(Weapon_List,,6)=C114,),FIND("'",_xlfn._xlws.FILTER(INDEX(Weapon_List,,1),INDEX(Weapon_List,,6)=C114,)))&amp;"'"&amp;RIGHT(_xlfn._xlws.FILTER(INDEX(Weapon_List,,1),INDEX(Weapon_List,,6)=C114,),LEN(_xlfn._xlws.FILTER(INDEX(Weapon_List,,1),INDEX(Weapon_List,,6)=C114,))-FIND("'",_xlfn._xlws.FILTER(INDEX(Weapon_List,,1),INDEX(Weapon_List,,6)=C114,))),_xlfn._xlws.FILTER(INDEX(Weapon_List,,1),INDEX(Weapon_List,,6)=C114,))&amp;"'!G15")</f>
        <v>'Akuoumaru'!G15</v>
      </c>
      <c r="F114" t="str">
        <v>'Polar Star'!G15</v>
      </c>
      <c r="G114" t="str">
        <v>'Wavebreaker''s Fin'!G15</v>
      </c>
      <c r="H114" t="str">
        <v>'Redhorn Stonethresher'!G15</v>
      </c>
      <c r="I114" t="str">
        <v>'Kagura''s Verity'!G15</v>
      </c>
      <c r="J114" t="str">
        <v>'Oathsworn Eye'!G15</v>
      </c>
    </row>
    <row r="115" spans="1:11" x14ac:dyDescent="0.25">
      <c r="A115" s="211"/>
      <c r="B115" s="61">
        <v>4</v>
      </c>
      <c r="C115" t="str">
        <v>Shadowy Husk</v>
      </c>
      <c r="D115" cm="1">
        <f t="array" aca="1" ref="D115" ca="1">IFERROR(SUM(INDIRECT(_xlfn.ANCHORARRAY(E115))),0)</f>
        <v>0</v>
      </c>
      <c r="E115" t="str" cm="1">
        <f t="array" ref="E115:I115">TRANSPOSE("'"&amp;IF(ISNUMBER(FIND("'",_xlfn._xlws.FILTER(INDEX(Weapon_List,,1),INDEX(Weapon_List,,6)=C115,))),LEFT(_xlfn._xlws.FILTER(INDEX(Weapon_List,,1),INDEX(Weapon_List,,6)=C115,),FIND("'",_xlfn._xlws.FILTER(INDEX(Weapon_List,,1),INDEX(Weapon_List,,6)=C115,)))&amp;"'"&amp;RIGHT(_xlfn._xlws.FILTER(INDEX(Weapon_List,,1),INDEX(Weapon_List,,6)=C115,),LEN(_xlfn._xlws.FILTER(INDEX(Weapon_List,,1),INDEX(Weapon_List,,6)=C115,))-FIND("'",_xlfn._xlws.FILTER(INDEX(Weapon_List,,1),INDEX(Weapon_List,,6)=C115,))),_xlfn._xlws.FILTER(INDEX(Weapon_List,,1),INDEX(Weapon_List,,6)=C115,))&amp;"'!G15")</f>
        <v>'Haran Geppaku Futsu'!G15</v>
      </c>
      <c r="F115" t="str">
        <v>'Aqua Simulacra'!G15</v>
      </c>
      <c r="G115" t="str">
        <v>'Kagotsurube Isshin'!G15</v>
      </c>
      <c r="H115" t="str">
        <v>'Fruit of Fulfillment'!G15</v>
      </c>
      <c r="I115" t="str">
        <v>'Missive Windspear'!G15</v>
      </c>
    </row>
    <row r="116" spans="1:11" x14ac:dyDescent="0.25">
      <c r="A116" s="211"/>
      <c r="B116" s="61">
        <v>4</v>
      </c>
      <c r="C116" t="str">
        <v>Ruin Machine 3</v>
      </c>
      <c r="D116" cm="1">
        <f t="array" aca="1" ref="D116" ca="1">IFERROR(SUM(INDIRECT(_xlfn.ANCHORARRAY(E116))),0)</f>
        <v>0</v>
      </c>
      <c r="E116" t="str" cm="1">
        <f t="array" ref="E116:I116">TRANSPOSE("'"&amp;IF(ISNUMBER(FIND("'",_xlfn._xlws.FILTER(INDEX(Weapon_List,,1),INDEX(Weapon_List,,6)=C116,))),LEFT(_xlfn._xlws.FILTER(INDEX(Weapon_List,,1),INDEX(Weapon_List,,6)=C116,),FIND("'",_xlfn._xlws.FILTER(INDEX(Weapon_List,,1),INDEX(Weapon_List,,6)=C116,)))&amp;"'"&amp;RIGHT(_xlfn._xlws.FILTER(INDEX(Weapon_List,,1),INDEX(Weapon_List,,6)=C116,),LEN(_xlfn._xlws.FILTER(INDEX(Weapon_List,,1),INDEX(Weapon_List,,6)=C116,))-FIND("'",_xlfn._xlws.FILTER(INDEX(Weapon_List,,1),INDEX(Weapon_List,,6)=C116,))),_xlfn._xlws.FILTER(INDEX(Weapon_List,,1),INDEX(Weapon_List,,6)=C116,))&amp;"'!G15")</f>
        <v>'Sapwood Blade'!G15</v>
      </c>
      <c r="F116" t="str">
        <v>'Forest Regalia'!G15</v>
      </c>
      <c r="G116" t="str">
        <v>'Moonpiercer'!G15</v>
      </c>
      <c r="H116" t="str">
        <v>'Staff of the Scarlet Sands'!G15</v>
      </c>
      <c r="I116" t="str">
        <v>'Makhaira Aquamarine'!G15</v>
      </c>
    </row>
    <row r="117" spans="1:11" x14ac:dyDescent="0.25">
      <c r="B117" s="61">
        <v>4</v>
      </c>
      <c r="C117" t="str">
        <v>Activated Fungi</v>
      </c>
      <c r="D117" cm="1">
        <f t="array" aca="1" ref="D117" ca="1">IFERROR(SUM(INDIRECT(_xlfn.ANCHORARRAY(E117))),0)</f>
        <v>0</v>
      </c>
      <c r="E117" t="str" cm="1">
        <f t="array" ref="E117:I117">TRANSPOSE("'"&amp;IF(ISNUMBER(FIND("'",_xlfn._xlws.FILTER(INDEX(Weapon_List,,1),INDEX(Weapon_List,,6)=C117,))),LEFT(_xlfn._xlws.FILTER(INDEX(Weapon_List,,1),INDEX(Weapon_List,,6)=C117,),FIND("'",_xlfn._xlws.FILTER(INDEX(Weapon_List,,1),INDEX(Weapon_List,,6)=C117,)))&amp;"'"&amp;RIGHT(_xlfn._xlws.FILTER(INDEX(Weapon_List,,1),INDEX(Weapon_List,,6)=C117,),LEN(_xlfn._xlws.FILTER(INDEX(Weapon_List,,1),INDEX(Weapon_List,,6)=C117,))-FIND("'",_xlfn._xlws.FILTER(INDEX(Weapon_List,,1),INDEX(Weapon_List,,6)=C117,))),_xlfn._xlws.FILTER(INDEX(Weapon_List,,1),INDEX(Weapon_List,,6)=C117,))&amp;"'!G15")</f>
        <v>'King''s Squire'!G15</v>
      </c>
      <c r="F117" t="str">
        <v>'Hunter''s Path'!G15</v>
      </c>
      <c r="G117" t="str">
        <v>'End of the Line'!G15</v>
      </c>
      <c r="H117" t="str">
        <v>'Wandering Evenstar'!G15</v>
      </c>
      <c r="I117" t="str">
        <v>'Tullaytullah''s Remembrance'!G15</v>
      </c>
    </row>
    <row r="118" spans="1:11" x14ac:dyDescent="0.25">
      <c r="B118" s="61">
        <v>4</v>
      </c>
      <c r="C118" t="str">
        <v>Primal Construct</v>
      </c>
      <c r="D118" cm="1">
        <f t="array" aca="1" ref="D118" ca="1">IFERROR(SUM(INDIRECT(_xlfn.ANCHORARRAY(E118))),0)</f>
        <v>0</v>
      </c>
      <c r="E118" t="str" cm="1">
        <f t="array" ref="E118:H118">TRANSPOSE("'"&amp;IF(ISNUMBER(FIND("'",_xlfn._xlws.FILTER(INDEX(Weapon_List,,1),INDEX(Weapon_List,,6)=C118,))),LEFT(_xlfn._xlws.FILTER(INDEX(Weapon_List,,1),INDEX(Weapon_List,,6)=C118,),FIND("'",_xlfn._xlws.FILTER(INDEX(Weapon_List,,1),INDEX(Weapon_List,,6)=C118,)))&amp;"'"&amp;RIGHT(_xlfn._xlws.FILTER(INDEX(Weapon_List,,1),INDEX(Weapon_List,,6)=C118,),LEN(_xlfn._xlws.FILTER(INDEX(Weapon_List,,1),INDEX(Weapon_List,,6)=C118,))-FIND("'",_xlfn._xlws.FILTER(INDEX(Weapon_List,,1),INDEX(Weapon_List,,6)=C118,))),_xlfn._xlws.FILTER(INDEX(Weapon_List,,1),INDEX(Weapon_List,,6)=C118,))&amp;"'!G15")</f>
        <v>'Key of Khaj-Nisat'!G15</v>
      </c>
      <c r="F118" t="str">
        <v>'Xiphos’ Moonlight'!G15</v>
      </c>
      <c r="G118" t="str">
        <v>'A Thousand Floating Dreams'!G15</v>
      </c>
      <c r="H118" t="str">
        <v>'Toukabou Shigure'!G15</v>
      </c>
    </row>
    <row r="119" spans="1:11" x14ac:dyDescent="0.25">
      <c r="B119" s="61">
        <v>4</v>
      </c>
      <c r="C119" t="str">
        <v>Consecrated Beast</v>
      </c>
      <c r="D119" cm="1">
        <f t="array" aca="1" ref="D119" ca="1">IFERROR(SUM(INDIRECT(_xlfn.ANCHORARRAY(E119))),0)</f>
        <v>0</v>
      </c>
      <c r="E119" t="str" cm="1">
        <f t="array" ref="E119:H119">TRANSPOSE("'"&amp;IF(ISNUMBER(FIND("'",_xlfn._xlws.FILTER(INDEX(Weapon_List,,1),INDEX(Weapon_List,,6)=C119,))),LEFT(_xlfn._xlws.FILTER(INDEX(Weapon_List,,1),INDEX(Weapon_List,,6)=C119,),FIND("'",_xlfn._xlws.FILTER(INDEX(Weapon_List,,1),INDEX(Weapon_List,,6)=C119,)))&amp;"'"&amp;RIGHT(_xlfn._xlws.FILTER(INDEX(Weapon_List,,1),INDEX(Weapon_List,,6)=C119,),LEN(_xlfn._xlws.FILTER(INDEX(Weapon_List,,1),INDEX(Weapon_List,,6)=C119,))-FIND("'",_xlfn._xlws.FILTER(INDEX(Weapon_List,,1),INDEX(Weapon_List,,6)=C119,))),_xlfn._xlws.FILTER(INDEX(Weapon_List,,1),INDEX(Weapon_List,,6)=C119,))&amp;"'!G15")</f>
        <v>'Light of Foliar Incision'!G15</v>
      </c>
      <c r="F119" t="str">
        <v>'Beacon of the Reed Sea'!G15</v>
      </c>
      <c r="G119" t="str">
        <v>'Mailed Flower'!G15</v>
      </c>
      <c r="H119" t="str">
        <v>'Talking Stick'!G15</v>
      </c>
    </row>
    <row r="120" spans="1:11" x14ac:dyDescent="0.25">
      <c r="B120" s="61">
        <v>4</v>
      </c>
      <c r="C120" t="str">
        <v>Hilichurl Rogue</v>
      </c>
      <c r="D120" cm="1">
        <f t="array" aca="1" ref="D120" ca="1">IFERROR(SUM(INDIRECT(_xlfn.ANCHORARRAY(E120))),0)</f>
        <v>0</v>
      </c>
      <c r="E120" t="str" cm="1">
        <f t="array" ref="E120:H120">TRANSPOSE("'"&amp;IF(ISNUMBER(FIND("'",_xlfn._xlws.FILTER(INDEX(Weapon_List,,1),INDEX(Weapon_List,,6)=C120,))),LEFT(_xlfn._xlws.FILTER(INDEX(Weapon_List,,1),INDEX(Weapon_List,,6)=C120,),FIND("'",_xlfn._xlws.FILTER(INDEX(Weapon_List,,1),INDEX(Weapon_List,,6)=C120,)))&amp;"'"&amp;RIGHT(_xlfn._xlws.FILTER(INDEX(Weapon_List,,1),INDEX(Weapon_List,,6)=C120,),LEN(_xlfn._xlws.FILTER(INDEX(Weapon_List,,1),INDEX(Weapon_List,,6)=C120,))-FIND("'",_xlfn._xlws.FILTER(INDEX(Weapon_List,,1),INDEX(Weapon_List,,6)=C120,))),_xlfn._xlws.FILTER(INDEX(Weapon_List,,1),INDEX(Weapon_List,,6)=C120,))&amp;"'!G15")</f>
        <v>'Jadefall''s Splendor'!G15</v>
      </c>
      <c r="F120" t="str">
        <v>'Ibis Piercer'!G15</v>
      </c>
      <c r="G120" t="str">
        <v>'Ballad of the Fjords'!G15</v>
      </c>
      <c r="H120" t="str">
        <v>'Scion of the Blazing Sun'!G15</v>
      </c>
    </row>
    <row r="121" spans="1:11" x14ac:dyDescent="0.25">
      <c r="B121" s="61">
        <v>4</v>
      </c>
      <c r="C121" t="str">
        <v>Tainted Hydro Phantasm</v>
      </c>
      <c r="D121" cm="1">
        <f t="array" aca="1" ref="D121" ca="1">IFERROR(SUM(INDIRECT(_xlfn.ANCHORARRAY(E121))),0)</f>
        <v>0</v>
      </c>
      <c r="E121" t="str" cm="1">
        <f t="array" ref="E121:K121">TRANSPOSE("'"&amp;IF(ISNUMBER(FIND("'",_xlfn._xlws.FILTER(INDEX(Weapon_List,,1),INDEX(Weapon_List,,6)=C121,))),LEFT(_xlfn._xlws.FILTER(INDEX(Weapon_List,,1),INDEX(Weapon_List,,6)=C121,),FIND("'",_xlfn._xlws.FILTER(INDEX(Weapon_List,,1),INDEX(Weapon_List,,6)=C121,)))&amp;"'"&amp;RIGHT(_xlfn._xlws.FILTER(INDEX(Weapon_List,,1),INDEX(Weapon_List,,6)=C121,),LEN(_xlfn._xlws.FILTER(INDEX(Weapon_List,,1),INDEX(Weapon_List,,6)=C121,))-FIND("'",_xlfn._xlws.FILTER(INDEX(Weapon_List,,1),INDEX(Weapon_List,,6)=C121,))),_xlfn._xlws.FILTER(INDEX(Weapon_List,,1),INDEX(Weapon_List,,6)=C121,))&amp;"'!G15")</f>
        <v>'Finale of the Deep'!G15</v>
      </c>
      <c r="F121" t="str">
        <v>'Song of Stillness'!G15</v>
      </c>
      <c r="G121" t="str">
        <v>'The First Great Magic'!G15</v>
      </c>
      <c r="H121" t="str">
        <v>'Crossing of Fleuve Cendre'!G15</v>
      </c>
      <c r="I121" t="str">
        <v>'Range Gauge'!G15</v>
      </c>
      <c r="J121" t="str">
        <v>'Splendor of Tranquil Waters'!G15</v>
      </c>
      <c r="K121" t="str">
        <v>'Symphonist of Scents'!G15</v>
      </c>
    </row>
    <row r="122" spans="1:11" x14ac:dyDescent="0.25">
      <c r="B122" s="61">
        <v>4</v>
      </c>
      <c r="C122" t="str">
        <v>Breacher Primus</v>
      </c>
      <c r="D122" cm="1">
        <f t="array" aca="1" ref="D122" ca="1">IFERROR(SUM(INDIRECT(_xlfn.ANCHORARRAY(E122))),0)</f>
        <v>0</v>
      </c>
      <c r="E122" t="str" cm="1">
        <f t="array" ref="E122:J122">TRANSPOSE("'"&amp;IF(ISNUMBER(FIND("'",_xlfn._xlws.FILTER(INDEX(Weapon_List,,1),INDEX(Weapon_List,,6)=C122,))),LEFT(_xlfn._xlws.FILTER(INDEX(Weapon_List,,1),INDEX(Weapon_List,,6)=C122,),FIND("'",_xlfn._xlws.FILTER(INDEX(Weapon_List,,1),INDEX(Weapon_List,,6)=C122,)))&amp;"'"&amp;RIGHT(_xlfn._xlws.FILTER(INDEX(Weapon_List,,1),INDEX(Weapon_List,,6)=C122,),LEN(_xlfn._xlws.FILTER(INDEX(Weapon_List,,1),INDEX(Weapon_List,,6)=C122,))-FIND("'",_xlfn._xlws.FILTER(INDEX(Weapon_List,,1),INDEX(Weapon_List,,6)=C122,))),_xlfn._xlws.FILTER(INDEX(Weapon_List,,1),INDEX(Weapon_List,,6)=C122,))&amp;"'!G15")</f>
        <v>'Tidal Shadow'!G15</v>
      </c>
      <c r="F122" t="str">
        <v>'Rightful Reward'!G15</v>
      </c>
      <c r="G122" t="str">
        <v>'Flowing Purity'!G15</v>
      </c>
      <c r="H122" t="str">
        <v>'Tome of the Eternal Flow'!G15</v>
      </c>
      <c r="I122" t="str">
        <v>'Portable Power Saw'!G15</v>
      </c>
      <c r="J122" t="str">
        <v>'Verdict'!G15</v>
      </c>
    </row>
    <row r="123" spans="1:11" x14ac:dyDescent="0.25">
      <c r="B123" s="61">
        <v>4</v>
      </c>
      <c r="C123" t="str">
        <v>Fatui Operative</v>
      </c>
      <c r="D123" cm="1">
        <f t="array" aca="1" ref="D123" ca="1">IFERROR(SUM(INDIRECT(_xlfn.ANCHORARRAY(E123))),0)</f>
        <v>0</v>
      </c>
      <c r="E123" t="str" cm="1">
        <f t="array" ref="E123:J123">TRANSPOSE("'"&amp;IF(ISNUMBER(FIND("'",_xlfn._xlws.FILTER(INDEX(Weapon_List,,1),INDEX(Weapon_List,,6)=C123,))),LEFT(_xlfn._xlws.FILTER(INDEX(Weapon_List,,1),INDEX(Weapon_List,,6)=C123,),FIND("'",_xlfn._xlws.FILTER(INDEX(Weapon_List,,1),INDEX(Weapon_List,,6)=C123,)))&amp;"'"&amp;RIGHT(_xlfn._xlws.FILTER(INDEX(Weapon_List,,1),INDEX(Weapon_List,,6)=C123,),LEN(_xlfn._xlws.FILTER(INDEX(Weapon_List,,1),INDEX(Weapon_List,,6)=C123,))-FIND("'",_xlfn._xlws.FILTER(INDEX(Weapon_List,,1),INDEX(Weapon_List,,6)=C123,))),_xlfn._xlws.FILTER(INDEX(Weapon_List,,1),INDEX(Weapon_List,,6)=C123,))&amp;"'!G15")</f>
        <v>'The Dockhand''s Assistant'!G15</v>
      </c>
      <c r="F123" t="str">
        <v>'Cashflow Supervision'!G15</v>
      </c>
      <c r="G123" t="str">
        <v>'Prospector’s Drill'!G15</v>
      </c>
      <c r="H123" t="str">
        <v>'Sword of Narzissenkreuz'!G15</v>
      </c>
      <c r="I123" t="str">
        <v>'Ultimate Overlord’s Mega Magic'!G15</v>
      </c>
      <c r="J123" t="str">
        <v>'Absolution'!G15</v>
      </c>
    </row>
    <row r="124" spans="1:11" x14ac:dyDescent="0.25">
      <c r="B124" s="61">
        <v>4</v>
      </c>
      <c r="C124" t="str">
        <v>Xuanwen Beast</v>
      </c>
      <c r="D124" cm="1">
        <f t="array" aca="1" ref="D124" ca="1">IFERROR(SUM(INDIRECT(_xlfn.ANCHORARRAY(E124))),0)</f>
        <v>0</v>
      </c>
      <c r="E124" t="str" cm="1">
        <f t="array" ref="E124:H124">TRANSPOSE("'"&amp;IF(ISNUMBER(FIND("'",_xlfn._xlws.FILTER(INDEX(Weapon_List,,1),INDEX(Weapon_List,,6)=C124,))),LEFT(_xlfn._xlws.FILTER(INDEX(Weapon_List,,1),INDEX(Weapon_List,,6)=C124,),FIND("'",_xlfn._xlws.FILTER(INDEX(Weapon_List,,1),INDEX(Weapon_List,,6)=C124,)))&amp;"'"&amp;RIGHT(_xlfn._xlws.FILTER(INDEX(Weapon_List,,1),INDEX(Weapon_List,,6)=C124,),LEN(_xlfn._xlws.FILTER(INDEX(Weapon_List,,1),INDEX(Weapon_List,,6)=C124,))-FIND("'",_xlfn._xlws.FILTER(INDEX(Weapon_List,,1),INDEX(Weapon_List,,6)=C124,))),_xlfn._xlws.FILTER(INDEX(Weapon_List,,1),INDEX(Weapon_List,,6)=C124,))&amp;"'!G15")</f>
        <v>'Crane’s Echoing Call'!G15</v>
      </c>
      <c r="F124" t="str">
        <v>'Dialogues of the Desert Sages'!G15</v>
      </c>
      <c r="G124" t="str">
        <v>'Pouring Heartstrings'!G15</v>
      </c>
      <c r="H124" t="str">
        <v>'Chain Breaker'!G15</v>
      </c>
    </row>
    <row r="125" spans="1:11" x14ac:dyDescent="0.25">
      <c r="B125" s="61">
        <v>4</v>
      </c>
      <c r="C125" t="str">
        <v>Golem Guard</v>
      </c>
      <c r="D125" cm="1">
        <f t="array" aca="1" ref="D125" ca="1">IFERROR(SUM(INDIRECT(_xlfn.ANCHORARRAY(E125))),0)</f>
        <v>0</v>
      </c>
      <c r="E125" t="str" cm="1">
        <f t="array" ref="E125:H125">TRANSPOSE("'"&amp;IF(ISNUMBER(FIND("'",_xlfn._xlws.FILTER(INDEX(Weapon_List,,1),INDEX(Weapon_List,,6)=C125,))),LEFT(_xlfn._xlws.FILTER(INDEX(Weapon_List,,1),INDEX(Weapon_List,,6)=C125,),FIND("'",_xlfn._xlws.FILTER(INDEX(Weapon_List,,1),INDEX(Weapon_List,,6)=C125,)))&amp;"'"&amp;RIGHT(_xlfn._xlws.FILTER(INDEX(Weapon_List,,1),INDEX(Weapon_List,,6)=C125,),LEN(_xlfn._xlws.FILTER(INDEX(Weapon_List,,1),INDEX(Weapon_List,,6)=C125,))-FIND("'",_xlfn._xlws.FILTER(INDEX(Weapon_List,,1),INDEX(Weapon_List,,6)=C125,))),_xlfn._xlws.FILTER(INDEX(Weapon_List,,1),INDEX(Weapon_List,,6)=C125,))&amp;"'!G15")</f>
        <v>'Crimson Moon’s Semblance'!G15</v>
      </c>
      <c r="F125" t="str">
        <v>'Cloudweaver'!G15</v>
      </c>
      <c r="G125" t="str">
        <v>'Lumidouce Elegy'!G15</v>
      </c>
      <c r="H125" t="str">
        <v>'Flute of Ezpitzal'!G15</v>
      </c>
    </row>
    <row r="126" spans="1:11" x14ac:dyDescent="0.25">
      <c r="B126" s="61">
        <v>4</v>
      </c>
      <c r="C126" t="str">
        <v>Wayob Manifestation</v>
      </c>
      <c r="D126" cm="1">
        <f t="array" aca="1" ref="D126" ca="1">IFERROR(SUM(INDIRECT(_xlfn.ANCHORARRAY(E126))),0)</f>
        <v>0</v>
      </c>
      <c r="E126" t="str" cm="1">
        <f t="array" ref="E126:I126">TRANSPOSE("'"&amp;IF(ISNUMBER(FIND("'",_xlfn._xlws.FILTER(INDEX(Weapon_List,,1),INDEX(Weapon_List,,6)=C126,))),LEFT(_xlfn._xlws.FILTER(INDEX(Weapon_List,,1),INDEX(Weapon_List,,6)=C126,),FIND("'",_xlfn._xlws.FILTER(INDEX(Weapon_List,,1),INDEX(Weapon_List,,6)=C126,)))&amp;"'"&amp;RIGHT(_xlfn._xlws.FILTER(INDEX(Weapon_List,,1),INDEX(Weapon_List,,6)=C126,),LEN(_xlfn._xlws.FILTER(INDEX(Weapon_List,,1),INDEX(Weapon_List,,6)=C126,))-FIND("'",_xlfn._xlws.FILTER(INDEX(Weapon_List,,1),INDEX(Weapon_List,,6)=C126,))),_xlfn._xlws.FILTER(INDEX(Weapon_List,,1),INDEX(Weapon_List,,6)=C126,))&amp;"'!G15")</f>
        <v>'Ring of Yaxche'!G15</v>
      </c>
      <c r="F126" t="str">
        <v>'Surf''s Up'!G15</v>
      </c>
      <c r="G126" t="str">
        <v>'Sturdy Bone'!G15</v>
      </c>
      <c r="H126" t="str">
        <v>'Waveriding Whirl'!G15</v>
      </c>
      <c r="I126" t="str">
        <v>'Starcaller’s Watch'!G15</v>
      </c>
    </row>
    <row r="127" spans="1:11" x14ac:dyDescent="0.25">
      <c r="B127" s="61">
        <v>4</v>
      </c>
      <c r="C127" t="str">
        <v>Avatar of Lava</v>
      </c>
      <c r="D127" cm="1">
        <f t="array" aca="1" ref="D127" ca="1">IFERROR(SUM(INDIRECT(_xlfn.ANCHORARRAY(E127))),0)</f>
        <v>0</v>
      </c>
      <c r="E127" t="str" cm="1">
        <f t="array" ref="E127:I127">TRANSPOSE("'"&amp;IF(ISNUMBER(FIND("'",_xlfn._xlws.FILTER(INDEX(Weapon_List,,1),INDEX(Weapon_List,,6)=C127,))),LEFT(_xlfn._xlws.FILTER(INDEX(Weapon_List,,1),INDEX(Weapon_List,,6)=C127,),FIND("'",_xlfn._xlws.FILTER(INDEX(Weapon_List,,1),INDEX(Weapon_List,,6)=C127,)))&amp;"'"&amp;RIGHT(_xlfn._xlws.FILTER(INDEX(Weapon_List,,1),INDEX(Weapon_List,,6)=C127,),LEN(_xlfn._xlws.FILTER(INDEX(Weapon_List,,1),INDEX(Weapon_List,,6)=C127,))-FIND("'",_xlfn._xlws.FILTER(INDEX(Weapon_List,,1),INDEX(Weapon_List,,6)=C127,))),_xlfn._xlws.FILTER(INDEX(Weapon_List,,1),INDEX(Weapon_List,,6)=C127,))&amp;"'!G15")</f>
        <v>'Earth Shaker'!G15</v>
      </c>
      <c r="F127" t="str">
        <v>'Fang of the Mountain King'!G15</v>
      </c>
      <c r="G127" t="str">
        <v>'Mountain-Bracing Bolt'!G15</v>
      </c>
      <c r="H127" t="str">
        <v>'Flower-Wreathed Feathers'!G15</v>
      </c>
      <c r="I127" t="str">
        <v>'Sunny Morning Sleep-In'!G15</v>
      </c>
    </row>
    <row r="128" spans="1:11" x14ac:dyDescent="0.25">
      <c r="B128" s="61">
        <v>4</v>
      </c>
      <c r="C128" t="str">
        <v>Secret Source Automaton</v>
      </c>
      <c r="D128" cm="1">
        <f t="array" aca="1" ref="D128" ca="1">IFERROR(SUM(INDIRECT(_xlfn.ANCHORARRAY(E128))),0)</f>
        <v>0</v>
      </c>
      <c r="E128" t="str" cm="1">
        <f t="array" ref="E128:I128">TRANSPOSE("'"&amp;IF(ISNUMBER(FIND("'",_xlfn._xlws.FILTER(INDEX(Weapon_List,,1),INDEX(Weapon_List,,6)=C128,))),LEFT(_xlfn._xlws.FILTER(INDEX(Weapon_List,,1),INDEX(Weapon_List,,6)=C128,),FIND("'",_xlfn._xlws.FILTER(INDEX(Weapon_List,,1),INDEX(Weapon_List,,6)=C128,)))&amp;"'"&amp;RIGHT(_xlfn._xlws.FILTER(INDEX(Weapon_List,,1),INDEX(Weapon_List,,6)=C128,),LEN(_xlfn._xlws.FILTER(INDEX(Weapon_List,,1),INDEX(Weapon_List,,6)=C128,))-FIND("'",_xlfn._xlws.FILTER(INDEX(Weapon_List,,1),INDEX(Weapon_List,,6)=C128,))),_xlfn._xlws.FILTER(INDEX(Weapon_List,,1),INDEX(Weapon_List,,6)=C128,))&amp;"'!G15")</f>
        <v>'Footprint of the Rainbow'!G15</v>
      </c>
      <c r="F128" t="str">
        <v>'Ash-Graven Drinking Horn'!G15</v>
      </c>
      <c r="G128" t="str">
        <v>'Peak Patrol Song'!G15</v>
      </c>
      <c r="H128" t="str">
        <v>'Fruitful Hook'!G15</v>
      </c>
      <c r="I128" t="str">
        <v>'A Thousand Blazing Suns'!G15</v>
      </c>
    </row>
    <row r="129" spans="2:8" x14ac:dyDescent="0.25">
      <c r="B129" s="61">
        <v>4</v>
      </c>
      <c r="C129" t="str">
        <v>Tenebrous Mimiflora</v>
      </c>
      <c r="D129" cm="1">
        <f t="array" aca="1" ref="D129" ca="1">IFERROR(SUM(INDIRECT(_xlfn.ANCHORARRAY(E129))),0)</f>
        <v>0</v>
      </c>
      <c r="E129" t="str" cm="1">
        <f t="array" ref="E129:H129">TRANSPOSE("'"&amp;IF(ISNUMBER(FIND("'",_xlfn._xlws.FILTER(INDEX(Weapon_List,,1),INDEX(Weapon_List,,6)=C129,))),LEFT(_xlfn._xlws.FILTER(INDEX(Weapon_List,,1),INDEX(Weapon_List,,6)=C129,),FIND("'",_xlfn._xlws.FILTER(INDEX(Weapon_List,,1),INDEX(Weapon_List,,6)=C129,)))&amp;"'"&amp;RIGHT(_xlfn._xlws.FILTER(INDEX(Weapon_List,,1),INDEX(Weapon_List,,6)=C129,),LEN(_xlfn._xlws.FILTER(INDEX(Weapon_List,,1),INDEX(Weapon_List,,6)=C129,))-FIND("'",_xlfn._xlws.FILTER(INDEX(Weapon_List,,1),INDEX(Weapon_List,,6)=C129,))),_xlfn._xlws.FILTER(INDEX(Weapon_List,,1),INDEX(Weapon_List,,6)=C129,))&amp;"'!G15")</f>
        <v>'Astral Vulture’s Crimson'!G15</v>
      </c>
      <c r="F129" t="str">
        <v>'The Calamity of Eshu'!G15</v>
      </c>
      <c r="G129" t="str">
        <v>'Tamayuratei no Ohanashi'!G15</v>
      </c>
      <c r="H129" t="str">
        <v>'Azurelight'!G15</v>
      </c>
    </row>
    <row r="130" spans="2:8" x14ac:dyDescent="0.25">
      <c r="B130" s="61">
        <v>4</v>
      </c>
      <c r="C130" t="str">
        <v>Furnace Shell Mountain Weasel</v>
      </c>
      <c r="D130" cm="1">
        <f t="array" aca="1" ref="D130" ca="1">IFERROR(SUM(INDIRECT(_xlfn.ANCHORARRAY(E130))),0)</f>
        <v>27</v>
      </c>
      <c r="E130" t="str" cm="1">
        <f t="array" ref="E130:H130">TRANSPOSE("'"&amp;IF(ISNUMBER(FIND("'",_xlfn._xlws.FILTER(INDEX(Weapon_List,,1),INDEX(Weapon_List,,6)=C130,))),LEFT(_xlfn._xlws.FILTER(INDEX(Weapon_List,,1),INDEX(Weapon_List,,6)=C130,),FIND("'",_xlfn._xlws.FILTER(INDEX(Weapon_List,,1),INDEX(Weapon_List,,6)=C130,)))&amp;"'"&amp;RIGHT(_xlfn._xlws.FILTER(INDEX(Weapon_List,,1),INDEX(Weapon_List,,6)=C130,),LEN(_xlfn._xlws.FILTER(INDEX(Weapon_List,,1),INDEX(Weapon_List,,6)=C130,))-FIND("'",_xlfn._xlws.FILTER(INDEX(Weapon_List,,1),INDEX(Weapon_List,,6)=C130,))),_xlfn._xlws.FILTER(INDEX(Weapon_List,,1),INDEX(Weapon_List,,6)=C130,))&amp;"'!G15")</f>
        <v>'Vivid Notions'!G15</v>
      </c>
      <c r="F130" t="str">
        <v>'Sequence of Solitude'!G15</v>
      </c>
      <c r="G130" t="str">
        <v>'Fractured Halo'!G15</v>
      </c>
      <c r="H130" t="str">
        <v>'Flame-Forged Insight'!G15</v>
      </c>
    </row>
  </sheetData>
  <mergeCells count="2">
    <mergeCell ref="A1:A54"/>
    <mergeCell ref="A56:A116"/>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8DE39-AD51-4BEB-8AFE-0E065947CA7D}">
  <sheetPr codeName="Sheet88">
    <tabColor theme="5" tint="0.39997558519241921"/>
  </sheetPr>
  <dimension ref="A1:E130"/>
  <sheetViews>
    <sheetView workbookViewId="0">
      <selection activeCell="A11" sqref="A11:A13"/>
    </sheetView>
  </sheetViews>
  <sheetFormatPr defaultColWidth="8.85546875" defaultRowHeight="15" x14ac:dyDescent="0.25"/>
  <cols>
    <col min="1" max="1" width="26" bestFit="1" customWidth="1"/>
    <col min="2" max="4" width="6.42578125" bestFit="1" customWidth="1"/>
    <col min="5" max="5" width="7.42578125" bestFit="1" customWidth="1"/>
    <col min="8" max="8" width="12.7109375" bestFit="1" customWidth="1"/>
  </cols>
  <sheetData>
    <row r="1" spans="1:5" x14ac:dyDescent="0.25">
      <c r="A1" t="s">
        <v>193</v>
      </c>
      <c r="B1" t="s">
        <v>39</v>
      </c>
      <c r="C1" t="s">
        <v>40</v>
      </c>
      <c r="D1" t="s">
        <v>41</v>
      </c>
      <c r="E1" t="s">
        <v>42</v>
      </c>
    </row>
    <row r="2" spans="1:5" x14ac:dyDescent="0.25">
      <c r="A2" s="61" t="str" cm="1">
        <f t="array" ref="A2:A13">_xlfn.UNIQUE(LEFT(_xlfn._xlws.FILTER(_xlfn.UNIQUE('Character Talent Mats'!D3:D39),NOT(ISBLANK(_xlfn.UNIQUE('Character Talent Mats'!D3:D39)))),LEN(_xlfn._xlws.FILTER(_xlfn.UNIQUE('Character Talent Mats'!D3:D39),NOT(ISBLANK(_xlfn.UNIQUE('Character Talent Mats'!D3:D39)))))-2))</f>
        <v>Dvalin</v>
      </c>
      <c r="B2" s="84" cm="1">
        <f t="array" aca="1" ref="B2" ca="1">SUM(SUM(IFERROR(SUM(_xlfn.VSTACK(TRANSPOSE("'"&amp;_xlfn._xlws.FILTER(INDEX(Character_List,,1),INDEX(Character_List,,8)=_xlfn.CONCAT($A2," 1"),)&amp;"'!F4"),COUNTIF(INDIRECT(TRANSPOSE("'"&amp;_xlfn._xlws.FILTER(INDEX(Character_List,,1),INDEX(Character_List,,8)=_xlfn.CONCAT($A2," 1"),)&amp;"'!F4")),"&lt;7"))),0),IFERROR(SUM(_xlfn.VSTACK(TRANSPOSE("'"&amp;_xlfn._xlws.FILTER(INDEX(Character_List,,1),INDEX(Character_List,,8)=_xlfn.CONCAT($A2," 1"),)&amp;"'!F17"),COUNTIF(INDIRECT(TRANSPOSE("'"&amp;_xlfn._xlws.FILTER(INDEX(Character_List,,1),INDEX(Character_List,,8)=_xlfn.CONCAT($A2," 1"),)&amp;"'!F17")),"&lt;7"))),0),IFERROR(SUM(_xlfn.VSTACK(TRANSPOSE("'"&amp;_xlfn._xlws.FILTER(INDEX(Character_List,,1),INDEX(Character_List,,8)=_xlfn.CONCAT($A2," 1"),)&amp;"'!F30"),COUNTIF(INDIRECT(TRANSPOSE("'"&amp;_xlfn._xlws.FILTER(INDEX(Character_List,,1),INDEX(Character_List,,8)=_xlfn.CONCAT($A2," 1"),)&amp;"'!F30")),"&lt;7"))),0)),SUM(IFERROR(SUM(_xlfn.VSTACK(TRANSPOSE("'"&amp;_xlfn._xlws.FILTER(INDEX(Character_List,,1),INDEX(Character_List,,8)=_xlfn.CONCAT($A2," 2"),)&amp;"'!F4"),COUNTIF(INDIRECT(TRANSPOSE("'"&amp;_xlfn._xlws.FILTER(INDEX(Character_List,,1),INDEX(Character_List,,8)=_xlfn.CONCAT($A2," 2"),)&amp;"'!F4")),"&lt;7"))),0),IFERROR(SUM(_xlfn.VSTACK(TRANSPOSE("'"&amp;_xlfn._xlws.FILTER(INDEX(Character_List,,1),INDEX(Character_List,,8)=_xlfn.CONCAT($A2," 2"),)&amp;"'!F17"),COUNTIF(INDIRECT(TRANSPOSE("'"&amp;_xlfn._xlws.FILTER(INDEX(Character_List,,1),INDEX(Character_List,,8)=_xlfn.CONCAT($A2," 2"),)&amp;"'!F17")),"&lt;7"))),0),IFERROR(SUM(_xlfn.VSTACK(TRANSPOSE("'"&amp;_xlfn._xlws.FILTER(INDEX(Character_List,,1),INDEX(Character_List,,8)=_xlfn.CONCAT($A2," 2"),)&amp;"'!F30"),COUNTIF(INDIRECT(TRANSPOSE("'"&amp;_xlfn._xlws.FILTER(INDEX(Character_List,,1),INDEX(Character_List,,8)=_xlfn.CONCAT($A2," 2"),)&amp;"'!F30")),"&lt;7"))),0)),SUM(IFERROR(SUM(_xlfn.VSTACK(TRANSPOSE("'"&amp;_xlfn._xlws.FILTER(INDEX(Character_List,,1),INDEX(Character_List,,8)=_xlfn.CONCAT($A2," 3"),)&amp;"'!F4"),COUNTIF(INDIRECT(TRANSPOSE("'"&amp;_xlfn._xlws.FILTER(INDEX(Character_List,,1),INDEX(Character_List,,8)=_xlfn.CONCAT($A2," 3"),)&amp;"'!F4")),"&lt;7"))),0),IFERROR(SUM(_xlfn.VSTACK(TRANSPOSE("'"&amp;_xlfn._xlws.FILTER(INDEX(Character_List,,1),INDEX(Character_List,,8)=_xlfn.CONCAT($A2," 3"),)&amp;"'!F17"),COUNTIF(INDIRECT(TRANSPOSE("'"&amp;_xlfn._xlws.FILTER(INDEX(Character_List,,1),INDEX(Character_List,,8)=_xlfn.CONCAT($A2," 3"),)&amp;"'!F17")),"&lt;7"))),0),IFERROR(SUM(_xlfn.VSTACK(TRANSPOSE("'"&amp;_xlfn._xlws.FILTER(INDEX(Character_List,,1),INDEX(Character_List,,8)=_xlfn.CONCAT($A2," 3"),)&amp;"'!F30"),COUNTIF(INDIRECT(TRANSPOSE("'"&amp;_xlfn._xlws.FILTER(INDEX(Character_List,,1),INDEX(Character_List,,8)=_xlfn.CONCAT($A2," 3"),)&amp;"'!F30")),"&lt;7"))),0)))</f>
        <v>0</v>
      </c>
      <c r="C2" s="84" cm="1">
        <f t="array" aca="1" ref="C2" ca="1">SUM(SUM(IFERROR(SUM(_xlfn.VSTACK(TRANSPOSE("'"&amp;_xlfn._xlws.FILTER(INDEX(Character_List,,1),INDEX(Character_List,,8)=_xlfn.CONCAT($A2," 1"),)&amp;"'!F4"),COUNTIF(INDIRECT(TRANSPOSE("'"&amp;_xlfn._xlws.FILTER(INDEX(Character_List,,1),INDEX(Character_List,,8)=_xlfn.CONCAT($A2," 1"),)&amp;"'!F4")),"&lt;8"))),0),IFERROR(SUM(_xlfn.VSTACK(TRANSPOSE("'"&amp;_xlfn._xlws.FILTER(INDEX(Character_List,,1),INDEX(Character_List,,8)=_xlfn.CONCAT($A2," 1"),)&amp;"'!F17"),COUNTIF(INDIRECT(TRANSPOSE("'"&amp;_xlfn._xlws.FILTER(INDEX(Character_List,,1),INDEX(Character_List,,8)=_xlfn.CONCAT($A2," 1"),)&amp;"'!F17")),"&lt;8"))),0),IFERROR(SUM(_xlfn.VSTACK(TRANSPOSE("'"&amp;_xlfn._xlws.FILTER(INDEX(Character_List,,1),INDEX(Character_List,,8)=_xlfn.CONCAT($A2," 1"),)&amp;"'!F30"),COUNTIF(INDIRECT(TRANSPOSE("'"&amp;_xlfn._xlws.FILTER(INDEX(Character_List,,1),INDEX(Character_List,,8)=_xlfn.CONCAT($A2," 1"),)&amp;"'!F30")),"&lt;8"))),0)),SUM(IFERROR(SUM(_xlfn.VSTACK(TRANSPOSE("'"&amp;_xlfn._xlws.FILTER(INDEX(Character_List,,1),INDEX(Character_List,,8)=_xlfn.CONCAT($A2," 2"),)&amp;"'!F4"),COUNTIF(INDIRECT(TRANSPOSE("'"&amp;_xlfn._xlws.FILTER(INDEX(Character_List,,1),INDEX(Character_List,,8)=_xlfn.CONCAT($A2," 2"),)&amp;"'!F4")),"&lt;8"))),0),IFERROR(SUM(_xlfn.VSTACK(TRANSPOSE("'"&amp;_xlfn._xlws.FILTER(INDEX(Character_List,,1),INDEX(Character_List,,8)=_xlfn.CONCAT($A2," 2"),)&amp;"'!F17"),COUNTIF(INDIRECT(TRANSPOSE("'"&amp;_xlfn._xlws.FILTER(INDEX(Character_List,,1),INDEX(Character_List,,8)=_xlfn.CONCAT($A2," 2"),)&amp;"'!F17")),"&lt;8"))),0),IFERROR(SUM(_xlfn.VSTACK(TRANSPOSE("'"&amp;_xlfn._xlws.FILTER(INDEX(Character_List,,1),INDEX(Character_List,,8)=_xlfn.CONCAT($A2," 2"),)&amp;"'!F30"),COUNTIF(INDIRECT(TRANSPOSE("'"&amp;_xlfn._xlws.FILTER(INDEX(Character_List,,1),INDEX(Character_List,,8)=_xlfn.CONCAT($A2," 2"),)&amp;"'!F30")),"&lt;8"))),0)),SUM(IFERROR(SUM(_xlfn.VSTACK(TRANSPOSE("'"&amp;_xlfn._xlws.FILTER(INDEX(Character_List,,1),INDEX(Character_List,,8)=_xlfn.CONCAT($A2," 3"),)&amp;"'!F4"),COUNTIF(INDIRECT(TRANSPOSE("'"&amp;_xlfn._xlws.FILTER(INDEX(Character_List,,1),INDEX(Character_List,,8)=_xlfn.CONCAT($A2," 3"),)&amp;"'!F4")),"&lt;8"))),0),IFERROR(SUM(_xlfn.VSTACK(TRANSPOSE("'"&amp;_xlfn._xlws.FILTER(INDEX(Character_List,,1),INDEX(Character_List,,8)=_xlfn.CONCAT($A2," 3"),)&amp;"'!F17"),COUNTIF(INDIRECT(TRANSPOSE("'"&amp;_xlfn._xlws.FILTER(INDEX(Character_List,,1),INDEX(Character_List,,8)=_xlfn.CONCAT($A2," 3"),)&amp;"'!F17")),"&lt;8"))),0),IFERROR(SUM(_xlfn.VSTACK(TRANSPOSE("'"&amp;_xlfn._xlws.FILTER(INDEX(Character_List,,1),INDEX(Character_List,,8)=_xlfn.CONCAT($A2," 3"),)&amp;"'!F30"),COUNTIF(INDIRECT(TRANSPOSE("'"&amp;_xlfn._xlws.FILTER(INDEX(Character_List,,1),INDEX(Character_List,,8)=_xlfn.CONCAT($A2," 3"),)&amp;"'!F30")),"&lt;8"))),0)))</f>
        <v>0</v>
      </c>
      <c r="D2" s="84" cm="1">
        <f t="array" aca="1" ref="D2" ca="1">SUM(SUM(IFERROR(SUM(_xlfn.VSTACK(TRANSPOSE("'"&amp;_xlfn._xlws.FILTER(INDEX(Character_List,,1),INDEX(Character_List,,8)=_xlfn.CONCAT($A2," 1"),)&amp;"'!F4"),COUNTIF(INDIRECT(TRANSPOSE("'"&amp;_xlfn._xlws.FILTER(INDEX(Character_List,,1),INDEX(Character_List,,8)=_xlfn.CONCAT($A2," 1"),)&amp;"'!F4")),"&lt;9"))),0),IFERROR(SUM(_xlfn.VSTACK(TRANSPOSE("'"&amp;_xlfn._xlws.FILTER(INDEX(Character_List,,1),INDEX(Character_List,,8)=_xlfn.CONCAT($A2," 1"),)&amp;"'!F17"),COUNTIF(INDIRECT(TRANSPOSE("'"&amp;_xlfn._xlws.FILTER(INDEX(Character_List,,1),INDEX(Character_List,,8)=_xlfn.CONCAT($A2," 1"),)&amp;"'!F17")),"&lt;9"))),0),IFERROR(SUM(_xlfn.VSTACK(TRANSPOSE("'"&amp;_xlfn._xlws.FILTER(INDEX(Character_List,,1),INDEX(Character_List,,8)=_xlfn.CONCAT($A2," 1"),)&amp;"'!F30"),COUNTIF(INDIRECT(TRANSPOSE("'"&amp;_xlfn._xlws.FILTER(INDEX(Character_List,,1),INDEX(Character_List,,8)=_xlfn.CONCAT($A2," 1"),)&amp;"'!F30")),"&lt;9"))),0)),SUM(IFERROR(SUM(_xlfn.VSTACK(TRANSPOSE("'"&amp;_xlfn._xlws.FILTER(INDEX(Character_List,,1),INDEX(Character_List,,8)=_xlfn.CONCAT($A2," 2"),)&amp;"'!F4"),COUNTIF(INDIRECT(TRANSPOSE("'"&amp;_xlfn._xlws.FILTER(INDEX(Character_List,,1),INDEX(Character_List,,8)=_xlfn.CONCAT($A2," 2"),)&amp;"'!F4")),"&lt;9"))),0),IFERROR(SUM(_xlfn.VSTACK(TRANSPOSE("'"&amp;_xlfn._xlws.FILTER(INDEX(Character_List,,1),INDEX(Character_List,,8)=_xlfn.CONCAT($A2," 2"),)&amp;"'!F17"),COUNTIF(INDIRECT(TRANSPOSE("'"&amp;_xlfn._xlws.FILTER(INDEX(Character_List,,1),INDEX(Character_List,,8)=_xlfn.CONCAT($A2," 2"),)&amp;"'!F17")),"&lt;9"))),0),IFERROR(SUM(_xlfn.VSTACK(TRANSPOSE("'"&amp;_xlfn._xlws.FILTER(INDEX(Character_List,,1),INDEX(Character_List,,8)=_xlfn.CONCAT($A2," 2"),)&amp;"'!F30"),COUNTIF(INDIRECT(TRANSPOSE("'"&amp;_xlfn._xlws.FILTER(INDEX(Character_List,,1),INDEX(Character_List,,8)=_xlfn.CONCAT($A2," 2"),)&amp;"'!F30")),"&lt;9"))),0)),SUM(IFERROR(SUM(_xlfn.VSTACK(TRANSPOSE("'"&amp;_xlfn._xlws.FILTER(INDEX(Character_List,,1),INDEX(Character_List,,8)=_xlfn.CONCAT($A2," 3"),)&amp;"'!F4"),COUNTIF(INDIRECT(TRANSPOSE("'"&amp;_xlfn._xlws.FILTER(INDEX(Character_List,,1),INDEX(Character_List,,8)=_xlfn.CONCAT($A2," 3"),)&amp;"'!F4")),"&lt;9"))),0),IFERROR(SUM(_xlfn.VSTACK(TRANSPOSE("'"&amp;_xlfn._xlws.FILTER(INDEX(Character_List,,1),INDEX(Character_List,,8)=_xlfn.CONCAT($A2," 3"),)&amp;"'!F17"),COUNTIF(INDIRECT(TRANSPOSE("'"&amp;_xlfn._xlws.FILTER(INDEX(Character_List,,1),INDEX(Character_List,,8)=_xlfn.CONCAT($A2," 3"),)&amp;"'!F17")),"&lt;9"))),0),IFERROR(SUM(_xlfn.VSTACK(TRANSPOSE("'"&amp;_xlfn._xlws.FILTER(INDEX(Character_List,,1),INDEX(Character_List,,8)=_xlfn.CONCAT($A2," 3"),)&amp;"'!F30"),COUNTIF(INDIRECT(TRANSPOSE("'"&amp;_xlfn._xlws.FILTER(INDEX(Character_List,,1),INDEX(Character_List,,8)=_xlfn.CONCAT($A2," 3"),)&amp;"'!F30")),"&lt;9"))),0)))</f>
        <v>0</v>
      </c>
      <c r="E2" cm="1">
        <f t="array" aca="1" ref="E2" ca="1">SUM(SUM(IFERROR(SUM(_xlfn.VSTACK(TRANSPOSE("'"&amp;_xlfn._xlws.FILTER(INDEX(Character_List,,1),INDEX(Character_List,,8)=_xlfn.CONCAT($A2," 1"),)&amp;"'!F4"),COUNTIF(INDIRECT(TRANSPOSE("'"&amp;_xlfn._xlws.FILTER(INDEX(Character_List,,1),INDEX(Character_List,,8)=_xlfn.CONCAT($A2," 1"),)&amp;"'!F4")),"&lt;10"))),0),IFERROR(SUM(_xlfn.VSTACK(TRANSPOSE("'"&amp;_xlfn._xlws.FILTER(INDEX(Character_List,,1),INDEX(Character_List,,8)=_xlfn.CONCAT($A2," 1"),)&amp;"'!F17"),COUNTIF(INDIRECT(TRANSPOSE("'"&amp;_xlfn._xlws.FILTER(INDEX(Character_List,,1),INDEX(Character_List,,8)=_xlfn.CONCAT($A2," 1"),)&amp;"'!F17")),"&lt;10"))),0),IFERROR(SUM(_xlfn.VSTACK(TRANSPOSE("'"&amp;_xlfn._xlws.FILTER(INDEX(Character_List,,1),INDEX(Character_List,,8)=_xlfn.CONCAT($A2," 1"),)&amp;"'!F30"),COUNTIF(INDIRECT(TRANSPOSE("'"&amp;_xlfn._xlws.FILTER(INDEX(Character_List,,1),INDEX(Character_List,,8)=_xlfn.CONCAT($A2," 1"),)&amp;"'!F30")),"&lt;10"))),0)),SUM(IFERROR(SUM(_xlfn.VSTACK(TRANSPOSE("'"&amp;_xlfn._xlws.FILTER(INDEX(Character_List,,1),INDEX(Character_List,,8)=_xlfn.CONCAT($A2," 2"),)&amp;"'!F4"),COUNTIF(INDIRECT(TRANSPOSE("'"&amp;_xlfn._xlws.FILTER(INDEX(Character_List,,1),INDEX(Character_List,,8)=_xlfn.CONCAT($A2," 2"),)&amp;"'!F4")),"&lt;10"))),0),IFERROR(SUM(_xlfn.VSTACK(TRANSPOSE("'"&amp;_xlfn._xlws.FILTER(INDEX(Character_List,,1),INDEX(Character_List,,8)=_xlfn.CONCAT($A2," 2"),)&amp;"'!F17"),COUNTIF(INDIRECT(TRANSPOSE("'"&amp;_xlfn._xlws.FILTER(INDEX(Character_List,,1),INDEX(Character_List,,8)=_xlfn.CONCAT($A2," 2"),)&amp;"'!F17")),"&lt;10"))),0),IFERROR(SUM(_xlfn.VSTACK(TRANSPOSE("'"&amp;_xlfn._xlws.FILTER(INDEX(Character_List,,1),INDEX(Character_List,,8)=_xlfn.CONCAT($A2," 2"),)&amp;"'!F30"),COUNTIF(INDIRECT(TRANSPOSE("'"&amp;_xlfn._xlws.FILTER(INDEX(Character_List,,1),INDEX(Character_List,,8)=_xlfn.CONCAT($A2," 2"),)&amp;"'!F30")),"&lt;10"))),0)),SUM(IFERROR(SUM(_xlfn.VSTACK(TRANSPOSE("'"&amp;_xlfn._xlws.FILTER(INDEX(Character_List,,1),INDEX(Character_List,,8)=_xlfn.CONCAT($A2," 3"),)&amp;"'!F4"),COUNTIF(INDIRECT(TRANSPOSE("'"&amp;_xlfn._xlws.FILTER(INDEX(Character_List,,1),INDEX(Character_List,,8)=_xlfn.CONCAT($A2," 3"),)&amp;"'!F4")),"&lt;10"))),0),IFERROR(SUM(_xlfn.VSTACK(TRANSPOSE("'"&amp;_xlfn._xlws.FILTER(INDEX(Character_List,,1),INDEX(Character_List,,8)=_xlfn.CONCAT($A2," 3"),)&amp;"'!F17"),COUNTIF(INDIRECT(TRANSPOSE("'"&amp;_xlfn._xlws.FILTER(INDEX(Character_List,,1),INDEX(Character_List,,8)=_xlfn.CONCAT($A2," 3"),)&amp;"'!F17")),"&lt;10"))),0),IFERROR(SUM(_xlfn.VSTACK(TRANSPOSE("'"&amp;_xlfn._xlws.FILTER(INDEX(Character_List,,1),INDEX(Character_List,,8)=_xlfn.CONCAT($A2," 3"),)&amp;"'!F30"),COUNTIF(INDIRECT(TRANSPOSE("'"&amp;_xlfn._xlws.FILTER(INDEX(Character_List,,1),INDEX(Character_List,,8)=_xlfn.CONCAT($A2," 3"),)&amp;"'!F30")),"&lt;10"))),0)))</f>
        <v>30</v>
      </c>
    </row>
    <row r="3" spans="1:5" x14ac:dyDescent="0.25">
      <c r="A3" s="61" t="str">
        <v>Boreas</v>
      </c>
      <c r="B3" s="84" cm="1">
        <f t="array" aca="1" ref="B3" ca="1">SUM(SUM(IFERROR(SUM(_xlfn.VSTACK(TRANSPOSE("'"&amp;_xlfn._xlws.FILTER(INDEX(Character_List,,1),INDEX(Character_List,,8)=_xlfn.CONCAT($A3," 1"),)&amp;"'!F4"),COUNTIF(INDIRECT(TRANSPOSE("'"&amp;_xlfn._xlws.FILTER(INDEX(Character_List,,1),INDEX(Character_List,,8)=_xlfn.CONCAT($A3," 1"),)&amp;"'!F4")),"&lt;7"))),0),IFERROR(SUM(_xlfn.VSTACK(TRANSPOSE("'"&amp;_xlfn._xlws.FILTER(INDEX(Character_List,,1),INDEX(Character_List,,8)=_xlfn.CONCAT($A3," 1"),)&amp;"'!F17"),COUNTIF(INDIRECT(TRANSPOSE("'"&amp;_xlfn._xlws.FILTER(INDEX(Character_List,,1),INDEX(Character_List,,8)=_xlfn.CONCAT($A3," 1"),)&amp;"'!F17")),"&lt;7"))),0),IFERROR(SUM(_xlfn.VSTACK(TRANSPOSE("'"&amp;_xlfn._xlws.FILTER(INDEX(Character_List,,1),INDEX(Character_List,,8)=_xlfn.CONCAT($A3," 1"),)&amp;"'!F30"),COUNTIF(INDIRECT(TRANSPOSE("'"&amp;_xlfn._xlws.FILTER(INDEX(Character_List,,1),INDEX(Character_List,,8)=_xlfn.CONCAT($A3," 1"),)&amp;"'!F30")),"&lt;7"))),0)),SUM(IFERROR(SUM(_xlfn.VSTACK(TRANSPOSE("'"&amp;_xlfn._xlws.FILTER(INDEX(Character_List,,1),INDEX(Character_List,,8)=_xlfn.CONCAT($A3," 2"),)&amp;"'!F4"),COUNTIF(INDIRECT(TRANSPOSE("'"&amp;_xlfn._xlws.FILTER(INDEX(Character_List,,1),INDEX(Character_List,,8)=_xlfn.CONCAT($A3," 2"),)&amp;"'!F4")),"&lt;7"))),0),IFERROR(SUM(_xlfn.VSTACK(TRANSPOSE("'"&amp;_xlfn._xlws.FILTER(INDEX(Character_List,,1),INDEX(Character_List,,8)=_xlfn.CONCAT($A3," 2"),)&amp;"'!F17"),COUNTIF(INDIRECT(TRANSPOSE("'"&amp;_xlfn._xlws.FILTER(INDEX(Character_List,,1),INDEX(Character_List,,8)=_xlfn.CONCAT($A3," 2"),)&amp;"'!F17")),"&lt;7"))),0),IFERROR(SUM(_xlfn.VSTACK(TRANSPOSE("'"&amp;_xlfn._xlws.FILTER(INDEX(Character_List,,1),INDEX(Character_List,,8)=_xlfn.CONCAT($A3," 2"),)&amp;"'!F30"),COUNTIF(INDIRECT(TRANSPOSE("'"&amp;_xlfn._xlws.FILTER(INDEX(Character_List,,1),INDEX(Character_List,,8)=_xlfn.CONCAT($A3," 2"),)&amp;"'!F30")),"&lt;7"))),0)),SUM(IFERROR(SUM(_xlfn.VSTACK(TRANSPOSE("'"&amp;_xlfn._xlws.FILTER(INDEX(Character_List,,1),INDEX(Character_List,,8)=_xlfn.CONCAT($A3," 3"),)&amp;"'!F4"),COUNTIF(INDIRECT(TRANSPOSE("'"&amp;_xlfn._xlws.FILTER(INDEX(Character_List,,1),INDEX(Character_List,,8)=_xlfn.CONCAT($A3," 3"),)&amp;"'!F4")),"&lt;7"))),0),IFERROR(SUM(_xlfn.VSTACK(TRANSPOSE("'"&amp;_xlfn._xlws.FILTER(INDEX(Character_List,,1),INDEX(Character_List,,8)=_xlfn.CONCAT($A3," 3"),)&amp;"'!F17"),COUNTIF(INDIRECT(TRANSPOSE("'"&amp;_xlfn._xlws.FILTER(INDEX(Character_List,,1),INDEX(Character_List,,8)=_xlfn.CONCAT($A3," 3"),)&amp;"'!F17")),"&lt;7"))),0),IFERROR(SUM(_xlfn.VSTACK(TRANSPOSE("'"&amp;_xlfn._xlws.FILTER(INDEX(Character_List,,1),INDEX(Character_List,,8)=_xlfn.CONCAT($A3," 3"),)&amp;"'!F30"),COUNTIF(INDIRECT(TRANSPOSE("'"&amp;_xlfn._xlws.FILTER(INDEX(Character_List,,1),INDEX(Character_List,,8)=_xlfn.CONCAT($A3," 3"),)&amp;"'!F30")),"&lt;7"))),0)))</f>
        <v>0</v>
      </c>
      <c r="C3" s="84" cm="1">
        <f t="array" aca="1" ref="C3" ca="1">SUM(SUM(IFERROR(SUM(_xlfn.VSTACK(TRANSPOSE("'"&amp;_xlfn._xlws.FILTER(INDEX(Character_List,,1),INDEX(Character_List,,8)=_xlfn.CONCAT($A3," 1"),)&amp;"'!F4"),COUNTIF(INDIRECT(TRANSPOSE("'"&amp;_xlfn._xlws.FILTER(INDEX(Character_List,,1),INDEX(Character_List,,8)=_xlfn.CONCAT($A3," 1"),)&amp;"'!F4")),"&lt;8"))),0),IFERROR(SUM(_xlfn.VSTACK(TRANSPOSE("'"&amp;_xlfn._xlws.FILTER(INDEX(Character_List,,1),INDEX(Character_List,,8)=_xlfn.CONCAT($A3," 1"),)&amp;"'!F17"),COUNTIF(INDIRECT(TRANSPOSE("'"&amp;_xlfn._xlws.FILTER(INDEX(Character_List,,1),INDEX(Character_List,,8)=_xlfn.CONCAT($A3," 1"),)&amp;"'!F17")),"&lt;8"))),0),IFERROR(SUM(_xlfn.VSTACK(TRANSPOSE("'"&amp;_xlfn._xlws.FILTER(INDEX(Character_List,,1),INDEX(Character_List,,8)=_xlfn.CONCAT($A3," 1"),)&amp;"'!F30"),COUNTIF(INDIRECT(TRANSPOSE("'"&amp;_xlfn._xlws.FILTER(INDEX(Character_List,,1),INDEX(Character_List,,8)=_xlfn.CONCAT($A3," 1"),)&amp;"'!F30")),"&lt;8"))),0)),SUM(IFERROR(SUM(_xlfn.VSTACK(TRANSPOSE("'"&amp;_xlfn._xlws.FILTER(INDEX(Character_List,,1),INDEX(Character_List,,8)=_xlfn.CONCAT($A3," 2"),)&amp;"'!F4"),COUNTIF(INDIRECT(TRANSPOSE("'"&amp;_xlfn._xlws.FILTER(INDEX(Character_List,,1),INDEX(Character_List,,8)=_xlfn.CONCAT($A3," 2"),)&amp;"'!F4")),"&lt;8"))),0),IFERROR(SUM(_xlfn.VSTACK(TRANSPOSE("'"&amp;_xlfn._xlws.FILTER(INDEX(Character_List,,1),INDEX(Character_List,,8)=_xlfn.CONCAT($A3," 2"),)&amp;"'!F17"),COUNTIF(INDIRECT(TRANSPOSE("'"&amp;_xlfn._xlws.FILTER(INDEX(Character_List,,1),INDEX(Character_List,,8)=_xlfn.CONCAT($A3," 2"),)&amp;"'!F17")),"&lt;8"))),0),IFERROR(SUM(_xlfn.VSTACK(TRANSPOSE("'"&amp;_xlfn._xlws.FILTER(INDEX(Character_List,,1),INDEX(Character_List,,8)=_xlfn.CONCAT($A3," 2"),)&amp;"'!F30"),COUNTIF(INDIRECT(TRANSPOSE("'"&amp;_xlfn._xlws.FILTER(INDEX(Character_List,,1),INDEX(Character_List,,8)=_xlfn.CONCAT($A3," 2"),)&amp;"'!F30")),"&lt;8"))),0)),SUM(IFERROR(SUM(_xlfn.VSTACK(TRANSPOSE("'"&amp;_xlfn._xlws.FILTER(INDEX(Character_List,,1),INDEX(Character_List,,8)=_xlfn.CONCAT($A3," 3"),)&amp;"'!F4"),COUNTIF(INDIRECT(TRANSPOSE("'"&amp;_xlfn._xlws.FILTER(INDEX(Character_List,,1),INDEX(Character_List,,8)=_xlfn.CONCAT($A3," 3"),)&amp;"'!F4")),"&lt;8"))),0),IFERROR(SUM(_xlfn.VSTACK(TRANSPOSE("'"&amp;_xlfn._xlws.FILTER(INDEX(Character_List,,1),INDEX(Character_List,,8)=_xlfn.CONCAT($A3," 3"),)&amp;"'!F17"),COUNTIF(INDIRECT(TRANSPOSE("'"&amp;_xlfn._xlws.FILTER(INDEX(Character_List,,1),INDEX(Character_List,,8)=_xlfn.CONCAT($A3," 3"),)&amp;"'!F17")),"&lt;8"))),0),IFERROR(SUM(_xlfn.VSTACK(TRANSPOSE("'"&amp;_xlfn._xlws.FILTER(INDEX(Character_List,,1),INDEX(Character_List,,8)=_xlfn.CONCAT($A3," 3"),)&amp;"'!F30"),COUNTIF(INDIRECT(TRANSPOSE("'"&amp;_xlfn._xlws.FILTER(INDEX(Character_List,,1),INDEX(Character_List,,8)=_xlfn.CONCAT($A3," 3"),)&amp;"'!F30")),"&lt;8"))),0)))</f>
        <v>0</v>
      </c>
      <c r="D3" s="84" cm="1">
        <f t="array" aca="1" ref="D3" ca="1">SUM(SUM(IFERROR(SUM(_xlfn.VSTACK(TRANSPOSE("'"&amp;_xlfn._xlws.FILTER(INDEX(Character_List,,1),INDEX(Character_List,,8)=_xlfn.CONCAT($A3," 1"),)&amp;"'!F4"),COUNTIF(INDIRECT(TRANSPOSE("'"&amp;_xlfn._xlws.FILTER(INDEX(Character_List,,1),INDEX(Character_List,,8)=_xlfn.CONCAT($A3," 1"),)&amp;"'!F4")),"&lt;9"))),0),IFERROR(SUM(_xlfn.VSTACK(TRANSPOSE("'"&amp;_xlfn._xlws.FILTER(INDEX(Character_List,,1),INDEX(Character_List,,8)=_xlfn.CONCAT($A3," 1"),)&amp;"'!F17"),COUNTIF(INDIRECT(TRANSPOSE("'"&amp;_xlfn._xlws.FILTER(INDEX(Character_List,,1),INDEX(Character_List,,8)=_xlfn.CONCAT($A3," 1"),)&amp;"'!F17")),"&lt;9"))),0),IFERROR(SUM(_xlfn.VSTACK(TRANSPOSE("'"&amp;_xlfn._xlws.FILTER(INDEX(Character_List,,1),INDEX(Character_List,,8)=_xlfn.CONCAT($A3," 1"),)&amp;"'!F30"),COUNTIF(INDIRECT(TRANSPOSE("'"&amp;_xlfn._xlws.FILTER(INDEX(Character_List,,1),INDEX(Character_List,,8)=_xlfn.CONCAT($A3," 1"),)&amp;"'!F30")),"&lt;9"))),0)),SUM(IFERROR(SUM(_xlfn.VSTACK(TRANSPOSE("'"&amp;_xlfn._xlws.FILTER(INDEX(Character_List,,1),INDEX(Character_List,,8)=_xlfn.CONCAT($A3," 2"),)&amp;"'!F4"),COUNTIF(INDIRECT(TRANSPOSE("'"&amp;_xlfn._xlws.FILTER(INDEX(Character_List,,1),INDEX(Character_List,,8)=_xlfn.CONCAT($A3," 2"),)&amp;"'!F4")),"&lt;9"))),0),IFERROR(SUM(_xlfn.VSTACK(TRANSPOSE("'"&amp;_xlfn._xlws.FILTER(INDEX(Character_List,,1),INDEX(Character_List,,8)=_xlfn.CONCAT($A3," 2"),)&amp;"'!F17"),COUNTIF(INDIRECT(TRANSPOSE("'"&amp;_xlfn._xlws.FILTER(INDEX(Character_List,,1),INDEX(Character_List,,8)=_xlfn.CONCAT($A3," 2"),)&amp;"'!F17")),"&lt;9"))),0),IFERROR(SUM(_xlfn.VSTACK(TRANSPOSE("'"&amp;_xlfn._xlws.FILTER(INDEX(Character_List,,1),INDEX(Character_List,,8)=_xlfn.CONCAT($A3," 2"),)&amp;"'!F30"),COUNTIF(INDIRECT(TRANSPOSE("'"&amp;_xlfn._xlws.FILTER(INDEX(Character_List,,1),INDEX(Character_List,,8)=_xlfn.CONCAT($A3," 2"),)&amp;"'!F30")),"&lt;9"))),0)),SUM(IFERROR(SUM(_xlfn.VSTACK(TRANSPOSE("'"&amp;_xlfn._xlws.FILTER(INDEX(Character_List,,1),INDEX(Character_List,,8)=_xlfn.CONCAT($A3," 3"),)&amp;"'!F4"),COUNTIF(INDIRECT(TRANSPOSE("'"&amp;_xlfn._xlws.FILTER(INDEX(Character_List,,1),INDEX(Character_List,,8)=_xlfn.CONCAT($A3," 3"),)&amp;"'!F4")),"&lt;9"))),0),IFERROR(SUM(_xlfn.VSTACK(TRANSPOSE("'"&amp;_xlfn._xlws.FILTER(INDEX(Character_List,,1),INDEX(Character_List,,8)=_xlfn.CONCAT($A3," 3"),)&amp;"'!F17"),COUNTIF(INDIRECT(TRANSPOSE("'"&amp;_xlfn._xlws.FILTER(INDEX(Character_List,,1),INDEX(Character_List,,8)=_xlfn.CONCAT($A3," 3"),)&amp;"'!F17")),"&lt;9"))),0),IFERROR(SUM(_xlfn.VSTACK(TRANSPOSE("'"&amp;_xlfn._xlws.FILTER(INDEX(Character_List,,1),INDEX(Character_List,,8)=_xlfn.CONCAT($A3," 3"),)&amp;"'!F30"),COUNTIF(INDIRECT(TRANSPOSE("'"&amp;_xlfn._xlws.FILTER(INDEX(Character_List,,1),INDEX(Character_List,,8)=_xlfn.CONCAT($A3," 3"),)&amp;"'!F30")),"&lt;9"))),0)))</f>
        <v>0</v>
      </c>
      <c r="E3" cm="1">
        <f t="array" aca="1" ref="E3" ca="1">SUM(SUM(IFERROR(SUM(_xlfn.VSTACK(TRANSPOSE("'"&amp;_xlfn._xlws.FILTER(INDEX(Character_List,,1),INDEX(Character_List,,8)=_xlfn.CONCAT($A3," 1"),)&amp;"'!F4"),COUNTIF(INDIRECT(TRANSPOSE("'"&amp;_xlfn._xlws.FILTER(INDEX(Character_List,,1),INDEX(Character_List,,8)=_xlfn.CONCAT($A3," 1"),)&amp;"'!F4")),"&lt;10"))),0),IFERROR(SUM(_xlfn.VSTACK(TRANSPOSE("'"&amp;_xlfn._xlws.FILTER(INDEX(Character_List,,1),INDEX(Character_List,,8)=_xlfn.CONCAT($A3," 1"),)&amp;"'!F17"),COUNTIF(INDIRECT(TRANSPOSE("'"&amp;_xlfn._xlws.FILTER(INDEX(Character_List,,1),INDEX(Character_List,,8)=_xlfn.CONCAT($A3," 1"),)&amp;"'!F17")),"&lt;10"))),0),IFERROR(SUM(_xlfn.VSTACK(TRANSPOSE("'"&amp;_xlfn._xlws.FILTER(INDEX(Character_List,,1),INDEX(Character_List,,8)=_xlfn.CONCAT($A3," 1"),)&amp;"'!F30"),COUNTIF(INDIRECT(TRANSPOSE("'"&amp;_xlfn._xlws.FILTER(INDEX(Character_List,,1),INDEX(Character_List,,8)=_xlfn.CONCAT($A3," 1"),)&amp;"'!F30")),"&lt;10"))),0)),SUM(IFERROR(SUM(_xlfn.VSTACK(TRANSPOSE("'"&amp;_xlfn._xlws.FILTER(INDEX(Character_List,,1),INDEX(Character_List,,8)=_xlfn.CONCAT($A3," 2"),)&amp;"'!F4"),COUNTIF(INDIRECT(TRANSPOSE("'"&amp;_xlfn._xlws.FILTER(INDEX(Character_List,,1),INDEX(Character_List,,8)=_xlfn.CONCAT($A3," 2"),)&amp;"'!F4")),"&lt;10"))),0),IFERROR(SUM(_xlfn.VSTACK(TRANSPOSE("'"&amp;_xlfn._xlws.FILTER(INDEX(Character_List,,1),INDEX(Character_List,,8)=_xlfn.CONCAT($A3," 2"),)&amp;"'!F17"),COUNTIF(INDIRECT(TRANSPOSE("'"&amp;_xlfn._xlws.FILTER(INDEX(Character_List,,1),INDEX(Character_List,,8)=_xlfn.CONCAT($A3," 2"),)&amp;"'!F17")),"&lt;10"))),0),IFERROR(SUM(_xlfn.VSTACK(TRANSPOSE("'"&amp;_xlfn._xlws.FILTER(INDEX(Character_List,,1),INDEX(Character_List,,8)=_xlfn.CONCAT($A3," 2"),)&amp;"'!F30"),COUNTIF(INDIRECT(TRANSPOSE("'"&amp;_xlfn._xlws.FILTER(INDEX(Character_List,,1),INDEX(Character_List,,8)=_xlfn.CONCAT($A3," 2"),)&amp;"'!F30")),"&lt;10"))),0)),SUM(IFERROR(SUM(_xlfn.VSTACK(TRANSPOSE("'"&amp;_xlfn._xlws.FILTER(INDEX(Character_List,,1),INDEX(Character_List,,8)=_xlfn.CONCAT($A3," 3"),)&amp;"'!F4"),COUNTIF(INDIRECT(TRANSPOSE("'"&amp;_xlfn._xlws.FILTER(INDEX(Character_List,,1),INDEX(Character_List,,8)=_xlfn.CONCAT($A3," 3"),)&amp;"'!F4")),"&lt;10"))),0),IFERROR(SUM(_xlfn.VSTACK(TRANSPOSE("'"&amp;_xlfn._xlws.FILTER(INDEX(Character_List,,1),INDEX(Character_List,,8)=_xlfn.CONCAT($A3," 3"),)&amp;"'!F17"),COUNTIF(INDIRECT(TRANSPOSE("'"&amp;_xlfn._xlws.FILTER(INDEX(Character_List,,1),INDEX(Character_List,,8)=_xlfn.CONCAT($A3," 3"),)&amp;"'!F17")),"&lt;10"))),0),IFERROR(SUM(_xlfn.VSTACK(TRANSPOSE("'"&amp;_xlfn._xlws.FILTER(INDEX(Character_List,,1),INDEX(Character_List,,8)=_xlfn.CONCAT($A3," 3"),)&amp;"'!F30"),COUNTIF(INDIRECT(TRANSPOSE("'"&amp;_xlfn._xlws.FILTER(INDEX(Character_List,,1),INDEX(Character_List,,8)=_xlfn.CONCAT($A3," 3"),)&amp;"'!F30")),"&lt;10"))),0)))</f>
        <v>33</v>
      </c>
    </row>
    <row r="4" spans="1:5" x14ac:dyDescent="0.25">
      <c r="A4" s="61" t="str">
        <v>Childe</v>
      </c>
      <c r="B4" s="84" cm="1">
        <f t="array" aca="1" ref="B4" ca="1">SUM(SUM(IFERROR(SUM(_xlfn.VSTACK(TRANSPOSE("'"&amp;_xlfn._xlws.FILTER(INDEX(Character_List,,1),INDEX(Character_List,,8)=_xlfn.CONCAT($A4," 1"),)&amp;"'!F4"),COUNTIF(INDIRECT(TRANSPOSE("'"&amp;_xlfn._xlws.FILTER(INDEX(Character_List,,1),INDEX(Character_List,,8)=_xlfn.CONCAT($A4," 1"),)&amp;"'!F4")),"&lt;7"))),0),IFERROR(SUM(_xlfn.VSTACK(TRANSPOSE("'"&amp;_xlfn._xlws.FILTER(INDEX(Character_List,,1),INDEX(Character_List,,8)=_xlfn.CONCAT($A4," 1"),)&amp;"'!F17"),COUNTIF(INDIRECT(TRANSPOSE("'"&amp;_xlfn._xlws.FILTER(INDEX(Character_List,,1),INDEX(Character_List,,8)=_xlfn.CONCAT($A4," 1"),)&amp;"'!F17")),"&lt;7"))),0),IFERROR(SUM(_xlfn.VSTACK(TRANSPOSE("'"&amp;_xlfn._xlws.FILTER(INDEX(Character_List,,1),INDEX(Character_List,,8)=_xlfn.CONCAT($A4," 1"),)&amp;"'!F30"),COUNTIF(INDIRECT(TRANSPOSE("'"&amp;_xlfn._xlws.FILTER(INDEX(Character_List,,1),INDEX(Character_List,,8)=_xlfn.CONCAT($A4," 1"),)&amp;"'!F30")),"&lt;7"))),0)),SUM(IFERROR(SUM(_xlfn.VSTACK(TRANSPOSE("'"&amp;_xlfn._xlws.FILTER(INDEX(Character_List,,1),INDEX(Character_List,,8)=_xlfn.CONCAT($A4," 2"),)&amp;"'!F4"),COUNTIF(INDIRECT(TRANSPOSE("'"&amp;_xlfn._xlws.FILTER(INDEX(Character_List,,1),INDEX(Character_List,,8)=_xlfn.CONCAT($A4," 2"),)&amp;"'!F4")),"&lt;7"))),0),IFERROR(SUM(_xlfn.VSTACK(TRANSPOSE("'"&amp;_xlfn._xlws.FILTER(INDEX(Character_List,,1),INDEX(Character_List,,8)=_xlfn.CONCAT($A4," 2"),)&amp;"'!F17"),COUNTIF(INDIRECT(TRANSPOSE("'"&amp;_xlfn._xlws.FILTER(INDEX(Character_List,,1),INDEX(Character_List,,8)=_xlfn.CONCAT($A4," 2"),)&amp;"'!F17")),"&lt;7"))),0),IFERROR(SUM(_xlfn.VSTACK(TRANSPOSE("'"&amp;_xlfn._xlws.FILTER(INDEX(Character_List,,1),INDEX(Character_List,,8)=_xlfn.CONCAT($A4," 2"),)&amp;"'!F30"),COUNTIF(INDIRECT(TRANSPOSE("'"&amp;_xlfn._xlws.FILTER(INDEX(Character_List,,1),INDEX(Character_List,,8)=_xlfn.CONCAT($A4," 2"),)&amp;"'!F30")),"&lt;7"))),0)),SUM(IFERROR(SUM(_xlfn.VSTACK(TRANSPOSE("'"&amp;_xlfn._xlws.FILTER(INDEX(Character_List,,1),INDEX(Character_List,,8)=_xlfn.CONCAT($A4," 3"),)&amp;"'!F4"),COUNTIF(INDIRECT(TRANSPOSE("'"&amp;_xlfn._xlws.FILTER(INDEX(Character_List,,1),INDEX(Character_List,,8)=_xlfn.CONCAT($A4," 3"),)&amp;"'!F4")),"&lt;7"))),0),IFERROR(SUM(_xlfn.VSTACK(TRANSPOSE("'"&amp;_xlfn._xlws.FILTER(INDEX(Character_List,,1),INDEX(Character_List,,8)=_xlfn.CONCAT($A4," 3"),)&amp;"'!F17"),COUNTIF(INDIRECT(TRANSPOSE("'"&amp;_xlfn._xlws.FILTER(INDEX(Character_List,,1),INDEX(Character_List,,8)=_xlfn.CONCAT($A4," 3"),)&amp;"'!F17")),"&lt;7"))),0),IFERROR(SUM(_xlfn.VSTACK(TRANSPOSE("'"&amp;_xlfn._xlws.FILTER(INDEX(Character_List,,1),INDEX(Character_List,,8)=_xlfn.CONCAT($A4," 3"),)&amp;"'!F30"),COUNTIF(INDIRECT(TRANSPOSE("'"&amp;_xlfn._xlws.FILTER(INDEX(Character_List,,1),INDEX(Character_List,,8)=_xlfn.CONCAT($A4," 3"),)&amp;"'!F30")),"&lt;7"))),0)))</f>
        <v>0</v>
      </c>
      <c r="C4" s="84" cm="1">
        <f t="array" aca="1" ref="C4" ca="1">SUM(SUM(IFERROR(SUM(_xlfn.VSTACK(TRANSPOSE("'"&amp;_xlfn._xlws.FILTER(INDEX(Character_List,,1),INDEX(Character_List,,8)=_xlfn.CONCAT($A4," 1"),)&amp;"'!F4"),COUNTIF(INDIRECT(TRANSPOSE("'"&amp;_xlfn._xlws.FILTER(INDEX(Character_List,,1),INDEX(Character_List,,8)=_xlfn.CONCAT($A4," 1"),)&amp;"'!F4")),"&lt;8"))),0),IFERROR(SUM(_xlfn.VSTACK(TRANSPOSE("'"&amp;_xlfn._xlws.FILTER(INDEX(Character_List,,1),INDEX(Character_List,,8)=_xlfn.CONCAT($A4," 1"),)&amp;"'!F17"),COUNTIF(INDIRECT(TRANSPOSE("'"&amp;_xlfn._xlws.FILTER(INDEX(Character_List,,1),INDEX(Character_List,,8)=_xlfn.CONCAT($A4," 1"),)&amp;"'!F17")),"&lt;8"))),0),IFERROR(SUM(_xlfn.VSTACK(TRANSPOSE("'"&amp;_xlfn._xlws.FILTER(INDEX(Character_List,,1),INDEX(Character_List,,8)=_xlfn.CONCAT($A4," 1"),)&amp;"'!F30"),COUNTIF(INDIRECT(TRANSPOSE("'"&amp;_xlfn._xlws.FILTER(INDEX(Character_List,,1),INDEX(Character_List,,8)=_xlfn.CONCAT($A4," 1"),)&amp;"'!F30")),"&lt;8"))),0)),SUM(IFERROR(SUM(_xlfn.VSTACK(TRANSPOSE("'"&amp;_xlfn._xlws.FILTER(INDEX(Character_List,,1),INDEX(Character_List,,8)=_xlfn.CONCAT($A4," 2"),)&amp;"'!F4"),COUNTIF(INDIRECT(TRANSPOSE("'"&amp;_xlfn._xlws.FILTER(INDEX(Character_List,,1),INDEX(Character_List,,8)=_xlfn.CONCAT($A4," 2"),)&amp;"'!F4")),"&lt;8"))),0),IFERROR(SUM(_xlfn.VSTACK(TRANSPOSE("'"&amp;_xlfn._xlws.FILTER(INDEX(Character_List,,1),INDEX(Character_List,,8)=_xlfn.CONCAT($A4," 2"),)&amp;"'!F17"),COUNTIF(INDIRECT(TRANSPOSE("'"&amp;_xlfn._xlws.FILTER(INDEX(Character_List,,1),INDEX(Character_List,,8)=_xlfn.CONCAT($A4," 2"),)&amp;"'!F17")),"&lt;8"))),0),IFERROR(SUM(_xlfn.VSTACK(TRANSPOSE("'"&amp;_xlfn._xlws.FILTER(INDEX(Character_List,,1),INDEX(Character_List,,8)=_xlfn.CONCAT($A4," 2"),)&amp;"'!F30"),COUNTIF(INDIRECT(TRANSPOSE("'"&amp;_xlfn._xlws.FILTER(INDEX(Character_List,,1),INDEX(Character_List,,8)=_xlfn.CONCAT($A4," 2"),)&amp;"'!F30")),"&lt;8"))),0)),SUM(IFERROR(SUM(_xlfn.VSTACK(TRANSPOSE("'"&amp;_xlfn._xlws.FILTER(INDEX(Character_List,,1),INDEX(Character_List,,8)=_xlfn.CONCAT($A4," 3"),)&amp;"'!F4"),COUNTIF(INDIRECT(TRANSPOSE("'"&amp;_xlfn._xlws.FILTER(INDEX(Character_List,,1),INDEX(Character_List,,8)=_xlfn.CONCAT($A4," 3"),)&amp;"'!F4")),"&lt;8"))),0),IFERROR(SUM(_xlfn.VSTACK(TRANSPOSE("'"&amp;_xlfn._xlws.FILTER(INDEX(Character_List,,1),INDEX(Character_List,,8)=_xlfn.CONCAT($A4," 3"),)&amp;"'!F17"),COUNTIF(INDIRECT(TRANSPOSE("'"&amp;_xlfn._xlws.FILTER(INDEX(Character_List,,1),INDEX(Character_List,,8)=_xlfn.CONCAT($A4," 3"),)&amp;"'!F17")),"&lt;8"))),0),IFERROR(SUM(_xlfn.VSTACK(TRANSPOSE("'"&amp;_xlfn._xlws.FILTER(INDEX(Character_List,,1),INDEX(Character_List,,8)=_xlfn.CONCAT($A4," 3"),)&amp;"'!F30"),COUNTIF(INDIRECT(TRANSPOSE("'"&amp;_xlfn._xlws.FILTER(INDEX(Character_List,,1),INDEX(Character_List,,8)=_xlfn.CONCAT($A4," 3"),)&amp;"'!F30")),"&lt;8"))),0)))</f>
        <v>0</v>
      </c>
      <c r="D4" s="84" cm="1">
        <f t="array" aca="1" ref="D4" ca="1">SUM(SUM(IFERROR(SUM(_xlfn.VSTACK(TRANSPOSE("'"&amp;_xlfn._xlws.FILTER(INDEX(Character_List,,1),INDEX(Character_List,,8)=_xlfn.CONCAT($A4," 1"),)&amp;"'!F4"),COUNTIF(INDIRECT(TRANSPOSE("'"&amp;_xlfn._xlws.FILTER(INDEX(Character_List,,1),INDEX(Character_List,,8)=_xlfn.CONCAT($A4," 1"),)&amp;"'!F4")),"&lt;9"))),0),IFERROR(SUM(_xlfn.VSTACK(TRANSPOSE("'"&amp;_xlfn._xlws.FILTER(INDEX(Character_List,,1),INDEX(Character_List,,8)=_xlfn.CONCAT($A4," 1"),)&amp;"'!F17"),COUNTIF(INDIRECT(TRANSPOSE("'"&amp;_xlfn._xlws.FILTER(INDEX(Character_List,,1),INDEX(Character_List,,8)=_xlfn.CONCAT($A4," 1"),)&amp;"'!F17")),"&lt;9"))),0),IFERROR(SUM(_xlfn.VSTACK(TRANSPOSE("'"&amp;_xlfn._xlws.FILTER(INDEX(Character_List,,1),INDEX(Character_List,,8)=_xlfn.CONCAT($A4," 1"),)&amp;"'!F30"),COUNTIF(INDIRECT(TRANSPOSE("'"&amp;_xlfn._xlws.FILTER(INDEX(Character_List,,1),INDEX(Character_List,,8)=_xlfn.CONCAT($A4," 1"),)&amp;"'!F30")),"&lt;9"))),0)),SUM(IFERROR(SUM(_xlfn.VSTACK(TRANSPOSE("'"&amp;_xlfn._xlws.FILTER(INDEX(Character_List,,1),INDEX(Character_List,,8)=_xlfn.CONCAT($A4," 2"),)&amp;"'!F4"),COUNTIF(INDIRECT(TRANSPOSE("'"&amp;_xlfn._xlws.FILTER(INDEX(Character_List,,1),INDEX(Character_List,,8)=_xlfn.CONCAT($A4," 2"),)&amp;"'!F4")),"&lt;9"))),0),IFERROR(SUM(_xlfn.VSTACK(TRANSPOSE("'"&amp;_xlfn._xlws.FILTER(INDEX(Character_List,,1),INDEX(Character_List,,8)=_xlfn.CONCAT($A4," 2"),)&amp;"'!F17"),COUNTIF(INDIRECT(TRANSPOSE("'"&amp;_xlfn._xlws.FILTER(INDEX(Character_List,,1),INDEX(Character_List,,8)=_xlfn.CONCAT($A4," 2"),)&amp;"'!F17")),"&lt;9"))),0),IFERROR(SUM(_xlfn.VSTACK(TRANSPOSE("'"&amp;_xlfn._xlws.FILTER(INDEX(Character_List,,1),INDEX(Character_List,,8)=_xlfn.CONCAT($A4," 2"),)&amp;"'!F30"),COUNTIF(INDIRECT(TRANSPOSE("'"&amp;_xlfn._xlws.FILTER(INDEX(Character_List,,1),INDEX(Character_List,,8)=_xlfn.CONCAT($A4," 2"),)&amp;"'!F30")),"&lt;9"))),0)),SUM(IFERROR(SUM(_xlfn.VSTACK(TRANSPOSE("'"&amp;_xlfn._xlws.FILTER(INDEX(Character_List,,1),INDEX(Character_List,,8)=_xlfn.CONCAT($A4," 3"),)&amp;"'!F4"),COUNTIF(INDIRECT(TRANSPOSE("'"&amp;_xlfn._xlws.FILTER(INDEX(Character_List,,1),INDEX(Character_List,,8)=_xlfn.CONCAT($A4," 3"),)&amp;"'!F4")),"&lt;9"))),0),IFERROR(SUM(_xlfn.VSTACK(TRANSPOSE("'"&amp;_xlfn._xlws.FILTER(INDEX(Character_List,,1),INDEX(Character_List,,8)=_xlfn.CONCAT($A4," 3"),)&amp;"'!F17"),COUNTIF(INDIRECT(TRANSPOSE("'"&amp;_xlfn._xlws.FILTER(INDEX(Character_List,,1),INDEX(Character_List,,8)=_xlfn.CONCAT($A4," 3"),)&amp;"'!F17")),"&lt;9"))),0),IFERROR(SUM(_xlfn.VSTACK(TRANSPOSE("'"&amp;_xlfn._xlws.FILTER(INDEX(Character_List,,1),INDEX(Character_List,,8)=_xlfn.CONCAT($A4," 3"),)&amp;"'!F30"),COUNTIF(INDIRECT(TRANSPOSE("'"&amp;_xlfn._xlws.FILTER(INDEX(Character_List,,1),INDEX(Character_List,,8)=_xlfn.CONCAT($A4," 3"),)&amp;"'!F30")),"&lt;9"))),0)))</f>
        <v>0</v>
      </c>
      <c r="E4" cm="1">
        <f t="array" aca="1" ref="E4" ca="1">SUM(SUM(IFERROR(SUM(_xlfn.VSTACK(TRANSPOSE("'"&amp;_xlfn._xlws.FILTER(INDEX(Character_List,,1),INDEX(Character_List,,8)=_xlfn.CONCAT($A4," 1"),)&amp;"'!F4"),COUNTIF(INDIRECT(TRANSPOSE("'"&amp;_xlfn._xlws.FILTER(INDEX(Character_List,,1),INDEX(Character_List,,8)=_xlfn.CONCAT($A4," 1"),)&amp;"'!F4")),"&lt;10"))),0),IFERROR(SUM(_xlfn.VSTACK(TRANSPOSE("'"&amp;_xlfn._xlws.FILTER(INDEX(Character_List,,1),INDEX(Character_List,,8)=_xlfn.CONCAT($A4," 1"),)&amp;"'!F17"),COUNTIF(INDIRECT(TRANSPOSE("'"&amp;_xlfn._xlws.FILTER(INDEX(Character_List,,1),INDEX(Character_List,,8)=_xlfn.CONCAT($A4," 1"),)&amp;"'!F17")),"&lt;10"))),0),IFERROR(SUM(_xlfn.VSTACK(TRANSPOSE("'"&amp;_xlfn._xlws.FILTER(INDEX(Character_List,,1),INDEX(Character_List,,8)=_xlfn.CONCAT($A4," 1"),)&amp;"'!F30"),COUNTIF(INDIRECT(TRANSPOSE("'"&amp;_xlfn._xlws.FILTER(INDEX(Character_List,,1),INDEX(Character_List,,8)=_xlfn.CONCAT($A4," 1"),)&amp;"'!F30")),"&lt;10"))),0)),SUM(IFERROR(SUM(_xlfn.VSTACK(TRANSPOSE("'"&amp;_xlfn._xlws.FILTER(INDEX(Character_List,,1),INDEX(Character_List,,8)=_xlfn.CONCAT($A4," 2"),)&amp;"'!F4"),COUNTIF(INDIRECT(TRANSPOSE("'"&amp;_xlfn._xlws.FILTER(INDEX(Character_List,,1),INDEX(Character_List,,8)=_xlfn.CONCAT($A4," 2"),)&amp;"'!F4")),"&lt;10"))),0),IFERROR(SUM(_xlfn.VSTACK(TRANSPOSE("'"&amp;_xlfn._xlws.FILTER(INDEX(Character_List,,1),INDEX(Character_List,,8)=_xlfn.CONCAT($A4," 2"),)&amp;"'!F17"),COUNTIF(INDIRECT(TRANSPOSE("'"&amp;_xlfn._xlws.FILTER(INDEX(Character_List,,1),INDEX(Character_List,,8)=_xlfn.CONCAT($A4," 2"),)&amp;"'!F17")),"&lt;10"))),0),IFERROR(SUM(_xlfn.VSTACK(TRANSPOSE("'"&amp;_xlfn._xlws.FILTER(INDEX(Character_List,,1),INDEX(Character_List,,8)=_xlfn.CONCAT($A4," 2"),)&amp;"'!F30"),COUNTIF(INDIRECT(TRANSPOSE("'"&amp;_xlfn._xlws.FILTER(INDEX(Character_List,,1),INDEX(Character_List,,8)=_xlfn.CONCAT($A4," 2"),)&amp;"'!F30")),"&lt;10"))),0)),SUM(IFERROR(SUM(_xlfn.VSTACK(TRANSPOSE("'"&amp;_xlfn._xlws.FILTER(INDEX(Character_List,,1),INDEX(Character_List,,8)=_xlfn.CONCAT($A4," 3"),)&amp;"'!F4"),COUNTIF(INDIRECT(TRANSPOSE("'"&amp;_xlfn._xlws.FILTER(INDEX(Character_List,,1),INDEX(Character_List,,8)=_xlfn.CONCAT($A4," 3"),)&amp;"'!F4")),"&lt;10"))),0),IFERROR(SUM(_xlfn.VSTACK(TRANSPOSE("'"&amp;_xlfn._xlws.FILTER(INDEX(Character_List,,1),INDEX(Character_List,,8)=_xlfn.CONCAT($A4," 3"),)&amp;"'!F17"),COUNTIF(INDIRECT(TRANSPOSE("'"&amp;_xlfn._xlws.FILTER(INDEX(Character_List,,1),INDEX(Character_List,,8)=_xlfn.CONCAT($A4," 3"),)&amp;"'!F17")),"&lt;10"))),0),IFERROR(SUM(_xlfn.VSTACK(TRANSPOSE("'"&amp;_xlfn._xlws.FILTER(INDEX(Character_List,,1),INDEX(Character_List,,8)=_xlfn.CONCAT($A4," 3"),)&amp;"'!F30"),COUNTIF(INDIRECT(TRANSPOSE("'"&amp;_xlfn._xlws.FILTER(INDEX(Character_List,,1),INDEX(Character_List,,8)=_xlfn.CONCAT($A4," 3"),)&amp;"'!F30")),"&lt;10"))),0)))</f>
        <v>27</v>
      </c>
    </row>
    <row r="5" spans="1:5" x14ac:dyDescent="0.25">
      <c r="A5" s="61" t="str">
        <v>Azhdaha</v>
      </c>
      <c r="B5" s="84" cm="1">
        <f t="array" aca="1" ref="B5" ca="1">SUM(SUM(IFERROR(SUM(_xlfn.VSTACK(TRANSPOSE("'"&amp;_xlfn._xlws.FILTER(INDEX(Character_List,,1),INDEX(Character_List,,8)=_xlfn.CONCAT($A5," 1"),)&amp;"'!F4"),COUNTIF(INDIRECT(TRANSPOSE("'"&amp;_xlfn._xlws.FILTER(INDEX(Character_List,,1),INDEX(Character_List,,8)=_xlfn.CONCAT($A5," 1"),)&amp;"'!F4")),"&lt;7"))),0),IFERROR(SUM(_xlfn.VSTACK(TRANSPOSE("'"&amp;_xlfn._xlws.FILTER(INDEX(Character_List,,1),INDEX(Character_List,,8)=_xlfn.CONCAT($A5," 1"),)&amp;"'!F17"),COUNTIF(INDIRECT(TRANSPOSE("'"&amp;_xlfn._xlws.FILTER(INDEX(Character_List,,1),INDEX(Character_List,,8)=_xlfn.CONCAT($A5," 1"),)&amp;"'!F17")),"&lt;7"))),0),IFERROR(SUM(_xlfn.VSTACK(TRANSPOSE("'"&amp;_xlfn._xlws.FILTER(INDEX(Character_List,,1),INDEX(Character_List,,8)=_xlfn.CONCAT($A5," 1"),)&amp;"'!F30"),COUNTIF(INDIRECT(TRANSPOSE("'"&amp;_xlfn._xlws.FILTER(INDEX(Character_List,,1),INDEX(Character_List,,8)=_xlfn.CONCAT($A5," 1"),)&amp;"'!F30")),"&lt;7"))),0)),SUM(IFERROR(SUM(_xlfn.VSTACK(TRANSPOSE("'"&amp;_xlfn._xlws.FILTER(INDEX(Character_List,,1),INDEX(Character_List,,8)=_xlfn.CONCAT($A5," 2"),)&amp;"'!F4"),COUNTIF(INDIRECT(TRANSPOSE("'"&amp;_xlfn._xlws.FILTER(INDEX(Character_List,,1),INDEX(Character_List,,8)=_xlfn.CONCAT($A5," 2"),)&amp;"'!F4")),"&lt;7"))),0),IFERROR(SUM(_xlfn.VSTACK(TRANSPOSE("'"&amp;_xlfn._xlws.FILTER(INDEX(Character_List,,1),INDEX(Character_List,,8)=_xlfn.CONCAT($A5," 2"),)&amp;"'!F17"),COUNTIF(INDIRECT(TRANSPOSE("'"&amp;_xlfn._xlws.FILTER(INDEX(Character_List,,1),INDEX(Character_List,,8)=_xlfn.CONCAT($A5," 2"),)&amp;"'!F17")),"&lt;7"))),0),IFERROR(SUM(_xlfn.VSTACK(TRANSPOSE("'"&amp;_xlfn._xlws.FILTER(INDEX(Character_List,,1),INDEX(Character_List,,8)=_xlfn.CONCAT($A5," 2"),)&amp;"'!F30"),COUNTIF(INDIRECT(TRANSPOSE("'"&amp;_xlfn._xlws.FILTER(INDEX(Character_List,,1),INDEX(Character_List,,8)=_xlfn.CONCAT($A5," 2"),)&amp;"'!F30")),"&lt;7"))),0)),SUM(IFERROR(SUM(_xlfn.VSTACK(TRANSPOSE("'"&amp;_xlfn._xlws.FILTER(INDEX(Character_List,,1),INDEX(Character_List,,8)=_xlfn.CONCAT($A5," 3"),)&amp;"'!F4"),COUNTIF(INDIRECT(TRANSPOSE("'"&amp;_xlfn._xlws.FILTER(INDEX(Character_List,,1),INDEX(Character_List,,8)=_xlfn.CONCAT($A5," 3"),)&amp;"'!F4")),"&lt;7"))),0),IFERROR(SUM(_xlfn.VSTACK(TRANSPOSE("'"&amp;_xlfn._xlws.FILTER(INDEX(Character_List,,1),INDEX(Character_List,,8)=_xlfn.CONCAT($A5," 3"),)&amp;"'!F17"),COUNTIF(INDIRECT(TRANSPOSE("'"&amp;_xlfn._xlws.FILTER(INDEX(Character_List,,1),INDEX(Character_List,,8)=_xlfn.CONCAT($A5," 3"),)&amp;"'!F17")),"&lt;7"))),0),IFERROR(SUM(_xlfn.VSTACK(TRANSPOSE("'"&amp;_xlfn._xlws.FILTER(INDEX(Character_List,,1),INDEX(Character_List,,8)=_xlfn.CONCAT($A5," 3"),)&amp;"'!F30"),COUNTIF(INDIRECT(TRANSPOSE("'"&amp;_xlfn._xlws.FILTER(INDEX(Character_List,,1),INDEX(Character_List,,8)=_xlfn.CONCAT($A5," 3"),)&amp;"'!F30")),"&lt;7"))),0)))</f>
        <v>0</v>
      </c>
      <c r="C5" s="84" cm="1">
        <f t="array" aca="1" ref="C5" ca="1">SUM(SUM(IFERROR(SUM(_xlfn.VSTACK(TRANSPOSE("'"&amp;_xlfn._xlws.FILTER(INDEX(Character_List,,1),INDEX(Character_List,,8)=_xlfn.CONCAT($A5," 1"),)&amp;"'!F4"),COUNTIF(INDIRECT(TRANSPOSE("'"&amp;_xlfn._xlws.FILTER(INDEX(Character_List,,1),INDEX(Character_List,,8)=_xlfn.CONCAT($A5," 1"),)&amp;"'!F4")),"&lt;8"))),0),IFERROR(SUM(_xlfn.VSTACK(TRANSPOSE("'"&amp;_xlfn._xlws.FILTER(INDEX(Character_List,,1),INDEX(Character_List,,8)=_xlfn.CONCAT($A5," 1"),)&amp;"'!F17"),COUNTIF(INDIRECT(TRANSPOSE("'"&amp;_xlfn._xlws.FILTER(INDEX(Character_List,,1),INDEX(Character_List,,8)=_xlfn.CONCAT($A5," 1"),)&amp;"'!F17")),"&lt;8"))),0),IFERROR(SUM(_xlfn.VSTACK(TRANSPOSE("'"&amp;_xlfn._xlws.FILTER(INDEX(Character_List,,1),INDEX(Character_List,,8)=_xlfn.CONCAT($A5," 1"),)&amp;"'!F30"),COUNTIF(INDIRECT(TRANSPOSE("'"&amp;_xlfn._xlws.FILTER(INDEX(Character_List,,1),INDEX(Character_List,,8)=_xlfn.CONCAT($A5," 1"),)&amp;"'!F30")),"&lt;8"))),0)),SUM(IFERROR(SUM(_xlfn.VSTACK(TRANSPOSE("'"&amp;_xlfn._xlws.FILTER(INDEX(Character_List,,1),INDEX(Character_List,,8)=_xlfn.CONCAT($A5," 2"),)&amp;"'!F4"),COUNTIF(INDIRECT(TRANSPOSE("'"&amp;_xlfn._xlws.FILTER(INDEX(Character_List,,1),INDEX(Character_List,,8)=_xlfn.CONCAT($A5," 2"),)&amp;"'!F4")),"&lt;8"))),0),IFERROR(SUM(_xlfn.VSTACK(TRANSPOSE("'"&amp;_xlfn._xlws.FILTER(INDEX(Character_List,,1),INDEX(Character_List,,8)=_xlfn.CONCAT($A5," 2"),)&amp;"'!F17"),COUNTIF(INDIRECT(TRANSPOSE("'"&amp;_xlfn._xlws.FILTER(INDEX(Character_List,,1),INDEX(Character_List,,8)=_xlfn.CONCAT($A5," 2"),)&amp;"'!F17")),"&lt;8"))),0),IFERROR(SUM(_xlfn.VSTACK(TRANSPOSE("'"&amp;_xlfn._xlws.FILTER(INDEX(Character_List,,1),INDEX(Character_List,,8)=_xlfn.CONCAT($A5," 2"),)&amp;"'!F30"),COUNTIF(INDIRECT(TRANSPOSE("'"&amp;_xlfn._xlws.FILTER(INDEX(Character_List,,1),INDEX(Character_List,,8)=_xlfn.CONCAT($A5," 2"),)&amp;"'!F30")),"&lt;8"))),0)),SUM(IFERROR(SUM(_xlfn.VSTACK(TRANSPOSE("'"&amp;_xlfn._xlws.FILTER(INDEX(Character_List,,1),INDEX(Character_List,,8)=_xlfn.CONCAT($A5," 3"),)&amp;"'!F4"),COUNTIF(INDIRECT(TRANSPOSE("'"&amp;_xlfn._xlws.FILTER(INDEX(Character_List,,1),INDEX(Character_List,,8)=_xlfn.CONCAT($A5," 3"),)&amp;"'!F4")),"&lt;8"))),0),IFERROR(SUM(_xlfn.VSTACK(TRANSPOSE("'"&amp;_xlfn._xlws.FILTER(INDEX(Character_List,,1),INDEX(Character_List,,8)=_xlfn.CONCAT($A5," 3"),)&amp;"'!F17"),COUNTIF(INDIRECT(TRANSPOSE("'"&amp;_xlfn._xlws.FILTER(INDEX(Character_List,,1),INDEX(Character_List,,8)=_xlfn.CONCAT($A5," 3"),)&amp;"'!F17")),"&lt;8"))),0),IFERROR(SUM(_xlfn.VSTACK(TRANSPOSE("'"&amp;_xlfn._xlws.FILTER(INDEX(Character_List,,1),INDEX(Character_List,,8)=_xlfn.CONCAT($A5," 3"),)&amp;"'!F30"),COUNTIF(INDIRECT(TRANSPOSE("'"&amp;_xlfn._xlws.FILTER(INDEX(Character_List,,1),INDEX(Character_List,,8)=_xlfn.CONCAT($A5," 3"),)&amp;"'!F30")),"&lt;8"))),0)))</f>
        <v>0</v>
      </c>
      <c r="D5" s="84" cm="1">
        <f t="array" aca="1" ref="D5" ca="1">SUM(SUM(IFERROR(SUM(_xlfn.VSTACK(TRANSPOSE("'"&amp;_xlfn._xlws.FILTER(INDEX(Character_List,,1),INDEX(Character_List,,8)=_xlfn.CONCAT($A5," 1"),)&amp;"'!F4"),COUNTIF(INDIRECT(TRANSPOSE("'"&amp;_xlfn._xlws.FILTER(INDEX(Character_List,,1),INDEX(Character_List,,8)=_xlfn.CONCAT($A5," 1"),)&amp;"'!F4")),"&lt;9"))),0),IFERROR(SUM(_xlfn.VSTACK(TRANSPOSE("'"&amp;_xlfn._xlws.FILTER(INDEX(Character_List,,1),INDEX(Character_List,,8)=_xlfn.CONCAT($A5," 1"),)&amp;"'!F17"),COUNTIF(INDIRECT(TRANSPOSE("'"&amp;_xlfn._xlws.FILTER(INDEX(Character_List,,1),INDEX(Character_List,,8)=_xlfn.CONCAT($A5," 1"),)&amp;"'!F17")),"&lt;9"))),0),IFERROR(SUM(_xlfn.VSTACK(TRANSPOSE("'"&amp;_xlfn._xlws.FILTER(INDEX(Character_List,,1),INDEX(Character_List,,8)=_xlfn.CONCAT($A5," 1"),)&amp;"'!F30"),COUNTIF(INDIRECT(TRANSPOSE("'"&amp;_xlfn._xlws.FILTER(INDEX(Character_List,,1),INDEX(Character_List,,8)=_xlfn.CONCAT($A5," 1"),)&amp;"'!F30")),"&lt;9"))),0)),SUM(IFERROR(SUM(_xlfn.VSTACK(TRANSPOSE("'"&amp;_xlfn._xlws.FILTER(INDEX(Character_List,,1),INDEX(Character_List,,8)=_xlfn.CONCAT($A5," 2"),)&amp;"'!F4"),COUNTIF(INDIRECT(TRANSPOSE("'"&amp;_xlfn._xlws.FILTER(INDEX(Character_List,,1),INDEX(Character_List,,8)=_xlfn.CONCAT($A5," 2"),)&amp;"'!F4")),"&lt;9"))),0),IFERROR(SUM(_xlfn.VSTACK(TRANSPOSE("'"&amp;_xlfn._xlws.FILTER(INDEX(Character_List,,1),INDEX(Character_List,,8)=_xlfn.CONCAT($A5," 2"),)&amp;"'!F17"),COUNTIF(INDIRECT(TRANSPOSE("'"&amp;_xlfn._xlws.FILTER(INDEX(Character_List,,1),INDEX(Character_List,,8)=_xlfn.CONCAT($A5," 2"),)&amp;"'!F17")),"&lt;9"))),0),IFERROR(SUM(_xlfn.VSTACK(TRANSPOSE("'"&amp;_xlfn._xlws.FILTER(INDEX(Character_List,,1),INDEX(Character_List,,8)=_xlfn.CONCAT($A5," 2"),)&amp;"'!F30"),COUNTIF(INDIRECT(TRANSPOSE("'"&amp;_xlfn._xlws.FILTER(INDEX(Character_List,,1),INDEX(Character_List,,8)=_xlfn.CONCAT($A5," 2"),)&amp;"'!F30")),"&lt;9"))),0)),SUM(IFERROR(SUM(_xlfn.VSTACK(TRANSPOSE("'"&amp;_xlfn._xlws.FILTER(INDEX(Character_List,,1),INDEX(Character_List,,8)=_xlfn.CONCAT($A5," 3"),)&amp;"'!F4"),COUNTIF(INDIRECT(TRANSPOSE("'"&amp;_xlfn._xlws.FILTER(INDEX(Character_List,,1),INDEX(Character_List,,8)=_xlfn.CONCAT($A5," 3"),)&amp;"'!F4")),"&lt;9"))),0),IFERROR(SUM(_xlfn.VSTACK(TRANSPOSE("'"&amp;_xlfn._xlws.FILTER(INDEX(Character_List,,1),INDEX(Character_List,,8)=_xlfn.CONCAT($A5," 3"),)&amp;"'!F17"),COUNTIF(INDIRECT(TRANSPOSE("'"&amp;_xlfn._xlws.FILTER(INDEX(Character_List,,1),INDEX(Character_List,,8)=_xlfn.CONCAT($A5," 3"),)&amp;"'!F17")),"&lt;9"))),0),IFERROR(SUM(_xlfn.VSTACK(TRANSPOSE("'"&amp;_xlfn._xlws.FILTER(INDEX(Character_List,,1),INDEX(Character_List,,8)=_xlfn.CONCAT($A5," 3"),)&amp;"'!F30"),COUNTIF(INDIRECT(TRANSPOSE("'"&amp;_xlfn._xlws.FILTER(INDEX(Character_List,,1),INDEX(Character_List,,8)=_xlfn.CONCAT($A5," 3"),)&amp;"'!F30")),"&lt;9"))),0)))</f>
        <v>0</v>
      </c>
      <c r="E5" cm="1">
        <f t="array" aca="1" ref="E5" ca="1">SUM(SUM(IFERROR(SUM(_xlfn.VSTACK(TRANSPOSE("'"&amp;_xlfn._xlws.FILTER(INDEX(Character_List,,1),INDEX(Character_List,,8)=_xlfn.CONCAT($A5," 1"),)&amp;"'!F4"),COUNTIF(INDIRECT(TRANSPOSE("'"&amp;_xlfn._xlws.FILTER(INDEX(Character_List,,1),INDEX(Character_List,,8)=_xlfn.CONCAT($A5," 1"),)&amp;"'!F4")),"&lt;10"))),0),IFERROR(SUM(_xlfn.VSTACK(TRANSPOSE("'"&amp;_xlfn._xlws.FILTER(INDEX(Character_List,,1),INDEX(Character_List,,8)=_xlfn.CONCAT($A5," 1"),)&amp;"'!F17"),COUNTIF(INDIRECT(TRANSPOSE("'"&amp;_xlfn._xlws.FILTER(INDEX(Character_List,,1),INDEX(Character_List,,8)=_xlfn.CONCAT($A5," 1"),)&amp;"'!F17")),"&lt;10"))),0),IFERROR(SUM(_xlfn.VSTACK(TRANSPOSE("'"&amp;_xlfn._xlws.FILTER(INDEX(Character_List,,1),INDEX(Character_List,,8)=_xlfn.CONCAT($A5," 1"),)&amp;"'!F30"),COUNTIF(INDIRECT(TRANSPOSE("'"&amp;_xlfn._xlws.FILTER(INDEX(Character_List,,1),INDEX(Character_List,,8)=_xlfn.CONCAT($A5," 1"),)&amp;"'!F30")),"&lt;10"))),0)),SUM(IFERROR(SUM(_xlfn.VSTACK(TRANSPOSE("'"&amp;_xlfn._xlws.FILTER(INDEX(Character_List,,1),INDEX(Character_List,,8)=_xlfn.CONCAT($A5," 2"),)&amp;"'!F4"),COUNTIF(INDIRECT(TRANSPOSE("'"&amp;_xlfn._xlws.FILTER(INDEX(Character_List,,1),INDEX(Character_List,,8)=_xlfn.CONCAT($A5," 2"),)&amp;"'!F4")),"&lt;10"))),0),IFERROR(SUM(_xlfn.VSTACK(TRANSPOSE("'"&amp;_xlfn._xlws.FILTER(INDEX(Character_List,,1),INDEX(Character_List,,8)=_xlfn.CONCAT($A5," 2"),)&amp;"'!F17"),COUNTIF(INDIRECT(TRANSPOSE("'"&amp;_xlfn._xlws.FILTER(INDEX(Character_List,,1),INDEX(Character_List,,8)=_xlfn.CONCAT($A5," 2"),)&amp;"'!F17")),"&lt;10"))),0),IFERROR(SUM(_xlfn.VSTACK(TRANSPOSE("'"&amp;_xlfn._xlws.FILTER(INDEX(Character_List,,1),INDEX(Character_List,,8)=_xlfn.CONCAT($A5," 2"),)&amp;"'!F30"),COUNTIF(INDIRECT(TRANSPOSE("'"&amp;_xlfn._xlws.FILTER(INDEX(Character_List,,1),INDEX(Character_List,,8)=_xlfn.CONCAT($A5," 2"),)&amp;"'!F30")),"&lt;10"))),0)),SUM(IFERROR(SUM(_xlfn.VSTACK(TRANSPOSE("'"&amp;_xlfn._xlws.FILTER(INDEX(Character_List,,1),INDEX(Character_List,,8)=_xlfn.CONCAT($A5," 3"),)&amp;"'!F4"),COUNTIF(INDIRECT(TRANSPOSE("'"&amp;_xlfn._xlws.FILTER(INDEX(Character_List,,1),INDEX(Character_List,,8)=_xlfn.CONCAT($A5," 3"),)&amp;"'!F4")),"&lt;10"))),0),IFERROR(SUM(_xlfn.VSTACK(TRANSPOSE("'"&amp;_xlfn._xlws.FILTER(INDEX(Character_List,,1),INDEX(Character_List,,8)=_xlfn.CONCAT($A5," 3"),)&amp;"'!F17"),COUNTIF(INDIRECT(TRANSPOSE("'"&amp;_xlfn._xlws.FILTER(INDEX(Character_List,,1),INDEX(Character_List,,8)=_xlfn.CONCAT($A5," 3"),)&amp;"'!F17")),"&lt;10"))),0),IFERROR(SUM(_xlfn.VSTACK(TRANSPOSE("'"&amp;_xlfn._xlws.FILTER(INDEX(Character_List,,1),INDEX(Character_List,,8)=_xlfn.CONCAT($A5," 3"),)&amp;"'!F30"),COUNTIF(INDIRECT(TRANSPOSE("'"&amp;_xlfn._xlws.FILTER(INDEX(Character_List,,1),INDEX(Character_List,,8)=_xlfn.CONCAT($A5," 3"),)&amp;"'!F30")),"&lt;10"))),0)))</f>
        <v>24</v>
      </c>
    </row>
    <row r="6" spans="1:5" x14ac:dyDescent="0.25">
      <c r="A6" s="61" t="str">
        <v>Signora</v>
      </c>
      <c r="B6" s="84" cm="1">
        <f t="array" aca="1" ref="B6" ca="1">SUM(SUM(IFERROR(SUM(_xlfn.VSTACK(TRANSPOSE("'"&amp;_xlfn._xlws.FILTER(INDEX(Character_List,,1),INDEX(Character_List,,8)=_xlfn.CONCAT($A6," 1"),)&amp;"'!F4"),COUNTIF(INDIRECT(TRANSPOSE("'"&amp;_xlfn._xlws.FILTER(INDEX(Character_List,,1),INDEX(Character_List,,8)=_xlfn.CONCAT($A6," 1"),)&amp;"'!F4")),"&lt;7"))),0),IFERROR(SUM(_xlfn.VSTACK(TRANSPOSE("'"&amp;_xlfn._xlws.FILTER(INDEX(Character_List,,1),INDEX(Character_List,,8)=_xlfn.CONCAT($A6," 1"),)&amp;"'!F17"),COUNTIF(INDIRECT(TRANSPOSE("'"&amp;_xlfn._xlws.FILTER(INDEX(Character_List,,1),INDEX(Character_List,,8)=_xlfn.CONCAT($A6," 1"),)&amp;"'!F17")),"&lt;7"))),0),IFERROR(SUM(_xlfn.VSTACK(TRANSPOSE("'"&amp;_xlfn._xlws.FILTER(INDEX(Character_List,,1),INDEX(Character_List,,8)=_xlfn.CONCAT($A6," 1"),)&amp;"'!F30"),COUNTIF(INDIRECT(TRANSPOSE("'"&amp;_xlfn._xlws.FILTER(INDEX(Character_List,,1),INDEX(Character_List,,8)=_xlfn.CONCAT($A6," 1"),)&amp;"'!F30")),"&lt;7"))),0)),SUM(IFERROR(SUM(_xlfn.VSTACK(TRANSPOSE("'"&amp;_xlfn._xlws.FILTER(INDEX(Character_List,,1),INDEX(Character_List,,8)=_xlfn.CONCAT($A6," 2"),)&amp;"'!F4"),COUNTIF(INDIRECT(TRANSPOSE("'"&amp;_xlfn._xlws.FILTER(INDEX(Character_List,,1),INDEX(Character_List,,8)=_xlfn.CONCAT($A6," 2"),)&amp;"'!F4")),"&lt;7"))),0),IFERROR(SUM(_xlfn.VSTACK(TRANSPOSE("'"&amp;_xlfn._xlws.FILTER(INDEX(Character_List,,1),INDEX(Character_List,,8)=_xlfn.CONCAT($A6," 2"),)&amp;"'!F17"),COUNTIF(INDIRECT(TRANSPOSE("'"&amp;_xlfn._xlws.FILTER(INDEX(Character_List,,1),INDEX(Character_List,,8)=_xlfn.CONCAT($A6," 2"),)&amp;"'!F17")),"&lt;7"))),0),IFERROR(SUM(_xlfn.VSTACK(TRANSPOSE("'"&amp;_xlfn._xlws.FILTER(INDEX(Character_List,,1),INDEX(Character_List,,8)=_xlfn.CONCAT($A6," 2"),)&amp;"'!F30"),COUNTIF(INDIRECT(TRANSPOSE("'"&amp;_xlfn._xlws.FILTER(INDEX(Character_List,,1),INDEX(Character_List,,8)=_xlfn.CONCAT($A6," 2"),)&amp;"'!F30")),"&lt;7"))),0)),SUM(IFERROR(SUM(_xlfn.VSTACK(TRANSPOSE("'"&amp;_xlfn._xlws.FILTER(INDEX(Character_List,,1),INDEX(Character_List,,8)=_xlfn.CONCAT($A6," 3"),)&amp;"'!F4"),COUNTIF(INDIRECT(TRANSPOSE("'"&amp;_xlfn._xlws.FILTER(INDEX(Character_List,,1),INDEX(Character_List,,8)=_xlfn.CONCAT($A6," 3"),)&amp;"'!F4")),"&lt;7"))),0),IFERROR(SUM(_xlfn.VSTACK(TRANSPOSE("'"&amp;_xlfn._xlws.FILTER(INDEX(Character_List,,1),INDEX(Character_List,,8)=_xlfn.CONCAT($A6," 3"),)&amp;"'!F17"),COUNTIF(INDIRECT(TRANSPOSE("'"&amp;_xlfn._xlws.FILTER(INDEX(Character_List,,1),INDEX(Character_List,,8)=_xlfn.CONCAT($A6," 3"),)&amp;"'!F17")),"&lt;7"))),0),IFERROR(SUM(_xlfn.VSTACK(TRANSPOSE("'"&amp;_xlfn._xlws.FILTER(INDEX(Character_List,,1),INDEX(Character_List,,8)=_xlfn.CONCAT($A6," 3"),)&amp;"'!F30"),COUNTIF(INDIRECT(TRANSPOSE("'"&amp;_xlfn._xlws.FILTER(INDEX(Character_List,,1),INDEX(Character_List,,8)=_xlfn.CONCAT($A6," 3"),)&amp;"'!F30")),"&lt;7"))),0)))</f>
        <v>0</v>
      </c>
      <c r="C6" s="84" cm="1">
        <f t="array" aca="1" ref="C6" ca="1">SUM(SUM(IFERROR(SUM(_xlfn.VSTACK(TRANSPOSE("'"&amp;_xlfn._xlws.FILTER(INDEX(Character_List,,1),INDEX(Character_List,,8)=_xlfn.CONCAT($A6," 1"),)&amp;"'!F4"),COUNTIF(INDIRECT(TRANSPOSE("'"&amp;_xlfn._xlws.FILTER(INDEX(Character_List,,1),INDEX(Character_List,,8)=_xlfn.CONCAT($A6," 1"),)&amp;"'!F4")),"&lt;8"))),0),IFERROR(SUM(_xlfn.VSTACK(TRANSPOSE("'"&amp;_xlfn._xlws.FILTER(INDEX(Character_List,,1),INDEX(Character_List,,8)=_xlfn.CONCAT($A6," 1"),)&amp;"'!F17"),COUNTIF(INDIRECT(TRANSPOSE("'"&amp;_xlfn._xlws.FILTER(INDEX(Character_List,,1),INDEX(Character_List,,8)=_xlfn.CONCAT($A6," 1"),)&amp;"'!F17")),"&lt;8"))),0),IFERROR(SUM(_xlfn.VSTACK(TRANSPOSE("'"&amp;_xlfn._xlws.FILTER(INDEX(Character_List,,1),INDEX(Character_List,,8)=_xlfn.CONCAT($A6," 1"),)&amp;"'!F30"),COUNTIF(INDIRECT(TRANSPOSE("'"&amp;_xlfn._xlws.FILTER(INDEX(Character_List,,1),INDEX(Character_List,,8)=_xlfn.CONCAT($A6," 1"),)&amp;"'!F30")),"&lt;8"))),0)),SUM(IFERROR(SUM(_xlfn.VSTACK(TRANSPOSE("'"&amp;_xlfn._xlws.FILTER(INDEX(Character_List,,1),INDEX(Character_List,,8)=_xlfn.CONCAT($A6," 2"),)&amp;"'!F4"),COUNTIF(INDIRECT(TRANSPOSE("'"&amp;_xlfn._xlws.FILTER(INDEX(Character_List,,1),INDEX(Character_List,,8)=_xlfn.CONCAT($A6," 2"),)&amp;"'!F4")),"&lt;8"))),0),IFERROR(SUM(_xlfn.VSTACK(TRANSPOSE("'"&amp;_xlfn._xlws.FILTER(INDEX(Character_List,,1),INDEX(Character_List,,8)=_xlfn.CONCAT($A6," 2"),)&amp;"'!F17"),COUNTIF(INDIRECT(TRANSPOSE("'"&amp;_xlfn._xlws.FILTER(INDEX(Character_List,,1),INDEX(Character_List,,8)=_xlfn.CONCAT($A6," 2"),)&amp;"'!F17")),"&lt;8"))),0),IFERROR(SUM(_xlfn.VSTACK(TRANSPOSE("'"&amp;_xlfn._xlws.FILTER(INDEX(Character_List,,1),INDEX(Character_List,,8)=_xlfn.CONCAT($A6," 2"),)&amp;"'!F30"),COUNTIF(INDIRECT(TRANSPOSE("'"&amp;_xlfn._xlws.FILTER(INDEX(Character_List,,1),INDEX(Character_List,,8)=_xlfn.CONCAT($A6," 2"),)&amp;"'!F30")),"&lt;8"))),0)),SUM(IFERROR(SUM(_xlfn.VSTACK(TRANSPOSE("'"&amp;_xlfn._xlws.FILTER(INDEX(Character_List,,1),INDEX(Character_List,,8)=_xlfn.CONCAT($A6," 3"),)&amp;"'!F4"),COUNTIF(INDIRECT(TRANSPOSE("'"&amp;_xlfn._xlws.FILTER(INDEX(Character_List,,1),INDEX(Character_List,,8)=_xlfn.CONCAT($A6," 3"),)&amp;"'!F4")),"&lt;8"))),0),IFERROR(SUM(_xlfn.VSTACK(TRANSPOSE("'"&amp;_xlfn._xlws.FILTER(INDEX(Character_List,,1),INDEX(Character_List,,8)=_xlfn.CONCAT($A6," 3"),)&amp;"'!F17"),COUNTIF(INDIRECT(TRANSPOSE("'"&amp;_xlfn._xlws.FILTER(INDEX(Character_List,,1),INDEX(Character_List,,8)=_xlfn.CONCAT($A6," 3"),)&amp;"'!F17")),"&lt;8"))),0),IFERROR(SUM(_xlfn.VSTACK(TRANSPOSE("'"&amp;_xlfn._xlws.FILTER(INDEX(Character_List,,1),INDEX(Character_List,,8)=_xlfn.CONCAT($A6," 3"),)&amp;"'!F30"),COUNTIF(INDIRECT(TRANSPOSE("'"&amp;_xlfn._xlws.FILTER(INDEX(Character_List,,1),INDEX(Character_List,,8)=_xlfn.CONCAT($A6," 3"),)&amp;"'!F30")),"&lt;8"))),0)))</f>
        <v>0</v>
      </c>
      <c r="D6" s="84" cm="1">
        <f t="array" aca="1" ref="D6" ca="1">SUM(SUM(IFERROR(SUM(_xlfn.VSTACK(TRANSPOSE("'"&amp;_xlfn._xlws.FILTER(INDEX(Character_List,,1),INDEX(Character_List,,8)=_xlfn.CONCAT($A6," 1"),)&amp;"'!F4"),COUNTIF(INDIRECT(TRANSPOSE("'"&amp;_xlfn._xlws.FILTER(INDEX(Character_List,,1),INDEX(Character_List,,8)=_xlfn.CONCAT($A6," 1"),)&amp;"'!F4")),"&lt;9"))),0),IFERROR(SUM(_xlfn.VSTACK(TRANSPOSE("'"&amp;_xlfn._xlws.FILTER(INDEX(Character_List,,1),INDEX(Character_List,,8)=_xlfn.CONCAT($A6," 1"),)&amp;"'!F17"),COUNTIF(INDIRECT(TRANSPOSE("'"&amp;_xlfn._xlws.FILTER(INDEX(Character_List,,1),INDEX(Character_List,,8)=_xlfn.CONCAT($A6," 1"),)&amp;"'!F17")),"&lt;9"))),0),IFERROR(SUM(_xlfn.VSTACK(TRANSPOSE("'"&amp;_xlfn._xlws.FILTER(INDEX(Character_List,,1),INDEX(Character_List,,8)=_xlfn.CONCAT($A6," 1"),)&amp;"'!F30"),COUNTIF(INDIRECT(TRANSPOSE("'"&amp;_xlfn._xlws.FILTER(INDEX(Character_List,,1),INDEX(Character_List,,8)=_xlfn.CONCAT($A6," 1"),)&amp;"'!F30")),"&lt;9"))),0)),SUM(IFERROR(SUM(_xlfn.VSTACK(TRANSPOSE("'"&amp;_xlfn._xlws.FILTER(INDEX(Character_List,,1),INDEX(Character_List,,8)=_xlfn.CONCAT($A6," 2"),)&amp;"'!F4"),COUNTIF(INDIRECT(TRANSPOSE("'"&amp;_xlfn._xlws.FILTER(INDEX(Character_List,,1),INDEX(Character_List,,8)=_xlfn.CONCAT($A6," 2"),)&amp;"'!F4")),"&lt;9"))),0),IFERROR(SUM(_xlfn.VSTACK(TRANSPOSE("'"&amp;_xlfn._xlws.FILTER(INDEX(Character_List,,1),INDEX(Character_List,,8)=_xlfn.CONCAT($A6," 2"),)&amp;"'!F17"),COUNTIF(INDIRECT(TRANSPOSE("'"&amp;_xlfn._xlws.FILTER(INDEX(Character_List,,1),INDEX(Character_List,,8)=_xlfn.CONCAT($A6," 2"),)&amp;"'!F17")),"&lt;9"))),0),IFERROR(SUM(_xlfn.VSTACK(TRANSPOSE("'"&amp;_xlfn._xlws.FILTER(INDEX(Character_List,,1),INDEX(Character_List,,8)=_xlfn.CONCAT($A6," 2"),)&amp;"'!F30"),COUNTIF(INDIRECT(TRANSPOSE("'"&amp;_xlfn._xlws.FILTER(INDEX(Character_List,,1),INDEX(Character_List,,8)=_xlfn.CONCAT($A6," 2"),)&amp;"'!F30")),"&lt;9"))),0)),SUM(IFERROR(SUM(_xlfn.VSTACK(TRANSPOSE("'"&amp;_xlfn._xlws.FILTER(INDEX(Character_List,,1),INDEX(Character_List,,8)=_xlfn.CONCAT($A6," 3"),)&amp;"'!F4"),COUNTIF(INDIRECT(TRANSPOSE("'"&amp;_xlfn._xlws.FILTER(INDEX(Character_List,,1),INDEX(Character_List,,8)=_xlfn.CONCAT($A6," 3"),)&amp;"'!F4")),"&lt;9"))),0),IFERROR(SUM(_xlfn.VSTACK(TRANSPOSE("'"&amp;_xlfn._xlws.FILTER(INDEX(Character_List,,1),INDEX(Character_List,,8)=_xlfn.CONCAT($A6," 3"),)&amp;"'!F17"),COUNTIF(INDIRECT(TRANSPOSE("'"&amp;_xlfn._xlws.FILTER(INDEX(Character_List,,1),INDEX(Character_List,,8)=_xlfn.CONCAT($A6," 3"),)&amp;"'!F17")),"&lt;9"))),0),IFERROR(SUM(_xlfn.VSTACK(TRANSPOSE("'"&amp;_xlfn._xlws.FILTER(INDEX(Character_List,,1),INDEX(Character_List,,8)=_xlfn.CONCAT($A6," 3"),)&amp;"'!F30"),COUNTIF(INDIRECT(TRANSPOSE("'"&amp;_xlfn._xlws.FILTER(INDEX(Character_List,,1),INDEX(Character_List,,8)=_xlfn.CONCAT($A6," 3"),)&amp;"'!F30")),"&lt;9"))),0)))</f>
        <v>0</v>
      </c>
      <c r="E6" cm="1">
        <f t="array" aca="1" ref="E6" ca="1">SUM(SUM(IFERROR(SUM(_xlfn.VSTACK(TRANSPOSE("'"&amp;_xlfn._xlws.FILTER(INDEX(Character_List,,1),INDEX(Character_List,,8)=_xlfn.CONCAT($A6," 1"),)&amp;"'!F4"),COUNTIF(INDIRECT(TRANSPOSE("'"&amp;_xlfn._xlws.FILTER(INDEX(Character_List,,1),INDEX(Character_List,,8)=_xlfn.CONCAT($A6," 1"),)&amp;"'!F4")),"&lt;10"))),0),IFERROR(SUM(_xlfn.VSTACK(TRANSPOSE("'"&amp;_xlfn._xlws.FILTER(INDEX(Character_List,,1),INDEX(Character_List,,8)=_xlfn.CONCAT($A6," 1"),)&amp;"'!F17"),COUNTIF(INDIRECT(TRANSPOSE("'"&amp;_xlfn._xlws.FILTER(INDEX(Character_List,,1),INDEX(Character_List,,8)=_xlfn.CONCAT($A6," 1"),)&amp;"'!F17")),"&lt;10"))),0),IFERROR(SUM(_xlfn.VSTACK(TRANSPOSE("'"&amp;_xlfn._xlws.FILTER(INDEX(Character_List,,1),INDEX(Character_List,,8)=_xlfn.CONCAT($A6," 1"),)&amp;"'!F30"),COUNTIF(INDIRECT(TRANSPOSE("'"&amp;_xlfn._xlws.FILTER(INDEX(Character_List,,1),INDEX(Character_List,,8)=_xlfn.CONCAT($A6," 1"),)&amp;"'!F30")),"&lt;10"))),0)),SUM(IFERROR(SUM(_xlfn.VSTACK(TRANSPOSE("'"&amp;_xlfn._xlws.FILTER(INDEX(Character_List,,1),INDEX(Character_List,,8)=_xlfn.CONCAT($A6," 2"),)&amp;"'!F4"),COUNTIF(INDIRECT(TRANSPOSE("'"&amp;_xlfn._xlws.FILTER(INDEX(Character_List,,1),INDEX(Character_List,,8)=_xlfn.CONCAT($A6," 2"),)&amp;"'!F4")),"&lt;10"))),0),IFERROR(SUM(_xlfn.VSTACK(TRANSPOSE("'"&amp;_xlfn._xlws.FILTER(INDEX(Character_List,,1),INDEX(Character_List,,8)=_xlfn.CONCAT($A6," 2"),)&amp;"'!F17"),COUNTIF(INDIRECT(TRANSPOSE("'"&amp;_xlfn._xlws.FILTER(INDEX(Character_List,,1),INDEX(Character_List,,8)=_xlfn.CONCAT($A6," 2"),)&amp;"'!F17")),"&lt;10"))),0),IFERROR(SUM(_xlfn.VSTACK(TRANSPOSE("'"&amp;_xlfn._xlws.FILTER(INDEX(Character_List,,1),INDEX(Character_List,,8)=_xlfn.CONCAT($A6," 2"),)&amp;"'!F30"),COUNTIF(INDIRECT(TRANSPOSE("'"&amp;_xlfn._xlws.FILTER(INDEX(Character_List,,1),INDEX(Character_List,,8)=_xlfn.CONCAT($A6," 2"),)&amp;"'!F30")),"&lt;10"))),0)),SUM(IFERROR(SUM(_xlfn.VSTACK(TRANSPOSE("'"&amp;_xlfn._xlws.FILTER(INDEX(Character_List,,1),INDEX(Character_List,,8)=_xlfn.CONCAT($A6," 3"),)&amp;"'!F4"),COUNTIF(INDIRECT(TRANSPOSE("'"&amp;_xlfn._xlws.FILTER(INDEX(Character_List,,1),INDEX(Character_List,,8)=_xlfn.CONCAT($A6," 3"),)&amp;"'!F4")),"&lt;10"))),0),IFERROR(SUM(_xlfn.VSTACK(TRANSPOSE("'"&amp;_xlfn._xlws.FILTER(INDEX(Character_List,,1),INDEX(Character_List,,8)=_xlfn.CONCAT($A6," 3"),)&amp;"'!F17"),COUNTIF(INDIRECT(TRANSPOSE("'"&amp;_xlfn._xlws.FILTER(INDEX(Character_List,,1),INDEX(Character_List,,8)=_xlfn.CONCAT($A6," 3"),)&amp;"'!F17")),"&lt;10"))),0),IFERROR(SUM(_xlfn.VSTACK(TRANSPOSE("'"&amp;_xlfn._xlws.FILTER(INDEX(Character_List,,1),INDEX(Character_List,,8)=_xlfn.CONCAT($A6," 3"),)&amp;"'!F30"),COUNTIF(INDIRECT(TRANSPOSE("'"&amp;_xlfn._xlws.FILTER(INDEX(Character_List,,1),INDEX(Character_List,,8)=_xlfn.CONCAT($A6," 3"),)&amp;"'!F30")),"&lt;10"))),0)))</f>
        <v>27</v>
      </c>
    </row>
    <row r="7" spans="1:5" x14ac:dyDescent="0.25">
      <c r="A7" s="61" t="str">
        <v>Raiden</v>
      </c>
      <c r="B7" s="84" cm="1">
        <f t="array" aca="1" ref="B7" ca="1">SUM(SUM(IFERROR(SUM(_xlfn.VSTACK(TRANSPOSE("'"&amp;_xlfn._xlws.FILTER(INDEX(Character_List,,1),INDEX(Character_List,,8)=_xlfn.CONCAT($A7," 1"),)&amp;"'!F4"),COUNTIF(INDIRECT(TRANSPOSE("'"&amp;_xlfn._xlws.FILTER(INDEX(Character_List,,1),INDEX(Character_List,,8)=_xlfn.CONCAT($A7," 1"),)&amp;"'!F4")),"&lt;7"))),0),IFERROR(SUM(_xlfn.VSTACK(TRANSPOSE("'"&amp;_xlfn._xlws.FILTER(INDEX(Character_List,,1),INDEX(Character_List,,8)=_xlfn.CONCAT($A7," 1"),)&amp;"'!F17"),COUNTIF(INDIRECT(TRANSPOSE("'"&amp;_xlfn._xlws.FILTER(INDEX(Character_List,,1),INDEX(Character_List,,8)=_xlfn.CONCAT($A7," 1"),)&amp;"'!F17")),"&lt;7"))),0),IFERROR(SUM(_xlfn.VSTACK(TRANSPOSE("'"&amp;_xlfn._xlws.FILTER(INDEX(Character_List,,1),INDEX(Character_List,,8)=_xlfn.CONCAT($A7," 1"),)&amp;"'!F30"),COUNTIF(INDIRECT(TRANSPOSE("'"&amp;_xlfn._xlws.FILTER(INDEX(Character_List,,1),INDEX(Character_List,,8)=_xlfn.CONCAT($A7," 1"),)&amp;"'!F30")),"&lt;7"))),0)),SUM(IFERROR(SUM(_xlfn.VSTACK(TRANSPOSE("'"&amp;_xlfn._xlws.FILTER(INDEX(Character_List,,1),INDEX(Character_List,,8)=_xlfn.CONCAT($A7," 2"),)&amp;"'!F4"),COUNTIF(INDIRECT(TRANSPOSE("'"&amp;_xlfn._xlws.FILTER(INDEX(Character_List,,1),INDEX(Character_List,,8)=_xlfn.CONCAT($A7," 2"),)&amp;"'!F4")),"&lt;7"))),0),IFERROR(SUM(_xlfn.VSTACK(TRANSPOSE("'"&amp;_xlfn._xlws.FILTER(INDEX(Character_List,,1),INDEX(Character_List,,8)=_xlfn.CONCAT($A7," 2"),)&amp;"'!F17"),COUNTIF(INDIRECT(TRANSPOSE("'"&amp;_xlfn._xlws.FILTER(INDEX(Character_List,,1),INDEX(Character_List,,8)=_xlfn.CONCAT($A7," 2"),)&amp;"'!F17")),"&lt;7"))),0),IFERROR(SUM(_xlfn.VSTACK(TRANSPOSE("'"&amp;_xlfn._xlws.FILTER(INDEX(Character_List,,1),INDEX(Character_List,,8)=_xlfn.CONCAT($A7," 2"),)&amp;"'!F30"),COUNTIF(INDIRECT(TRANSPOSE("'"&amp;_xlfn._xlws.FILTER(INDEX(Character_List,,1),INDEX(Character_List,,8)=_xlfn.CONCAT($A7," 2"),)&amp;"'!F30")),"&lt;7"))),0)),SUM(IFERROR(SUM(_xlfn.VSTACK(TRANSPOSE("'"&amp;_xlfn._xlws.FILTER(INDEX(Character_List,,1),INDEX(Character_List,,8)=_xlfn.CONCAT($A7," 3"),)&amp;"'!F4"),COUNTIF(INDIRECT(TRANSPOSE("'"&amp;_xlfn._xlws.FILTER(INDEX(Character_List,,1),INDEX(Character_List,,8)=_xlfn.CONCAT($A7," 3"),)&amp;"'!F4")),"&lt;7"))),0),IFERROR(SUM(_xlfn.VSTACK(TRANSPOSE("'"&amp;_xlfn._xlws.FILTER(INDEX(Character_List,,1),INDEX(Character_List,,8)=_xlfn.CONCAT($A7," 3"),)&amp;"'!F17"),COUNTIF(INDIRECT(TRANSPOSE("'"&amp;_xlfn._xlws.FILTER(INDEX(Character_List,,1),INDEX(Character_List,,8)=_xlfn.CONCAT($A7," 3"),)&amp;"'!F17")),"&lt;7"))),0),IFERROR(SUM(_xlfn.VSTACK(TRANSPOSE("'"&amp;_xlfn._xlws.FILTER(INDEX(Character_List,,1),INDEX(Character_List,,8)=_xlfn.CONCAT($A7," 3"),)&amp;"'!F30"),COUNTIF(INDIRECT(TRANSPOSE("'"&amp;_xlfn._xlws.FILTER(INDEX(Character_List,,1),INDEX(Character_List,,8)=_xlfn.CONCAT($A7," 3"),)&amp;"'!F30")),"&lt;7"))),0)))</f>
        <v>0</v>
      </c>
      <c r="C7" s="84" cm="1">
        <f t="array" aca="1" ref="C7" ca="1">SUM(SUM(IFERROR(SUM(_xlfn.VSTACK(TRANSPOSE("'"&amp;_xlfn._xlws.FILTER(INDEX(Character_List,,1),INDEX(Character_List,,8)=_xlfn.CONCAT($A7," 1"),)&amp;"'!F4"),COUNTIF(INDIRECT(TRANSPOSE("'"&amp;_xlfn._xlws.FILTER(INDEX(Character_List,,1),INDEX(Character_List,,8)=_xlfn.CONCAT($A7," 1"),)&amp;"'!F4")),"&lt;8"))),0),IFERROR(SUM(_xlfn.VSTACK(TRANSPOSE("'"&amp;_xlfn._xlws.FILTER(INDEX(Character_List,,1),INDEX(Character_List,,8)=_xlfn.CONCAT($A7," 1"),)&amp;"'!F17"),COUNTIF(INDIRECT(TRANSPOSE("'"&amp;_xlfn._xlws.FILTER(INDEX(Character_List,,1),INDEX(Character_List,,8)=_xlfn.CONCAT($A7," 1"),)&amp;"'!F17")),"&lt;8"))),0),IFERROR(SUM(_xlfn.VSTACK(TRANSPOSE("'"&amp;_xlfn._xlws.FILTER(INDEX(Character_List,,1),INDEX(Character_List,,8)=_xlfn.CONCAT($A7," 1"),)&amp;"'!F30"),COUNTIF(INDIRECT(TRANSPOSE("'"&amp;_xlfn._xlws.FILTER(INDEX(Character_List,,1),INDEX(Character_List,,8)=_xlfn.CONCAT($A7," 1"),)&amp;"'!F30")),"&lt;8"))),0)),SUM(IFERROR(SUM(_xlfn.VSTACK(TRANSPOSE("'"&amp;_xlfn._xlws.FILTER(INDEX(Character_List,,1),INDEX(Character_List,,8)=_xlfn.CONCAT($A7," 2"),)&amp;"'!F4"),COUNTIF(INDIRECT(TRANSPOSE("'"&amp;_xlfn._xlws.FILTER(INDEX(Character_List,,1),INDEX(Character_List,,8)=_xlfn.CONCAT($A7," 2"),)&amp;"'!F4")),"&lt;8"))),0),IFERROR(SUM(_xlfn.VSTACK(TRANSPOSE("'"&amp;_xlfn._xlws.FILTER(INDEX(Character_List,,1),INDEX(Character_List,,8)=_xlfn.CONCAT($A7," 2"),)&amp;"'!F17"),COUNTIF(INDIRECT(TRANSPOSE("'"&amp;_xlfn._xlws.FILTER(INDEX(Character_List,,1),INDEX(Character_List,,8)=_xlfn.CONCAT($A7," 2"),)&amp;"'!F17")),"&lt;8"))),0),IFERROR(SUM(_xlfn.VSTACK(TRANSPOSE("'"&amp;_xlfn._xlws.FILTER(INDEX(Character_List,,1),INDEX(Character_List,,8)=_xlfn.CONCAT($A7," 2"),)&amp;"'!F30"),COUNTIF(INDIRECT(TRANSPOSE("'"&amp;_xlfn._xlws.FILTER(INDEX(Character_List,,1),INDEX(Character_List,,8)=_xlfn.CONCAT($A7," 2"),)&amp;"'!F30")),"&lt;8"))),0)),SUM(IFERROR(SUM(_xlfn.VSTACK(TRANSPOSE("'"&amp;_xlfn._xlws.FILTER(INDEX(Character_List,,1),INDEX(Character_List,,8)=_xlfn.CONCAT($A7," 3"),)&amp;"'!F4"),COUNTIF(INDIRECT(TRANSPOSE("'"&amp;_xlfn._xlws.FILTER(INDEX(Character_List,,1),INDEX(Character_List,,8)=_xlfn.CONCAT($A7," 3"),)&amp;"'!F4")),"&lt;8"))),0),IFERROR(SUM(_xlfn.VSTACK(TRANSPOSE("'"&amp;_xlfn._xlws.FILTER(INDEX(Character_List,,1),INDEX(Character_List,,8)=_xlfn.CONCAT($A7," 3"),)&amp;"'!F17"),COUNTIF(INDIRECT(TRANSPOSE("'"&amp;_xlfn._xlws.FILTER(INDEX(Character_List,,1),INDEX(Character_List,,8)=_xlfn.CONCAT($A7," 3"),)&amp;"'!F17")),"&lt;8"))),0),IFERROR(SUM(_xlfn.VSTACK(TRANSPOSE("'"&amp;_xlfn._xlws.FILTER(INDEX(Character_List,,1),INDEX(Character_List,,8)=_xlfn.CONCAT($A7," 3"),)&amp;"'!F30"),COUNTIF(INDIRECT(TRANSPOSE("'"&amp;_xlfn._xlws.FILTER(INDEX(Character_List,,1),INDEX(Character_List,,8)=_xlfn.CONCAT($A7," 3"),)&amp;"'!F30")),"&lt;8"))),0)))</f>
        <v>0</v>
      </c>
      <c r="D7" s="84" cm="1">
        <f t="array" aca="1" ref="D7" ca="1">SUM(SUM(IFERROR(SUM(_xlfn.VSTACK(TRANSPOSE("'"&amp;_xlfn._xlws.FILTER(INDEX(Character_List,,1),INDEX(Character_List,,8)=_xlfn.CONCAT($A7," 1"),)&amp;"'!F4"),COUNTIF(INDIRECT(TRANSPOSE("'"&amp;_xlfn._xlws.FILTER(INDEX(Character_List,,1),INDEX(Character_List,,8)=_xlfn.CONCAT($A7," 1"),)&amp;"'!F4")),"&lt;9"))),0),IFERROR(SUM(_xlfn.VSTACK(TRANSPOSE("'"&amp;_xlfn._xlws.FILTER(INDEX(Character_List,,1),INDEX(Character_List,,8)=_xlfn.CONCAT($A7," 1"),)&amp;"'!F17"),COUNTIF(INDIRECT(TRANSPOSE("'"&amp;_xlfn._xlws.FILTER(INDEX(Character_List,,1),INDEX(Character_List,,8)=_xlfn.CONCAT($A7," 1"),)&amp;"'!F17")),"&lt;9"))),0),IFERROR(SUM(_xlfn.VSTACK(TRANSPOSE("'"&amp;_xlfn._xlws.FILTER(INDEX(Character_List,,1),INDEX(Character_List,,8)=_xlfn.CONCAT($A7," 1"),)&amp;"'!F30"),COUNTIF(INDIRECT(TRANSPOSE("'"&amp;_xlfn._xlws.FILTER(INDEX(Character_List,,1),INDEX(Character_List,,8)=_xlfn.CONCAT($A7," 1"),)&amp;"'!F30")),"&lt;9"))),0)),SUM(IFERROR(SUM(_xlfn.VSTACK(TRANSPOSE("'"&amp;_xlfn._xlws.FILTER(INDEX(Character_List,,1),INDEX(Character_List,,8)=_xlfn.CONCAT($A7," 2"),)&amp;"'!F4"),COUNTIF(INDIRECT(TRANSPOSE("'"&amp;_xlfn._xlws.FILTER(INDEX(Character_List,,1),INDEX(Character_List,,8)=_xlfn.CONCAT($A7," 2"),)&amp;"'!F4")),"&lt;9"))),0),IFERROR(SUM(_xlfn.VSTACK(TRANSPOSE("'"&amp;_xlfn._xlws.FILTER(INDEX(Character_List,,1),INDEX(Character_List,,8)=_xlfn.CONCAT($A7," 2"),)&amp;"'!F17"),COUNTIF(INDIRECT(TRANSPOSE("'"&amp;_xlfn._xlws.FILTER(INDEX(Character_List,,1),INDEX(Character_List,,8)=_xlfn.CONCAT($A7," 2"),)&amp;"'!F17")),"&lt;9"))),0),IFERROR(SUM(_xlfn.VSTACK(TRANSPOSE("'"&amp;_xlfn._xlws.FILTER(INDEX(Character_List,,1),INDEX(Character_List,,8)=_xlfn.CONCAT($A7," 2"),)&amp;"'!F30"),COUNTIF(INDIRECT(TRANSPOSE("'"&amp;_xlfn._xlws.FILTER(INDEX(Character_List,,1),INDEX(Character_List,,8)=_xlfn.CONCAT($A7," 2"),)&amp;"'!F30")),"&lt;9"))),0)),SUM(IFERROR(SUM(_xlfn.VSTACK(TRANSPOSE("'"&amp;_xlfn._xlws.FILTER(INDEX(Character_List,,1),INDEX(Character_List,,8)=_xlfn.CONCAT($A7," 3"),)&amp;"'!F4"),COUNTIF(INDIRECT(TRANSPOSE("'"&amp;_xlfn._xlws.FILTER(INDEX(Character_List,,1),INDEX(Character_List,,8)=_xlfn.CONCAT($A7," 3"),)&amp;"'!F4")),"&lt;9"))),0),IFERROR(SUM(_xlfn.VSTACK(TRANSPOSE("'"&amp;_xlfn._xlws.FILTER(INDEX(Character_List,,1),INDEX(Character_List,,8)=_xlfn.CONCAT($A7," 3"),)&amp;"'!F17"),COUNTIF(INDIRECT(TRANSPOSE("'"&amp;_xlfn._xlws.FILTER(INDEX(Character_List,,1),INDEX(Character_List,,8)=_xlfn.CONCAT($A7," 3"),)&amp;"'!F17")),"&lt;9"))),0),IFERROR(SUM(_xlfn.VSTACK(TRANSPOSE("'"&amp;_xlfn._xlws.FILTER(INDEX(Character_List,,1),INDEX(Character_List,,8)=_xlfn.CONCAT($A7," 3"),)&amp;"'!F30"),COUNTIF(INDIRECT(TRANSPOSE("'"&amp;_xlfn._xlws.FILTER(INDEX(Character_List,,1),INDEX(Character_List,,8)=_xlfn.CONCAT($A7," 3"),)&amp;"'!F30")),"&lt;9"))),0)))</f>
        <v>0</v>
      </c>
      <c r="E7" cm="1">
        <f t="array" aca="1" ref="E7" ca="1">SUM(SUM(IFERROR(SUM(_xlfn.VSTACK(TRANSPOSE("'"&amp;_xlfn._xlws.FILTER(INDEX(Character_List,,1),INDEX(Character_List,,8)=_xlfn.CONCAT($A7," 1"),)&amp;"'!F4"),COUNTIF(INDIRECT(TRANSPOSE("'"&amp;_xlfn._xlws.FILTER(INDEX(Character_List,,1),INDEX(Character_List,,8)=_xlfn.CONCAT($A7," 1"),)&amp;"'!F4")),"&lt;10"))),0),IFERROR(SUM(_xlfn.VSTACK(TRANSPOSE("'"&amp;_xlfn._xlws.FILTER(INDEX(Character_List,,1),INDEX(Character_List,,8)=_xlfn.CONCAT($A7," 1"),)&amp;"'!F17"),COUNTIF(INDIRECT(TRANSPOSE("'"&amp;_xlfn._xlws.FILTER(INDEX(Character_List,,1),INDEX(Character_List,,8)=_xlfn.CONCAT($A7," 1"),)&amp;"'!F17")),"&lt;10"))),0),IFERROR(SUM(_xlfn.VSTACK(TRANSPOSE("'"&amp;_xlfn._xlws.FILTER(INDEX(Character_List,,1),INDEX(Character_List,,8)=_xlfn.CONCAT($A7," 1"),)&amp;"'!F30"),COUNTIF(INDIRECT(TRANSPOSE("'"&amp;_xlfn._xlws.FILTER(INDEX(Character_List,,1),INDEX(Character_List,,8)=_xlfn.CONCAT($A7," 1"),)&amp;"'!F30")),"&lt;10"))),0)),SUM(IFERROR(SUM(_xlfn.VSTACK(TRANSPOSE("'"&amp;_xlfn._xlws.FILTER(INDEX(Character_List,,1),INDEX(Character_List,,8)=_xlfn.CONCAT($A7," 2"),)&amp;"'!F4"),COUNTIF(INDIRECT(TRANSPOSE("'"&amp;_xlfn._xlws.FILTER(INDEX(Character_List,,1),INDEX(Character_List,,8)=_xlfn.CONCAT($A7," 2"),)&amp;"'!F4")),"&lt;10"))),0),IFERROR(SUM(_xlfn.VSTACK(TRANSPOSE("'"&amp;_xlfn._xlws.FILTER(INDEX(Character_List,,1),INDEX(Character_List,,8)=_xlfn.CONCAT($A7," 2"),)&amp;"'!F17"),COUNTIF(INDIRECT(TRANSPOSE("'"&amp;_xlfn._xlws.FILTER(INDEX(Character_List,,1),INDEX(Character_List,,8)=_xlfn.CONCAT($A7," 2"),)&amp;"'!F17")),"&lt;10"))),0),IFERROR(SUM(_xlfn.VSTACK(TRANSPOSE("'"&amp;_xlfn._xlws.FILTER(INDEX(Character_List,,1),INDEX(Character_List,,8)=_xlfn.CONCAT($A7," 2"),)&amp;"'!F30"),COUNTIF(INDIRECT(TRANSPOSE("'"&amp;_xlfn._xlws.FILTER(INDEX(Character_List,,1),INDEX(Character_List,,8)=_xlfn.CONCAT($A7," 2"),)&amp;"'!F30")),"&lt;10"))),0)),SUM(IFERROR(SUM(_xlfn.VSTACK(TRANSPOSE("'"&amp;_xlfn._xlws.FILTER(INDEX(Character_List,,1),INDEX(Character_List,,8)=_xlfn.CONCAT($A7," 3"),)&amp;"'!F4"),COUNTIF(INDIRECT(TRANSPOSE("'"&amp;_xlfn._xlws.FILTER(INDEX(Character_List,,1),INDEX(Character_List,,8)=_xlfn.CONCAT($A7," 3"),)&amp;"'!F4")),"&lt;10"))),0),IFERROR(SUM(_xlfn.VSTACK(TRANSPOSE("'"&amp;_xlfn._xlws.FILTER(INDEX(Character_List,,1),INDEX(Character_List,,8)=_xlfn.CONCAT($A7," 3"),)&amp;"'!F17"),COUNTIF(INDIRECT(TRANSPOSE("'"&amp;_xlfn._xlws.FILTER(INDEX(Character_List,,1),INDEX(Character_List,,8)=_xlfn.CONCAT($A7," 3"),)&amp;"'!F17")),"&lt;10"))),0),IFERROR(SUM(_xlfn.VSTACK(TRANSPOSE("'"&amp;_xlfn._xlws.FILTER(INDEX(Character_List,,1),INDEX(Character_List,,8)=_xlfn.CONCAT($A7," 3"),)&amp;"'!F30"),COUNTIF(INDIRECT(TRANSPOSE("'"&amp;_xlfn._xlws.FILTER(INDEX(Character_List,,1),INDEX(Character_List,,8)=_xlfn.CONCAT($A7," 3"),)&amp;"'!F30")),"&lt;10"))),0)))</f>
        <v>27</v>
      </c>
    </row>
    <row r="8" spans="1:5" x14ac:dyDescent="0.25">
      <c r="A8" s="61" t="str">
        <v>Scaramouche</v>
      </c>
      <c r="B8" s="84" cm="1">
        <f t="array" aca="1" ref="B8" ca="1">SUM(SUM(IFERROR(SUM(_xlfn.VSTACK(TRANSPOSE("'"&amp;_xlfn._xlws.FILTER(INDEX(Character_List,,1),INDEX(Character_List,,8)=_xlfn.CONCAT($A8," 1"),)&amp;"'!F4"),COUNTIF(INDIRECT(TRANSPOSE("'"&amp;_xlfn._xlws.FILTER(INDEX(Character_List,,1),INDEX(Character_List,,8)=_xlfn.CONCAT($A8," 1"),)&amp;"'!F4")),"&lt;7"))),0),IFERROR(SUM(_xlfn.VSTACK(TRANSPOSE("'"&amp;_xlfn._xlws.FILTER(INDEX(Character_List,,1),INDEX(Character_List,,8)=_xlfn.CONCAT($A8," 1"),)&amp;"'!F17"),COUNTIF(INDIRECT(TRANSPOSE("'"&amp;_xlfn._xlws.FILTER(INDEX(Character_List,,1),INDEX(Character_List,,8)=_xlfn.CONCAT($A8," 1"),)&amp;"'!F17")),"&lt;7"))),0),IFERROR(SUM(_xlfn.VSTACK(TRANSPOSE("'"&amp;_xlfn._xlws.FILTER(INDEX(Character_List,,1),INDEX(Character_List,,8)=_xlfn.CONCAT($A8," 1"),)&amp;"'!F30"),COUNTIF(INDIRECT(TRANSPOSE("'"&amp;_xlfn._xlws.FILTER(INDEX(Character_List,,1),INDEX(Character_List,,8)=_xlfn.CONCAT($A8," 1"),)&amp;"'!F30")),"&lt;7"))),0)),SUM(IFERROR(SUM(_xlfn.VSTACK(TRANSPOSE("'"&amp;_xlfn._xlws.FILTER(INDEX(Character_List,,1),INDEX(Character_List,,8)=_xlfn.CONCAT($A8," 2"),)&amp;"'!F4"),COUNTIF(INDIRECT(TRANSPOSE("'"&amp;_xlfn._xlws.FILTER(INDEX(Character_List,,1),INDEX(Character_List,,8)=_xlfn.CONCAT($A8," 2"),)&amp;"'!F4")),"&lt;7"))),0),IFERROR(SUM(_xlfn.VSTACK(TRANSPOSE("'"&amp;_xlfn._xlws.FILTER(INDEX(Character_List,,1),INDEX(Character_List,,8)=_xlfn.CONCAT($A8," 2"),)&amp;"'!F17"),COUNTIF(INDIRECT(TRANSPOSE("'"&amp;_xlfn._xlws.FILTER(INDEX(Character_List,,1),INDEX(Character_List,,8)=_xlfn.CONCAT($A8," 2"),)&amp;"'!F17")),"&lt;7"))),0),IFERROR(SUM(_xlfn.VSTACK(TRANSPOSE("'"&amp;_xlfn._xlws.FILTER(INDEX(Character_List,,1),INDEX(Character_List,,8)=_xlfn.CONCAT($A8," 2"),)&amp;"'!F30"),COUNTIF(INDIRECT(TRANSPOSE("'"&amp;_xlfn._xlws.FILTER(INDEX(Character_List,,1),INDEX(Character_List,,8)=_xlfn.CONCAT($A8," 2"),)&amp;"'!F30")),"&lt;7"))),0)),SUM(IFERROR(SUM(_xlfn.VSTACK(TRANSPOSE("'"&amp;_xlfn._xlws.FILTER(INDEX(Character_List,,1),INDEX(Character_List,,8)=_xlfn.CONCAT($A8," 3"),)&amp;"'!F4"),COUNTIF(INDIRECT(TRANSPOSE("'"&amp;_xlfn._xlws.FILTER(INDEX(Character_List,,1),INDEX(Character_List,,8)=_xlfn.CONCAT($A8," 3"),)&amp;"'!F4")),"&lt;7"))),0),IFERROR(SUM(_xlfn.VSTACK(TRANSPOSE("'"&amp;_xlfn._xlws.FILTER(INDEX(Character_List,,1),INDEX(Character_List,,8)=_xlfn.CONCAT($A8," 3"),)&amp;"'!F17"),COUNTIF(INDIRECT(TRANSPOSE("'"&amp;_xlfn._xlws.FILTER(INDEX(Character_List,,1),INDEX(Character_List,,8)=_xlfn.CONCAT($A8," 3"),)&amp;"'!F17")),"&lt;7"))),0),IFERROR(SUM(_xlfn.VSTACK(TRANSPOSE("'"&amp;_xlfn._xlws.FILTER(INDEX(Character_List,,1),INDEX(Character_List,,8)=_xlfn.CONCAT($A8," 3"),)&amp;"'!F30"),COUNTIF(INDIRECT(TRANSPOSE("'"&amp;_xlfn._xlws.FILTER(INDEX(Character_List,,1),INDEX(Character_List,,8)=_xlfn.CONCAT($A8," 3"),)&amp;"'!F30")),"&lt;7"))),0)))</f>
        <v>0</v>
      </c>
      <c r="C8" s="84" cm="1">
        <f t="array" aca="1" ref="C8" ca="1">SUM(SUM(IFERROR(SUM(_xlfn.VSTACK(TRANSPOSE("'"&amp;_xlfn._xlws.FILTER(INDEX(Character_List,,1),INDEX(Character_List,,8)=_xlfn.CONCAT($A8," 1"),)&amp;"'!F4"),COUNTIF(INDIRECT(TRANSPOSE("'"&amp;_xlfn._xlws.FILTER(INDEX(Character_List,,1),INDEX(Character_List,,8)=_xlfn.CONCAT($A8," 1"),)&amp;"'!F4")),"&lt;8"))),0),IFERROR(SUM(_xlfn.VSTACK(TRANSPOSE("'"&amp;_xlfn._xlws.FILTER(INDEX(Character_List,,1),INDEX(Character_List,,8)=_xlfn.CONCAT($A8," 1"),)&amp;"'!F17"),COUNTIF(INDIRECT(TRANSPOSE("'"&amp;_xlfn._xlws.FILTER(INDEX(Character_List,,1),INDEX(Character_List,,8)=_xlfn.CONCAT($A8," 1"),)&amp;"'!F17")),"&lt;8"))),0),IFERROR(SUM(_xlfn.VSTACK(TRANSPOSE("'"&amp;_xlfn._xlws.FILTER(INDEX(Character_List,,1),INDEX(Character_List,,8)=_xlfn.CONCAT($A8," 1"),)&amp;"'!F30"),COUNTIF(INDIRECT(TRANSPOSE("'"&amp;_xlfn._xlws.FILTER(INDEX(Character_List,,1),INDEX(Character_List,,8)=_xlfn.CONCAT($A8," 1"),)&amp;"'!F30")),"&lt;8"))),0)),SUM(IFERROR(SUM(_xlfn.VSTACK(TRANSPOSE("'"&amp;_xlfn._xlws.FILTER(INDEX(Character_List,,1),INDEX(Character_List,,8)=_xlfn.CONCAT($A8," 2"),)&amp;"'!F4"),COUNTIF(INDIRECT(TRANSPOSE("'"&amp;_xlfn._xlws.FILTER(INDEX(Character_List,,1),INDEX(Character_List,,8)=_xlfn.CONCAT($A8," 2"),)&amp;"'!F4")),"&lt;8"))),0),IFERROR(SUM(_xlfn.VSTACK(TRANSPOSE("'"&amp;_xlfn._xlws.FILTER(INDEX(Character_List,,1),INDEX(Character_List,,8)=_xlfn.CONCAT($A8," 2"),)&amp;"'!F17"),COUNTIF(INDIRECT(TRANSPOSE("'"&amp;_xlfn._xlws.FILTER(INDEX(Character_List,,1),INDEX(Character_List,,8)=_xlfn.CONCAT($A8," 2"),)&amp;"'!F17")),"&lt;8"))),0),IFERROR(SUM(_xlfn.VSTACK(TRANSPOSE("'"&amp;_xlfn._xlws.FILTER(INDEX(Character_List,,1),INDEX(Character_List,,8)=_xlfn.CONCAT($A8," 2"),)&amp;"'!F30"),COUNTIF(INDIRECT(TRANSPOSE("'"&amp;_xlfn._xlws.FILTER(INDEX(Character_List,,1),INDEX(Character_List,,8)=_xlfn.CONCAT($A8," 2"),)&amp;"'!F30")),"&lt;8"))),0)),SUM(IFERROR(SUM(_xlfn.VSTACK(TRANSPOSE("'"&amp;_xlfn._xlws.FILTER(INDEX(Character_List,,1),INDEX(Character_List,,8)=_xlfn.CONCAT($A8," 3"),)&amp;"'!F4"),COUNTIF(INDIRECT(TRANSPOSE("'"&amp;_xlfn._xlws.FILTER(INDEX(Character_List,,1),INDEX(Character_List,,8)=_xlfn.CONCAT($A8," 3"),)&amp;"'!F4")),"&lt;8"))),0),IFERROR(SUM(_xlfn.VSTACK(TRANSPOSE("'"&amp;_xlfn._xlws.FILTER(INDEX(Character_List,,1),INDEX(Character_List,,8)=_xlfn.CONCAT($A8," 3"),)&amp;"'!F17"),COUNTIF(INDIRECT(TRANSPOSE("'"&amp;_xlfn._xlws.FILTER(INDEX(Character_List,,1),INDEX(Character_List,,8)=_xlfn.CONCAT($A8," 3"),)&amp;"'!F17")),"&lt;8"))),0),IFERROR(SUM(_xlfn.VSTACK(TRANSPOSE("'"&amp;_xlfn._xlws.FILTER(INDEX(Character_List,,1),INDEX(Character_List,,8)=_xlfn.CONCAT($A8," 3"),)&amp;"'!F30"),COUNTIF(INDIRECT(TRANSPOSE("'"&amp;_xlfn._xlws.FILTER(INDEX(Character_List,,1),INDEX(Character_List,,8)=_xlfn.CONCAT($A8," 3"),)&amp;"'!F30")),"&lt;8"))),0)))</f>
        <v>0</v>
      </c>
      <c r="D8" s="84" cm="1">
        <f t="array" aca="1" ref="D8" ca="1">SUM(SUM(IFERROR(SUM(_xlfn.VSTACK(TRANSPOSE("'"&amp;_xlfn._xlws.FILTER(INDEX(Character_List,,1),INDEX(Character_List,,8)=_xlfn.CONCAT($A8," 1"),)&amp;"'!F4"),COUNTIF(INDIRECT(TRANSPOSE("'"&amp;_xlfn._xlws.FILTER(INDEX(Character_List,,1),INDEX(Character_List,,8)=_xlfn.CONCAT($A8," 1"),)&amp;"'!F4")),"&lt;9"))),0),IFERROR(SUM(_xlfn.VSTACK(TRANSPOSE("'"&amp;_xlfn._xlws.FILTER(INDEX(Character_List,,1),INDEX(Character_List,,8)=_xlfn.CONCAT($A8," 1"),)&amp;"'!F17"),COUNTIF(INDIRECT(TRANSPOSE("'"&amp;_xlfn._xlws.FILTER(INDEX(Character_List,,1),INDEX(Character_List,,8)=_xlfn.CONCAT($A8," 1"),)&amp;"'!F17")),"&lt;9"))),0),IFERROR(SUM(_xlfn.VSTACK(TRANSPOSE("'"&amp;_xlfn._xlws.FILTER(INDEX(Character_List,,1),INDEX(Character_List,,8)=_xlfn.CONCAT($A8," 1"),)&amp;"'!F30"),COUNTIF(INDIRECT(TRANSPOSE("'"&amp;_xlfn._xlws.FILTER(INDEX(Character_List,,1),INDEX(Character_List,,8)=_xlfn.CONCAT($A8," 1"),)&amp;"'!F30")),"&lt;9"))),0)),SUM(IFERROR(SUM(_xlfn.VSTACK(TRANSPOSE("'"&amp;_xlfn._xlws.FILTER(INDEX(Character_List,,1),INDEX(Character_List,,8)=_xlfn.CONCAT($A8," 2"),)&amp;"'!F4"),COUNTIF(INDIRECT(TRANSPOSE("'"&amp;_xlfn._xlws.FILTER(INDEX(Character_List,,1),INDEX(Character_List,,8)=_xlfn.CONCAT($A8," 2"),)&amp;"'!F4")),"&lt;9"))),0),IFERROR(SUM(_xlfn.VSTACK(TRANSPOSE("'"&amp;_xlfn._xlws.FILTER(INDEX(Character_List,,1),INDEX(Character_List,,8)=_xlfn.CONCAT($A8," 2"),)&amp;"'!F17"),COUNTIF(INDIRECT(TRANSPOSE("'"&amp;_xlfn._xlws.FILTER(INDEX(Character_List,,1),INDEX(Character_List,,8)=_xlfn.CONCAT($A8," 2"),)&amp;"'!F17")),"&lt;9"))),0),IFERROR(SUM(_xlfn.VSTACK(TRANSPOSE("'"&amp;_xlfn._xlws.FILTER(INDEX(Character_List,,1),INDEX(Character_List,,8)=_xlfn.CONCAT($A8," 2"),)&amp;"'!F30"),COUNTIF(INDIRECT(TRANSPOSE("'"&amp;_xlfn._xlws.FILTER(INDEX(Character_List,,1),INDEX(Character_List,,8)=_xlfn.CONCAT($A8," 2"),)&amp;"'!F30")),"&lt;9"))),0)),SUM(IFERROR(SUM(_xlfn.VSTACK(TRANSPOSE("'"&amp;_xlfn._xlws.FILTER(INDEX(Character_List,,1),INDEX(Character_List,,8)=_xlfn.CONCAT($A8," 3"),)&amp;"'!F4"),COUNTIF(INDIRECT(TRANSPOSE("'"&amp;_xlfn._xlws.FILTER(INDEX(Character_List,,1),INDEX(Character_List,,8)=_xlfn.CONCAT($A8," 3"),)&amp;"'!F4")),"&lt;9"))),0),IFERROR(SUM(_xlfn.VSTACK(TRANSPOSE("'"&amp;_xlfn._xlws.FILTER(INDEX(Character_List,,1),INDEX(Character_List,,8)=_xlfn.CONCAT($A8," 3"),)&amp;"'!F17"),COUNTIF(INDIRECT(TRANSPOSE("'"&amp;_xlfn._xlws.FILTER(INDEX(Character_List,,1),INDEX(Character_List,,8)=_xlfn.CONCAT($A8," 3"),)&amp;"'!F17")),"&lt;9"))),0),IFERROR(SUM(_xlfn.VSTACK(TRANSPOSE("'"&amp;_xlfn._xlws.FILTER(INDEX(Character_List,,1),INDEX(Character_List,,8)=_xlfn.CONCAT($A8," 3"),)&amp;"'!F30"),COUNTIF(INDIRECT(TRANSPOSE("'"&amp;_xlfn._xlws.FILTER(INDEX(Character_List,,1),INDEX(Character_List,,8)=_xlfn.CONCAT($A8," 3"),)&amp;"'!F30")),"&lt;9"))),0)))</f>
        <v>0</v>
      </c>
      <c r="E8" cm="1">
        <f t="array" aca="1" ref="E8" ca="1">SUM(SUM(IFERROR(SUM(_xlfn.VSTACK(TRANSPOSE("'"&amp;_xlfn._xlws.FILTER(INDEX(Character_List,,1),INDEX(Character_List,,8)=_xlfn.CONCAT($A8," 1"),)&amp;"'!F4"),COUNTIF(INDIRECT(TRANSPOSE("'"&amp;_xlfn._xlws.FILTER(INDEX(Character_List,,1),INDEX(Character_List,,8)=_xlfn.CONCAT($A8," 1"),)&amp;"'!F4")),"&lt;10"))),0),IFERROR(SUM(_xlfn.VSTACK(TRANSPOSE("'"&amp;_xlfn._xlws.FILTER(INDEX(Character_List,,1),INDEX(Character_List,,8)=_xlfn.CONCAT($A8," 1"),)&amp;"'!F17"),COUNTIF(INDIRECT(TRANSPOSE("'"&amp;_xlfn._xlws.FILTER(INDEX(Character_List,,1),INDEX(Character_List,,8)=_xlfn.CONCAT($A8," 1"),)&amp;"'!F17")),"&lt;10"))),0),IFERROR(SUM(_xlfn.VSTACK(TRANSPOSE("'"&amp;_xlfn._xlws.FILTER(INDEX(Character_List,,1),INDEX(Character_List,,8)=_xlfn.CONCAT($A8," 1"),)&amp;"'!F30"),COUNTIF(INDIRECT(TRANSPOSE("'"&amp;_xlfn._xlws.FILTER(INDEX(Character_List,,1),INDEX(Character_List,,8)=_xlfn.CONCAT($A8," 1"),)&amp;"'!F30")),"&lt;10"))),0)),SUM(IFERROR(SUM(_xlfn.VSTACK(TRANSPOSE("'"&amp;_xlfn._xlws.FILTER(INDEX(Character_List,,1),INDEX(Character_List,,8)=_xlfn.CONCAT($A8," 2"),)&amp;"'!F4"),COUNTIF(INDIRECT(TRANSPOSE("'"&amp;_xlfn._xlws.FILTER(INDEX(Character_List,,1),INDEX(Character_List,,8)=_xlfn.CONCAT($A8," 2"),)&amp;"'!F4")),"&lt;10"))),0),IFERROR(SUM(_xlfn.VSTACK(TRANSPOSE("'"&amp;_xlfn._xlws.FILTER(INDEX(Character_List,,1),INDEX(Character_List,,8)=_xlfn.CONCAT($A8," 2"),)&amp;"'!F17"),COUNTIF(INDIRECT(TRANSPOSE("'"&amp;_xlfn._xlws.FILTER(INDEX(Character_List,,1),INDEX(Character_List,,8)=_xlfn.CONCAT($A8," 2"),)&amp;"'!F17")),"&lt;10"))),0),IFERROR(SUM(_xlfn.VSTACK(TRANSPOSE("'"&amp;_xlfn._xlws.FILTER(INDEX(Character_List,,1),INDEX(Character_List,,8)=_xlfn.CONCAT($A8," 2"),)&amp;"'!F30"),COUNTIF(INDIRECT(TRANSPOSE("'"&amp;_xlfn._xlws.FILTER(INDEX(Character_List,,1),INDEX(Character_List,,8)=_xlfn.CONCAT($A8," 2"),)&amp;"'!F30")),"&lt;10"))),0)),SUM(IFERROR(SUM(_xlfn.VSTACK(TRANSPOSE("'"&amp;_xlfn._xlws.FILTER(INDEX(Character_List,,1),INDEX(Character_List,,8)=_xlfn.CONCAT($A8," 3"),)&amp;"'!F4"),COUNTIF(INDIRECT(TRANSPOSE("'"&amp;_xlfn._xlws.FILTER(INDEX(Character_List,,1),INDEX(Character_List,,8)=_xlfn.CONCAT($A8," 3"),)&amp;"'!F4")),"&lt;10"))),0),IFERROR(SUM(_xlfn.VSTACK(TRANSPOSE("'"&amp;_xlfn._xlws.FILTER(INDEX(Character_List,,1),INDEX(Character_List,,8)=_xlfn.CONCAT($A8," 3"),)&amp;"'!F17"),COUNTIF(INDIRECT(TRANSPOSE("'"&amp;_xlfn._xlws.FILTER(INDEX(Character_List,,1),INDEX(Character_List,,8)=_xlfn.CONCAT($A8," 3"),)&amp;"'!F17")),"&lt;10"))),0),IFERROR(SUM(_xlfn.VSTACK(TRANSPOSE("'"&amp;_xlfn._xlws.FILTER(INDEX(Character_List,,1),INDEX(Character_List,,8)=_xlfn.CONCAT($A8," 3"),)&amp;"'!F30"),COUNTIF(INDIRECT(TRANSPOSE("'"&amp;_xlfn._xlws.FILTER(INDEX(Character_List,,1),INDEX(Character_List,,8)=_xlfn.CONCAT($A8," 3"),)&amp;"'!F30")),"&lt;10"))),0)))</f>
        <v>30</v>
      </c>
    </row>
    <row r="9" spans="1:5" x14ac:dyDescent="0.25">
      <c r="A9" s="61" t="str">
        <v>Apep</v>
      </c>
      <c r="B9" s="84" cm="1">
        <f t="array" aca="1" ref="B9" ca="1">SUM(SUM(IFERROR(SUM(_xlfn.VSTACK(TRANSPOSE("'"&amp;_xlfn._xlws.FILTER(INDEX(Character_List,,1),INDEX(Character_List,,8)=_xlfn.CONCAT($A9," 1"),)&amp;"'!F4"),COUNTIF(INDIRECT(TRANSPOSE("'"&amp;_xlfn._xlws.FILTER(INDEX(Character_List,,1),INDEX(Character_List,,8)=_xlfn.CONCAT($A9," 1"),)&amp;"'!F4")),"&lt;7"))),0),IFERROR(SUM(_xlfn.VSTACK(TRANSPOSE("'"&amp;_xlfn._xlws.FILTER(INDEX(Character_List,,1),INDEX(Character_List,,8)=_xlfn.CONCAT($A9," 1"),)&amp;"'!F17"),COUNTIF(INDIRECT(TRANSPOSE("'"&amp;_xlfn._xlws.FILTER(INDEX(Character_List,,1),INDEX(Character_List,,8)=_xlfn.CONCAT($A9," 1"),)&amp;"'!F17")),"&lt;7"))),0),IFERROR(SUM(_xlfn.VSTACK(TRANSPOSE("'"&amp;_xlfn._xlws.FILTER(INDEX(Character_List,,1),INDEX(Character_List,,8)=_xlfn.CONCAT($A9," 1"),)&amp;"'!F30"),COUNTIF(INDIRECT(TRANSPOSE("'"&amp;_xlfn._xlws.FILTER(INDEX(Character_List,,1),INDEX(Character_List,,8)=_xlfn.CONCAT($A9," 1"),)&amp;"'!F30")),"&lt;7"))),0)),SUM(IFERROR(SUM(_xlfn.VSTACK(TRANSPOSE("'"&amp;_xlfn._xlws.FILTER(INDEX(Character_List,,1),INDEX(Character_List,,8)=_xlfn.CONCAT($A9," 2"),)&amp;"'!F4"),COUNTIF(INDIRECT(TRANSPOSE("'"&amp;_xlfn._xlws.FILTER(INDEX(Character_List,,1),INDEX(Character_List,,8)=_xlfn.CONCAT($A9," 2"),)&amp;"'!F4")),"&lt;7"))),0),IFERROR(SUM(_xlfn.VSTACK(TRANSPOSE("'"&amp;_xlfn._xlws.FILTER(INDEX(Character_List,,1),INDEX(Character_List,,8)=_xlfn.CONCAT($A9," 2"),)&amp;"'!F17"),COUNTIF(INDIRECT(TRANSPOSE("'"&amp;_xlfn._xlws.FILTER(INDEX(Character_List,,1),INDEX(Character_List,,8)=_xlfn.CONCAT($A9," 2"),)&amp;"'!F17")),"&lt;7"))),0),IFERROR(SUM(_xlfn.VSTACK(TRANSPOSE("'"&amp;_xlfn._xlws.FILTER(INDEX(Character_List,,1),INDEX(Character_List,,8)=_xlfn.CONCAT($A9," 2"),)&amp;"'!F30"),COUNTIF(INDIRECT(TRANSPOSE("'"&amp;_xlfn._xlws.FILTER(INDEX(Character_List,,1),INDEX(Character_List,,8)=_xlfn.CONCAT($A9," 2"),)&amp;"'!F30")),"&lt;7"))),0)),SUM(IFERROR(SUM(_xlfn.VSTACK(TRANSPOSE("'"&amp;_xlfn._xlws.FILTER(INDEX(Character_List,,1),INDEX(Character_List,,8)=_xlfn.CONCAT($A9," 3"),)&amp;"'!F4"),COUNTIF(INDIRECT(TRANSPOSE("'"&amp;_xlfn._xlws.FILTER(INDEX(Character_List,,1),INDEX(Character_List,,8)=_xlfn.CONCAT($A9," 3"),)&amp;"'!F4")),"&lt;7"))),0),IFERROR(SUM(_xlfn.VSTACK(TRANSPOSE("'"&amp;_xlfn._xlws.FILTER(INDEX(Character_List,,1),INDEX(Character_List,,8)=_xlfn.CONCAT($A9," 3"),)&amp;"'!F17"),COUNTIF(INDIRECT(TRANSPOSE("'"&amp;_xlfn._xlws.FILTER(INDEX(Character_List,,1),INDEX(Character_List,,8)=_xlfn.CONCAT($A9," 3"),)&amp;"'!F17")),"&lt;7"))),0),IFERROR(SUM(_xlfn.VSTACK(TRANSPOSE("'"&amp;_xlfn._xlws.FILTER(INDEX(Character_List,,1),INDEX(Character_List,,8)=_xlfn.CONCAT($A9," 3"),)&amp;"'!F30"),COUNTIF(INDIRECT(TRANSPOSE("'"&amp;_xlfn._xlws.FILTER(INDEX(Character_List,,1),INDEX(Character_List,,8)=_xlfn.CONCAT($A9," 3"),)&amp;"'!F30")),"&lt;7"))),0)))</f>
        <v>0</v>
      </c>
      <c r="C9" s="84" cm="1">
        <f t="array" aca="1" ref="C9" ca="1">SUM(SUM(IFERROR(SUM(_xlfn.VSTACK(TRANSPOSE("'"&amp;_xlfn._xlws.FILTER(INDEX(Character_List,,1),INDEX(Character_List,,8)=_xlfn.CONCAT($A9," 1"),)&amp;"'!F4"),COUNTIF(INDIRECT(TRANSPOSE("'"&amp;_xlfn._xlws.FILTER(INDEX(Character_List,,1),INDEX(Character_List,,8)=_xlfn.CONCAT($A9," 1"),)&amp;"'!F4")),"&lt;8"))),0),IFERROR(SUM(_xlfn.VSTACK(TRANSPOSE("'"&amp;_xlfn._xlws.FILTER(INDEX(Character_List,,1),INDEX(Character_List,,8)=_xlfn.CONCAT($A9," 1"),)&amp;"'!F17"),COUNTIF(INDIRECT(TRANSPOSE("'"&amp;_xlfn._xlws.FILTER(INDEX(Character_List,,1),INDEX(Character_List,,8)=_xlfn.CONCAT($A9," 1"),)&amp;"'!F17")),"&lt;8"))),0),IFERROR(SUM(_xlfn.VSTACK(TRANSPOSE("'"&amp;_xlfn._xlws.FILTER(INDEX(Character_List,,1),INDEX(Character_List,,8)=_xlfn.CONCAT($A9," 1"),)&amp;"'!F30"),COUNTIF(INDIRECT(TRANSPOSE("'"&amp;_xlfn._xlws.FILTER(INDEX(Character_List,,1),INDEX(Character_List,,8)=_xlfn.CONCAT($A9," 1"),)&amp;"'!F30")),"&lt;8"))),0)),SUM(IFERROR(SUM(_xlfn.VSTACK(TRANSPOSE("'"&amp;_xlfn._xlws.FILTER(INDEX(Character_List,,1),INDEX(Character_List,,8)=_xlfn.CONCAT($A9," 2"),)&amp;"'!F4"),COUNTIF(INDIRECT(TRANSPOSE("'"&amp;_xlfn._xlws.FILTER(INDEX(Character_List,,1),INDEX(Character_List,,8)=_xlfn.CONCAT($A9," 2"),)&amp;"'!F4")),"&lt;8"))),0),IFERROR(SUM(_xlfn.VSTACK(TRANSPOSE("'"&amp;_xlfn._xlws.FILTER(INDEX(Character_List,,1),INDEX(Character_List,,8)=_xlfn.CONCAT($A9," 2"),)&amp;"'!F17"),COUNTIF(INDIRECT(TRANSPOSE("'"&amp;_xlfn._xlws.FILTER(INDEX(Character_List,,1),INDEX(Character_List,,8)=_xlfn.CONCAT($A9," 2"),)&amp;"'!F17")),"&lt;8"))),0),IFERROR(SUM(_xlfn.VSTACK(TRANSPOSE("'"&amp;_xlfn._xlws.FILTER(INDEX(Character_List,,1),INDEX(Character_List,,8)=_xlfn.CONCAT($A9," 2"),)&amp;"'!F30"),COUNTIF(INDIRECT(TRANSPOSE("'"&amp;_xlfn._xlws.FILTER(INDEX(Character_List,,1),INDEX(Character_List,,8)=_xlfn.CONCAT($A9," 2"),)&amp;"'!F30")),"&lt;8"))),0)),SUM(IFERROR(SUM(_xlfn.VSTACK(TRANSPOSE("'"&amp;_xlfn._xlws.FILTER(INDEX(Character_List,,1),INDEX(Character_List,,8)=_xlfn.CONCAT($A9," 3"),)&amp;"'!F4"),COUNTIF(INDIRECT(TRANSPOSE("'"&amp;_xlfn._xlws.FILTER(INDEX(Character_List,,1),INDEX(Character_List,,8)=_xlfn.CONCAT($A9," 3"),)&amp;"'!F4")),"&lt;8"))),0),IFERROR(SUM(_xlfn.VSTACK(TRANSPOSE("'"&amp;_xlfn._xlws.FILTER(INDEX(Character_List,,1),INDEX(Character_List,,8)=_xlfn.CONCAT($A9," 3"),)&amp;"'!F17"),COUNTIF(INDIRECT(TRANSPOSE("'"&amp;_xlfn._xlws.FILTER(INDEX(Character_List,,1),INDEX(Character_List,,8)=_xlfn.CONCAT($A9," 3"),)&amp;"'!F17")),"&lt;8"))),0),IFERROR(SUM(_xlfn.VSTACK(TRANSPOSE("'"&amp;_xlfn._xlws.FILTER(INDEX(Character_List,,1),INDEX(Character_List,,8)=_xlfn.CONCAT($A9," 3"),)&amp;"'!F30"),COUNTIF(INDIRECT(TRANSPOSE("'"&amp;_xlfn._xlws.FILTER(INDEX(Character_List,,1),INDEX(Character_List,,8)=_xlfn.CONCAT($A9," 3"),)&amp;"'!F30")),"&lt;8"))),0)))</f>
        <v>0</v>
      </c>
      <c r="D9" s="84" cm="1">
        <f t="array" aca="1" ref="D9" ca="1">SUM(SUM(IFERROR(SUM(_xlfn.VSTACK(TRANSPOSE("'"&amp;_xlfn._xlws.FILTER(INDEX(Character_List,,1),INDEX(Character_List,,8)=_xlfn.CONCAT($A9," 1"),)&amp;"'!F4"),COUNTIF(INDIRECT(TRANSPOSE("'"&amp;_xlfn._xlws.FILTER(INDEX(Character_List,,1),INDEX(Character_List,,8)=_xlfn.CONCAT($A9," 1"),)&amp;"'!F4")),"&lt;9"))),0),IFERROR(SUM(_xlfn.VSTACK(TRANSPOSE("'"&amp;_xlfn._xlws.FILTER(INDEX(Character_List,,1),INDEX(Character_List,,8)=_xlfn.CONCAT($A9," 1"),)&amp;"'!F17"),COUNTIF(INDIRECT(TRANSPOSE("'"&amp;_xlfn._xlws.FILTER(INDEX(Character_List,,1),INDEX(Character_List,,8)=_xlfn.CONCAT($A9," 1"),)&amp;"'!F17")),"&lt;9"))),0),IFERROR(SUM(_xlfn.VSTACK(TRANSPOSE("'"&amp;_xlfn._xlws.FILTER(INDEX(Character_List,,1),INDEX(Character_List,,8)=_xlfn.CONCAT($A9," 1"),)&amp;"'!F30"),COUNTIF(INDIRECT(TRANSPOSE("'"&amp;_xlfn._xlws.FILTER(INDEX(Character_List,,1),INDEX(Character_List,,8)=_xlfn.CONCAT($A9," 1"),)&amp;"'!F30")),"&lt;9"))),0)),SUM(IFERROR(SUM(_xlfn.VSTACK(TRANSPOSE("'"&amp;_xlfn._xlws.FILTER(INDEX(Character_List,,1),INDEX(Character_List,,8)=_xlfn.CONCAT($A9," 2"),)&amp;"'!F4"),COUNTIF(INDIRECT(TRANSPOSE("'"&amp;_xlfn._xlws.FILTER(INDEX(Character_List,,1),INDEX(Character_List,,8)=_xlfn.CONCAT($A9," 2"),)&amp;"'!F4")),"&lt;9"))),0),IFERROR(SUM(_xlfn.VSTACK(TRANSPOSE("'"&amp;_xlfn._xlws.FILTER(INDEX(Character_List,,1),INDEX(Character_List,,8)=_xlfn.CONCAT($A9," 2"),)&amp;"'!F17"),COUNTIF(INDIRECT(TRANSPOSE("'"&amp;_xlfn._xlws.FILTER(INDEX(Character_List,,1),INDEX(Character_List,,8)=_xlfn.CONCAT($A9," 2"),)&amp;"'!F17")),"&lt;9"))),0),IFERROR(SUM(_xlfn.VSTACK(TRANSPOSE("'"&amp;_xlfn._xlws.FILTER(INDEX(Character_List,,1),INDEX(Character_List,,8)=_xlfn.CONCAT($A9," 2"),)&amp;"'!F30"),COUNTIF(INDIRECT(TRANSPOSE("'"&amp;_xlfn._xlws.FILTER(INDEX(Character_List,,1),INDEX(Character_List,,8)=_xlfn.CONCAT($A9," 2"),)&amp;"'!F30")),"&lt;9"))),0)),SUM(IFERROR(SUM(_xlfn.VSTACK(TRANSPOSE("'"&amp;_xlfn._xlws.FILTER(INDEX(Character_List,,1),INDEX(Character_List,,8)=_xlfn.CONCAT($A9," 3"),)&amp;"'!F4"),COUNTIF(INDIRECT(TRANSPOSE("'"&amp;_xlfn._xlws.FILTER(INDEX(Character_List,,1),INDEX(Character_List,,8)=_xlfn.CONCAT($A9," 3"),)&amp;"'!F4")),"&lt;9"))),0),IFERROR(SUM(_xlfn.VSTACK(TRANSPOSE("'"&amp;_xlfn._xlws.FILTER(INDEX(Character_List,,1),INDEX(Character_List,,8)=_xlfn.CONCAT($A9," 3"),)&amp;"'!F17"),COUNTIF(INDIRECT(TRANSPOSE("'"&amp;_xlfn._xlws.FILTER(INDEX(Character_List,,1),INDEX(Character_List,,8)=_xlfn.CONCAT($A9," 3"),)&amp;"'!F17")),"&lt;9"))),0),IFERROR(SUM(_xlfn.VSTACK(TRANSPOSE("'"&amp;_xlfn._xlws.FILTER(INDEX(Character_List,,1),INDEX(Character_List,,8)=_xlfn.CONCAT($A9," 3"),)&amp;"'!F30"),COUNTIF(INDIRECT(TRANSPOSE("'"&amp;_xlfn._xlws.FILTER(INDEX(Character_List,,1),INDEX(Character_List,,8)=_xlfn.CONCAT($A9," 3"),)&amp;"'!F30")),"&lt;9"))),0)))</f>
        <v>0</v>
      </c>
      <c r="E9" cm="1">
        <f t="array" aca="1" ref="E9" ca="1">SUM(SUM(IFERROR(SUM(_xlfn.VSTACK(TRANSPOSE("'"&amp;_xlfn._xlws.FILTER(INDEX(Character_List,,1),INDEX(Character_List,,8)=_xlfn.CONCAT($A9," 1"),)&amp;"'!F4"),COUNTIF(INDIRECT(TRANSPOSE("'"&amp;_xlfn._xlws.FILTER(INDEX(Character_List,,1),INDEX(Character_List,,8)=_xlfn.CONCAT($A9," 1"),)&amp;"'!F4")),"&lt;10"))),0),IFERROR(SUM(_xlfn.VSTACK(TRANSPOSE("'"&amp;_xlfn._xlws.FILTER(INDEX(Character_List,,1),INDEX(Character_List,,8)=_xlfn.CONCAT($A9," 1"),)&amp;"'!F17"),COUNTIF(INDIRECT(TRANSPOSE("'"&amp;_xlfn._xlws.FILTER(INDEX(Character_List,,1),INDEX(Character_List,,8)=_xlfn.CONCAT($A9," 1"),)&amp;"'!F17")),"&lt;10"))),0),IFERROR(SUM(_xlfn.VSTACK(TRANSPOSE("'"&amp;_xlfn._xlws.FILTER(INDEX(Character_List,,1),INDEX(Character_List,,8)=_xlfn.CONCAT($A9," 1"),)&amp;"'!F30"),COUNTIF(INDIRECT(TRANSPOSE("'"&amp;_xlfn._xlws.FILTER(INDEX(Character_List,,1),INDEX(Character_List,,8)=_xlfn.CONCAT($A9," 1"),)&amp;"'!F30")),"&lt;10"))),0)),SUM(IFERROR(SUM(_xlfn.VSTACK(TRANSPOSE("'"&amp;_xlfn._xlws.FILTER(INDEX(Character_List,,1),INDEX(Character_List,,8)=_xlfn.CONCAT($A9," 2"),)&amp;"'!F4"),COUNTIF(INDIRECT(TRANSPOSE("'"&amp;_xlfn._xlws.FILTER(INDEX(Character_List,,1),INDEX(Character_List,,8)=_xlfn.CONCAT($A9," 2"),)&amp;"'!F4")),"&lt;10"))),0),IFERROR(SUM(_xlfn.VSTACK(TRANSPOSE("'"&amp;_xlfn._xlws.FILTER(INDEX(Character_List,,1),INDEX(Character_List,,8)=_xlfn.CONCAT($A9," 2"),)&amp;"'!F17"),COUNTIF(INDIRECT(TRANSPOSE("'"&amp;_xlfn._xlws.FILTER(INDEX(Character_List,,1),INDEX(Character_List,,8)=_xlfn.CONCAT($A9," 2"),)&amp;"'!F17")),"&lt;10"))),0),IFERROR(SUM(_xlfn.VSTACK(TRANSPOSE("'"&amp;_xlfn._xlws.FILTER(INDEX(Character_List,,1),INDEX(Character_List,,8)=_xlfn.CONCAT($A9," 2"),)&amp;"'!F30"),COUNTIF(INDIRECT(TRANSPOSE("'"&amp;_xlfn._xlws.FILTER(INDEX(Character_List,,1),INDEX(Character_List,,8)=_xlfn.CONCAT($A9," 2"),)&amp;"'!F30")),"&lt;10"))),0)),SUM(IFERROR(SUM(_xlfn.VSTACK(TRANSPOSE("'"&amp;_xlfn._xlws.FILTER(INDEX(Character_List,,1),INDEX(Character_List,,8)=_xlfn.CONCAT($A9," 3"),)&amp;"'!F4"),COUNTIF(INDIRECT(TRANSPOSE("'"&amp;_xlfn._xlws.FILTER(INDEX(Character_List,,1),INDEX(Character_List,,8)=_xlfn.CONCAT($A9," 3"),)&amp;"'!F4")),"&lt;10"))),0),IFERROR(SUM(_xlfn.VSTACK(TRANSPOSE("'"&amp;_xlfn._xlws.FILTER(INDEX(Character_List,,1),INDEX(Character_List,,8)=_xlfn.CONCAT($A9," 3"),)&amp;"'!F17"),COUNTIF(INDIRECT(TRANSPOSE("'"&amp;_xlfn._xlws.FILTER(INDEX(Character_List,,1),INDEX(Character_List,,8)=_xlfn.CONCAT($A9," 3"),)&amp;"'!F17")),"&lt;10"))),0),IFERROR(SUM(_xlfn.VSTACK(TRANSPOSE("'"&amp;_xlfn._xlws.FILTER(INDEX(Character_List,,1),INDEX(Character_List,,8)=_xlfn.CONCAT($A9," 3"),)&amp;"'!F30"),COUNTIF(INDIRECT(TRANSPOSE("'"&amp;_xlfn._xlws.FILTER(INDEX(Character_List,,1),INDEX(Character_List,,8)=_xlfn.CONCAT($A9," 3"),)&amp;"'!F30")),"&lt;10"))),0)))</f>
        <v>27</v>
      </c>
    </row>
    <row r="10" spans="1:5" x14ac:dyDescent="0.25">
      <c r="A10" s="61" t="str">
        <v>Narwhal</v>
      </c>
      <c r="B10" s="84" cm="1">
        <f t="array" aca="1" ref="B10" ca="1">SUM(SUM(IFERROR(SUM(_xlfn.VSTACK(TRANSPOSE("'"&amp;_xlfn._xlws.FILTER(INDEX(Character_List,,1),INDEX(Character_List,,8)=_xlfn.CONCAT($A10," 1"),)&amp;"'!F4"),COUNTIF(INDIRECT(TRANSPOSE("'"&amp;_xlfn._xlws.FILTER(INDEX(Character_List,,1),INDEX(Character_List,,8)=_xlfn.CONCAT($A10," 1"),)&amp;"'!F4")),"&lt;7"))),0),IFERROR(SUM(_xlfn.VSTACK(TRANSPOSE("'"&amp;_xlfn._xlws.FILTER(INDEX(Character_List,,1),INDEX(Character_List,,8)=_xlfn.CONCAT($A10," 1"),)&amp;"'!F17"),COUNTIF(INDIRECT(TRANSPOSE("'"&amp;_xlfn._xlws.FILTER(INDEX(Character_List,,1),INDEX(Character_List,,8)=_xlfn.CONCAT($A10," 1"),)&amp;"'!F17")),"&lt;7"))),0),IFERROR(SUM(_xlfn.VSTACK(TRANSPOSE("'"&amp;_xlfn._xlws.FILTER(INDEX(Character_List,,1),INDEX(Character_List,,8)=_xlfn.CONCAT($A10," 1"),)&amp;"'!F30"),COUNTIF(INDIRECT(TRANSPOSE("'"&amp;_xlfn._xlws.FILTER(INDEX(Character_List,,1),INDEX(Character_List,,8)=_xlfn.CONCAT($A10," 1"),)&amp;"'!F30")),"&lt;7"))),0)),SUM(IFERROR(SUM(_xlfn.VSTACK(TRANSPOSE("'"&amp;_xlfn._xlws.FILTER(INDEX(Character_List,,1),INDEX(Character_List,,8)=_xlfn.CONCAT($A10," 2"),)&amp;"'!F4"),COUNTIF(INDIRECT(TRANSPOSE("'"&amp;_xlfn._xlws.FILTER(INDEX(Character_List,,1),INDEX(Character_List,,8)=_xlfn.CONCAT($A10," 2"),)&amp;"'!F4")),"&lt;7"))),0),IFERROR(SUM(_xlfn.VSTACK(TRANSPOSE("'"&amp;_xlfn._xlws.FILTER(INDEX(Character_List,,1),INDEX(Character_List,,8)=_xlfn.CONCAT($A10," 2"),)&amp;"'!F17"),COUNTIF(INDIRECT(TRANSPOSE("'"&amp;_xlfn._xlws.FILTER(INDEX(Character_List,,1),INDEX(Character_List,,8)=_xlfn.CONCAT($A10," 2"),)&amp;"'!F17")),"&lt;7"))),0),IFERROR(SUM(_xlfn.VSTACK(TRANSPOSE("'"&amp;_xlfn._xlws.FILTER(INDEX(Character_List,,1),INDEX(Character_List,,8)=_xlfn.CONCAT($A10," 2"),)&amp;"'!F30"),COUNTIF(INDIRECT(TRANSPOSE("'"&amp;_xlfn._xlws.FILTER(INDEX(Character_List,,1),INDEX(Character_List,,8)=_xlfn.CONCAT($A10," 2"),)&amp;"'!F30")),"&lt;7"))),0)),SUM(IFERROR(SUM(_xlfn.VSTACK(TRANSPOSE("'"&amp;_xlfn._xlws.FILTER(INDEX(Character_List,,1),INDEX(Character_List,,8)=_xlfn.CONCAT($A10," 3"),)&amp;"'!F4"),COUNTIF(INDIRECT(TRANSPOSE("'"&amp;_xlfn._xlws.FILTER(INDEX(Character_List,,1),INDEX(Character_List,,8)=_xlfn.CONCAT($A10," 3"),)&amp;"'!F4")),"&lt;7"))),0),IFERROR(SUM(_xlfn.VSTACK(TRANSPOSE("'"&amp;_xlfn._xlws.FILTER(INDEX(Character_List,,1),INDEX(Character_List,,8)=_xlfn.CONCAT($A10," 3"),)&amp;"'!F17"),COUNTIF(INDIRECT(TRANSPOSE("'"&amp;_xlfn._xlws.FILTER(INDEX(Character_List,,1),INDEX(Character_List,,8)=_xlfn.CONCAT($A10," 3"),)&amp;"'!F17")),"&lt;7"))),0),IFERROR(SUM(_xlfn.VSTACK(TRANSPOSE("'"&amp;_xlfn._xlws.FILTER(INDEX(Character_List,,1),INDEX(Character_List,,8)=_xlfn.CONCAT($A10," 3"),)&amp;"'!F30"),COUNTIF(INDIRECT(TRANSPOSE("'"&amp;_xlfn._xlws.FILTER(INDEX(Character_List,,1),INDEX(Character_List,,8)=_xlfn.CONCAT($A10," 3"),)&amp;"'!F30")),"&lt;7"))),0)))</f>
        <v>0</v>
      </c>
      <c r="C10" s="84" cm="1">
        <f t="array" aca="1" ref="C10" ca="1">SUM(SUM(IFERROR(SUM(_xlfn.VSTACK(TRANSPOSE("'"&amp;_xlfn._xlws.FILTER(INDEX(Character_List,,1),INDEX(Character_List,,8)=_xlfn.CONCAT($A10," 1"),)&amp;"'!F4"),COUNTIF(INDIRECT(TRANSPOSE("'"&amp;_xlfn._xlws.FILTER(INDEX(Character_List,,1),INDEX(Character_List,,8)=_xlfn.CONCAT($A10," 1"),)&amp;"'!F4")),"&lt;8"))),0),IFERROR(SUM(_xlfn.VSTACK(TRANSPOSE("'"&amp;_xlfn._xlws.FILTER(INDEX(Character_List,,1),INDEX(Character_List,,8)=_xlfn.CONCAT($A10," 1"),)&amp;"'!F17"),COUNTIF(INDIRECT(TRANSPOSE("'"&amp;_xlfn._xlws.FILTER(INDEX(Character_List,,1),INDEX(Character_List,,8)=_xlfn.CONCAT($A10," 1"),)&amp;"'!F17")),"&lt;8"))),0),IFERROR(SUM(_xlfn.VSTACK(TRANSPOSE("'"&amp;_xlfn._xlws.FILTER(INDEX(Character_List,,1),INDEX(Character_List,,8)=_xlfn.CONCAT($A10," 1"),)&amp;"'!F30"),COUNTIF(INDIRECT(TRANSPOSE("'"&amp;_xlfn._xlws.FILTER(INDEX(Character_List,,1),INDEX(Character_List,,8)=_xlfn.CONCAT($A10," 1"),)&amp;"'!F30")),"&lt;8"))),0)),SUM(IFERROR(SUM(_xlfn.VSTACK(TRANSPOSE("'"&amp;_xlfn._xlws.FILTER(INDEX(Character_List,,1),INDEX(Character_List,,8)=_xlfn.CONCAT($A10," 2"),)&amp;"'!F4"),COUNTIF(INDIRECT(TRANSPOSE("'"&amp;_xlfn._xlws.FILTER(INDEX(Character_List,,1),INDEX(Character_List,,8)=_xlfn.CONCAT($A10," 2"),)&amp;"'!F4")),"&lt;8"))),0),IFERROR(SUM(_xlfn.VSTACK(TRANSPOSE("'"&amp;_xlfn._xlws.FILTER(INDEX(Character_List,,1),INDEX(Character_List,,8)=_xlfn.CONCAT($A10," 2"),)&amp;"'!F17"),COUNTIF(INDIRECT(TRANSPOSE("'"&amp;_xlfn._xlws.FILTER(INDEX(Character_List,,1),INDEX(Character_List,,8)=_xlfn.CONCAT($A10," 2"),)&amp;"'!F17")),"&lt;8"))),0),IFERROR(SUM(_xlfn.VSTACK(TRANSPOSE("'"&amp;_xlfn._xlws.FILTER(INDEX(Character_List,,1),INDEX(Character_List,,8)=_xlfn.CONCAT($A10," 2"),)&amp;"'!F30"),COUNTIF(INDIRECT(TRANSPOSE("'"&amp;_xlfn._xlws.FILTER(INDEX(Character_List,,1),INDEX(Character_List,,8)=_xlfn.CONCAT($A10," 2"),)&amp;"'!F30")),"&lt;8"))),0)),SUM(IFERROR(SUM(_xlfn.VSTACK(TRANSPOSE("'"&amp;_xlfn._xlws.FILTER(INDEX(Character_List,,1),INDEX(Character_List,,8)=_xlfn.CONCAT($A10," 3"),)&amp;"'!F4"),COUNTIF(INDIRECT(TRANSPOSE("'"&amp;_xlfn._xlws.FILTER(INDEX(Character_List,,1),INDEX(Character_List,,8)=_xlfn.CONCAT($A10," 3"),)&amp;"'!F4")),"&lt;8"))),0),IFERROR(SUM(_xlfn.VSTACK(TRANSPOSE("'"&amp;_xlfn._xlws.FILTER(INDEX(Character_List,,1),INDEX(Character_List,,8)=_xlfn.CONCAT($A10," 3"),)&amp;"'!F17"),COUNTIF(INDIRECT(TRANSPOSE("'"&amp;_xlfn._xlws.FILTER(INDEX(Character_List,,1),INDEX(Character_List,,8)=_xlfn.CONCAT($A10," 3"),)&amp;"'!F17")),"&lt;8"))),0),IFERROR(SUM(_xlfn.VSTACK(TRANSPOSE("'"&amp;_xlfn._xlws.FILTER(INDEX(Character_List,,1),INDEX(Character_List,,8)=_xlfn.CONCAT($A10," 3"),)&amp;"'!F30"),COUNTIF(INDIRECT(TRANSPOSE("'"&amp;_xlfn._xlws.FILTER(INDEX(Character_List,,1),INDEX(Character_List,,8)=_xlfn.CONCAT($A10," 3"),)&amp;"'!F30")),"&lt;8"))),0)))</f>
        <v>0</v>
      </c>
      <c r="D10" s="84" cm="1">
        <f t="array" aca="1" ref="D10" ca="1">SUM(SUM(IFERROR(SUM(_xlfn.VSTACK(TRANSPOSE("'"&amp;_xlfn._xlws.FILTER(INDEX(Character_List,,1),INDEX(Character_List,,8)=_xlfn.CONCAT($A10," 1"),)&amp;"'!F4"),COUNTIF(INDIRECT(TRANSPOSE("'"&amp;_xlfn._xlws.FILTER(INDEX(Character_List,,1),INDEX(Character_List,,8)=_xlfn.CONCAT($A10," 1"),)&amp;"'!F4")),"&lt;9"))),0),IFERROR(SUM(_xlfn.VSTACK(TRANSPOSE("'"&amp;_xlfn._xlws.FILTER(INDEX(Character_List,,1),INDEX(Character_List,,8)=_xlfn.CONCAT($A10," 1"),)&amp;"'!F17"),COUNTIF(INDIRECT(TRANSPOSE("'"&amp;_xlfn._xlws.FILTER(INDEX(Character_List,,1),INDEX(Character_List,,8)=_xlfn.CONCAT($A10," 1"),)&amp;"'!F17")),"&lt;9"))),0),IFERROR(SUM(_xlfn.VSTACK(TRANSPOSE("'"&amp;_xlfn._xlws.FILTER(INDEX(Character_List,,1),INDEX(Character_List,,8)=_xlfn.CONCAT($A10," 1"),)&amp;"'!F30"),COUNTIF(INDIRECT(TRANSPOSE("'"&amp;_xlfn._xlws.FILTER(INDEX(Character_List,,1),INDEX(Character_List,,8)=_xlfn.CONCAT($A10," 1"),)&amp;"'!F30")),"&lt;9"))),0)),SUM(IFERROR(SUM(_xlfn.VSTACK(TRANSPOSE("'"&amp;_xlfn._xlws.FILTER(INDEX(Character_List,,1),INDEX(Character_List,,8)=_xlfn.CONCAT($A10," 2"),)&amp;"'!F4"),COUNTIF(INDIRECT(TRANSPOSE("'"&amp;_xlfn._xlws.FILTER(INDEX(Character_List,,1),INDEX(Character_List,,8)=_xlfn.CONCAT($A10," 2"),)&amp;"'!F4")),"&lt;9"))),0),IFERROR(SUM(_xlfn.VSTACK(TRANSPOSE("'"&amp;_xlfn._xlws.FILTER(INDEX(Character_List,,1),INDEX(Character_List,,8)=_xlfn.CONCAT($A10," 2"),)&amp;"'!F17"),COUNTIF(INDIRECT(TRANSPOSE("'"&amp;_xlfn._xlws.FILTER(INDEX(Character_List,,1),INDEX(Character_List,,8)=_xlfn.CONCAT($A10," 2"),)&amp;"'!F17")),"&lt;9"))),0),IFERROR(SUM(_xlfn.VSTACK(TRANSPOSE("'"&amp;_xlfn._xlws.FILTER(INDEX(Character_List,,1),INDEX(Character_List,,8)=_xlfn.CONCAT($A10," 2"),)&amp;"'!F30"),COUNTIF(INDIRECT(TRANSPOSE("'"&amp;_xlfn._xlws.FILTER(INDEX(Character_List,,1),INDEX(Character_List,,8)=_xlfn.CONCAT($A10," 2"),)&amp;"'!F30")),"&lt;9"))),0)),SUM(IFERROR(SUM(_xlfn.VSTACK(TRANSPOSE("'"&amp;_xlfn._xlws.FILTER(INDEX(Character_List,,1),INDEX(Character_List,,8)=_xlfn.CONCAT($A10," 3"),)&amp;"'!F4"),COUNTIF(INDIRECT(TRANSPOSE("'"&amp;_xlfn._xlws.FILTER(INDEX(Character_List,,1),INDEX(Character_List,,8)=_xlfn.CONCAT($A10," 3"),)&amp;"'!F4")),"&lt;9"))),0),IFERROR(SUM(_xlfn.VSTACK(TRANSPOSE("'"&amp;_xlfn._xlws.FILTER(INDEX(Character_List,,1),INDEX(Character_List,,8)=_xlfn.CONCAT($A10," 3"),)&amp;"'!F17"),COUNTIF(INDIRECT(TRANSPOSE("'"&amp;_xlfn._xlws.FILTER(INDEX(Character_List,,1),INDEX(Character_List,,8)=_xlfn.CONCAT($A10," 3"),)&amp;"'!F17")),"&lt;9"))),0),IFERROR(SUM(_xlfn.VSTACK(TRANSPOSE("'"&amp;_xlfn._xlws.FILTER(INDEX(Character_List,,1),INDEX(Character_List,,8)=_xlfn.CONCAT($A10," 3"),)&amp;"'!F30"),COUNTIF(INDIRECT(TRANSPOSE("'"&amp;_xlfn._xlws.FILTER(INDEX(Character_List,,1),INDEX(Character_List,,8)=_xlfn.CONCAT($A10," 3"),)&amp;"'!F30")),"&lt;9"))),0)))</f>
        <v>0</v>
      </c>
      <c r="E10" cm="1">
        <f t="array" aca="1" ref="E10" ca="1">SUM(SUM(IFERROR(SUM(_xlfn.VSTACK(TRANSPOSE("'"&amp;_xlfn._xlws.FILTER(INDEX(Character_List,,1),INDEX(Character_List,,8)=_xlfn.CONCAT($A10," 1"),)&amp;"'!F4"),COUNTIF(INDIRECT(TRANSPOSE("'"&amp;_xlfn._xlws.FILTER(INDEX(Character_List,,1),INDEX(Character_List,,8)=_xlfn.CONCAT($A10," 1"),)&amp;"'!F4")),"&lt;10"))),0),IFERROR(SUM(_xlfn.VSTACK(TRANSPOSE("'"&amp;_xlfn._xlws.FILTER(INDEX(Character_List,,1),INDEX(Character_List,,8)=_xlfn.CONCAT($A10," 1"),)&amp;"'!F17"),COUNTIF(INDIRECT(TRANSPOSE("'"&amp;_xlfn._xlws.FILTER(INDEX(Character_List,,1),INDEX(Character_List,,8)=_xlfn.CONCAT($A10," 1"),)&amp;"'!F17")),"&lt;10"))),0),IFERROR(SUM(_xlfn.VSTACK(TRANSPOSE("'"&amp;_xlfn._xlws.FILTER(INDEX(Character_List,,1),INDEX(Character_List,,8)=_xlfn.CONCAT($A10," 1"),)&amp;"'!F30"),COUNTIF(INDIRECT(TRANSPOSE("'"&amp;_xlfn._xlws.FILTER(INDEX(Character_List,,1),INDEX(Character_List,,8)=_xlfn.CONCAT($A10," 1"),)&amp;"'!F30")),"&lt;10"))),0)),SUM(IFERROR(SUM(_xlfn.VSTACK(TRANSPOSE("'"&amp;_xlfn._xlws.FILTER(INDEX(Character_List,,1),INDEX(Character_List,,8)=_xlfn.CONCAT($A10," 2"),)&amp;"'!F4"),COUNTIF(INDIRECT(TRANSPOSE("'"&amp;_xlfn._xlws.FILTER(INDEX(Character_List,,1),INDEX(Character_List,,8)=_xlfn.CONCAT($A10," 2"),)&amp;"'!F4")),"&lt;10"))),0),IFERROR(SUM(_xlfn.VSTACK(TRANSPOSE("'"&amp;_xlfn._xlws.FILTER(INDEX(Character_List,,1),INDEX(Character_List,,8)=_xlfn.CONCAT($A10," 2"),)&amp;"'!F17"),COUNTIF(INDIRECT(TRANSPOSE("'"&amp;_xlfn._xlws.FILTER(INDEX(Character_List,,1),INDEX(Character_List,,8)=_xlfn.CONCAT($A10," 2"),)&amp;"'!F17")),"&lt;10"))),0),IFERROR(SUM(_xlfn.VSTACK(TRANSPOSE("'"&amp;_xlfn._xlws.FILTER(INDEX(Character_List,,1),INDEX(Character_List,,8)=_xlfn.CONCAT($A10," 2"),)&amp;"'!F30"),COUNTIF(INDIRECT(TRANSPOSE("'"&amp;_xlfn._xlws.FILTER(INDEX(Character_List,,1),INDEX(Character_List,,8)=_xlfn.CONCAT($A10," 2"),)&amp;"'!F30")),"&lt;10"))),0)),SUM(IFERROR(SUM(_xlfn.VSTACK(TRANSPOSE("'"&amp;_xlfn._xlws.FILTER(INDEX(Character_List,,1),INDEX(Character_List,,8)=_xlfn.CONCAT($A10," 3"),)&amp;"'!F4"),COUNTIF(INDIRECT(TRANSPOSE("'"&amp;_xlfn._xlws.FILTER(INDEX(Character_List,,1),INDEX(Character_List,,8)=_xlfn.CONCAT($A10," 3"),)&amp;"'!F4")),"&lt;10"))),0),IFERROR(SUM(_xlfn.VSTACK(TRANSPOSE("'"&amp;_xlfn._xlws.FILTER(INDEX(Character_List,,1),INDEX(Character_List,,8)=_xlfn.CONCAT($A10," 3"),)&amp;"'!F17"),COUNTIF(INDIRECT(TRANSPOSE("'"&amp;_xlfn._xlws.FILTER(INDEX(Character_List,,1),INDEX(Character_List,,8)=_xlfn.CONCAT($A10," 3"),)&amp;"'!F17")),"&lt;10"))),0),IFERROR(SUM(_xlfn.VSTACK(TRANSPOSE("'"&amp;_xlfn._xlws.FILTER(INDEX(Character_List,,1),INDEX(Character_List,,8)=_xlfn.CONCAT($A10," 3"),)&amp;"'!F30"),COUNTIF(INDIRECT(TRANSPOSE("'"&amp;_xlfn._xlws.FILTER(INDEX(Character_List,,1),INDEX(Character_List,,8)=_xlfn.CONCAT($A10," 3"),)&amp;"'!F30")),"&lt;10"))),0)))</f>
        <v>30</v>
      </c>
    </row>
    <row r="11" spans="1:5" x14ac:dyDescent="0.25">
      <c r="A11" s="61" t="str">
        <v>Knave</v>
      </c>
      <c r="B11" s="84" cm="1">
        <f t="array" aca="1" ref="B11" ca="1">SUM(SUM(IFERROR(SUM(_xlfn.VSTACK(TRANSPOSE("'"&amp;_xlfn._xlws.FILTER(INDEX(Character_List,,1),INDEX(Character_List,,8)=_xlfn.CONCAT($A11," 1"),)&amp;"'!F4"),COUNTIF(INDIRECT(TRANSPOSE("'"&amp;_xlfn._xlws.FILTER(INDEX(Character_List,,1),INDEX(Character_List,,8)=_xlfn.CONCAT($A11," 1"),)&amp;"'!F4")),"&lt;7"))),0),IFERROR(SUM(_xlfn.VSTACK(TRANSPOSE("'"&amp;_xlfn._xlws.FILTER(INDEX(Character_List,,1),INDEX(Character_List,,8)=_xlfn.CONCAT($A11," 1"),)&amp;"'!F17"),COUNTIF(INDIRECT(TRANSPOSE("'"&amp;_xlfn._xlws.FILTER(INDEX(Character_List,,1),INDEX(Character_List,,8)=_xlfn.CONCAT($A11," 1"),)&amp;"'!F17")),"&lt;7"))),0),IFERROR(SUM(_xlfn.VSTACK(TRANSPOSE("'"&amp;_xlfn._xlws.FILTER(INDEX(Character_List,,1),INDEX(Character_List,,8)=_xlfn.CONCAT($A11," 1"),)&amp;"'!F30"),COUNTIF(INDIRECT(TRANSPOSE("'"&amp;_xlfn._xlws.FILTER(INDEX(Character_List,,1),INDEX(Character_List,,8)=_xlfn.CONCAT($A11," 1"),)&amp;"'!F30")),"&lt;7"))),0)),SUM(IFERROR(SUM(_xlfn.VSTACK(TRANSPOSE("'"&amp;_xlfn._xlws.FILTER(INDEX(Character_List,,1),INDEX(Character_List,,8)=_xlfn.CONCAT($A11," 2"),)&amp;"'!F4"),COUNTIF(INDIRECT(TRANSPOSE("'"&amp;_xlfn._xlws.FILTER(INDEX(Character_List,,1),INDEX(Character_List,,8)=_xlfn.CONCAT($A11," 2"),)&amp;"'!F4")),"&lt;7"))),0),IFERROR(SUM(_xlfn.VSTACK(TRANSPOSE("'"&amp;_xlfn._xlws.FILTER(INDEX(Character_List,,1),INDEX(Character_List,,8)=_xlfn.CONCAT($A11," 2"),)&amp;"'!F17"),COUNTIF(INDIRECT(TRANSPOSE("'"&amp;_xlfn._xlws.FILTER(INDEX(Character_List,,1),INDEX(Character_List,,8)=_xlfn.CONCAT($A11," 2"),)&amp;"'!F17")),"&lt;7"))),0),IFERROR(SUM(_xlfn.VSTACK(TRANSPOSE("'"&amp;_xlfn._xlws.FILTER(INDEX(Character_List,,1),INDEX(Character_List,,8)=_xlfn.CONCAT($A11," 2"),)&amp;"'!F30"),COUNTIF(INDIRECT(TRANSPOSE("'"&amp;_xlfn._xlws.FILTER(INDEX(Character_List,,1),INDEX(Character_List,,8)=_xlfn.CONCAT($A11," 2"),)&amp;"'!F30")),"&lt;7"))),0)),SUM(IFERROR(SUM(_xlfn.VSTACK(TRANSPOSE("'"&amp;_xlfn._xlws.FILTER(INDEX(Character_List,,1),INDEX(Character_List,,8)=_xlfn.CONCAT($A11," 3"),)&amp;"'!F4"),COUNTIF(INDIRECT(TRANSPOSE("'"&amp;_xlfn._xlws.FILTER(INDEX(Character_List,,1),INDEX(Character_List,,8)=_xlfn.CONCAT($A11," 3"),)&amp;"'!F4")),"&lt;7"))),0),IFERROR(SUM(_xlfn.VSTACK(TRANSPOSE("'"&amp;_xlfn._xlws.FILTER(INDEX(Character_List,,1),INDEX(Character_List,,8)=_xlfn.CONCAT($A11," 3"),)&amp;"'!F17"),COUNTIF(INDIRECT(TRANSPOSE("'"&amp;_xlfn._xlws.FILTER(INDEX(Character_List,,1),INDEX(Character_List,,8)=_xlfn.CONCAT($A11," 3"),)&amp;"'!F17")),"&lt;7"))),0),IFERROR(SUM(_xlfn.VSTACK(TRANSPOSE("'"&amp;_xlfn._xlws.FILTER(INDEX(Character_List,,1),INDEX(Character_List,,8)=_xlfn.CONCAT($A11," 3"),)&amp;"'!F30"),COUNTIF(INDIRECT(TRANSPOSE("'"&amp;_xlfn._xlws.FILTER(INDEX(Character_List,,1),INDEX(Character_List,,8)=_xlfn.CONCAT($A11," 3"),)&amp;"'!F30")),"&lt;7"))),0)))</f>
        <v>3</v>
      </c>
      <c r="C11" s="84" cm="1">
        <f t="array" aca="1" ref="C11" ca="1">SUM(SUM(IFERROR(SUM(_xlfn.VSTACK(TRANSPOSE("'"&amp;_xlfn._xlws.FILTER(INDEX(Character_List,,1),INDEX(Character_List,,8)=_xlfn.CONCAT($A11," 1"),)&amp;"'!F4"),COUNTIF(INDIRECT(TRANSPOSE("'"&amp;_xlfn._xlws.FILTER(INDEX(Character_List,,1),INDEX(Character_List,,8)=_xlfn.CONCAT($A11," 1"),)&amp;"'!F4")),"&lt;8"))),0),IFERROR(SUM(_xlfn.VSTACK(TRANSPOSE("'"&amp;_xlfn._xlws.FILTER(INDEX(Character_List,,1),INDEX(Character_List,,8)=_xlfn.CONCAT($A11," 1"),)&amp;"'!F17"),COUNTIF(INDIRECT(TRANSPOSE("'"&amp;_xlfn._xlws.FILTER(INDEX(Character_List,,1),INDEX(Character_List,,8)=_xlfn.CONCAT($A11," 1"),)&amp;"'!F17")),"&lt;8"))),0),IFERROR(SUM(_xlfn.VSTACK(TRANSPOSE("'"&amp;_xlfn._xlws.FILTER(INDEX(Character_List,,1),INDEX(Character_List,,8)=_xlfn.CONCAT($A11," 1"),)&amp;"'!F30"),COUNTIF(INDIRECT(TRANSPOSE("'"&amp;_xlfn._xlws.FILTER(INDEX(Character_List,,1),INDEX(Character_List,,8)=_xlfn.CONCAT($A11," 1"),)&amp;"'!F30")),"&lt;8"))),0)),SUM(IFERROR(SUM(_xlfn.VSTACK(TRANSPOSE("'"&amp;_xlfn._xlws.FILTER(INDEX(Character_List,,1),INDEX(Character_List,,8)=_xlfn.CONCAT($A11," 2"),)&amp;"'!F4"),COUNTIF(INDIRECT(TRANSPOSE("'"&amp;_xlfn._xlws.FILTER(INDEX(Character_List,,1),INDEX(Character_List,,8)=_xlfn.CONCAT($A11," 2"),)&amp;"'!F4")),"&lt;8"))),0),IFERROR(SUM(_xlfn.VSTACK(TRANSPOSE("'"&amp;_xlfn._xlws.FILTER(INDEX(Character_List,,1),INDEX(Character_List,,8)=_xlfn.CONCAT($A11," 2"),)&amp;"'!F17"),COUNTIF(INDIRECT(TRANSPOSE("'"&amp;_xlfn._xlws.FILTER(INDEX(Character_List,,1),INDEX(Character_List,,8)=_xlfn.CONCAT($A11," 2"),)&amp;"'!F17")),"&lt;8"))),0),IFERROR(SUM(_xlfn.VSTACK(TRANSPOSE("'"&amp;_xlfn._xlws.FILTER(INDEX(Character_List,,1),INDEX(Character_List,,8)=_xlfn.CONCAT($A11," 2"),)&amp;"'!F30"),COUNTIF(INDIRECT(TRANSPOSE("'"&amp;_xlfn._xlws.FILTER(INDEX(Character_List,,1),INDEX(Character_List,,8)=_xlfn.CONCAT($A11," 2"),)&amp;"'!F30")),"&lt;8"))),0)),SUM(IFERROR(SUM(_xlfn.VSTACK(TRANSPOSE("'"&amp;_xlfn._xlws.FILTER(INDEX(Character_List,,1),INDEX(Character_List,,8)=_xlfn.CONCAT($A11," 3"),)&amp;"'!F4"),COUNTIF(INDIRECT(TRANSPOSE("'"&amp;_xlfn._xlws.FILTER(INDEX(Character_List,,1),INDEX(Character_List,,8)=_xlfn.CONCAT($A11," 3"),)&amp;"'!F4")),"&lt;8"))),0),IFERROR(SUM(_xlfn.VSTACK(TRANSPOSE("'"&amp;_xlfn._xlws.FILTER(INDEX(Character_List,,1),INDEX(Character_List,,8)=_xlfn.CONCAT($A11," 3"),)&amp;"'!F17"),COUNTIF(INDIRECT(TRANSPOSE("'"&amp;_xlfn._xlws.FILTER(INDEX(Character_List,,1),INDEX(Character_List,,8)=_xlfn.CONCAT($A11," 3"),)&amp;"'!F17")),"&lt;8"))),0),IFERROR(SUM(_xlfn.VSTACK(TRANSPOSE("'"&amp;_xlfn._xlws.FILTER(INDEX(Character_List,,1),INDEX(Character_List,,8)=_xlfn.CONCAT($A11," 3"),)&amp;"'!F30"),COUNTIF(INDIRECT(TRANSPOSE("'"&amp;_xlfn._xlws.FILTER(INDEX(Character_List,,1),INDEX(Character_List,,8)=_xlfn.CONCAT($A11," 3"),)&amp;"'!F30")),"&lt;8"))),0)))</f>
        <v>3</v>
      </c>
      <c r="D11" s="84" cm="1">
        <f t="array" aca="1" ref="D11" ca="1">SUM(SUM(IFERROR(SUM(_xlfn.VSTACK(TRANSPOSE("'"&amp;_xlfn._xlws.FILTER(INDEX(Character_List,,1),INDEX(Character_List,,8)=_xlfn.CONCAT($A11," 1"),)&amp;"'!F4"),COUNTIF(INDIRECT(TRANSPOSE("'"&amp;_xlfn._xlws.FILTER(INDEX(Character_List,,1),INDEX(Character_List,,8)=_xlfn.CONCAT($A11," 1"),)&amp;"'!F4")),"&lt;9"))),0),IFERROR(SUM(_xlfn.VSTACK(TRANSPOSE("'"&amp;_xlfn._xlws.FILTER(INDEX(Character_List,,1),INDEX(Character_List,,8)=_xlfn.CONCAT($A11," 1"),)&amp;"'!F17"),COUNTIF(INDIRECT(TRANSPOSE("'"&amp;_xlfn._xlws.FILTER(INDEX(Character_List,,1),INDEX(Character_List,,8)=_xlfn.CONCAT($A11," 1"),)&amp;"'!F17")),"&lt;9"))),0),IFERROR(SUM(_xlfn.VSTACK(TRANSPOSE("'"&amp;_xlfn._xlws.FILTER(INDEX(Character_List,,1),INDEX(Character_List,,8)=_xlfn.CONCAT($A11," 1"),)&amp;"'!F30"),COUNTIF(INDIRECT(TRANSPOSE("'"&amp;_xlfn._xlws.FILTER(INDEX(Character_List,,1),INDEX(Character_List,,8)=_xlfn.CONCAT($A11," 1"),)&amp;"'!F30")),"&lt;9"))),0)),SUM(IFERROR(SUM(_xlfn.VSTACK(TRANSPOSE("'"&amp;_xlfn._xlws.FILTER(INDEX(Character_List,,1),INDEX(Character_List,,8)=_xlfn.CONCAT($A11," 2"),)&amp;"'!F4"),COUNTIF(INDIRECT(TRANSPOSE("'"&amp;_xlfn._xlws.FILTER(INDEX(Character_List,,1),INDEX(Character_List,,8)=_xlfn.CONCAT($A11," 2"),)&amp;"'!F4")),"&lt;9"))),0),IFERROR(SUM(_xlfn.VSTACK(TRANSPOSE("'"&amp;_xlfn._xlws.FILTER(INDEX(Character_List,,1),INDEX(Character_List,,8)=_xlfn.CONCAT($A11," 2"),)&amp;"'!F17"),COUNTIF(INDIRECT(TRANSPOSE("'"&amp;_xlfn._xlws.FILTER(INDEX(Character_List,,1),INDEX(Character_List,,8)=_xlfn.CONCAT($A11," 2"),)&amp;"'!F17")),"&lt;9"))),0),IFERROR(SUM(_xlfn.VSTACK(TRANSPOSE("'"&amp;_xlfn._xlws.FILTER(INDEX(Character_List,,1),INDEX(Character_List,,8)=_xlfn.CONCAT($A11," 2"),)&amp;"'!F30"),COUNTIF(INDIRECT(TRANSPOSE("'"&amp;_xlfn._xlws.FILTER(INDEX(Character_List,,1),INDEX(Character_List,,8)=_xlfn.CONCAT($A11," 2"),)&amp;"'!F30")),"&lt;9"))),0)),SUM(IFERROR(SUM(_xlfn.VSTACK(TRANSPOSE("'"&amp;_xlfn._xlws.FILTER(INDEX(Character_List,,1),INDEX(Character_List,,8)=_xlfn.CONCAT($A11," 3"),)&amp;"'!F4"),COUNTIF(INDIRECT(TRANSPOSE("'"&amp;_xlfn._xlws.FILTER(INDEX(Character_List,,1),INDEX(Character_List,,8)=_xlfn.CONCAT($A11," 3"),)&amp;"'!F4")),"&lt;9"))),0),IFERROR(SUM(_xlfn.VSTACK(TRANSPOSE("'"&amp;_xlfn._xlws.FILTER(INDEX(Character_List,,1),INDEX(Character_List,,8)=_xlfn.CONCAT($A11," 3"),)&amp;"'!F17"),COUNTIF(INDIRECT(TRANSPOSE("'"&amp;_xlfn._xlws.FILTER(INDEX(Character_List,,1),INDEX(Character_List,,8)=_xlfn.CONCAT($A11," 3"),)&amp;"'!F17")),"&lt;9"))),0),IFERROR(SUM(_xlfn.VSTACK(TRANSPOSE("'"&amp;_xlfn._xlws.FILTER(INDEX(Character_List,,1),INDEX(Character_List,,8)=_xlfn.CONCAT($A11," 3"),)&amp;"'!F30"),COUNTIF(INDIRECT(TRANSPOSE("'"&amp;_xlfn._xlws.FILTER(INDEX(Character_List,,1),INDEX(Character_List,,8)=_xlfn.CONCAT($A11," 3"),)&amp;"'!F30")),"&lt;9"))),0)))</f>
        <v>3</v>
      </c>
      <c r="E11" cm="1">
        <f t="array" aca="1" ref="E11" ca="1">SUM(SUM(IFERROR(SUM(_xlfn.VSTACK(TRANSPOSE("'"&amp;_xlfn._xlws.FILTER(INDEX(Character_List,,1),INDEX(Character_List,,8)=_xlfn.CONCAT($A11," 1"),)&amp;"'!F4"),COUNTIF(INDIRECT(TRANSPOSE("'"&amp;_xlfn._xlws.FILTER(INDEX(Character_List,,1),INDEX(Character_List,,8)=_xlfn.CONCAT($A11," 1"),)&amp;"'!F4")),"&lt;10"))),0),IFERROR(SUM(_xlfn.VSTACK(TRANSPOSE("'"&amp;_xlfn._xlws.FILTER(INDEX(Character_List,,1),INDEX(Character_List,,8)=_xlfn.CONCAT($A11," 1"),)&amp;"'!F17"),COUNTIF(INDIRECT(TRANSPOSE("'"&amp;_xlfn._xlws.FILTER(INDEX(Character_List,,1),INDEX(Character_List,,8)=_xlfn.CONCAT($A11," 1"),)&amp;"'!F17")),"&lt;10"))),0),IFERROR(SUM(_xlfn.VSTACK(TRANSPOSE("'"&amp;_xlfn._xlws.FILTER(INDEX(Character_List,,1),INDEX(Character_List,,8)=_xlfn.CONCAT($A11," 1"),)&amp;"'!F30"),COUNTIF(INDIRECT(TRANSPOSE("'"&amp;_xlfn._xlws.FILTER(INDEX(Character_List,,1),INDEX(Character_List,,8)=_xlfn.CONCAT($A11," 1"),)&amp;"'!F30")),"&lt;10"))),0)),SUM(IFERROR(SUM(_xlfn.VSTACK(TRANSPOSE("'"&amp;_xlfn._xlws.FILTER(INDEX(Character_List,,1),INDEX(Character_List,,8)=_xlfn.CONCAT($A11," 2"),)&amp;"'!F4"),COUNTIF(INDIRECT(TRANSPOSE("'"&amp;_xlfn._xlws.FILTER(INDEX(Character_List,,1),INDEX(Character_List,,8)=_xlfn.CONCAT($A11," 2"),)&amp;"'!F4")),"&lt;10"))),0),IFERROR(SUM(_xlfn.VSTACK(TRANSPOSE("'"&amp;_xlfn._xlws.FILTER(INDEX(Character_List,,1),INDEX(Character_List,,8)=_xlfn.CONCAT($A11," 2"),)&amp;"'!F17"),COUNTIF(INDIRECT(TRANSPOSE("'"&amp;_xlfn._xlws.FILTER(INDEX(Character_List,,1),INDEX(Character_List,,8)=_xlfn.CONCAT($A11," 2"),)&amp;"'!F17")),"&lt;10"))),0),IFERROR(SUM(_xlfn.VSTACK(TRANSPOSE("'"&amp;_xlfn._xlws.FILTER(INDEX(Character_List,,1),INDEX(Character_List,,8)=_xlfn.CONCAT($A11," 2"),)&amp;"'!F30"),COUNTIF(INDIRECT(TRANSPOSE("'"&amp;_xlfn._xlws.FILTER(INDEX(Character_List,,1),INDEX(Character_List,,8)=_xlfn.CONCAT($A11," 2"),)&amp;"'!F30")),"&lt;10"))),0)),SUM(IFERROR(SUM(_xlfn.VSTACK(TRANSPOSE("'"&amp;_xlfn._xlws.FILTER(INDEX(Character_List,,1),INDEX(Character_List,,8)=_xlfn.CONCAT($A11," 3"),)&amp;"'!F4"),COUNTIF(INDIRECT(TRANSPOSE("'"&amp;_xlfn._xlws.FILTER(INDEX(Character_List,,1),INDEX(Character_List,,8)=_xlfn.CONCAT($A11," 3"),)&amp;"'!F4")),"&lt;10"))),0),IFERROR(SUM(_xlfn.VSTACK(TRANSPOSE("'"&amp;_xlfn._xlws.FILTER(INDEX(Character_List,,1),INDEX(Character_List,,8)=_xlfn.CONCAT($A11," 3"),)&amp;"'!F17"),COUNTIF(INDIRECT(TRANSPOSE("'"&amp;_xlfn._xlws.FILTER(INDEX(Character_List,,1),INDEX(Character_List,,8)=_xlfn.CONCAT($A11," 3"),)&amp;"'!F17")),"&lt;10"))),0),IFERROR(SUM(_xlfn.VSTACK(TRANSPOSE("'"&amp;_xlfn._xlws.FILTER(INDEX(Character_List,,1),INDEX(Character_List,,8)=_xlfn.CONCAT($A11," 3"),)&amp;"'!F30"),COUNTIF(INDIRECT(TRANSPOSE("'"&amp;_xlfn._xlws.FILTER(INDEX(Character_List,,1),INDEX(Character_List,,8)=_xlfn.CONCAT($A11," 3"),)&amp;"'!F30")),"&lt;10"))),0)))</f>
        <v>27</v>
      </c>
    </row>
    <row r="12" spans="1:5" x14ac:dyDescent="0.25">
      <c r="A12" s="61" t="str">
        <v>Eroded Primal Fire</v>
      </c>
      <c r="B12" s="84" cm="1">
        <f t="array" aca="1" ref="B12" ca="1">SUM(SUM(IFERROR(SUM(_xlfn.VSTACK(TRANSPOSE("'"&amp;_xlfn._xlws.FILTER(INDEX(Character_List,,1),INDEX(Character_List,,8)=_xlfn.CONCAT($A12," 1"),)&amp;"'!F4"),COUNTIF(INDIRECT(TRANSPOSE("'"&amp;_xlfn._xlws.FILTER(INDEX(Character_List,,1),INDEX(Character_List,,8)=_xlfn.CONCAT($A12," 1"),)&amp;"'!F4")),"&lt;7"))),0),IFERROR(SUM(_xlfn.VSTACK(TRANSPOSE("'"&amp;_xlfn._xlws.FILTER(INDEX(Character_List,,1),INDEX(Character_List,,8)=_xlfn.CONCAT($A12," 1"),)&amp;"'!F17"),COUNTIF(INDIRECT(TRANSPOSE("'"&amp;_xlfn._xlws.FILTER(INDEX(Character_List,,1),INDEX(Character_List,,8)=_xlfn.CONCAT($A12," 1"),)&amp;"'!F17")),"&lt;7"))),0),IFERROR(SUM(_xlfn.VSTACK(TRANSPOSE("'"&amp;_xlfn._xlws.FILTER(INDEX(Character_List,,1),INDEX(Character_List,,8)=_xlfn.CONCAT($A12," 1"),)&amp;"'!F30"),COUNTIF(INDIRECT(TRANSPOSE("'"&amp;_xlfn._xlws.FILTER(INDEX(Character_List,,1),INDEX(Character_List,,8)=_xlfn.CONCAT($A12," 1"),)&amp;"'!F30")),"&lt;7"))),0)),SUM(IFERROR(SUM(_xlfn.VSTACK(TRANSPOSE("'"&amp;_xlfn._xlws.FILTER(INDEX(Character_List,,1),INDEX(Character_List,,8)=_xlfn.CONCAT($A12," 2"),)&amp;"'!F4"),COUNTIF(INDIRECT(TRANSPOSE("'"&amp;_xlfn._xlws.FILTER(INDEX(Character_List,,1),INDEX(Character_List,,8)=_xlfn.CONCAT($A12," 2"),)&amp;"'!F4")),"&lt;7"))),0),IFERROR(SUM(_xlfn.VSTACK(TRANSPOSE("'"&amp;_xlfn._xlws.FILTER(INDEX(Character_List,,1),INDEX(Character_List,,8)=_xlfn.CONCAT($A12," 2"),)&amp;"'!F17"),COUNTIF(INDIRECT(TRANSPOSE("'"&amp;_xlfn._xlws.FILTER(INDEX(Character_List,,1),INDEX(Character_List,,8)=_xlfn.CONCAT($A12," 2"),)&amp;"'!F17")),"&lt;7"))),0),IFERROR(SUM(_xlfn.VSTACK(TRANSPOSE("'"&amp;_xlfn._xlws.FILTER(INDEX(Character_List,,1),INDEX(Character_List,,8)=_xlfn.CONCAT($A12," 2"),)&amp;"'!F30"),COUNTIF(INDIRECT(TRANSPOSE("'"&amp;_xlfn._xlws.FILTER(INDEX(Character_List,,1),INDEX(Character_List,,8)=_xlfn.CONCAT($A12," 2"),)&amp;"'!F30")),"&lt;7"))),0)),SUM(IFERROR(SUM(_xlfn.VSTACK(TRANSPOSE("'"&amp;_xlfn._xlws.FILTER(INDEX(Character_List,,1),INDEX(Character_List,,8)=_xlfn.CONCAT($A12," 3"),)&amp;"'!F4"),COUNTIF(INDIRECT(TRANSPOSE("'"&amp;_xlfn._xlws.FILTER(INDEX(Character_List,,1),INDEX(Character_List,,8)=_xlfn.CONCAT($A12," 3"),)&amp;"'!F4")),"&lt;7"))),0),IFERROR(SUM(_xlfn.VSTACK(TRANSPOSE("'"&amp;_xlfn._xlws.FILTER(INDEX(Character_List,,1),INDEX(Character_List,,8)=_xlfn.CONCAT($A12," 3"),)&amp;"'!F17"),COUNTIF(INDIRECT(TRANSPOSE("'"&amp;_xlfn._xlws.FILTER(INDEX(Character_List,,1),INDEX(Character_List,,8)=_xlfn.CONCAT($A12," 3"),)&amp;"'!F17")),"&lt;7"))),0),IFERROR(SUM(_xlfn.VSTACK(TRANSPOSE("'"&amp;_xlfn._xlws.FILTER(INDEX(Character_List,,1),INDEX(Character_List,,8)=_xlfn.CONCAT($A12," 3"),)&amp;"'!F30"),COUNTIF(INDIRECT(TRANSPOSE("'"&amp;_xlfn._xlws.FILTER(INDEX(Character_List,,1),INDEX(Character_List,,8)=_xlfn.CONCAT($A12," 3"),)&amp;"'!F30")),"&lt;7"))),0)))</f>
        <v>3</v>
      </c>
      <c r="C12" s="84" cm="1">
        <f t="array" aca="1" ref="C12" ca="1">SUM(SUM(IFERROR(SUM(_xlfn.VSTACK(TRANSPOSE("'"&amp;_xlfn._xlws.FILTER(INDEX(Character_List,,1),INDEX(Character_List,,8)=_xlfn.CONCAT($A12," 1"),)&amp;"'!F4"),COUNTIF(INDIRECT(TRANSPOSE("'"&amp;_xlfn._xlws.FILTER(INDEX(Character_List,,1),INDEX(Character_List,,8)=_xlfn.CONCAT($A12," 1"),)&amp;"'!F4")),"&lt;8"))),0),IFERROR(SUM(_xlfn.VSTACK(TRANSPOSE("'"&amp;_xlfn._xlws.FILTER(INDEX(Character_List,,1),INDEX(Character_List,,8)=_xlfn.CONCAT($A12," 1"),)&amp;"'!F17"),COUNTIF(INDIRECT(TRANSPOSE("'"&amp;_xlfn._xlws.FILTER(INDEX(Character_List,,1),INDEX(Character_List,,8)=_xlfn.CONCAT($A12," 1"),)&amp;"'!F17")),"&lt;8"))),0),IFERROR(SUM(_xlfn.VSTACK(TRANSPOSE("'"&amp;_xlfn._xlws.FILTER(INDEX(Character_List,,1),INDEX(Character_List,,8)=_xlfn.CONCAT($A12," 1"),)&amp;"'!F30"),COUNTIF(INDIRECT(TRANSPOSE("'"&amp;_xlfn._xlws.FILTER(INDEX(Character_List,,1),INDEX(Character_List,,8)=_xlfn.CONCAT($A12," 1"),)&amp;"'!F30")),"&lt;8"))),0)),SUM(IFERROR(SUM(_xlfn.VSTACK(TRANSPOSE("'"&amp;_xlfn._xlws.FILTER(INDEX(Character_List,,1),INDEX(Character_List,,8)=_xlfn.CONCAT($A12," 2"),)&amp;"'!F4"),COUNTIF(INDIRECT(TRANSPOSE("'"&amp;_xlfn._xlws.FILTER(INDEX(Character_List,,1),INDEX(Character_List,,8)=_xlfn.CONCAT($A12," 2"),)&amp;"'!F4")),"&lt;8"))),0),IFERROR(SUM(_xlfn.VSTACK(TRANSPOSE("'"&amp;_xlfn._xlws.FILTER(INDEX(Character_List,,1),INDEX(Character_List,,8)=_xlfn.CONCAT($A12," 2"),)&amp;"'!F17"),COUNTIF(INDIRECT(TRANSPOSE("'"&amp;_xlfn._xlws.FILTER(INDEX(Character_List,,1),INDEX(Character_List,,8)=_xlfn.CONCAT($A12," 2"),)&amp;"'!F17")),"&lt;8"))),0),IFERROR(SUM(_xlfn.VSTACK(TRANSPOSE("'"&amp;_xlfn._xlws.FILTER(INDEX(Character_List,,1),INDEX(Character_List,,8)=_xlfn.CONCAT($A12," 2"),)&amp;"'!F30"),COUNTIF(INDIRECT(TRANSPOSE("'"&amp;_xlfn._xlws.FILTER(INDEX(Character_List,,1),INDEX(Character_List,,8)=_xlfn.CONCAT($A12," 2"),)&amp;"'!F30")),"&lt;8"))),0)),SUM(IFERROR(SUM(_xlfn.VSTACK(TRANSPOSE("'"&amp;_xlfn._xlws.FILTER(INDEX(Character_List,,1),INDEX(Character_List,,8)=_xlfn.CONCAT($A12," 3"),)&amp;"'!F4"),COUNTIF(INDIRECT(TRANSPOSE("'"&amp;_xlfn._xlws.FILTER(INDEX(Character_List,,1),INDEX(Character_List,,8)=_xlfn.CONCAT($A12," 3"),)&amp;"'!F4")),"&lt;8"))),0),IFERROR(SUM(_xlfn.VSTACK(TRANSPOSE("'"&amp;_xlfn._xlws.FILTER(INDEX(Character_List,,1),INDEX(Character_List,,8)=_xlfn.CONCAT($A12," 3"),)&amp;"'!F17"),COUNTIF(INDIRECT(TRANSPOSE("'"&amp;_xlfn._xlws.FILTER(INDEX(Character_List,,1),INDEX(Character_List,,8)=_xlfn.CONCAT($A12," 3"),)&amp;"'!F17")),"&lt;8"))),0),IFERROR(SUM(_xlfn.VSTACK(TRANSPOSE("'"&amp;_xlfn._xlws.FILTER(INDEX(Character_List,,1),INDEX(Character_List,,8)=_xlfn.CONCAT($A12," 3"),)&amp;"'!F30"),COUNTIF(INDIRECT(TRANSPOSE("'"&amp;_xlfn._xlws.FILTER(INDEX(Character_List,,1),INDEX(Character_List,,8)=_xlfn.CONCAT($A12," 3"),)&amp;"'!F30")),"&lt;8"))),0)))</f>
        <v>3</v>
      </c>
      <c r="D12" s="84" cm="1">
        <f t="array" aca="1" ref="D12" ca="1">SUM(SUM(IFERROR(SUM(_xlfn.VSTACK(TRANSPOSE("'"&amp;_xlfn._xlws.FILTER(INDEX(Character_List,,1),INDEX(Character_List,,8)=_xlfn.CONCAT($A12," 1"),)&amp;"'!F4"),COUNTIF(INDIRECT(TRANSPOSE("'"&amp;_xlfn._xlws.FILTER(INDEX(Character_List,,1),INDEX(Character_List,,8)=_xlfn.CONCAT($A12," 1"),)&amp;"'!F4")),"&lt;9"))),0),IFERROR(SUM(_xlfn.VSTACK(TRANSPOSE("'"&amp;_xlfn._xlws.FILTER(INDEX(Character_List,,1),INDEX(Character_List,,8)=_xlfn.CONCAT($A12," 1"),)&amp;"'!F17"),COUNTIF(INDIRECT(TRANSPOSE("'"&amp;_xlfn._xlws.FILTER(INDEX(Character_List,,1),INDEX(Character_List,,8)=_xlfn.CONCAT($A12," 1"),)&amp;"'!F17")),"&lt;9"))),0),IFERROR(SUM(_xlfn.VSTACK(TRANSPOSE("'"&amp;_xlfn._xlws.FILTER(INDEX(Character_List,,1),INDEX(Character_List,,8)=_xlfn.CONCAT($A12," 1"),)&amp;"'!F30"),COUNTIF(INDIRECT(TRANSPOSE("'"&amp;_xlfn._xlws.FILTER(INDEX(Character_List,,1),INDEX(Character_List,,8)=_xlfn.CONCAT($A12," 1"),)&amp;"'!F30")),"&lt;9"))),0)),SUM(IFERROR(SUM(_xlfn.VSTACK(TRANSPOSE("'"&amp;_xlfn._xlws.FILTER(INDEX(Character_List,,1),INDEX(Character_List,,8)=_xlfn.CONCAT($A12," 2"),)&amp;"'!F4"),COUNTIF(INDIRECT(TRANSPOSE("'"&amp;_xlfn._xlws.FILTER(INDEX(Character_List,,1),INDEX(Character_List,,8)=_xlfn.CONCAT($A12," 2"),)&amp;"'!F4")),"&lt;9"))),0),IFERROR(SUM(_xlfn.VSTACK(TRANSPOSE("'"&amp;_xlfn._xlws.FILTER(INDEX(Character_List,,1),INDEX(Character_List,,8)=_xlfn.CONCAT($A12," 2"),)&amp;"'!F17"),COUNTIF(INDIRECT(TRANSPOSE("'"&amp;_xlfn._xlws.FILTER(INDEX(Character_List,,1),INDEX(Character_List,,8)=_xlfn.CONCAT($A12," 2"),)&amp;"'!F17")),"&lt;9"))),0),IFERROR(SUM(_xlfn.VSTACK(TRANSPOSE("'"&amp;_xlfn._xlws.FILTER(INDEX(Character_List,,1),INDEX(Character_List,,8)=_xlfn.CONCAT($A12," 2"),)&amp;"'!F30"),COUNTIF(INDIRECT(TRANSPOSE("'"&amp;_xlfn._xlws.FILTER(INDEX(Character_List,,1),INDEX(Character_List,,8)=_xlfn.CONCAT($A12," 2"),)&amp;"'!F30")),"&lt;9"))),0)),SUM(IFERROR(SUM(_xlfn.VSTACK(TRANSPOSE("'"&amp;_xlfn._xlws.FILTER(INDEX(Character_List,,1),INDEX(Character_List,,8)=_xlfn.CONCAT($A12," 3"),)&amp;"'!F4"),COUNTIF(INDIRECT(TRANSPOSE("'"&amp;_xlfn._xlws.FILTER(INDEX(Character_List,,1),INDEX(Character_List,,8)=_xlfn.CONCAT($A12," 3"),)&amp;"'!F4")),"&lt;9"))),0),IFERROR(SUM(_xlfn.VSTACK(TRANSPOSE("'"&amp;_xlfn._xlws.FILTER(INDEX(Character_List,,1),INDEX(Character_List,,8)=_xlfn.CONCAT($A12," 3"),)&amp;"'!F17"),COUNTIF(INDIRECT(TRANSPOSE("'"&amp;_xlfn._xlws.FILTER(INDEX(Character_List,,1),INDEX(Character_List,,8)=_xlfn.CONCAT($A12," 3"),)&amp;"'!F17")),"&lt;9"))),0),IFERROR(SUM(_xlfn.VSTACK(TRANSPOSE("'"&amp;_xlfn._xlws.FILTER(INDEX(Character_List,,1),INDEX(Character_List,,8)=_xlfn.CONCAT($A12," 3"),)&amp;"'!F30"),COUNTIF(INDIRECT(TRANSPOSE("'"&amp;_xlfn._xlws.FILTER(INDEX(Character_List,,1),INDEX(Character_List,,8)=_xlfn.CONCAT($A12," 3"),)&amp;"'!F30")),"&lt;9"))),0)))</f>
        <v>9</v>
      </c>
      <c r="E12" cm="1">
        <f t="array" aca="1" ref="E12" ca="1">SUM(SUM(IFERROR(SUM(_xlfn.VSTACK(TRANSPOSE("'"&amp;_xlfn._xlws.FILTER(INDEX(Character_List,,1),INDEX(Character_List,,8)=_xlfn.CONCAT($A12," 1"),)&amp;"'!F4"),COUNTIF(INDIRECT(TRANSPOSE("'"&amp;_xlfn._xlws.FILTER(INDEX(Character_List,,1),INDEX(Character_List,,8)=_xlfn.CONCAT($A12," 1"),)&amp;"'!F4")),"&lt;10"))),0),IFERROR(SUM(_xlfn.VSTACK(TRANSPOSE("'"&amp;_xlfn._xlws.FILTER(INDEX(Character_List,,1),INDEX(Character_List,,8)=_xlfn.CONCAT($A12," 1"),)&amp;"'!F17"),COUNTIF(INDIRECT(TRANSPOSE("'"&amp;_xlfn._xlws.FILTER(INDEX(Character_List,,1),INDEX(Character_List,,8)=_xlfn.CONCAT($A12," 1"),)&amp;"'!F17")),"&lt;10"))),0),IFERROR(SUM(_xlfn.VSTACK(TRANSPOSE("'"&amp;_xlfn._xlws.FILTER(INDEX(Character_List,,1),INDEX(Character_List,,8)=_xlfn.CONCAT($A12," 1"),)&amp;"'!F30"),COUNTIF(INDIRECT(TRANSPOSE("'"&amp;_xlfn._xlws.FILTER(INDEX(Character_List,,1),INDEX(Character_List,,8)=_xlfn.CONCAT($A12," 1"),)&amp;"'!F30")),"&lt;10"))),0)),SUM(IFERROR(SUM(_xlfn.VSTACK(TRANSPOSE("'"&amp;_xlfn._xlws.FILTER(INDEX(Character_List,,1),INDEX(Character_List,,8)=_xlfn.CONCAT($A12," 2"),)&amp;"'!F4"),COUNTIF(INDIRECT(TRANSPOSE("'"&amp;_xlfn._xlws.FILTER(INDEX(Character_List,,1),INDEX(Character_List,,8)=_xlfn.CONCAT($A12," 2"),)&amp;"'!F4")),"&lt;10"))),0),IFERROR(SUM(_xlfn.VSTACK(TRANSPOSE("'"&amp;_xlfn._xlws.FILTER(INDEX(Character_List,,1),INDEX(Character_List,,8)=_xlfn.CONCAT($A12," 2"),)&amp;"'!F17"),COUNTIF(INDIRECT(TRANSPOSE("'"&amp;_xlfn._xlws.FILTER(INDEX(Character_List,,1),INDEX(Character_List,,8)=_xlfn.CONCAT($A12," 2"),)&amp;"'!F17")),"&lt;10"))),0),IFERROR(SUM(_xlfn.VSTACK(TRANSPOSE("'"&amp;_xlfn._xlws.FILTER(INDEX(Character_List,,1),INDEX(Character_List,,8)=_xlfn.CONCAT($A12," 2"),)&amp;"'!F30"),COUNTIF(INDIRECT(TRANSPOSE("'"&amp;_xlfn._xlws.FILTER(INDEX(Character_List,,1),INDEX(Character_List,,8)=_xlfn.CONCAT($A12," 2"),)&amp;"'!F30")),"&lt;10"))),0)),SUM(IFERROR(SUM(_xlfn.VSTACK(TRANSPOSE("'"&amp;_xlfn._xlws.FILTER(INDEX(Character_List,,1),INDEX(Character_List,,8)=_xlfn.CONCAT($A12," 3"),)&amp;"'!F4"),COUNTIF(INDIRECT(TRANSPOSE("'"&amp;_xlfn._xlws.FILTER(INDEX(Character_List,,1),INDEX(Character_List,,8)=_xlfn.CONCAT($A12," 3"),)&amp;"'!F4")),"&lt;10"))),0),IFERROR(SUM(_xlfn.VSTACK(TRANSPOSE("'"&amp;_xlfn._xlws.FILTER(INDEX(Character_List,,1),INDEX(Character_List,,8)=_xlfn.CONCAT($A12," 3"),)&amp;"'!F17"),COUNTIF(INDIRECT(TRANSPOSE("'"&amp;_xlfn._xlws.FILTER(INDEX(Character_List,,1),INDEX(Character_List,,8)=_xlfn.CONCAT($A12," 3"),)&amp;"'!F17")),"&lt;10"))),0),IFERROR(SUM(_xlfn.VSTACK(TRANSPOSE("'"&amp;_xlfn._xlws.FILTER(INDEX(Character_List,,1),INDEX(Character_List,,8)=_xlfn.CONCAT($A12," 3"),)&amp;"'!F30"),COUNTIF(INDIRECT(TRANSPOSE("'"&amp;_xlfn._xlws.FILTER(INDEX(Character_List,,1),INDEX(Character_List,,8)=_xlfn.CONCAT($A12," 3"),)&amp;"'!F30")),"&lt;10"))),0)))</f>
        <v>21</v>
      </c>
    </row>
    <row r="13" spans="1:5" x14ac:dyDescent="0.25">
      <c r="A13" s="61" t="str">
        <v>Game before the Gate</v>
      </c>
      <c r="B13" s="84" cm="1">
        <f t="array" aca="1" ref="B13" ca="1">SUM(SUM(IFERROR(SUM(_xlfn.VSTACK(TRANSPOSE("'"&amp;_xlfn._xlws.FILTER(INDEX(Character_List,,1),INDEX(Character_List,,8)=_xlfn.CONCAT($A13," 1"),)&amp;"'!F4"),COUNTIF(INDIRECT(TRANSPOSE("'"&amp;_xlfn._xlws.FILTER(INDEX(Character_List,,1),INDEX(Character_List,,8)=_xlfn.CONCAT($A13," 1"),)&amp;"'!F4")),"&lt;7"))),0),IFERROR(SUM(_xlfn.VSTACK(TRANSPOSE("'"&amp;_xlfn._xlws.FILTER(INDEX(Character_List,,1),INDEX(Character_List,,8)=_xlfn.CONCAT($A13," 1"),)&amp;"'!F17"),COUNTIF(INDIRECT(TRANSPOSE("'"&amp;_xlfn._xlws.FILTER(INDEX(Character_List,,1),INDEX(Character_List,,8)=_xlfn.CONCAT($A13," 1"),)&amp;"'!F17")),"&lt;7"))),0),IFERROR(SUM(_xlfn.VSTACK(TRANSPOSE("'"&amp;_xlfn._xlws.FILTER(INDEX(Character_List,,1),INDEX(Character_List,,8)=_xlfn.CONCAT($A13," 1"),)&amp;"'!F30"),COUNTIF(INDIRECT(TRANSPOSE("'"&amp;_xlfn._xlws.FILTER(INDEX(Character_List,,1),INDEX(Character_List,,8)=_xlfn.CONCAT($A13," 1"),)&amp;"'!F30")),"&lt;7"))),0)),SUM(IFERROR(SUM(_xlfn.VSTACK(TRANSPOSE("'"&amp;_xlfn._xlws.FILTER(INDEX(Character_List,,1),INDEX(Character_List,,8)=_xlfn.CONCAT($A13," 2"),)&amp;"'!F4"),COUNTIF(INDIRECT(TRANSPOSE("'"&amp;_xlfn._xlws.FILTER(INDEX(Character_List,,1),INDEX(Character_List,,8)=_xlfn.CONCAT($A13," 2"),)&amp;"'!F4")),"&lt;7"))),0),IFERROR(SUM(_xlfn.VSTACK(TRANSPOSE("'"&amp;_xlfn._xlws.FILTER(INDEX(Character_List,,1),INDEX(Character_List,,8)=_xlfn.CONCAT($A13," 2"),)&amp;"'!F17"),COUNTIF(INDIRECT(TRANSPOSE("'"&amp;_xlfn._xlws.FILTER(INDEX(Character_List,,1),INDEX(Character_List,,8)=_xlfn.CONCAT($A13," 2"),)&amp;"'!F17")),"&lt;7"))),0),IFERROR(SUM(_xlfn.VSTACK(TRANSPOSE("'"&amp;_xlfn._xlws.FILTER(INDEX(Character_List,,1),INDEX(Character_List,,8)=_xlfn.CONCAT($A13," 2"),)&amp;"'!F30"),COUNTIF(INDIRECT(TRANSPOSE("'"&amp;_xlfn._xlws.FILTER(INDEX(Character_List,,1),INDEX(Character_List,,8)=_xlfn.CONCAT($A13," 2"),)&amp;"'!F30")),"&lt;7"))),0)),SUM(IFERROR(SUM(_xlfn.VSTACK(TRANSPOSE("'"&amp;_xlfn._xlws.FILTER(INDEX(Character_List,,1),INDEX(Character_List,,8)=_xlfn.CONCAT($A13," 3"),)&amp;"'!F4"),COUNTIF(INDIRECT(TRANSPOSE("'"&amp;_xlfn._xlws.FILTER(INDEX(Character_List,,1),INDEX(Character_List,,8)=_xlfn.CONCAT($A13," 3"),)&amp;"'!F4")),"&lt;7"))),0),IFERROR(SUM(_xlfn.VSTACK(TRANSPOSE("'"&amp;_xlfn._xlws.FILTER(INDEX(Character_List,,1),INDEX(Character_List,,8)=_xlfn.CONCAT($A13," 3"),)&amp;"'!F17"),COUNTIF(INDIRECT(TRANSPOSE("'"&amp;_xlfn._xlws.FILTER(INDEX(Character_List,,1),INDEX(Character_List,,8)=_xlfn.CONCAT($A13," 3"),)&amp;"'!F17")),"&lt;7"))),0),IFERROR(SUM(_xlfn.VSTACK(TRANSPOSE("'"&amp;_xlfn._xlws.FILTER(INDEX(Character_List,,1),INDEX(Character_List,,8)=_xlfn.CONCAT($A13," 3"),)&amp;"'!F30"),COUNTIF(INDIRECT(TRANSPOSE("'"&amp;_xlfn._xlws.FILTER(INDEX(Character_List,,1),INDEX(Character_List,,8)=_xlfn.CONCAT($A13," 3"),)&amp;"'!F30")),"&lt;7"))),0)))</f>
        <v>3</v>
      </c>
      <c r="C13" s="84" cm="1">
        <f t="array" aca="1" ref="C13" ca="1">SUM(SUM(IFERROR(SUM(_xlfn.VSTACK(TRANSPOSE("'"&amp;_xlfn._xlws.FILTER(INDEX(Character_List,,1),INDEX(Character_List,,8)=_xlfn.CONCAT($A13," 1"),)&amp;"'!F4"),COUNTIF(INDIRECT(TRANSPOSE("'"&amp;_xlfn._xlws.FILTER(INDEX(Character_List,,1),INDEX(Character_List,,8)=_xlfn.CONCAT($A13," 1"),)&amp;"'!F4")),"&lt;8"))),0),IFERROR(SUM(_xlfn.VSTACK(TRANSPOSE("'"&amp;_xlfn._xlws.FILTER(INDEX(Character_List,,1),INDEX(Character_List,,8)=_xlfn.CONCAT($A13," 1"),)&amp;"'!F17"),COUNTIF(INDIRECT(TRANSPOSE("'"&amp;_xlfn._xlws.FILTER(INDEX(Character_List,,1),INDEX(Character_List,,8)=_xlfn.CONCAT($A13," 1"),)&amp;"'!F17")),"&lt;8"))),0),IFERROR(SUM(_xlfn.VSTACK(TRANSPOSE("'"&amp;_xlfn._xlws.FILTER(INDEX(Character_List,,1),INDEX(Character_List,,8)=_xlfn.CONCAT($A13," 1"),)&amp;"'!F30"),COUNTIF(INDIRECT(TRANSPOSE("'"&amp;_xlfn._xlws.FILTER(INDEX(Character_List,,1),INDEX(Character_List,,8)=_xlfn.CONCAT($A13," 1"),)&amp;"'!F30")),"&lt;8"))),0)),SUM(IFERROR(SUM(_xlfn.VSTACK(TRANSPOSE("'"&amp;_xlfn._xlws.FILTER(INDEX(Character_List,,1),INDEX(Character_List,,8)=_xlfn.CONCAT($A13," 2"),)&amp;"'!F4"),COUNTIF(INDIRECT(TRANSPOSE("'"&amp;_xlfn._xlws.FILTER(INDEX(Character_List,,1),INDEX(Character_List,,8)=_xlfn.CONCAT($A13," 2"),)&amp;"'!F4")),"&lt;8"))),0),IFERROR(SUM(_xlfn.VSTACK(TRANSPOSE("'"&amp;_xlfn._xlws.FILTER(INDEX(Character_List,,1),INDEX(Character_List,,8)=_xlfn.CONCAT($A13," 2"),)&amp;"'!F17"),COUNTIF(INDIRECT(TRANSPOSE("'"&amp;_xlfn._xlws.FILTER(INDEX(Character_List,,1),INDEX(Character_List,,8)=_xlfn.CONCAT($A13," 2"),)&amp;"'!F17")),"&lt;8"))),0),IFERROR(SUM(_xlfn.VSTACK(TRANSPOSE("'"&amp;_xlfn._xlws.FILTER(INDEX(Character_List,,1),INDEX(Character_List,,8)=_xlfn.CONCAT($A13," 2"),)&amp;"'!F30"),COUNTIF(INDIRECT(TRANSPOSE("'"&amp;_xlfn._xlws.FILTER(INDEX(Character_List,,1),INDEX(Character_List,,8)=_xlfn.CONCAT($A13," 2"),)&amp;"'!F30")),"&lt;8"))),0)),SUM(IFERROR(SUM(_xlfn.VSTACK(TRANSPOSE("'"&amp;_xlfn._xlws.FILTER(INDEX(Character_List,,1),INDEX(Character_List,,8)=_xlfn.CONCAT($A13," 3"),)&amp;"'!F4"),COUNTIF(INDIRECT(TRANSPOSE("'"&amp;_xlfn._xlws.FILTER(INDEX(Character_List,,1),INDEX(Character_List,,8)=_xlfn.CONCAT($A13," 3"),)&amp;"'!F4")),"&lt;8"))),0),IFERROR(SUM(_xlfn.VSTACK(TRANSPOSE("'"&amp;_xlfn._xlws.FILTER(INDEX(Character_List,,1),INDEX(Character_List,,8)=_xlfn.CONCAT($A13," 3"),)&amp;"'!F17"),COUNTIF(INDIRECT(TRANSPOSE("'"&amp;_xlfn._xlws.FILTER(INDEX(Character_List,,1),INDEX(Character_List,,8)=_xlfn.CONCAT($A13," 3"),)&amp;"'!F17")),"&lt;8"))),0),IFERROR(SUM(_xlfn.VSTACK(TRANSPOSE("'"&amp;_xlfn._xlws.FILTER(INDEX(Character_List,,1),INDEX(Character_List,,8)=_xlfn.CONCAT($A13," 3"),)&amp;"'!F30"),COUNTIF(INDIRECT(TRANSPOSE("'"&amp;_xlfn._xlws.FILTER(INDEX(Character_List,,1),INDEX(Character_List,,8)=_xlfn.CONCAT($A13," 3"),)&amp;"'!F30")),"&lt;8"))),0)))</f>
        <v>3</v>
      </c>
      <c r="D13" s="84" cm="1">
        <f t="array" aca="1" ref="D13" ca="1">SUM(SUM(IFERROR(SUM(_xlfn.VSTACK(TRANSPOSE("'"&amp;_xlfn._xlws.FILTER(INDEX(Character_List,,1),INDEX(Character_List,,8)=_xlfn.CONCAT($A13," 1"),)&amp;"'!F4"),COUNTIF(INDIRECT(TRANSPOSE("'"&amp;_xlfn._xlws.FILTER(INDEX(Character_List,,1),INDEX(Character_List,,8)=_xlfn.CONCAT($A13," 1"),)&amp;"'!F4")),"&lt;9"))),0),IFERROR(SUM(_xlfn.VSTACK(TRANSPOSE("'"&amp;_xlfn._xlws.FILTER(INDEX(Character_List,,1),INDEX(Character_List,,8)=_xlfn.CONCAT($A13," 1"),)&amp;"'!F17"),COUNTIF(INDIRECT(TRANSPOSE("'"&amp;_xlfn._xlws.FILTER(INDEX(Character_List,,1),INDEX(Character_List,,8)=_xlfn.CONCAT($A13," 1"),)&amp;"'!F17")),"&lt;9"))),0),IFERROR(SUM(_xlfn.VSTACK(TRANSPOSE("'"&amp;_xlfn._xlws.FILTER(INDEX(Character_List,,1),INDEX(Character_List,,8)=_xlfn.CONCAT($A13," 1"),)&amp;"'!F30"),COUNTIF(INDIRECT(TRANSPOSE("'"&amp;_xlfn._xlws.FILTER(INDEX(Character_List,,1),INDEX(Character_List,,8)=_xlfn.CONCAT($A13," 1"),)&amp;"'!F30")),"&lt;9"))),0)),SUM(IFERROR(SUM(_xlfn.VSTACK(TRANSPOSE("'"&amp;_xlfn._xlws.FILTER(INDEX(Character_List,,1),INDEX(Character_List,,8)=_xlfn.CONCAT($A13," 2"),)&amp;"'!F4"),COUNTIF(INDIRECT(TRANSPOSE("'"&amp;_xlfn._xlws.FILTER(INDEX(Character_List,,1),INDEX(Character_List,,8)=_xlfn.CONCAT($A13," 2"),)&amp;"'!F4")),"&lt;9"))),0),IFERROR(SUM(_xlfn.VSTACK(TRANSPOSE("'"&amp;_xlfn._xlws.FILTER(INDEX(Character_List,,1),INDEX(Character_List,,8)=_xlfn.CONCAT($A13," 2"),)&amp;"'!F17"),COUNTIF(INDIRECT(TRANSPOSE("'"&amp;_xlfn._xlws.FILTER(INDEX(Character_List,,1),INDEX(Character_List,,8)=_xlfn.CONCAT($A13," 2"),)&amp;"'!F17")),"&lt;9"))),0),IFERROR(SUM(_xlfn.VSTACK(TRANSPOSE("'"&amp;_xlfn._xlws.FILTER(INDEX(Character_List,,1),INDEX(Character_List,,8)=_xlfn.CONCAT($A13," 2"),)&amp;"'!F30"),COUNTIF(INDIRECT(TRANSPOSE("'"&amp;_xlfn._xlws.FILTER(INDEX(Character_List,,1),INDEX(Character_List,,8)=_xlfn.CONCAT($A13," 2"),)&amp;"'!F30")),"&lt;9"))),0)),SUM(IFERROR(SUM(_xlfn.VSTACK(TRANSPOSE("'"&amp;_xlfn._xlws.FILTER(INDEX(Character_List,,1),INDEX(Character_List,,8)=_xlfn.CONCAT($A13," 3"),)&amp;"'!F4"),COUNTIF(INDIRECT(TRANSPOSE("'"&amp;_xlfn._xlws.FILTER(INDEX(Character_List,,1),INDEX(Character_List,,8)=_xlfn.CONCAT($A13," 3"),)&amp;"'!F4")),"&lt;9"))),0),IFERROR(SUM(_xlfn.VSTACK(TRANSPOSE("'"&amp;_xlfn._xlws.FILTER(INDEX(Character_List,,1),INDEX(Character_List,,8)=_xlfn.CONCAT($A13," 3"),)&amp;"'!F17"),COUNTIF(INDIRECT(TRANSPOSE("'"&amp;_xlfn._xlws.FILTER(INDEX(Character_List,,1),INDEX(Character_List,,8)=_xlfn.CONCAT($A13," 3"),)&amp;"'!F17")),"&lt;9"))),0),IFERROR(SUM(_xlfn.VSTACK(TRANSPOSE("'"&amp;_xlfn._xlws.FILTER(INDEX(Character_List,,1),INDEX(Character_List,,8)=_xlfn.CONCAT($A13," 3"),)&amp;"'!F30"),COUNTIF(INDIRECT(TRANSPOSE("'"&amp;_xlfn._xlws.FILTER(INDEX(Character_List,,1),INDEX(Character_List,,8)=_xlfn.CONCAT($A13," 3"),)&amp;"'!F30")),"&lt;9"))),0)))</f>
        <v>3</v>
      </c>
      <c r="E13" cm="1">
        <f t="array" aca="1" ref="E13" ca="1">SUM(SUM(IFERROR(SUM(_xlfn.VSTACK(TRANSPOSE("'"&amp;_xlfn._xlws.FILTER(INDEX(Character_List,,1),INDEX(Character_List,,8)=_xlfn.CONCAT($A13," 1"),)&amp;"'!F4"),COUNTIF(INDIRECT(TRANSPOSE("'"&amp;_xlfn._xlws.FILTER(INDEX(Character_List,,1),INDEX(Character_List,,8)=_xlfn.CONCAT($A13," 1"),)&amp;"'!F4")),"&lt;10"))),0),IFERROR(SUM(_xlfn.VSTACK(TRANSPOSE("'"&amp;_xlfn._xlws.FILTER(INDEX(Character_List,,1),INDEX(Character_List,,8)=_xlfn.CONCAT($A13," 1"),)&amp;"'!F17"),COUNTIF(INDIRECT(TRANSPOSE("'"&amp;_xlfn._xlws.FILTER(INDEX(Character_List,,1),INDEX(Character_List,,8)=_xlfn.CONCAT($A13," 1"),)&amp;"'!F17")),"&lt;10"))),0),IFERROR(SUM(_xlfn.VSTACK(TRANSPOSE("'"&amp;_xlfn._xlws.FILTER(INDEX(Character_List,,1),INDEX(Character_List,,8)=_xlfn.CONCAT($A13," 1"),)&amp;"'!F30"),COUNTIF(INDIRECT(TRANSPOSE("'"&amp;_xlfn._xlws.FILTER(INDEX(Character_List,,1),INDEX(Character_List,,8)=_xlfn.CONCAT($A13," 1"),)&amp;"'!F30")),"&lt;10"))),0)),SUM(IFERROR(SUM(_xlfn.VSTACK(TRANSPOSE("'"&amp;_xlfn._xlws.FILTER(INDEX(Character_List,,1),INDEX(Character_List,,8)=_xlfn.CONCAT($A13," 2"),)&amp;"'!F4"),COUNTIF(INDIRECT(TRANSPOSE("'"&amp;_xlfn._xlws.FILTER(INDEX(Character_List,,1),INDEX(Character_List,,8)=_xlfn.CONCAT($A13," 2"),)&amp;"'!F4")),"&lt;10"))),0),IFERROR(SUM(_xlfn.VSTACK(TRANSPOSE("'"&amp;_xlfn._xlws.FILTER(INDEX(Character_List,,1),INDEX(Character_List,,8)=_xlfn.CONCAT($A13," 2"),)&amp;"'!F17"),COUNTIF(INDIRECT(TRANSPOSE("'"&amp;_xlfn._xlws.FILTER(INDEX(Character_List,,1),INDEX(Character_List,,8)=_xlfn.CONCAT($A13," 2"),)&amp;"'!F17")),"&lt;10"))),0),IFERROR(SUM(_xlfn.VSTACK(TRANSPOSE("'"&amp;_xlfn._xlws.FILTER(INDEX(Character_List,,1),INDEX(Character_List,,8)=_xlfn.CONCAT($A13," 2"),)&amp;"'!F30"),COUNTIF(INDIRECT(TRANSPOSE("'"&amp;_xlfn._xlws.FILTER(INDEX(Character_List,,1),INDEX(Character_List,,8)=_xlfn.CONCAT($A13," 2"),)&amp;"'!F30")),"&lt;10"))),0)),SUM(IFERROR(SUM(_xlfn.VSTACK(TRANSPOSE("'"&amp;_xlfn._xlws.FILTER(INDEX(Character_List,,1),INDEX(Character_List,,8)=_xlfn.CONCAT($A13," 3"),)&amp;"'!F4"),COUNTIF(INDIRECT(TRANSPOSE("'"&amp;_xlfn._xlws.FILTER(INDEX(Character_List,,1),INDEX(Character_List,,8)=_xlfn.CONCAT($A13," 3"),)&amp;"'!F4")),"&lt;10"))),0),IFERROR(SUM(_xlfn.VSTACK(TRANSPOSE("'"&amp;_xlfn._xlws.FILTER(INDEX(Character_List,,1),INDEX(Character_List,,8)=_xlfn.CONCAT($A13," 3"),)&amp;"'!F17"),COUNTIF(INDIRECT(TRANSPOSE("'"&amp;_xlfn._xlws.FILTER(INDEX(Character_List,,1),INDEX(Character_List,,8)=_xlfn.CONCAT($A13," 3"),)&amp;"'!F17")),"&lt;10"))),0),IFERROR(SUM(_xlfn.VSTACK(TRANSPOSE("'"&amp;_xlfn._xlws.FILTER(INDEX(Character_List,,1),INDEX(Character_List,,8)=_xlfn.CONCAT($A13," 3"),)&amp;"'!F30"),COUNTIF(INDIRECT(TRANSPOSE("'"&amp;_xlfn._xlws.FILTER(INDEX(Character_List,,1),INDEX(Character_List,,8)=_xlfn.CONCAT($A13," 3"),)&amp;"'!F30")),"&lt;10"))),0)))</f>
        <v>9</v>
      </c>
    </row>
    <row r="14" spans="1:5" x14ac:dyDescent="0.25">
      <c r="A14" s="61"/>
      <c r="B14" s="84"/>
      <c r="C14" s="84"/>
      <c r="D14" s="84"/>
    </row>
    <row r="15" spans="1:5" x14ac:dyDescent="0.25">
      <c r="A15" s="61"/>
      <c r="B15" s="84"/>
      <c r="C15" s="84"/>
      <c r="D15" s="84"/>
    </row>
    <row r="16" spans="1:5" x14ac:dyDescent="0.25">
      <c r="A16" s="61"/>
      <c r="B16" s="84"/>
      <c r="C16" s="84"/>
      <c r="D16" s="84"/>
    </row>
    <row r="17" spans="1:4" x14ac:dyDescent="0.25">
      <c r="A17" s="61"/>
      <c r="B17" s="84"/>
      <c r="C17" s="84"/>
      <c r="D17" s="84"/>
    </row>
    <row r="18" spans="1:4" x14ac:dyDescent="0.25">
      <c r="A18" s="61"/>
      <c r="B18" s="84"/>
      <c r="C18" s="84"/>
      <c r="D18" s="84"/>
    </row>
    <row r="19" spans="1:4" x14ac:dyDescent="0.25">
      <c r="A19" s="61"/>
      <c r="B19" s="84"/>
      <c r="C19" s="84"/>
      <c r="D19" s="84"/>
    </row>
    <row r="20" spans="1:4" x14ac:dyDescent="0.25">
      <c r="A20" s="61"/>
      <c r="B20" s="84"/>
      <c r="C20" s="84"/>
      <c r="D20" s="84"/>
    </row>
    <row r="21" spans="1:4" x14ac:dyDescent="0.25">
      <c r="A21" s="61"/>
      <c r="B21" s="84"/>
      <c r="C21" s="84"/>
      <c r="D21" s="84"/>
    </row>
    <row r="22" spans="1:4" x14ac:dyDescent="0.25">
      <c r="A22" s="61"/>
      <c r="B22" s="84"/>
      <c r="C22" s="84"/>
      <c r="D22" s="84"/>
    </row>
    <row r="23" spans="1:4" x14ac:dyDescent="0.25">
      <c r="A23" s="61"/>
      <c r="B23" s="84"/>
      <c r="C23" s="84"/>
      <c r="D23" s="84"/>
    </row>
    <row r="24" spans="1:4" x14ac:dyDescent="0.25">
      <c r="A24" s="61"/>
      <c r="B24" s="84"/>
      <c r="C24" s="84"/>
      <c r="D24" s="84"/>
    </row>
    <row r="25" spans="1:4" x14ac:dyDescent="0.25">
      <c r="A25" s="61"/>
      <c r="B25" s="84"/>
      <c r="C25" s="84"/>
      <c r="D25" s="84"/>
    </row>
    <row r="26" spans="1:4" x14ac:dyDescent="0.25">
      <c r="A26" s="61"/>
      <c r="B26" s="84"/>
    </row>
    <row r="27" spans="1:4" x14ac:dyDescent="0.25">
      <c r="A27" s="61"/>
      <c r="B27" s="84"/>
    </row>
    <row r="28" spans="1:4" x14ac:dyDescent="0.25">
      <c r="A28" s="61"/>
      <c r="B28" s="84"/>
    </row>
    <row r="29" spans="1:4" x14ac:dyDescent="0.25">
      <c r="A29" s="61"/>
      <c r="B29" s="84"/>
    </row>
    <row r="30" spans="1:4" x14ac:dyDescent="0.25">
      <c r="A30" s="61"/>
      <c r="B30" s="84"/>
    </row>
    <row r="31" spans="1:4" x14ac:dyDescent="0.25">
      <c r="A31" s="61"/>
      <c r="B31" s="84"/>
    </row>
    <row r="32" spans="1:4" x14ac:dyDescent="0.25">
      <c r="A32" s="61"/>
      <c r="B32" s="84"/>
    </row>
    <row r="33" spans="1:2" x14ac:dyDescent="0.25">
      <c r="A33" s="61"/>
      <c r="B33" s="84"/>
    </row>
    <row r="34" spans="1:2" x14ac:dyDescent="0.25">
      <c r="A34" s="61"/>
      <c r="B34" s="84"/>
    </row>
    <row r="35" spans="1:2" x14ac:dyDescent="0.25">
      <c r="A35" s="61"/>
      <c r="B35" s="84"/>
    </row>
    <row r="36" spans="1:2" x14ac:dyDescent="0.25">
      <c r="A36" s="61"/>
      <c r="B36" s="84"/>
    </row>
    <row r="37" spans="1:2" x14ac:dyDescent="0.25">
      <c r="A37" s="61"/>
      <c r="B37" s="84"/>
    </row>
    <row r="38" spans="1:2" x14ac:dyDescent="0.25">
      <c r="A38" s="61"/>
      <c r="B38" s="84"/>
    </row>
    <row r="39" spans="1:2" x14ac:dyDescent="0.25">
      <c r="A39" s="61"/>
      <c r="B39" s="84"/>
    </row>
    <row r="40" spans="1:2" x14ac:dyDescent="0.25">
      <c r="A40" s="61"/>
      <c r="B40" s="84"/>
    </row>
    <row r="41" spans="1:2" x14ac:dyDescent="0.25">
      <c r="A41" s="61"/>
      <c r="B41" s="84"/>
    </row>
    <row r="42" spans="1:2" x14ac:dyDescent="0.25">
      <c r="A42" s="61"/>
      <c r="B42" s="84"/>
    </row>
    <row r="43" spans="1:2" x14ac:dyDescent="0.25">
      <c r="A43" s="61"/>
      <c r="B43" s="84"/>
    </row>
    <row r="44" spans="1:2" x14ac:dyDescent="0.25">
      <c r="A44" s="61"/>
      <c r="B44" s="84"/>
    </row>
    <row r="45" spans="1:2" x14ac:dyDescent="0.25">
      <c r="A45" s="61"/>
      <c r="B45" s="84"/>
    </row>
    <row r="46" spans="1:2" x14ac:dyDescent="0.25">
      <c r="A46" s="61"/>
      <c r="B46" s="84"/>
    </row>
    <row r="47" spans="1:2" x14ac:dyDescent="0.25">
      <c r="A47" s="61"/>
      <c r="B47" s="84"/>
    </row>
    <row r="48" spans="1:2" x14ac:dyDescent="0.25">
      <c r="A48" s="61"/>
      <c r="B48" s="84"/>
    </row>
    <row r="49" spans="1:2" x14ac:dyDescent="0.25">
      <c r="A49" s="61"/>
      <c r="B49" s="84"/>
    </row>
    <row r="50" spans="1:2" x14ac:dyDescent="0.25">
      <c r="A50" s="61"/>
      <c r="B50" s="84"/>
    </row>
    <row r="51" spans="1:2" x14ac:dyDescent="0.25">
      <c r="A51" s="61"/>
      <c r="B51" s="84"/>
    </row>
    <row r="52" spans="1:2" x14ac:dyDescent="0.25">
      <c r="A52" s="61"/>
      <c r="B52" s="84"/>
    </row>
    <row r="53" spans="1:2" x14ac:dyDescent="0.25">
      <c r="A53" s="61"/>
      <c r="B53" s="84"/>
    </row>
    <row r="54" spans="1:2" x14ac:dyDescent="0.25">
      <c r="A54" s="61"/>
      <c r="B54" s="84"/>
    </row>
    <row r="55" spans="1:2" x14ac:dyDescent="0.25">
      <c r="A55" s="61"/>
      <c r="B55" s="84"/>
    </row>
    <row r="56" spans="1:2" x14ac:dyDescent="0.25">
      <c r="A56" s="61"/>
      <c r="B56" s="84"/>
    </row>
    <row r="57" spans="1:2" x14ac:dyDescent="0.25">
      <c r="A57" s="61"/>
      <c r="B57" s="84"/>
    </row>
    <row r="58" spans="1:2" x14ac:dyDescent="0.25">
      <c r="A58" s="61"/>
      <c r="B58" s="84"/>
    </row>
    <row r="59" spans="1:2" x14ac:dyDescent="0.25">
      <c r="A59" s="61"/>
      <c r="B59" s="84">
        <f>SUM(C59:C76)</f>
        <v>0</v>
      </c>
    </row>
    <row r="60" spans="1:2" x14ac:dyDescent="0.25">
      <c r="A60" s="61"/>
      <c r="B60" s="84"/>
    </row>
    <row r="61" spans="1:2" x14ac:dyDescent="0.25">
      <c r="A61" s="61"/>
      <c r="B61" s="84"/>
    </row>
    <row r="62" spans="1:2" x14ac:dyDescent="0.25">
      <c r="A62" s="61"/>
      <c r="B62" s="84"/>
    </row>
    <row r="63" spans="1:2" x14ac:dyDescent="0.25">
      <c r="A63" s="61"/>
      <c r="B63" s="84"/>
    </row>
    <row r="64" spans="1:2" x14ac:dyDescent="0.25">
      <c r="A64" s="61"/>
      <c r="B64" s="84"/>
    </row>
    <row r="65" spans="1:2" x14ac:dyDescent="0.25">
      <c r="A65" s="61"/>
      <c r="B65" s="84"/>
    </row>
    <row r="66" spans="1:2" x14ac:dyDescent="0.25">
      <c r="A66" s="61"/>
      <c r="B66" s="84"/>
    </row>
    <row r="67" spans="1:2" x14ac:dyDescent="0.25">
      <c r="A67" s="61"/>
      <c r="B67" s="84"/>
    </row>
    <row r="68" spans="1:2" x14ac:dyDescent="0.25">
      <c r="A68" s="61"/>
      <c r="B68" s="84"/>
    </row>
    <row r="69" spans="1:2" x14ac:dyDescent="0.25">
      <c r="A69" s="61"/>
      <c r="B69" s="84"/>
    </row>
    <row r="70" spans="1:2" x14ac:dyDescent="0.25">
      <c r="A70" s="61"/>
      <c r="B70" s="84"/>
    </row>
    <row r="71" spans="1:2" x14ac:dyDescent="0.25">
      <c r="A71" s="61"/>
      <c r="B71" s="84"/>
    </row>
    <row r="72" spans="1:2" x14ac:dyDescent="0.25">
      <c r="A72" s="61"/>
      <c r="B72" s="84"/>
    </row>
    <row r="73" spans="1:2" x14ac:dyDescent="0.25">
      <c r="A73" s="61"/>
      <c r="B73" s="84"/>
    </row>
    <row r="74" spans="1:2" x14ac:dyDescent="0.25">
      <c r="A74" s="61"/>
      <c r="B74" s="84"/>
    </row>
    <row r="75" spans="1:2" x14ac:dyDescent="0.25">
      <c r="A75" s="61"/>
      <c r="B75" s="84"/>
    </row>
    <row r="76" spans="1:2" x14ac:dyDescent="0.25">
      <c r="A76" s="61"/>
      <c r="B76" s="84"/>
    </row>
    <row r="77" spans="1:2" x14ac:dyDescent="0.25">
      <c r="A77" s="61"/>
      <c r="B77" s="84">
        <f>SUM(C77:C94)</f>
        <v>0</v>
      </c>
    </row>
    <row r="78" spans="1:2" x14ac:dyDescent="0.25">
      <c r="A78" s="61"/>
      <c r="B78" s="84"/>
    </row>
    <row r="79" spans="1:2" x14ac:dyDescent="0.25">
      <c r="A79" s="61"/>
      <c r="B79" s="84"/>
    </row>
    <row r="80" spans="1:2" x14ac:dyDescent="0.25">
      <c r="A80" s="61"/>
      <c r="B80" s="84"/>
    </row>
    <row r="81" spans="1:2" x14ac:dyDescent="0.25">
      <c r="A81" s="61"/>
      <c r="B81" s="84"/>
    </row>
    <row r="82" spans="1:2" x14ac:dyDescent="0.25">
      <c r="A82" s="61"/>
      <c r="B82" s="84"/>
    </row>
    <row r="83" spans="1:2" x14ac:dyDescent="0.25">
      <c r="A83" s="61"/>
      <c r="B83" s="84"/>
    </row>
    <row r="84" spans="1:2" x14ac:dyDescent="0.25">
      <c r="A84" s="61"/>
      <c r="B84" s="84"/>
    </row>
    <row r="85" spans="1:2" x14ac:dyDescent="0.25">
      <c r="A85" s="61"/>
      <c r="B85" s="84"/>
    </row>
    <row r="86" spans="1:2" x14ac:dyDescent="0.25">
      <c r="A86" s="61"/>
      <c r="B86" s="84"/>
    </row>
    <row r="87" spans="1:2" x14ac:dyDescent="0.25">
      <c r="A87" s="61"/>
      <c r="B87" s="84"/>
    </row>
    <row r="88" spans="1:2" x14ac:dyDescent="0.25">
      <c r="A88" s="61"/>
      <c r="B88" s="84"/>
    </row>
    <row r="89" spans="1:2" x14ac:dyDescent="0.25">
      <c r="A89" s="61"/>
      <c r="B89" s="84"/>
    </row>
    <row r="90" spans="1:2" x14ac:dyDescent="0.25">
      <c r="A90" s="61"/>
      <c r="B90" s="84"/>
    </row>
    <row r="91" spans="1:2" x14ac:dyDescent="0.25">
      <c r="A91" s="61"/>
      <c r="B91" s="84"/>
    </row>
    <row r="92" spans="1:2" x14ac:dyDescent="0.25">
      <c r="A92" s="61"/>
      <c r="B92" s="84"/>
    </row>
    <row r="93" spans="1:2" x14ac:dyDescent="0.25">
      <c r="A93" s="61"/>
      <c r="B93" s="84"/>
    </row>
    <row r="94" spans="1:2" x14ac:dyDescent="0.25">
      <c r="A94" s="61"/>
      <c r="B94" s="84"/>
    </row>
    <row r="95" spans="1:2" x14ac:dyDescent="0.25">
      <c r="A95" s="61"/>
      <c r="B95" s="84">
        <f>SUM(C95:C112)</f>
        <v>0</v>
      </c>
    </row>
    <row r="96" spans="1:2" x14ac:dyDescent="0.25">
      <c r="A96" s="61"/>
      <c r="B96" s="84"/>
    </row>
    <row r="97" spans="1:2" x14ac:dyDescent="0.25">
      <c r="A97" s="61"/>
      <c r="B97" s="84"/>
    </row>
    <row r="98" spans="1:2" x14ac:dyDescent="0.25">
      <c r="A98" s="61"/>
      <c r="B98" s="84"/>
    </row>
    <row r="99" spans="1:2" x14ac:dyDescent="0.25">
      <c r="A99" s="61"/>
      <c r="B99" s="84"/>
    </row>
    <row r="100" spans="1:2" x14ac:dyDescent="0.25">
      <c r="A100" s="61"/>
      <c r="B100" s="84"/>
    </row>
    <row r="101" spans="1:2" x14ac:dyDescent="0.25">
      <c r="A101" s="61"/>
      <c r="B101" s="84"/>
    </row>
    <row r="102" spans="1:2" x14ac:dyDescent="0.25">
      <c r="A102" s="61"/>
      <c r="B102" s="84"/>
    </row>
    <row r="103" spans="1:2" x14ac:dyDescent="0.25">
      <c r="A103" s="61"/>
      <c r="B103" s="84"/>
    </row>
    <row r="104" spans="1:2" x14ac:dyDescent="0.25">
      <c r="A104" s="61"/>
      <c r="B104" s="84"/>
    </row>
    <row r="105" spans="1:2" x14ac:dyDescent="0.25">
      <c r="A105" s="61"/>
      <c r="B105" s="84"/>
    </row>
    <row r="106" spans="1:2" x14ac:dyDescent="0.25">
      <c r="A106" s="61"/>
      <c r="B106" s="84"/>
    </row>
    <row r="107" spans="1:2" x14ac:dyDescent="0.25">
      <c r="A107" s="61"/>
      <c r="B107" s="84"/>
    </row>
    <row r="108" spans="1:2" x14ac:dyDescent="0.25">
      <c r="A108" s="61"/>
      <c r="B108" s="84"/>
    </row>
    <row r="109" spans="1:2" x14ac:dyDescent="0.25">
      <c r="A109" s="61"/>
      <c r="B109" s="84"/>
    </row>
    <row r="110" spans="1:2" x14ac:dyDescent="0.25">
      <c r="A110" s="61"/>
      <c r="B110" s="84"/>
    </row>
    <row r="111" spans="1:2" x14ac:dyDescent="0.25">
      <c r="A111" s="61"/>
      <c r="B111" s="84"/>
    </row>
    <row r="112" spans="1:2" x14ac:dyDescent="0.25">
      <c r="A112" s="61"/>
      <c r="B112" s="84"/>
    </row>
    <row r="113" spans="1:2" x14ac:dyDescent="0.25">
      <c r="A113" s="61"/>
      <c r="B113" s="84">
        <f>SUM(C113:C130)</f>
        <v>0</v>
      </c>
    </row>
    <row r="114" spans="1:2" x14ac:dyDescent="0.25">
      <c r="A114" s="61"/>
      <c r="B114" s="84"/>
    </row>
    <row r="115" spans="1:2" x14ac:dyDescent="0.25">
      <c r="A115" s="61"/>
      <c r="B115" s="84"/>
    </row>
    <row r="116" spans="1:2" x14ac:dyDescent="0.25">
      <c r="A116" s="61"/>
      <c r="B116" s="84"/>
    </row>
    <row r="117" spans="1:2" x14ac:dyDescent="0.25">
      <c r="A117" s="61"/>
      <c r="B117" s="84"/>
    </row>
    <row r="118" spans="1:2" x14ac:dyDescent="0.25">
      <c r="A118" s="61"/>
      <c r="B118" s="84"/>
    </row>
    <row r="119" spans="1:2" x14ac:dyDescent="0.25">
      <c r="A119" s="61"/>
      <c r="B119" s="84"/>
    </row>
    <row r="120" spans="1:2" x14ac:dyDescent="0.25">
      <c r="A120" s="61"/>
      <c r="B120" s="84"/>
    </row>
    <row r="121" spans="1:2" x14ac:dyDescent="0.25">
      <c r="A121" s="61"/>
      <c r="B121" s="84"/>
    </row>
    <row r="122" spans="1:2" x14ac:dyDescent="0.25">
      <c r="A122" s="61"/>
      <c r="B122" s="84"/>
    </row>
    <row r="123" spans="1:2" x14ac:dyDescent="0.25">
      <c r="A123" s="61"/>
      <c r="B123" s="84"/>
    </row>
    <row r="124" spans="1:2" x14ac:dyDescent="0.25">
      <c r="A124" s="61"/>
      <c r="B124" s="84"/>
    </row>
    <row r="125" spans="1:2" x14ac:dyDescent="0.25">
      <c r="A125" s="61"/>
      <c r="B125" s="84"/>
    </row>
    <row r="126" spans="1:2" x14ac:dyDescent="0.25">
      <c r="A126" s="61"/>
      <c r="B126" s="84"/>
    </row>
    <row r="127" spans="1:2" x14ac:dyDescent="0.25">
      <c r="A127" s="61"/>
      <c r="B127" s="84"/>
    </row>
    <row r="128" spans="1:2" x14ac:dyDescent="0.25">
      <c r="A128" s="61"/>
      <c r="B128" s="84"/>
    </row>
    <row r="129" spans="1:2" x14ac:dyDescent="0.25">
      <c r="A129" s="61"/>
      <c r="B129" s="84"/>
    </row>
    <row r="130" spans="1:2" x14ac:dyDescent="0.25">
      <c r="A130" s="61"/>
      <c r="B130" s="84"/>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DB1E0-6F21-43B7-9DD5-52A77097A679}">
  <sheetPr codeName="Sheet201">
    <tabColor theme="7" tint="0.39997558519241921"/>
  </sheetPr>
  <dimension ref="A1:AV114"/>
  <sheetViews>
    <sheetView zoomScaleNormal="100" workbookViewId="0">
      <pane xSplit="1" ySplit="2" topLeftCell="B81" activePane="bottomRight" state="frozen"/>
      <selection pane="topRight" activeCell="D40" sqref="D40"/>
      <selection pane="bottomLeft" activeCell="D40" sqref="D40"/>
      <selection pane="bottomRight" activeCell="K110" sqref="K110"/>
    </sheetView>
  </sheetViews>
  <sheetFormatPr defaultColWidth="8.85546875" defaultRowHeight="15" x14ac:dyDescent="0.25"/>
  <cols>
    <col min="1" max="1" width="21" bestFit="1" customWidth="1"/>
    <col min="3" max="3" width="13.42578125" bestFit="1" customWidth="1"/>
    <col min="4" max="4" width="30.140625" style="61" bestFit="1" customWidth="1"/>
    <col min="5" max="11" width="5.140625" customWidth="1"/>
    <col min="12" max="12" width="1.140625" customWidth="1"/>
    <col min="13" max="18" width="5.140625" customWidth="1"/>
    <col min="19" max="19" width="1.140625" customWidth="1"/>
    <col min="20" max="28" width="5.140625" customWidth="1"/>
    <col min="29" max="29" width="1.140625" customWidth="1"/>
    <col min="30" max="38" width="5.140625" customWidth="1"/>
    <col min="39" max="39" width="1.140625" customWidth="1"/>
    <col min="40" max="48" width="5.140625" customWidth="1"/>
  </cols>
  <sheetData>
    <row r="1" spans="1:48" x14ac:dyDescent="0.25">
      <c r="A1" s="220" t="s">
        <v>47</v>
      </c>
      <c r="B1" s="216" t="s">
        <v>145</v>
      </c>
      <c r="C1" s="218" t="s">
        <v>146</v>
      </c>
      <c r="D1" s="216" t="s">
        <v>147</v>
      </c>
      <c r="E1" s="222" t="s">
        <v>148</v>
      </c>
      <c r="F1" s="223"/>
      <c r="G1" s="223"/>
      <c r="H1" s="223"/>
      <c r="I1" s="223"/>
      <c r="J1" s="223"/>
      <c r="K1" s="224"/>
      <c r="L1" s="103"/>
      <c r="M1" s="223" t="s">
        <v>149</v>
      </c>
      <c r="N1" s="223"/>
      <c r="O1" s="223"/>
      <c r="P1" s="223"/>
      <c r="Q1" s="223"/>
      <c r="R1" s="223"/>
      <c r="S1" s="98"/>
      <c r="T1" s="212" t="s">
        <v>150</v>
      </c>
      <c r="U1" s="213"/>
      <c r="V1" s="213"/>
      <c r="W1" s="213"/>
      <c r="X1" s="213"/>
      <c r="Y1" s="213"/>
      <c r="Z1" s="213"/>
      <c r="AA1" s="213"/>
      <c r="AB1" s="214"/>
      <c r="AC1" s="98"/>
      <c r="AD1" s="212" t="s">
        <v>151</v>
      </c>
      <c r="AE1" s="213"/>
      <c r="AF1" s="213"/>
      <c r="AG1" s="213"/>
      <c r="AH1" s="213"/>
      <c r="AI1" s="213"/>
      <c r="AJ1" s="213"/>
      <c r="AK1" s="213"/>
      <c r="AL1" s="214"/>
      <c r="AM1" s="98"/>
      <c r="AN1" s="212" t="s">
        <v>152</v>
      </c>
      <c r="AO1" s="213"/>
      <c r="AP1" s="213"/>
      <c r="AQ1" s="213"/>
      <c r="AR1" s="213"/>
      <c r="AS1" s="213"/>
      <c r="AT1" s="213"/>
      <c r="AU1" s="213"/>
      <c r="AV1" s="215"/>
    </row>
    <row r="2" spans="1:48" ht="15.75" thickBot="1" x14ac:dyDescent="0.3">
      <c r="A2" s="221"/>
      <c r="B2" s="217"/>
      <c r="C2" s="219"/>
      <c r="D2" s="217"/>
      <c r="E2" s="112">
        <v>20</v>
      </c>
      <c r="F2" s="113">
        <v>40</v>
      </c>
      <c r="G2" s="113">
        <v>50</v>
      </c>
      <c r="H2" s="113">
        <v>60</v>
      </c>
      <c r="I2" s="113">
        <v>70</v>
      </c>
      <c r="J2" s="113">
        <v>80</v>
      </c>
      <c r="K2" s="114">
        <v>90</v>
      </c>
      <c r="L2" s="115"/>
      <c r="M2" s="116">
        <v>1</v>
      </c>
      <c r="N2" s="116">
        <v>2</v>
      </c>
      <c r="O2" s="116">
        <v>3</v>
      </c>
      <c r="P2" s="116">
        <v>4</v>
      </c>
      <c r="Q2" s="116">
        <v>5</v>
      </c>
      <c r="R2" s="116">
        <v>6</v>
      </c>
      <c r="S2" s="117"/>
      <c r="T2" s="118">
        <v>2</v>
      </c>
      <c r="U2" s="113">
        <v>3</v>
      </c>
      <c r="V2" s="113">
        <v>4</v>
      </c>
      <c r="W2" s="113">
        <v>5</v>
      </c>
      <c r="X2" s="113">
        <v>6</v>
      </c>
      <c r="Y2" s="113">
        <v>7</v>
      </c>
      <c r="Z2" s="113">
        <v>8</v>
      </c>
      <c r="AA2" s="113">
        <v>9</v>
      </c>
      <c r="AB2" s="113">
        <v>10</v>
      </c>
      <c r="AC2" s="117"/>
      <c r="AD2" s="118">
        <v>2</v>
      </c>
      <c r="AE2" s="113">
        <v>3</v>
      </c>
      <c r="AF2" s="113">
        <v>4</v>
      </c>
      <c r="AG2" s="113">
        <v>5</v>
      </c>
      <c r="AH2" s="113">
        <v>6</v>
      </c>
      <c r="AI2" s="113">
        <v>7</v>
      </c>
      <c r="AJ2" s="113">
        <v>8</v>
      </c>
      <c r="AK2" s="113">
        <v>9</v>
      </c>
      <c r="AL2" s="113">
        <v>10</v>
      </c>
      <c r="AM2" s="117"/>
      <c r="AN2" s="118">
        <v>2</v>
      </c>
      <c r="AO2" s="113">
        <v>3</v>
      </c>
      <c r="AP2" s="113">
        <v>4</v>
      </c>
      <c r="AQ2" s="113">
        <v>5</v>
      </c>
      <c r="AR2" s="113">
        <v>6</v>
      </c>
      <c r="AS2" s="113">
        <v>7</v>
      </c>
      <c r="AT2" s="113">
        <v>8</v>
      </c>
      <c r="AU2" s="113">
        <v>9</v>
      </c>
      <c r="AV2" s="114">
        <v>10</v>
      </c>
    </row>
    <row r="3" spans="1:48" ht="15" customHeight="1" x14ac:dyDescent="0.25">
      <c r="A3" s="225" t="s">
        <v>153</v>
      </c>
      <c r="B3" s="3" t="s">
        <v>154</v>
      </c>
      <c r="C3" s="12" t="s">
        <v>155</v>
      </c>
      <c r="D3" s="109" t="s">
        <v>156</v>
      </c>
      <c r="E3" s="12" t="str">
        <f>IF('Traveller Level'!$B$4&gt;=E$2,"d",IF('Traveller Level'!$B$5&gt;=E$2,"i",""))</f>
        <v>d</v>
      </c>
      <c r="F3" s="2" t="str">
        <f>IF('Traveller Level'!$B$4&gt;=F$2,"d",IF('Traveller Level'!$B$5&gt;=F$2,"i",""))</f>
        <v>d</v>
      </c>
      <c r="G3" s="2" t="str">
        <f>IF('Traveller Level'!$B$4&gt;=G$2,"d",IF('Traveller Level'!$B$5&gt;=G$2,"i",""))</f>
        <v>d</v>
      </c>
      <c r="H3" s="2" t="str">
        <f>IF('Traveller Level'!$B$4&gt;=H$2,"d",IF('Traveller Level'!$B$5&gt;=H$2,"i",""))</f>
        <v>d</v>
      </c>
      <c r="I3" s="2" t="str">
        <f>IF('Traveller Level'!$B$4&gt;=I$2,"d",IF('Traveller Level'!$B$5&gt;=I$2,"i",""))</f>
        <v>d</v>
      </c>
      <c r="J3" s="2" t="str">
        <f>IF('Traveller Level'!$B$4&gt;=J$2,"d",IF('Traveller Level'!$B$5&gt;=J$2,"i",""))</f>
        <v>d</v>
      </c>
      <c r="K3" s="3" t="str">
        <f>IF('Traveller Level'!$B$4&gt;=K$2,"d",IF('Traveller Level'!$B$5&gt;=K$2,"i",""))</f>
        <v>d</v>
      </c>
      <c r="L3" s="110"/>
      <c r="M3" s="2" t="str">
        <f>IF('Traveller Level'!$C$10&gt;=M$2,"d",IF('Traveller Level'!$C$11&gt;=M$2,"i",""))</f>
        <v>d</v>
      </c>
      <c r="N3" s="2" t="str">
        <f>IF('Traveller Level'!$C$10&gt;=N$2,"d",IF('Traveller Level'!$C$11&gt;=N$2,"i",""))</f>
        <v>d</v>
      </c>
      <c r="O3" s="2" t="str">
        <f>IF('Traveller Level'!$C$10&gt;=O$2,"d",IF('Traveller Level'!$C$11&gt;=O$2,"i",""))</f>
        <v>d</v>
      </c>
      <c r="P3" s="2" t="str">
        <f>IF('Traveller Level'!$C$10&gt;=P$2,"d",IF('Traveller Level'!$C$11&gt;=P$2,"i",""))</f>
        <v>d</v>
      </c>
      <c r="Q3" s="2" t="str">
        <f>IF('Traveller Level'!$C$10&gt;=Q$2,"d",IF('Traveller Level'!$C$11&gt;=Q$2,"i",""))</f>
        <v>d</v>
      </c>
      <c r="R3" s="2" t="str">
        <f>IF('Traveller Level'!$C$10&gt;=R$2,"d",IF('Traveller Level'!$C$11&gt;=R$2,"i",""))</f>
        <v>d</v>
      </c>
      <c r="S3" s="111"/>
      <c r="T3" s="2" t="str" cm="1">
        <f t="array" aca="1" ref="T3" ca="1">IF(INDIRECT(_xlfn.CONCAT("'",$A$3," ",$B3,"'!B4"))&gt;=T$2,"d",IF(INDIRECT(_xlfn.CONCAT("'",$A$3," ",$B3,"'!B5"))&gt;=T$2,"i",""))</f>
        <v>d</v>
      </c>
      <c r="U3" s="2" t="str" cm="1">
        <f t="array" aca="1" ref="U3" ca="1">IF(INDIRECT(_xlfn.CONCAT("'",$A$3," ",$B3,"'!B4"))&gt;=U$2,"d",IF(INDIRECT(_xlfn.CONCAT("'",$A$3," ",$B3,"'!B5"))&gt;=U$2,"i",""))</f>
        <v>d</v>
      </c>
      <c r="V3" s="2" t="str" cm="1">
        <f t="array" aca="1" ref="V3" ca="1">IF(INDIRECT(_xlfn.CONCAT("'",$A$3," ",$B3,"'!B4"))&gt;=V$2,"d",IF(INDIRECT(_xlfn.CONCAT("'",$A$3," ",$B3,"'!B5"))&gt;=V$2,"i",""))</f>
        <v>d</v>
      </c>
      <c r="W3" s="2" t="str" cm="1">
        <f t="array" aca="1" ref="W3" ca="1">IF(INDIRECT(_xlfn.CONCAT("'",$A$3," ",$B3,"'!B4"))&gt;=W$2,"d",IF(INDIRECT(_xlfn.CONCAT("'",$A$3," ",$B3,"'!B5"))&gt;=W$2,"i",""))</f>
        <v>d</v>
      </c>
      <c r="X3" s="2" t="str" cm="1">
        <f t="array" aca="1" ref="X3" ca="1">IF(INDIRECT(_xlfn.CONCAT("'",$A$3," ",$B3,"'!B4"))&gt;=X$2,"d",IF(INDIRECT(_xlfn.CONCAT("'",$A$3," ",$B3,"'!B5"))&gt;=X$2,"i",""))</f>
        <v>d</v>
      </c>
      <c r="Y3" s="2" t="str" cm="1">
        <f t="array" aca="1" ref="Y3" ca="1">IF(INDIRECT(_xlfn.CONCAT("'",$A$3," ",$B3,"'!B4"))&gt;=Y$2,"d",IF(INDIRECT(_xlfn.CONCAT("'",$A$3," ",$B3,"'!B5"))&gt;=Y$2,"i",""))</f>
        <v>d</v>
      </c>
      <c r="Z3" s="2" t="str" cm="1">
        <f t="array" aca="1" ref="Z3" ca="1">IF(INDIRECT(_xlfn.CONCAT("'",$A$3," ",$B3,"'!B4"))&gt;=Z$2,"d",IF(INDIRECT(_xlfn.CONCAT("'",$A$3," ",$B3,"'!B5"))&gt;=Z$2,"i",""))</f>
        <v>d</v>
      </c>
      <c r="AA3" s="2" t="str" cm="1">
        <f t="array" aca="1" ref="AA3" ca="1">IF(INDIRECT(_xlfn.CONCAT("'",$A$3," ",$B3,"'!B4"))&gt;=AA$2,"d",IF(INDIRECT(_xlfn.CONCAT("'",$A$3," ",$B3,"'!B5"))&gt;=AA$2,"i",""))</f>
        <v>d</v>
      </c>
      <c r="AB3" s="2" t="str" cm="1">
        <f t="array" aca="1" ref="AB3" ca="1">IF(INDIRECT(_xlfn.CONCAT("'",$A$3," ",$B3,"'!B4"))&gt;=AB$2,"d",IF(INDIRECT(_xlfn.CONCAT("'",$A$3," ",$B3,"'!B5"))&gt;=AB$2,"i",""))</f>
        <v>d</v>
      </c>
      <c r="AC3" s="111"/>
      <c r="AD3" s="2" t="str" cm="1">
        <f t="array" aca="1" ref="AD3" ca="1">IF(INDIRECT(_xlfn.CONCAT("'",$A$3," ",$B3,"'!E4"))&gt;=T$2,"d",IF(INDIRECT(_xlfn.CONCAT("'",$A$3," ",$B3,"'!E5"))&gt;=T$2,"i",""))</f>
        <v>d</v>
      </c>
      <c r="AE3" s="2" t="str" cm="1">
        <f t="array" aca="1" ref="AE3" ca="1">IF(INDIRECT(_xlfn.CONCAT("'",$A$3," ",$B3,"'!E4"))&gt;=U$2,"d",IF(INDIRECT(_xlfn.CONCAT("'",$A$3," ",$B3,"'!E5"))&gt;=U$2,"i",""))</f>
        <v>d</v>
      </c>
      <c r="AF3" s="2" t="str" cm="1">
        <f t="array" aca="1" ref="AF3" ca="1">IF(INDIRECT(_xlfn.CONCAT("'",$A$3," ",$B3,"'!E4"))&gt;=V$2,"d",IF(INDIRECT(_xlfn.CONCAT("'",$A$3," ",$B3,"'!E5"))&gt;=V$2,"i",""))</f>
        <v>d</v>
      </c>
      <c r="AG3" s="2" t="str" cm="1">
        <f t="array" aca="1" ref="AG3" ca="1">IF(INDIRECT(_xlfn.CONCAT("'",$A$3," ",$B3,"'!E4"))&gt;=W$2,"d",IF(INDIRECT(_xlfn.CONCAT("'",$A$3," ",$B3,"'!E5"))&gt;=W$2,"i",""))</f>
        <v>d</v>
      </c>
      <c r="AH3" s="2" t="str" cm="1">
        <f t="array" aca="1" ref="AH3" ca="1">IF(INDIRECT(_xlfn.CONCAT("'",$A$3," ",$B3,"'!E4"))&gt;=X$2,"d",IF(INDIRECT(_xlfn.CONCAT("'",$A$3," ",$B3,"'!E5"))&gt;=X$2,"i",""))</f>
        <v>d</v>
      </c>
      <c r="AI3" s="2" t="str" cm="1">
        <f t="array" aca="1" ref="AI3" ca="1">IF(INDIRECT(_xlfn.CONCAT("'",$A$3," ",$B3,"'!E4"))&gt;=Y$2,"d",IF(INDIRECT(_xlfn.CONCAT("'",$A$3," ",$B3,"'!E5"))&gt;=Y$2,"i",""))</f>
        <v>d</v>
      </c>
      <c r="AJ3" s="2" t="str" cm="1">
        <f t="array" aca="1" ref="AJ3" ca="1">IF(INDIRECT(_xlfn.CONCAT("'",$A$3," ",$B3,"'!E4"))&gt;=Z$2,"d",IF(INDIRECT(_xlfn.CONCAT("'",$A$3," ",$B3,"'!E5"))&gt;=Z$2,"i",""))</f>
        <v>d</v>
      </c>
      <c r="AK3" s="2" t="str" cm="1">
        <f t="array" aca="1" ref="AK3" ca="1">IF(INDIRECT(_xlfn.CONCAT("'",$A$3," ",$B3,"'!E4"))&gt;=AA$2,"d",IF(INDIRECT(_xlfn.CONCAT("'",$A$3," ",$B3,"'!E5"))&gt;=AA$2,"i",""))</f>
        <v>d</v>
      </c>
      <c r="AL3" s="2" t="str" cm="1">
        <f t="array" aca="1" ref="AL3" ca="1">IF(INDIRECT(_xlfn.CONCAT("'",$A$3," ",$B3,"'!E4"))&gt;=AB$2,"d",IF(INDIRECT(_xlfn.CONCAT("'",$A$3," ",$B3,"'!E5"))&gt;=AB$2,"i",""))</f>
        <v>d</v>
      </c>
      <c r="AM3" s="111"/>
      <c r="AN3" s="2" t="str" cm="1">
        <f t="array" aca="1" ref="AN3" ca="1">IF(INDIRECT(_xlfn.CONCAT("'",$A$3," ",$B3,"'!H4"))&gt;=T$2,"d",IF(INDIRECT(_xlfn.CONCAT("'",$A$3," ",$B3,"'!H5"))&gt;=T$2,"i",""))</f>
        <v>d</v>
      </c>
      <c r="AO3" s="2" t="str" cm="1">
        <f t="array" aca="1" ref="AO3" ca="1">IF(INDIRECT(_xlfn.CONCAT("'",$A$3," ",$B3,"'!H4"))&gt;=U$2,"d",IF(INDIRECT(_xlfn.CONCAT("'",$A$3," ",$B3,"'!H5"))&gt;=U$2,"i",""))</f>
        <v>d</v>
      </c>
      <c r="AP3" s="2" t="str" cm="1">
        <f t="array" aca="1" ref="AP3" ca="1">IF(INDIRECT(_xlfn.CONCAT("'",$A$3," ",$B3,"'!H4"))&gt;=V$2,"d",IF(INDIRECT(_xlfn.CONCAT("'",$A$3," ",$B3,"'!H5"))&gt;=V$2,"i",""))</f>
        <v>d</v>
      </c>
      <c r="AQ3" s="2" t="str" cm="1">
        <f t="array" aca="1" ref="AQ3" ca="1">IF(INDIRECT(_xlfn.CONCAT("'",$A$3," ",$B3,"'!H4"))&gt;=W$2,"d",IF(INDIRECT(_xlfn.CONCAT("'",$A$3," ",$B3,"'!H5"))&gt;=W$2,"i",""))</f>
        <v>d</v>
      </c>
      <c r="AR3" s="2" t="str" cm="1">
        <f t="array" aca="1" ref="AR3" ca="1">IF(INDIRECT(_xlfn.CONCAT("'",$A$3," ",$B3,"'!H4"))&gt;=X$2,"d",IF(INDIRECT(_xlfn.CONCAT("'",$A$3," ",$B3,"'!H5"))&gt;=X$2,"i",""))</f>
        <v>d</v>
      </c>
      <c r="AS3" s="2" t="str" cm="1">
        <f t="array" aca="1" ref="AS3" ca="1">IF(INDIRECT(_xlfn.CONCAT("'",$A$3," ",$B3,"'!H4"))&gt;=Y$2,"d",IF(INDIRECT(_xlfn.CONCAT("'",$A$3," ",$B3,"'!H5"))&gt;=Y$2,"i",""))</f>
        <v>d</v>
      </c>
      <c r="AT3" s="2" t="str" cm="1">
        <f t="array" aca="1" ref="AT3" ca="1">IF(INDIRECT(_xlfn.CONCAT("'",$A$3," ",$B3,"'!H4"))&gt;=Z$2,"d",IF(INDIRECT(_xlfn.CONCAT("'",$A$3," ",$B3,"'!H5"))&gt;=Z$2,"i",""))</f>
        <v>d</v>
      </c>
      <c r="AU3" s="2" t="str" cm="1">
        <f t="array" aca="1" ref="AU3" ca="1">IF(INDIRECT(_xlfn.CONCAT("'",$A$3," ",$B3,"'!H4"))&gt;=AA$2,"d",IF(INDIRECT(_xlfn.CONCAT("'",$A$3," ",$B3,"'!H5"))&gt;=AA$2,"i",""))</f>
        <v>d</v>
      </c>
      <c r="AV3" s="3" t="str" cm="1">
        <f t="array" aca="1" ref="AV3" ca="1">IF(INDIRECT(_xlfn.CONCAT("'",$A$3," ",$B3,"'!H4"))&gt;=AB$2,"d",IF(INDIRECT(_xlfn.CONCAT("'",$A$3," ",$B3,"'!H5"))&gt;=AB$2,"i",""))</f>
        <v>d</v>
      </c>
    </row>
    <row r="4" spans="1:48" ht="15" customHeight="1" x14ac:dyDescent="0.25">
      <c r="A4" s="226"/>
      <c r="B4" s="4" t="s">
        <v>157</v>
      </c>
      <c r="C4" s="14" t="s">
        <v>158</v>
      </c>
      <c r="D4" s="85" t="s">
        <v>159</v>
      </c>
      <c r="E4" s="14" t="str">
        <f>IF('Traveller Level'!$B$4&gt;=E$2,"d",IF('Traveller Level'!$B$5&gt;=E$2,"i",""))</f>
        <v>d</v>
      </c>
      <c r="F4" s="1" t="str">
        <f>IF('Traveller Level'!$B$4&gt;=F$2,"d",IF('Traveller Level'!$B$5&gt;=F$2,"i",""))</f>
        <v>d</v>
      </c>
      <c r="G4" s="1" t="str">
        <f>IF('Traveller Level'!$B$4&gt;=G$2,"d",IF('Traveller Level'!$B$5&gt;=G$2,"i",""))</f>
        <v>d</v>
      </c>
      <c r="H4" s="1" t="str">
        <f>IF('Traveller Level'!$B$4&gt;=H$2,"d",IF('Traveller Level'!$B$5&gt;=H$2,"i",""))</f>
        <v>d</v>
      </c>
      <c r="I4" s="1" t="str">
        <f>IF('Traveller Level'!$B$4&gt;=I$2,"d",IF('Traveller Level'!$B$5&gt;=I$2,"i",""))</f>
        <v>d</v>
      </c>
      <c r="J4" s="1" t="str">
        <f>IF('Traveller Level'!$B$4&gt;=J$2,"d",IF('Traveller Level'!$B$5&gt;=J$2,"i",""))</f>
        <v>d</v>
      </c>
      <c r="K4" s="4" t="str">
        <f>IF('Traveller Level'!$B$4&gt;=K$2,"d",IF('Traveller Level'!$B$5&gt;=K$2,"i",""))</f>
        <v>d</v>
      </c>
      <c r="L4" s="39"/>
      <c r="M4" s="1" t="str">
        <f>IF('Traveller Level'!$C$10&gt;=M$2,"d",IF('Traveller Level'!$C$11&gt;=M$2,"i",""))</f>
        <v>d</v>
      </c>
      <c r="N4" s="1" t="str">
        <f>IF('Traveller Level'!$C$10&gt;=N$2,"d",IF('Traveller Level'!$C$11&gt;=N$2,"i",""))</f>
        <v>d</v>
      </c>
      <c r="O4" s="1" t="str">
        <f>IF('Traveller Level'!$C$10&gt;=O$2,"d",IF('Traveller Level'!$C$11&gt;=O$2,"i",""))</f>
        <v>d</v>
      </c>
      <c r="P4" s="1" t="str">
        <f>IF('Traveller Level'!$C$10&gt;=P$2,"d",IF('Traveller Level'!$C$11&gt;=P$2,"i",""))</f>
        <v>d</v>
      </c>
      <c r="Q4" s="1" t="str">
        <f>IF('Traveller Level'!$C$10&gt;=Q$2,"d",IF('Traveller Level'!$C$11&gt;=Q$2,"i",""))</f>
        <v>d</v>
      </c>
      <c r="R4" s="1" t="str">
        <f>IF('Traveller Level'!$C$10&gt;=R$2,"d",IF('Traveller Level'!$C$11&gt;=R$2,"i",""))</f>
        <v>d</v>
      </c>
      <c r="S4" s="36"/>
      <c r="T4" s="1" t="str" cm="1">
        <f t="array" aca="1" ref="T4" ca="1">IF(INDIRECT(_xlfn.CONCAT("'",$A$3," ",$B4,"'!B4"))&gt;=T$2,"d",IF(INDIRECT(_xlfn.CONCAT("'",$A$3," ",$B4,"'!B5"))&gt;=T$2,"i",""))</f>
        <v>d</v>
      </c>
      <c r="U4" s="1" t="str" cm="1">
        <f t="array" aca="1" ref="U4" ca="1">IF(INDIRECT(_xlfn.CONCAT("'",$A$3," ",$B4,"'!B4"))&gt;=U$2,"d",IF(INDIRECT(_xlfn.CONCAT("'",$A$3," ",$B4,"'!B5"))&gt;=U$2,"i",""))</f>
        <v>d</v>
      </c>
      <c r="V4" s="1" t="str" cm="1">
        <f t="array" aca="1" ref="V4" ca="1">IF(INDIRECT(_xlfn.CONCAT("'",$A$3," ",$B4,"'!B4"))&gt;=V$2,"d",IF(INDIRECT(_xlfn.CONCAT("'",$A$3," ",$B4,"'!B5"))&gt;=V$2,"i",""))</f>
        <v>d</v>
      </c>
      <c r="W4" s="1" t="str" cm="1">
        <f t="array" aca="1" ref="W4" ca="1">IF(INDIRECT(_xlfn.CONCAT("'",$A$3," ",$B4,"'!B4"))&gt;=W$2,"d",IF(INDIRECT(_xlfn.CONCAT("'",$A$3," ",$B4,"'!B5"))&gt;=W$2,"i",""))</f>
        <v>d</v>
      </c>
      <c r="X4" s="1" t="str" cm="1">
        <f t="array" aca="1" ref="X4" ca="1">IF(INDIRECT(_xlfn.CONCAT("'",$A$3," ",$B4,"'!B4"))&gt;=X$2,"d",IF(INDIRECT(_xlfn.CONCAT("'",$A$3," ",$B4,"'!B5"))&gt;=X$2,"i",""))</f>
        <v>d</v>
      </c>
      <c r="Y4" s="1" t="str" cm="1">
        <f t="array" aca="1" ref="Y4" ca="1">IF(INDIRECT(_xlfn.CONCAT("'",$A$3," ",$B4,"'!B4"))&gt;=Y$2,"d",IF(INDIRECT(_xlfn.CONCAT("'",$A$3," ",$B4,"'!B5"))&gt;=Y$2,"i",""))</f>
        <v>d</v>
      </c>
      <c r="Z4" s="1" t="str" cm="1">
        <f t="array" aca="1" ref="Z4" ca="1">IF(INDIRECT(_xlfn.CONCAT("'",$A$3," ",$B4,"'!B4"))&gt;=Z$2,"d",IF(INDIRECT(_xlfn.CONCAT("'",$A$3," ",$B4,"'!B5"))&gt;=Z$2,"i",""))</f>
        <v>d</v>
      </c>
      <c r="AA4" s="1" t="str" cm="1">
        <f t="array" aca="1" ref="AA4" ca="1">IF(INDIRECT(_xlfn.CONCAT("'",$A$3," ",$B4,"'!B4"))&gt;=AA$2,"d",IF(INDIRECT(_xlfn.CONCAT("'",$A$3," ",$B4,"'!B5"))&gt;=AA$2,"i",""))</f>
        <v>d</v>
      </c>
      <c r="AB4" s="1" t="str" cm="1">
        <f t="array" aca="1" ref="AB4" ca="1">IF(INDIRECT(_xlfn.CONCAT("'",$A$3," ",$B4,"'!B4"))&gt;=AB$2,"d",IF(INDIRECT(_xlfn.CONCAT("'",$A$3," ",$B4,"'!B5"))&gt;=AB$2,"i",""))</f>
        <v>d</v>
      </c>
      <c r="AC4" s="36"/>
      <c r="AD4" s="1" t="str" cm="1">
        <f t="array" aca="1" ref="AD4" ca="1">IF(INDIRECT(_xlfn.CONCAT("'",$A$3," ",$B4,"'!E4"))&gt;=T$2,"d",IF(INDIRECT(_xlfn.CONCAT("'",$A$3," ",$B4,"'!E5"))&gt;=T$2,"i",""))</f>
        <v>d</v>
      </c>
      <c r="AE4" s="1" t="str" cm="1">
        <f t="array" aca="1" ref="AE4" ca="1">IF(INDIRECT(_xlfn.CONCAT("'",$A$3," ",$B4,"'!E4"))&gt;=U$2,"d",IF(INDIRECT(_xlfn.CONCAT("'",$A$3," ",$B4,"'!E5"))&gt;=U$2,"i",""))</f>
        <v>d</v>
      </c>
      <c r="AF4" s="1" t="str" cm="1">
        <f t="array" aca="1" ref="AF4" ca="1">IF(INDIRECT(_xlfn.CONCAT("'",$A$3," ",$B4,"'!E4"))&gt;=V$2,"d",IF(INDIRECT(_xlfn.CONCAT("'",$A$3," ",$B4,"'!E5"))&gt;=V$2,"i",""))</f>
        <v>d</v>
      </c>
      <c r="AG4" s="1" t="str" cm="1">
        <f t="array" aca="1" ref="AG4" ca="1">IF(INDIRECT(_xlfn.CONCAT("'",$A$3," ",$B4,"'!E4"))&gt;=W$2,"d",IF(INDIRECT(_xlfn.CONCAT("'",$A$3," ",$B4,"'!E5"))&gt;=W$2,"i",""))</f>
        <v>d</v>
      </c>
      <c r="AH4" s="1" t="str" cm="1">
        <f t="array" aca="1" ref="AH4" ca="1">IF(INDIRECT(_xlfn.CONCAT("'",$A$3," ",$B4,"'!E4"))&gt;=X$2,"d",IF(INDIRECT(_xlfn.CONCAT("'",$A$3," ",$B4,"'!E5"))&gt;=X$2,"i",""))</f>
        <v>d</v>
      </c>
      <c r="AI4" s="1" t="str" cm="1">
        <f t="array" aca="1" ref="AI4" ca="1">IF(INDIRECT(_xlfn.CONCAT("'",$A$3," ",$B4,"'!E4"))&gt;=Y$2,"d",IF(INDIRECT(_xlfn.CONCAT("'",$A$3," ",$B4,"'!E5"))&gt;=Y$2,"i",""))</f>
        <v>d</v>
      </c>
      <c r="AJ4" s="1" t="str" cm="1">
        <f t="array" aca="1" ref="AJ4" ca="1">IF(INDIRECT(_xlfn.CONCAT("'",$A$3," ",$B4,"'!E4"))&gt;=Z$2,"d",IF(INDIRECT(_xlfn.CONCAT("'",$A$3," ",$B4,"'!E5"))&gt;=Z$2,"i",""))</f>
        <v>d</v>
      </c>
      <c r="AK4" s="1" t="str" cm="1">
        <f t="array" aca="1" ref="AK4" ca="1">IF(INDIRECT(_xlfn.CONCAT("'",$A$3," ",$B4,"'!E4"))&gt;=AA$2,"d",IF(INDIRECT(_xlfn.CONCAT("'",$A$3," ",$B4,"'!E5"))&gt;=AA$2,"i",""))</f>
        <v>d</v>
      </c>
      <c r="AL4" s="1" t="str" cm="1">
        <f t="array" aca="1" ref="AL4" ca="1">IF(INDIRECT(_xlfn.CONCAT("'",$A$3," ",$B4,"'!E4"))&gt;=AB$2,"d",IF(INDIRECT(_xlfn.CONCAT("'",$A$3," ",$B4,"'!E5"))&gt;=AB$2,"i",""))</f>
        <v>d</v>
      </c>
      <c r="AM4" s="36"/>
      <c r="AN4" s="1" t="str" cm="1">
        <f t="array" aca="1" ref="AN4" ca="1">IF(INDIRECT(_xlfn.CONCAT("'",$A$3," ",$B4,"'!H4"))&gt;=T$2,"d",IF(INDIRECT(_xlfn.CONCAT("'",$A$3," ",$B4,"'!H5"))&gt;=T$2,"i",""))</f>
        <v>d</v>
      </c>
      <c r="AO4" s="1" t="str" cm="1">
        <f t="array" aca="1" ref="AO4" ca="1">IF(INDIRECT(_xlfn.CONCAT("'",$A$3," ",$B4,"'!H4"))&gt;=U$2,"d",IF(INDIRECT(_xlfn.CONCAT("'",$A$3," ",$B4,"'!H5"))&gt;=U$2,"i",""))</f>
        <v>d</v>
      </c>
      <c r="AP4" s="1" t="str" cm="1">
        <f t="array" aca="1" ref="AP4" ca="1">IF(INDIRECT(_xlfn.CONCAT("'",$A$3," ",$B4,"'!H4"))&gt;=V$2,"d",IF(INDIRECT(_xlfn.CONCAT("'",$A$3," ",$B4,"'!H5"))&gt;=V$2,"i",""))</f>
        <v>d</v>
      </c>
      <c r="AQ4" s="1" t="str" cm="1">
        <f t="array" aca="1" ref="AQ4" ca="1">IF(INDIRECT(_xlfn.CONCAT("'",$A$3," ",$B4,"'!H4"))&gt;=W$2,"d",IF(INDIRECT(_xlfn.CONCAT("'",$A$3," ",$B4,"'!H5"))&gt;=W$2,"i",""))</f>
        <v>d</v>
      </c>
      <c r="AR4" s="1" t="str" cm="1">
        <f t="array" aca="1" ref="AR4" ca="1">IF(INDIRECT(_xlfn.CONCAT("'",$A$3," ",$B4,"'!H4"))&gt;=X$2,"d",IF(INDIRECT(_xlfn.CONCAT("'",$A$3," ",$B4,"'!H5"))&gt;=X$2,"i",""))</f>
        <v>d</v>
      </c>
      <c r="AS4" s="1" t="str" cm="1">
        <f t="array" aca="1" ref="AS4" ca="1">IF(INDIRECT(_xlfn.CONCAT("'",$A$3," ",$B4,"'!H4"))&gt;=Y$2,"d",IF(INDIRECT(_xlfn.CONCAT("'",$A$3," ",$B4,"'!H5"))&gt;=Y$2,"i",""))</f>
        <v>d</v>
      </c>
      <c r="AT4" s="1" t="str" cm="1">
        <f t="array" aca="1" ref="AT4" ca="1">IF(INDIRECT(_xlfn.CONCAT("'",$A$3," ",$B4,"'!H4"))&gt;=Z$2,"d",IF(INDIRECT(_xlfn.CONCAT("'",$A$3," ",$B4,"'!H5"))&gt;=Z$2,"i",""))</f>
        <v>d</v>
      </c>
      <c r="AU4" s="1" t="str" cm="1">
        <f t="array" aca="1" ref="AU4" ca="1">IF(INDIRECT(_xlfn.CONCAT("'",$A$3," ",$B4,"'!H4"))&gt;=AA$2,"d",IF(INDIRECT(_xlfn.CONCAT("'",$A$3," ",$B4,"'!H5"))&gt;=AA$2,"i",""))</f>
        <v>d</v>
      </c>
      <c r="AV4" s="4" t="str" cm="1">
        <f t="array" aca="1" ref="AV4" ca="1">IF(INDIRECT(_xlfn.CONCAT("'",$A$3," ",$B4,"'!H4"))&gt;=AB$2,"d",IF(INDIRECT(_xlfn.CONCAT("'",$A$3," ",$B4,"'!H5"))&gt;=AB$2,"i",""))</f>
        <v>d</v>
      </c>
    </row>
    <row r="5" spans="1:48" ht="15" customHeight="1" x14ac:dyDescent="0.25">
      <c r="A5" s="226"/>
      <c r="B5" s="4" t="s">
        <v>160</v>
      </c>
      <c r="C5" s="14" t="s">
        <v>161</v>
      </c>
      <c r="D5" s="85" t="s">
        <v>162</v>
      </c>
      <c r="E5" s="14" t="str">
        <f>IF('Traveller Level'!$B$4&gt;=E$2,"d",IF('Traveller Level'!$B$5&gt;=E$2,"i",""))</f>
        <v>d</v>
      </c>
      <c r="F5" s="1" t="str">
        <f>IF('Traveller Level'!$B$4&gt;=F$2,"d",IF('Traveller Level'!$B$5&gt;=F$2,"i",""))</f>
        <v>d</v>
      </c>
      <c r="G5" s="1" t="str">
        <f>IF('Traveller Level'!$B$4&gt;=G$2,"d",IF('Traveller Level'!$B$5&gt;=G$2,"i",""))</f>
        <v>d</v>
      </c>
      <c r="H5" s="1" t="str">
        <f>IF('Traveller Level'!$B$4&gt;=H$2,"d",IF('Traveller Level'!$B$5&gt;=H$2,"i",""))</f>
        <v>d</v>
      </c>
      <c r="I5" s="1" t="str">
        <f>IF('Traveller Level'!$B$4&gt;=I$2,"d",IF('Traveller Level'!$B$5&gt;=I$2,"i",""))</f>
        <v>d</v>
      </c>
      <c r="J5" s="1" t="str">
        <f>IF('Traveller Level'!$B$4&gt;=J$2,"d",IF('Traveller Level'!$B$5&gt;=J$2,"i",""))</f>
        <v>d</v>
      </c>
      <c r="K5" s="4" t="str">
        <f>IF('Traveller Level'!$B$4&gt;=K$2,"d",IF('Traveller Level'!$B$5&gt;=K$2,"i",""))</f>
        <v>d</v>
      </c>
      <c r="L5" s="39"/>
      <c r="M5" s="1" t="str">
        <f>IF('Traveller Level'!$C$10&gt;=M$2,"d",IF('Traveller Level'!$C$11&gt;=M$2,"i",""))</f>
        <v>d</v>
      </c>
      <c r="N5" s="1" t="str">
        <f>IF('Traveller Level'!$C$10&gt;=N$2,"d",IF('Traveller Level'!$C$11&gt;=N$2,"i",""))</f>
        <v>d</v>
      </c>
      <c r="O5" s="1" t="str">
        <f>IF('Traveller Level'!$C$10&gt;=O$2,"d",IF('Traveller Level'!$C$11&gt;=O$2,"i",""))</f>
        <v>d</v>
      </c>
      <c r="P5" s="1" t="str">
        <f>IF('Traveller Level'!$C$10&gt;=P$2,"d",IF('Traveller Level'!$C$11&gt;=P$2,"i",""))</f>
        <v>d</v>
      </c>
      <c r="Q5" s="1" t="str">
        <f>IF('Traveller Level'!$C$10&gt;=Q$2,"d",IF('Traveller Level'!$C$11&gt;=Q$2,"i",""))</f>
        <v>d</v>
      </c>
      <c r="R5" s="1" t="str">
        <f>IF('Traveller Level'!$C$10&gt;=R$2,"d",IF('Traveller Level'!$C$11&gt;=R$2,"i",""))</f>
        <v>d</v>
      </c>
      <c r="S5" s="36"/>
      <c r="T5" s="1" t="str" cm="1">
        <f t="array" aca="1" ref="T5" ca="1">IF(INDIRECT(_xlfn.CONCAT("'",$A$3," ",$B5,"'!B4"))&gt;=T$2,"d",IF(INDIRECT(_xlfn.CONCAT("'",$A$3," ",$B5,"'!B5"))&gt;=T$2,"i",""))</f>
        <v>d</v>
      </c>
      <c r="U5" s="1" t="str" cm="1">
        <f t="array" aca="1" ref="U5" ca="1">IF(INDIRECT(_xlfn.CONCAT("'",$A$3," ",$B5,"'!B4"))&gt;=U$2,"d",IF(INDIRECT(_xlfn.CONCAT("'",$A$3," ",$B5,"'!B5"))&gt;=U$2,"i",""))</f>
        <v>d</v>
      </c>
      <c r="V5" s="1" t="str" cm="1">
        <f t="array" aca="1" ref="V5" ca="1">IF(INDIRECT(_xlfn.CONCAT("'",$A$3," ",$B5,"'!B4"))&gt;=V$2,"d",IF(INDIRECT(_xlfn.CONCAT("'",$A$3," ",$B5,"'!B5"))&gt;=V$2,"i",""))</f>
        <v>d</v>
      </c>
      <c r="W5" s="1" t="str" cm="1">
        <f t="array" aca="1" ref="W5" ca="1">IF(INDIRECT(_xlfn.CONCAT("'",$A$3," ",$B5,"'!B4"))&gt;=W$2,"d",IF(INDIRECT(_xlfn.CONCAT("'",$A$3," ",$B5,"'!B5"))&gt;=W$2,"i",""))</f>
        <v>d</v>
      </c>
      <c r="X5" s="1" t="str" cm="1">
        <f t="array" aca="1" ref="X5" ca="1">IF(INDIRECT(_xlfn.CONCAT("'",$A$3," ",$B5,"'!B4"))&gt;=X$2,"d",IF(INDIRECT(_xlfn.CONCAT("'",$A$3," ",$B5,"'!B5"))&gt;=X$2,"i",""))</f>
        <v>d</v>
      </c>
      <c r="Y5" s="1" t="str" cm="1">
        <f t="array" aca="1" ref="Y5" ca="1">IF(INDIRECT(_xlfn.CONCAT("'",$A$3," ",$B5,"'!B4"))&gt;=Y$2,"d",IF(INDIRECT(_xlfn.CONCAT("'",$A$3," ",$B5,"'!B5"))&gt;=Y$2,"i",""))</f>
        <v>d</v>
      </c>
      <c r="Z5" s="1" t="str" cm="1">
        <f t="array" aca="1" ref="Z5" ca="1">IF(INDIRECT(_xlfn.CONCAT("'",$A$3," ",$B5,"'!B4"))&gt;=Z$2,"d",IF(INDIRECT(_xlfn.CONCAT("'",$A$3," ",$B5,"'!B5"))&gt;=Z$2,"i",""))</f>
        <v>d</v>
      </c>
      <c r="AA5" s="1" t="str" cm="1">
        <f t="array" aca="1" ref="AA5" ca="1">IF(INDIRECT(_xlfn.CONCAT("'",$A$3," ",$B5,"'!B4"))&gt;=AA$2,"d",IF(INDIRECT(_xlfn.CONCAT("'",$A$3," ",$B5,"'!B5"))&gt;=AA$2,"i",""))</f>
        <v>d</v>
      </c>
      <c r="AB5" s="1" t="str" cm="1">
        <f t="array" aca="1" ref="AB5" ca="1">IF(INDIRECT(_xlfn.CONCAT("'",$A$3," ",$B5,"'!B4"))&gt;=AB$2,"d",IF(INDIRECT(_xlfn.CONCAT("'",$A$3," ",$B5,"'!B5"))&gt;=AB$2,"i",""))</f>
        <v>d</v>
      </c>
      <c r="AC5" s="36"/>
      <c r="AD5" s="1" t="str" cm="1">
        <f t="array" aca="1" ref="AD5" ca="1">IF(INDIRECT(_xlfn.CONCAT("'",$A$3," ",$B5,"'!E4"))&gt;=T$2,"d",IF(INDIRECT(_xlfn.CONCAT("'",$A$3," ",$B5,"'!E5"))&gt;=T$2,"i",""))</f>
        <v>d</v>
      </c>
      <c r="AE5" s="1" t="str" cm="1">
        <f t="array" aca="1" ref="AE5" ca="1">IF(INDIRECT(_xlfn.CONCAT("'",$A$3," ",$B5,"'!E4"))&gt;=U$2,"d",IF(INDIRECT(_xlfn.CONCAT("'",$A$3," ",$B5,"'!E5"))&gt;=U$2,"i",""))</f>
        <v>d</v>
      </c>
      <c r="AF5" s="1" t="str" cm="1">
        <f t="array" aca="1" ref="AF5" ca="1">IF(INDIRECT(_xlfn.CONCAT("'",$A$3," ",$B5,"'!E4"))&gt;=V$2,"d",IF(INDIRECT(_xlfn.CONCAT("'",$A$3," ",$B5,"'!E5"))&gt;=V$2,"i",""))</f>
        <v>d</v>
      </c>
      <c r="AG5" s="1" t="str" cm="1">
        <f t="array" aca="1" ref="AG5" ca="1">IF(INDIRECT(_xlfn.CONCAT("'",$A$3," ",$B5,"'!E4"))&gt;=W$2,"d",IF(INDIRECT(_xlfn.CONCAT("'",$A$3," ",$B5,"'!E5"))&gt;=W$2,"i",""))</f>
        <v>d</v>
      </c>
      <c r="AH5" s="1" t="str" cm="1">
        <f t="array" aca="1" ref="AH5" ca="1">IF(INDIRECT(_xlfn.CONCAT("'",$A$3," ",$B5,"'!E4"))&gt;=X$2,"d",IF(INDIRECT(_xlfn.CONCAT("'",$A$3," ",$B5,"'!E5"))&gt;=X$2,"i",""))</f>
        <v>d</v>
      </c>
      <c r="AI5" s="1" t="str" cm="1">
        <f t="array" aca="1" ref="AI5" ca="1">IF(INDIRECT(_xlfn.CONCAT("'",$A$3," ",$B5,"'!E4"))&gt;=Y$2,"d",IF(INDIRECT(_xlfn.CONCAT("'",$A$3," ",$B5,"'!E5"))&gt;=Y$2,"i",""))</f>
        <v>d</v>
      </c>
      <c r="AJ5" s="1" t="str" cm="1">
        <f t="array" aca="1" ref="AJ5" ca="1">IF(INDIRECT(_xlfn.CONCAT("'",$A$3," ",$B5,"'!E4"))&gt;=Z$2,"d",IF(INDIRECT(_xlfn.CONCAT("'",$A$3," ",$B5,"'!E5"))&gt;=Z$2,"i",""))</f>
        <v>d</v>
      </c>
      <c r="AK5" s="1" t="str" cm="1">
        <f t="array" aca="1" ref="AK5" ca="1">IF(INDIRECT(_xlfn.CONCAT("'",$A$3," ",$B5,"'!E4"))&gt;=AA$2,"d",IF(INDIRECT(_xlfn.CONCAT("'",$A$3," ",$B5,"'!E5"))&gt;=AA$2,"i",""))</f>
        <v>d</v>
      </c>
      <c r="AL5" s="1" t="str" cm="1">
        <f t="array" aca="1" ref="AL5" ca="1">IF(INDIRECT(_xlfn.CONCAT("'",$A$3," ",$B5,"'!E4"))&gt;=AB$2,"d",IF(INDIRECT(_xlfn.CONCAT("'",$A$3," ",$B5,"'!E5"))&gt;=AB$2,"i",""))</f>
        <v>d</v>
      </c>
      <c r="AM5" s="36"/>
      <c r="AN5" s="1" t="str" cm="1">
        <f t="array" aca="1" ref="AN5" ca="1">IF(INDIRECT(_xlfn.CONCAT("'",$A$3," ",$B5,"'!H4"))&gt;=T$2,"d",IF(INDIRECT(_xlfn.CONCAT("'",$A$3," ",$B5,"'!H5"))&gt;=T$2,"i",""))</f>
        <v>d</v>
      </c>
      <c r="AO5" s="1" t="str" cm="1">
        <f t="array" aca="1" ref="AO5" ca="1">IF(INDIRECT(_xlfn.CONCAT("'",$A$3," ",$B5,"'!H4"))&gt;=U$2,"d",IF(INDIRECT(_xlfn.CONCAT("'",$A$3," ",$B5,"'!H5"))&gt;=U$2,"i",""))</f>
        <v>d</v>
      </c>
      <c r="AP5" s="1" t="str" cm="1">
        <f t="array" aca="1" ref="AP5" ca="1">IF(INDIRECT(_xlfn.CONCAT("'",$A$3," ",$B5,"'!H4"))&gt;=V$2,"d",IF(INDIRECT(_xlfn.CONCAT("'",$A$3," ",$B5,"'!H5"))&gt;=V$2,"i",""))</f>
        <v>d</v>
      </c>
      <c r="AQ5" s="1" t="str" cm="1">
        <f t="array" aca="1" ref="AQ5" ca="1">IF(INDIRECT(_xlfn.CONCAT("'",$A$3," ",$B5,"'!H4"))&gt;=W$2,"d",IF(INDIRECT(_xlfn.CONCAT("'",$A$3," ",$B5,"'!H5"))&gt;=W$2,"i",""))</f>
        <v>d</v>
      </c>
      <c r="AR5" s="1" t="str" cm="1">
        <f t="array" aca="1" ref="AR5" ca="1">IF(INDIRECT(_xlfn.CONCAT("'",$A$3," ",$B5,"'!H4"))&gt;=X$2,"d",IF(INDIRECT(_xlfn.CONCAT("'",$A$3," ",$B5,"'!H5"))&gt;=X$2,"i",""))</f>
        <v>d</v>
      </c>
      <c r="AS5" s="1" t="str" cm="1">
        <f t="array" aca="1" ref="AS5" ca="1">IF(INDIRECT(_xlfn.CONCAT("'",$A$3," ",$B5,"'!H4"))&gt;=Y$2,"d",IF(INDIRECT(_xlfn.CONCAT("'",$A$3," ",$B5,"'!H5"))&gt;=Y$2,"i",""))</f>
        <v>d</v>
      </c>
      <c r="AT5" s="1" t="str" cm="1">
        <f t="array" aca="1" ref="AT5" ca="1">IF(INDIRECT(_xlfn.CONCAT("'",$A$3," ",$B5,"'!H4"))&gt;=Z$2,"d",IF(INDIRECT(_xlfn.CONCAT("'",$A$3," ",$B5,"'!H5"))&gt;=Z$2,"i",""))</f>
        <v>d</v>
      </c>
      <c r="AU5" s="1" t="str" cm="1">
        <f t="array" aca="1" ref="AU5" ca="1">IF(INDIRECT(_xlfn.CONCAT("'",$A$3," ",$B5,"'!H4"))&gt;=AA$2,"d",IF(INDIRECT(_xlfn.CONCAT("'",$A$3," ",$B5,"'!H5"))&gt;=AA$2,"i",""))</f>
        <v>d</v>
      </c>
      <c r="AV5" s="4" t="str" cm="1">
        <f t="array" aca="1" ref="AV5" ca="1">IF(INDIRECT(_xlfn.CONCAT("'",$A$3," ",$B5,"'!H4"))&gt;=AB$2,"d",IF(INDIRECT(_xlfn.CONCAT("'",$A$3," ",$B5,"'!H5"))&gt;=AB$2,"i",""))</f>
        <v>d</v>
      </c>
    </row>
    <row r="6" spans="1:48" ht="15" customHeight="1" x14ac:dyDescent="0.25">
      <c r="A6" s="226"/>
      <c r="B6" s="120" t="s">
        <v>163</v>
      </c>
      <c r="C6" s="14" t="s">
        <v>164</v>
      </c>
      <c r="D6" s="4" t="s">
        <v>165</v>
      </c>
      <c r="E6" s="14" t="str">
        <f>IF('Traveller Level'!$B$4&gt;=E$2,"d",IF('Traveller Level'!$B$5&gt;=E$2,"i",""))</f>
        <v>d</v>
      </c>
      <c r="F6" s="1" t="str">
        <f>IF('Traveller Level'!$B$4&gt;=F$2,"d",IF('Traveller Level'!$B$5&gt;=F$2,"i",""))</f>
        <v>d</v>
      </c>
      <c r="G6" s="1" t="str">
        <f>IF('Traveller Level'!$B$4&gt;=G$2,"d",IF('Traveller Level'!$B$5&gt;=G$2,"i",""))</f>
        <v>d</v>
      </c>
      <c r="H6" s="1" t="str">
        <f>IF('Traveller Level'!$B$4&gt;=H$2,"d",IF('Traveller Level'!$B$5&gt;=H$2,"i",""))</f>
        <v>d</v>
      </c>
      <c r="I6" s="1" t="str">
        <f>IF('Traveller Level'!$B$4&gt;=I$2,"d",IF('Traveller Level'!$B$5&gt;=I$2,"i",""))</f>
        <v>d</v>
      </c>
      <c r="J6" s="1" t="str">
        <f>IF('Traveller Level'!$B$4&gt;=J$2,"d",IF('Traveller Level'!$B$5&gt;=J$2,"i",""))</f>
        <v>d</v>
      </c>
      <c r="K6" s="4" t="str">
        <f>IF('Traveller Level'!$B$4&gt;=K$2,"d",IF('Traveller Level'!$B$5&gt;=K$2,"i",""))</f>
        <v>d</v>
      </c>
      <c r="L6" s="39"/>
      <c r="M6" s="1" t="str">
        <f>IF('Traveller Level'!$C$10&gt;=M$2,"d",IF('Traveller Level'!$C$11&gt;=M$2,"i",""))</f>
        <v>d</v>
      </c>
      <c r="N6" s="1" t="str">
        <f>IF('Traveller Level'!$C$10&gt;=N$2,"d",IF('Traveller Level'!$C$11&gt;=N$2,"i",""))</f>
        <v>d</v>
      </c>
      <c r="O6" s="1" t="str">
        <f>IF('Traveller Level'!$C$10&gt;=O$2,"d",IF('Traveller Level'!$C$11&gt;=O$2,"i",""))</f>
        <v>d</v>
      </c>
      <c r="P6" s="1" t="str">
        <f>IF('Traveller Level'!$C$10&gt;=P$2,"d",IF('Traveller Level'!$C$11&gt;=P$2,"i",""))</f>
        <v>d</v>
      </c>
      <c r="Q6" s="1" t="str">
        <f>IF('Traveller Level'!$C$10&gt;=Q$2,"d",IF('Traveller Level'!$C$11&gt;=Q$2,"i",""))</f>
        <v>d</v>
      </c>
      <c r="R6" s="1" t="str">
        <f>IF('Traveller Level'!$C$10&gt;=R$2,"d",IF('Traveller Level'!$C$11&gt;=R$2,"i",""))</f>
        <v>d</v>
      </c>
      <c r="S6" s="122"/>
      <c r="T6" s="1" t="str" cm="1">
        <f t="array" aca="1" ref="T6" ca="1">IF(INDIRECT(_xlfn.CONCAT("'",$A$3," ",$B6,"'!B4"))&gt;=T$2,"d",IF(INDIRECT(_xlfn.CONCAT("'",$A$3," ",$B6,"'!B5"))&gt;=T$2,"i",""))</f>
        <v>d</v>
      </c>
      <c r="U6" s="1" t="str" cm="1">
        <f t="array" aca="1" ref="U6" ca="1">IF(INDIRECT(_xlfn.CONCAT("'",$A$3," ",$B6,"'!B4"))&gt;=U$2,"d",IF(INDIRECT(_xlfn.CONCAT("'",$A$3," ",$B6,"'!B5"))&gt;=U$2,"i",""))</f>
        <v>d</v>
      </c>
      <c r="V6" s="1" t="str" cm="1">
        <f t="array" aca="1" ref="V6" ca="1">IF(INDIRECT(_xlfn.CONCAT("'",$A$3," ",$B6,"'!B4"))&gt;=V$2,"d",IF(INDIRECT(_xlfn.CONCAT("'",$A$3," ",$B6,"'!B5"))&gt;=V$2,"i",""))</f>
        <v>d</v>
      </c>
      <c r="W6" s="1" t="str" cm="1">
        <f t="array" aca="1" ref="W6" ca="1">IF(INDIRECT(_xlfn.CONCAT("'",$A$3," ",$B6,"'!B4"))&gt;=W$2,"d",IF(INDIRECT(_xlfn.CONCAT("'",$A$3," ",$B6,"'!B5"))&gt;=W$2,"i",""))</f>
        <v>d</v>
      </c>
      <c r="X6" s="1" t="str" cm="1">
        <f t="array" aca="1" ref="X6" ca="1">IF(INDIRECT(_xlfn.CONCAT("'",$A$3," ",$B6,"'!B4"))&gt;=X$2,"d",IF(INDIRECT(_xlfn.CONCAT("'",$A$3," ",$B6,"'!B5"))&gt;=X$2,"i",""))</f>
        <v>d</v>
      </c>
      <c r="Y6" s="1" t="str" cm="1">
        <f t="array" aca="1" ref="Y6" ca="1">IF(INDIRECT(_xlfn.CONCAT("'",$A$3," ",$B6,"'!B4"))&gt;=Y$2,"d",IF(INDIRECT(_xlfn.CONCAT("'",$A$3," ",$B6,"'!B5"))&gt;=Y$2,"i",""))</f>
        <v>d</v>
      </c>
      <c r="Z6" s="1" t="str" cm="1">
        <f t="array" aca="1" ref="Z6" ca="1">IF(INDIRECT(_xlfn.CONCAT("'",$A$3," ",$B6,"'!B4"))&gt;=Z$2,"d",IF(INDIRECT(_xlfn.CONCAT("'",$A$3," ",$B6,"'!B5"))&gt;=Z$2,"i",""))</f>
        <v>d</v>
      </c>
      <c r="AA6" s="1" t="str" cm="1">
        <f t="array" aca="1" ref="AA6" ca="1">IF(INDIRECT(_xlfn.CONCAT("'",$A$3," ",$B6,"'!B4"))&gt;=AA$2,"d",IF(INDIRECT(_xlfn.CONCAT("'",$A$3," ",$B6,"'!B5"))&gt;=AA$2,"i",""))</f>
        <v>d</v>
      </c>
      <c r="AB6" s="1" t="str" cm="1">
        <f t="array" aca="1" ref="AB6" ca="1">IF(INDIRECT(_xlfn.CONCAT("'",$A$3," ",$B6,"'!B4"))&gt;=AB$2,"d",IF(INDIRECT(_xlfn.CONCAT("'",$A$3," ",$B6,"'!B5"))&gt;=AB$2,"i",""))</f>
        <v>d</v>
      </c>
      <c r="AC6" s="36"/>
      <c r="AD6" s="1" t="str" cm="1">
        <f t="array" aca="1" ref="AD6" ca="1">IF(INDIRECT(_xlfn.CONCAT("'",$A$3," ",$B6,"'!E4"))&gt;=T$2,"d",IF(INDIRECT(_xlfn.CONCAT("'",$A$3," ",$B6,"'!E5"))&gt;=T$2,"i",""))</f>
        <v>d</v>
      </c>
      <c r="AE6" s="1" t="str" cm="1">
        <f t="array" aca="1" ref="AE6" ca="1">IF(INDIRECT(_xlfn.CONCAT("'",$A$3," ",$B6,"'!E4"))&gt;=U$2,"d",IF(INDIRECT(_xlfn.CONCAT("'",$A$3," ",$B6,"'!E5"))&gt;=U$2,"i",""))</f>
        <v>d</v>
      </c>
      <c r="AF6" s="1" t="str" cm="1">
        <f t="array" aca="1" ref="AF6" ca="1">IF(INDIRECT(_xlfn.CONCAT("'",$A$3," ",$B6,"'!E4"))&gt;=V$2,"d",IF(INDIRECT(_xlfn.CONCAT("'",$A$3," ",$B6,"'!E5"))&gt;=V$2,"i",""))</f>
        <v>d</v>
      </c>
      <c r="AG6" s="1" t="str" cm="1">
        <f t="array" aca="1" ref="AG6" ca="1">IF(INDIRECT(_xlfn.CONCAT("'",$A$3," ",$B6,"'!E4"))&gt;=W$2,"d",IF(INDIRECT(_xlfn.CONCAT("'",$A$3," ",$B6,"'!E5"))&gt;=W$2,"i",""))</f>
        <v>d</v>
      </c>
      <c r="AH6" s="1" t="str" cm="1">
        <f t="array" aca="1" ref="AH6" ca="1">IF(INDIRECT(_xlfn.CONCAT("'",$A$3," ",$B6,"'!E4"))&gt;=X$2,"d",IF(INDIRECT(_xlfn.CONCAT("'",$A$3," ",$B6,"'!E5"))&gt;=X$2,"i",""))</f>
        <v>d</v>
      </c>
      <c r="AI6" s="1" t="str" cm="1">
        <f t="array" aca="1" ref="AI6" ca="1">IF(INDIRECT(_xlfn.CONCAT("'",$A$3," ",$B6,"'!E4"))&gt;=Y$2,"d",IF(INDIRECT(_xlfn.CONCAT("'",$A$3," ",$B6,"'!E5"))&gt;=Y$2,"i",""))</f>
        <v>d</v>
      </c>
      <c r="AJ6" s="1" t="str" cm="1">
        <f t="array" aca="1" ref="AJ6" ca="1">IF(INDIRECT(_xlfn.CONCAT("'",$A$3," ",$B6,"'!E4"))&gt;=Z$2,"d",IF(INDIRECT(_xlfn.CONCAT("'",$A$3," ",$B6,"'!E5"))&gt;=Z$2,"i",""))</f>
        <v>d</v>
      </c>
      <c r="AK6" s="1" t="str" cm="1">
        <f t="array" aca="1" ref="AK6" ca="1">IF(INDIRECT(_xlfn.CONCAT("'",$A$3," ",$B6,"'!E4"))&gt;=AA$2,"d",IF(INDIRECT(_xlfn.CONCAT("'",$A$3," ",$B6,"'!E5"))&gt;=AA$2,"i",""))</f>
        <v>d</v>
      </c>
      <c r="AL6" s="1" t="str" cm="1">
        <f t="array" aca="1" ref="AL6" ca="1">IF(INDIRECT(_xlfn.CONCAT("'",$A$3," ",$B6,"'!E4"))&gt;=AB$2,"d",IF(INDIRECT(_xlfn.CONCAT("'",$A$3," ",$B6,"'!E5"))&gt;=AB$2,"i",""))</f>
        <v>d</v>
      </c>
      <c r="AM6" s="36"/>
      <c r="AN6" s="1" t="str" cm="1">
        <f t="array" aca="1" ref="AN6" ca="1">IF(INDIRECT(_xlfn.CONCAT("'",$A$3," ",$B6,"'!H4"))&gt;=T$2,"d",IF(INDIRECT(_xlfn.CONCAT("'",$A$3," ",$B6,"'!H5"))&gt;=T$2,"i",""))</f>
        <v>d</v>
      </c>
      <c r="AO6" s="1" t="str" cm="1">
        <f t="array" aca="1" ref="AO6" ca="1">IF(INDIRECT(_xlfn.CONCAT("'",$A$3," ",$B6,"'!H4"))&gt;=U$2,"d",IF(INDIRECT(_xlfn.CONCAT("'",$A$3," ",$B6,"'!H5"))&gt;=U$2,"i",""))</f>
        <v>d</v>
      </c>
      <c r="AP6" s="1" t="str" cm="1">
        <f t="array" aca="1" ref="AP6" ca="1">IF(INDIRECT(_xlfn.CONCAT("'",$A$3," ",$B6,"'!H4"))&gt;=V$2,"d",IF(INDIRECT(_xlfn.CONCAT("'",$A$3," ",$B6,"'!H5"))&gt;=V$2,"i",""))</f>
        <v>d</v>
      </c>
      <c r="AQ6" s="1" t="str" cm="1">
        <f t="array" aca="1" ref="AQ6" ca="1">IF(INDIRECT(_xlfn.CONCAT("'",$A$3," ",$B6,"'!H4"))&gt;=W$2,"d",IF(INDIRECT(_xlfn.CONCAT("'",$A$3," ",$B6,"'!H5"))&gt;=W$2,"i",""))</f>
        <v>d</v>
      </c>
      <c r="AR6" s="1" t="str" cm="1">
        <f t="array" aca="1" ref="AR6" ca="1">IF(INDIRECT(_xlfn.CONCAT("'",$A$3," ",$B6,"'!H4"))&gt;=X$2,"d",IF(INDIRECT(_xlfn.CONCAT("'",$A$3," ",$B6,"'!H5"))&gt;=X$2,"i",""))</f>
        <v>d</v>
      </c>
      <c r="AS6" s="1" t="str" cm="1">
        <f t="array" aca="1" ref="AS6" ca="1">IF(INDIRECT(_xlfn.CONCAT("'",$A$3," ",$B6,"'!H4"))&gt;=Y$2,"d",IF(INDIRECT(_xlfn.CONCAT("'",$A$3," ",$B6,"'!H5"))&gt;=Y$2,"i",""))</f>
        <v>d</v>
      </c>
      <c r="AT6" s="1" t="str" cm="1">
        <f t="array" aca="1" ref="AT6" ca="1">IF(INDIRECT(_xlfn.CONCAT("'",$A$3," ",$B6,"'!H4"))&gt;=Z$2,"d",IF(INDIRECT(_xlfn.CONCAT("'",$A$3," ",$B6,"'!H5"))&gt;=Z$2,"i",""))</f>
        <v>d</v>
      </c>
      <c r="AU6" s="1" t="str" cm="1">
        <f t="array" aca="1" ref="AU6" ca="1">IF(INDIRECT(_xlfn.CONCAT("'",$A$3," ",$B6,"'!H4"))&gt;=AA$2,"d",IF(INDIRECT(_xlfn.CONCAT("'",$A$3," ",$B6,"'!H5"))&gt;=AA$2,"i",""))</f>
        <v>d</v>
      </c>
      <c r="AV6" s="4" t="str" cm="1">
        <f t="array" aca="1" ref="AV6" ca="1">IF(INDIRECT(_xlfn.CONCAT("'",$A$3," ",$B6,"'!H4"))&gt;=AB$2,"d",IF(INDIRECT(_xlfn.CONCAT("'",$A$3," ",$B6,"'!H5"))&gt;=AB$2,"i",""))</f>
        <v>d</v>
      </c>
    </row>
    <row r="7" spans="1:48" x14ac:dyDescent="0.25">
      <c r="A7" s="226"/>
      <c r="B7" s="4" t="s">
        <v>166</v>
      </c>
      <c r="C7" s="14" t="s">
        <v>167</v>
      </c>
      <c r="D7" s="4" t="s">
        <v>168</v>
      </c>
      <c r="E7" s="14" t="str">
        <f>IF('Traveller Level'!$B$4&gt;=E$2,"d",IF('Traveller Level'!$B$5&gt;=E$2,"i",""))</f>
        <v>d</v>
      </c>
      <c r="F7" s="1" t="str">
        <f>IF('Traveller Level'!$B$4&gt;=F$2,"d",IF('Traveller Level'!$B$5&gt;=F$2,"i",""))</f>
        <v>d</v>
      </c>
      <c r="G7" s="1" t="str">
        <f>IF('Traveller Level'!$B$4&gt;=G$2,"d",IF('Traveller Level'!$B$5&gt;=G$2,"i",""))</f>
        <v>d</v>
      </c>
      <c r="H7" s="1" t="str">
        <f>IF('Traveller Level'!$B$4&gt;=H$2,"d",IF('Traveller Level'!$B$5&gt;=H$2,"i",""))</f>
        <v>d</v>
      </c>
      <c r="I7" s="1" t="str">
        <f>IF('Traveller Level'!$B$4&gt;=I$2,"d",IF('Traveller Level'!$B$5&gt;=I$2,"i",""))</f>
        <v>d</v>
      </c>
      <c r="J7" s="1" t="str">
        <f>IF('Traveller Level'!$B$4&gt;=J$2,"d",IF('Traveller Level'!$B$5&gt;=J$2,"i",""))</f>
        <v>d</v>
      </c>
      <c r="K7" s="4" t="str">
        <f>IF('Traveller Level'!$B$4&gt;=K$2,"d",IF('Traveller Level'!$B$5&gt;=K$2,"i",""))</f>
        <v>d</v>
      </c>
      <c r="L7" s="39"/>
      <c r="M7" s="1" t="str">
        <f>IF('Traveller Level'!$C$10&gt;=M$2,"d",IF('Traveller Level'!$C$11&gt;=M$2,"i",""))</f>
        <v>d</v>
      </c>
      <c r="N7" s="1" t="str">
        <f>IF('Traveller Level'!$C$10&gt;=N$2,"d",IF('Traveller Level'!$C$11&gt;=N$2,"i",""))</f>
        <v>d</v>
      </c>
      <c r="O7" s="1" t="str">
        <f>IF('Traveller Level'!$C$10&gt;=O$2,"d",IF('Traveller Level'!$C$11&gt;=O$2,"i",""))</f>
        <v>d</v>
      </c>
      <c r="P7" s="1" t="str">
        <f>IF('Traveller Level'!$C$10&gt;=P$2,"d",IF('Traveller Level'!$C$11&gt;=P$2,"i",""))</f>
        <v>d</v>
      </c>
      <c r="Q7" s="1" t="str">
        <f>IF('Traveller Level'!$C$10&gt;=Q$2,"d",IF('Traveller Level'!$C$11&gt;=Q$2,"i",""))</f>
        <v>d</v>
      </c>
      <c r="R7" s="1" t="str">
        <f>IF('Traveller Level'!$C$10&gt;=R$2,"d",IF('Traveller Level'!$C$11&gt;=R$2,"i",""))</f>
        <v>d</v>
      </c>
      <c r="S7" s="122"/>
      <c r="T7" s="1" t="str" cm="1">
        <f t="array" aca="1" ref="T7" ca="1">IF(INDIRECT(_xlfn.CONCAT("'",$A$3," ",$B7,"'!B4"))&gt;=T$2,"d",IF(INDIRECT(_xlfn.CONCAT("'",$A$3," ",$B7,"'!B5"))&gt;=T$2,"i",""))</f>
        <v>d</v>
      </c>
      <c r="U7" s="1" t="str" cm="1">
        <f t="array" aca="1" ref="U7" ca="1">IF(INDIRECT(_xlfn.CONCAT("'",$A$3," ",$B7,"'!B4"))&gt;=U$2,"d",IF(INDIRECT(_xlfn.CONCAT("'",$A$3," ",$B7,"'!B5"))&gt;=U$2,"i",""))</f>
        <v>d</v>
      </c>
      <c r="V7" s="1" t="str" cm="1">
        <f t="array" aca="1" ref="V7" ca="1">IF(INDIRECT(_xlfn.CONCAT("'",$A$3," ",$B7,"'!B4"))&gt;=V$2,"d",IF(INDIRECT(_xlfn.CONCAT("'",$A$3," ",$B7,"'!B5"))&gt;=V$2,"i",""))</f>
        <v>d</v>
      </c>
      <c r="W7" s="1" t="str" cm="1">
        <f t="array" aca="1" ref="W7" ca="1">IF(INDIRECT(_xlfn.CONCAT("'",$A$3," ",$B7,"'!B4"))&gt;=W$2,"d",IF(INDIRECT(_xlfn.CONCAT("'",$A$3," ",$B7,"'!B5"))&gt;=W$2,"i",""))</f>
        <v>d</v>
      </c>
      <c r="X7" s="1" t="str" cm="1">
        <f t="array" aca="1" ref="X7" ca="1">IF(INDIRECT(_xlfn.CONCAT("'",$A$3," ",$B7,"'!B4"))&gt;=X$2,"d",IF(INDIRECT(_xlfn.CONCAT("'",$A$3," ",$B7,"'!B5"))&gt;=X$2,"i",""))</f>
        <v>d</v>
      </c>
      <c r="Y7" s="1" t="str" cm="1">
        <f t="array" aca="1" ref="Y7" ca="1">IF(INDIRECT(_xlfn.CONCAT("'",$A$3," ",$B7,"'!B4"))&gt;=Y$2,"d",IF(INDIRECT(_xlfn.CONCAT("'",$A$3," ",$B7,"'!B5"))&gt;=Y$2,"i",""))</f>
        <v>d</v>
      </c>
      <c r="Z7" s="1" t="str" cm="1">
        <f t="array" aca="1" ref="Z7" ca="1">IF(INDIRECT(_xlfn.CONCAT("'",$A$3," ",$B7,"'!B4"))&gt;=Z$2,"d",IF(INDIRECT(_xlfn.CONCAT("'",$A$3," ",$B7,"'!B5"))&gt;=Z$2,"i",""))</f>
        <v>d</v>
      </c>
      <c r="AA7" s="1" t="str" cm="1">
        <f t="array" aca="1" ref="AA7" ca="1">IF(INDIRECT(_xlfn.CONCAT("'",$A$3," ",$B7,"'!B4"))&gt;=AA$2,"d",IF(INDIRECT(_xlfn.CONCAT("'",$A$3," ",$B7,"'!B5"))&gt;=AA$2,"i",""))</f>
        <v>d</v>
      </c>
      <c r="AB7" s="1" t="str" cm="1">
        <f t="array" aca="1" ref="AB7" ca="1">IF(INDIRECT(_xlfn.CONCAT("'",$A$3," ",$B7,"'!B4"))&gt;=AB$2,"d",IF(INDIRECT(_xlfn.CONCAT("'",$A$3," ",$B7,"'!B5"))&gt;=AB$2,"i",""))</f>
        <v>d</v>
      </c>
      <c r="AC7" s="36"/>
      <c r="AD7" s="1" t="str" cm="1">
        <f t="array" aca="1" ref="AD7" ca="1">IF(INDIRECT(_xlfn.CONCAT("'",$A$3," ",$B7,"'!E4"))&gt;=T$2,"d",IF(INDIRECT(_xlfn.CONCAT("'",$A$3," ",$B7,"'!E5"))&gt;=T$2,"i",""))</f>
        <v>d</v>
      </c>
      <c r="AE7" s="1" t="str" cm="1">
        <f t="array" aca="1" ref="AE7" ca="1">IF(INDIRECT(_xlfn.CONCAT("'",$A$3," ",$B7,"'!E4"))&gt;=U$2,"d",IF(INDIRECT(_xlfn.CONCAT("'",$A$3," ",$B7,"'!E5"))&gt;=U$2,"i",""))</f>
        <v>d</v>
      </c>
      <c r="AF7" s="1" t="str" cm="1">
        <f t="array" aca="1" ref="AF7" ca="1">IF(INDIRECT(_xlfn.CONCAT("'",$A$3," ",$B7,"'!E4"))&gt;=V$2,"d",IF(INDIRECT(_xlfn.CONCAT("'",$A$3," ",$B7,"'!E5"))&gt;=V$2,"i",""))</f>
        <v>d</v>
      </c>
      <c r="AG7" s="1" t="str" cm="1">
        <f t="array" aca="1" ref="AG7" ca="1">IF(INDIRECT(_xlfn.CONCAT("'",$A$3," ",$B7,"'!E4"))&gt;=W$2,"d",IF(INDIRECT(_xlfn.CONCAT("'",$A$3," ",$B7,"'!E5"))&gt;=W$2,"i",""))</f>
        <v>d</v>
      </c>
      <c r="AH7" s="1" t="str" cm="1">
        <f t="array" aca="1" ref="AH7" ca="1">IF(INDIRECT(_xlfn.CONCAT("'",$A$3," ",$B7,"'!E4"))&gt;=X$2,"d",IF(INDIRECT(_xlfn.CONCAT("'",$A$3," ",$B7,"'!E5"))&gt;=X$2,"i",""))</f>
        <v>d</v>
      </c>
      <c r="AI7" s="1" t="str" cm="1">
        <f t="array" aca="1" ref="AI7" ca="1">IF(INDIRECT(_xlfn.CONCAT("'",$A$3," ",$B7,"'!E4"))&gt;=Y$2,"d",IF(INDIRECT(_xlfn.CONCAT("'",$A$3," ",$B7,"'!E5"))&gt;=Y$2,"i",""))</f>
        <v>d</v>
      </c>
      <c r="AJ7" s="1" t="str" cm="1">
        <f t="array" aca="1" ref="AJ7" ca="1">IF(INDIRECT(_xlfn.CONCAT("'",$A$3," ",$B7,"'!E4"))&gt;=Z$2,"d",IF(INDIRECT(_xlfn.CONCAT("'",$A$3," ",$B7,"'!E5"))&gt;=Z$2,"i",""))</f>
        <v>d</v>
      </c>
      <c r="AK7" s="1" t="str" cm="1">
        <f t="array" aca="1" ref="AK7" ca="1">IF(INDIRECT(_xlfn.CONCAT("'",$A$3," ",$B7,"'!E4"))&gt;=AA$2,"d",IF(INDIRECT(_xlfn.CONCAT("'",$A$3," ",$B7,"'!E5"))&gt;=AA$2,"i",""))</f>
        <v>d</v>
      </c>
      <c r="AL7" s="1" t="str" cm="1">
        <f t="array" aca="1" ref="AL7" ca="1">IF(INDIRECT(_xlfn.CONCAT("'",$A$3," ",$B7,"'!E4"))&gt;=AB$2,"d",IF(INDIRECT(_xlfn.CONCAT("'",$A$3," ",$B7,"'!E5"))&gt;=AB$2,"i",""))</f>
        <v>d</v>
      </c>
      <c r="AM7" s="36"/>
      <c r="AN7" s="1" t="str" cm="1">
        <f t="array" aca="1" ref="AN7" ca="1">IF(INDIRECT(_xlfn.CONCAT("'",$A$3," ",$B7,"'!H4"))&gt;=T$2,"d",IF(INDIRECT(_xlfn.CONCAT("'",$A$3," ",$B7,"'!H5"))&gt;=T$2,"i",""))</f>
        <v>d</v>
      </c>
      <c r="AO7" s="1" t="str" cm="1">
        <f t="array" aca="1" ref="AO7" ca="1">IF(INDIRECT(_xlfn.CONCAT("'",$A$3," ",$B7,"'!H4"))&gt;=U$2,"d",IF(INDIRECT(_xlfn.CONCAT("'",$A$3," ",$B7,"'!H5"))&gt;=U$2,"i",""))</f>
        <v>d</v>
      </c>
      <c r="AP7" s="1" t="str" cm="1">
        <f t="array" aca="1" ref="AP7" ca="1">IF(INDIRECT(_xlfn.CONCAT("'",$A$3," ",$B7,"'!H4"))&gt;=V$2,"d",IF(INDIRECT(_xlfn.CONCAT("'",$A$3," ",$B7,"'!H5"))&gt;=V$2,"i",""))</f>
        <v>d</v>
      </c>
      <c r="AQ7" s="1" t="str" cm="1">
        <f t="array" aca="1" ref="AQ7" ca="1">IF(INDIRECT(_xlfn.CONCAT("'",$A$3," ",$B7,"'!H4"))&gt;=W$2,"d",IF(INDIRECT(_xlfn.CONCAT("'",$A$3," ",$B7,"'!H5"))&gt;=W$2,"i",""))</f>
        <v>d</v>
      </c>
      <c r="AR7" s="1" t="str" cm="1">
        <f t="array" aca="1" ref="AR7" ca="1">IF(INDIRECT(_xlfn.CONCAT("'",$A$3," ",$B7,"'!H4"))&gt;=X$2,"d",IF(INDIRECT(_xlfn.CONCAT("'",$A$3," ",$B7,"'!H5"))&gt;=X$2,"i",""))</f>
        <v>d</v>
      </c>
      <c r="AS7" s="1" t="str" cm="1">
        <f t="array" aca="1" ref="AS7" ca="1">IF(INDIRECT(_xlfn.CONCAT("'",$A$3," ",$B7,"'!H4"))&gt;=Y$2,"d",IF(INDIRECT(_xlfn.CONCAT("'",$A$3," ",$B7,"'!H5"))&gt;=Y$2,"i",""))</f>
        <v>d</v>
      </c>
      <c r="AT7" s="1" t="str" cm="1">
        <f t="array" aca="1" ref="AT7" ca="1">IF(INDIRECT(_xlfn.CONCAT("'",$A$3," ",$B7,"'!H4"))&gt;=Z$2,"d",IF(INDIRECT(_xlfn.CONCAT("'",$A$3," ",$B7,"'!H5"))&gt;=Z$2,"i",""))</f>
        <v>d</v>
      </c>
      <c r="AU7" s="1" t="str" cm="1">
        <f t="array" aca="1" ref="AU7" ca="1">IF(INDIRECT(_xlfn.CONCAT("'",$A$3," ",$B7,"'!H4"))&gt;=AA$2,"d",IF(INDIRECT(_xlfn.CONCAT("'",$A$3," ",$B7,"'!H5"))&gt;=AA$2,"i",""))</f>
        <v>d</v>
      </c>
      <c r="AV7" s="4" t="str" cm="1">
        <f t="array" aca="1" ref="AV7" ca="1">IF(INDIRECT(_xlfn.CONCAT("'",$A$3," ",$B7,"'!H4"))&gt;=AB$2,"d",IF(INDIRECT(_xlfn.CONCAT("'",$A$3," ",$B7,"'!H5"))&gt;=AB$2,"i",""))</f>
        <v>d</v>
      </c>
    </row>
    <row r="8" spans="1:48" x14ac:dyDescent="0.25">
      <c r="A8" s="226"/>
      <c r="B8" s="4" t="s">
        <v>518</v>
      </c>
      <c r="C8" s="14" t="s">
        <v>886</v>
      </c>
      <c r="D8" s="4" t="s">
        <v>885</v>
      </c>
      <c r="E8" s="14" t="str">
        <f>IF('Traveller Level'!$B$4&gt;=E$2,"d",IF('Traveller Level'!$B$5&gt;=E$2,"i",""))</f>
        <v>d</v>
      </c>
      <c r="F8" s="1" t="str">
        <f>IF('Traveller Level'!$B$4&gt;=F$2,"d",IF('Traveller Level'!$B$5&gt;=F$2,"i",""))</f>
        <v>d</v>
      </c>
      <c r="G8" s="1" t="str">
        <f>IF('Traveller Level'!$B$4&gt;=G$2,"d",IF('Traveller Level'!$B$5&gt;=G$2,"i",""))</f>
        <v>d</v>
      </c>
      <c r="H8" s="1" t="str">
        <f>IF('Traveller Level'!$B$4&gt;=H$2,"d",IF('Traveller Level'!$B$5&gt;=H$2,"i",""))</f>
        <v>d</v>
      </c>
      <c r="I8" s="1" t="str">
        <f>IF('Traveller Level'!$B$4&gt;=I$2,"d",IF('Traveller Level'!$B$5&gt;=I$2,"i",""))</f>
        <v>d</v>
      </c>
      <c r="J8" s="1" t="str">
        <f>IF('Traveller Level'!$B$4&gt;=J$2,"d",IF('Traveller Level'!$B$5&gt;=J$2,"i",""))</f>
        <v>d</v>
      </c>
      <c r="K8" s="4" t="str">
        <f>IF('Traveller Level'!$B$4&gt;=K$2,"d",IF('Traveller Level'!$B$5&gt;=K$2,"i",""))</f>
        <v>d</v>
      </c>
      <c r="L8" s="39"/>
      <c r="M8" s="1" t="str">
        <f>IF('Traveller Level'!$C$10&gt;=M$2,"d",IF('Traveller Level'!$C$11&gt;=M$2,"i",""))</f>
        <v>d</v>
      </c>
      <c r="N8" s="1" t="str">
        <f>IF('Traveller Level'!$C$10&gt;=N$2,"d",IF('Traveller Level'!$C$11&gt;=N$2,"i",""))</f>
        <v>d</v>
      </c>
      <c r="O8" s="1" t="str">
        <f>IF('Traveller Level'!$C$10&gt;=O$2,"d",IF('Traveller Level'!$C$11&gt;=O$2,"i",""))</f>
        <v>d</v>
      </c>
      <c r="P8" s="1" t="str">
        <f>IF('Traveller Level'!$C$10&gt;=P$2,"d",IF('Traveller Level'!$C$11&gt;=P$2,"i",""))</f>
        <v>d</v>
      </c>
      <c r="Q8" s="1" t="str">
        <f>IF('Traveller Level'!$C$10&gt;=Q$2,"d",IF('Traveller Level'!$C$11&gt;=Q$2,"i",""))</f>
        <v>d</v>
      </c>
      <c r="R8" s="1" t="str">
        <f>IF('Traveller Level'!$C$10&gt;=R$2,"d",IF('Traveller Level'!$C$11&gt;=R$2,"i",""))</f>
        <v>d</v>
      </c>
      <c r="S8" s="122"/>
      <c r="T8" s="121" t="str" cm="1">
        <f t="array" aca="1" ref="T8" ca="1">IF(INDIRECT(_xlfn.CONCAT("'",$A$3," ",$B8,"'!B4"))&gt;=T$2,"d",IF(INDIRECT(_xlfn.CONCAT("'",$A$3," ",$B8,"'!B5"))&gt;=T$2,"i",""))</f>
        <v>d</v>
      </c>
      <c r="U8" s="121" t="str" cm="1">
        <f t="array" aca="1" ref="U8" ca="1">IF(INDIRECT(_xlfn.CONCAT("'",$A$3," ",$B8,"'!B4"))&gt;=U$2,"d",IF(INDIRECT(_xlfn.CONCAT("'",$A$3," ",$B8,"'!B5"))&gt;=U$2,"i",""))</f>
        <v>d</v>
      </c>
      <c r="V8" s="121" t="str" cm="1">
        <f t="array" aca="1" ref="V8" ca="1">IF(INDIRECT(_xlfn.CONCAT("'",$A$3," ",$B8,"'!B4"))&gt;=V$2,"d",IF(INDIRECT(_xlfn.CONCAT("'",$A$3," ",$B8,"'!B5"))&gt;=V$2,"i",""))</f>
        <v>d</v>
      </c>
      <c r="W8" s="121" t="str" cm="1">
        <f t="array" aca="1" ref="W8" ca="1">IF(INDIRECT(_xlfn.CONCAT("'",$A$3," ",$B8,"'!B4"))&gt;=W$2,"d",IF(INDIRECT(_xlfn.CONCAT("'",$A$3," ",$B8,"'!B5"))&gt;=W$2,"i",""))</f>
        <v>d</v>
      </c>
      <c r="X8" s="121" t="str" cm="1">
        <f t="array" aca="1" ref="X8" ca="1">IF(INDIRECT(_xlfn.CONCAT("'",$A$3," ",$B8,"'!B4"))&gt;=X$2,"d",IF(INDIRECT(_xlfn.CONCAT("'",$A$3," ",$B8,"'!B5"))&gt;=X$2,"i",""))</f>
        <v>d</v>
      </c>
      <c r="Y8" s="121" t="str" cm="1">
        <f t="array" aca="1" ref="Y8" ca="1">IF(INDIRECT(_xlfn.CONCAT("'",$A$3," ",$B8,"'!B4"))&gt;=Y$2,"d",IF(INDIRECT(_xlfn.CONCAT("'",$A$3," ",$B8,"'!B5"))&gt;=Y$2,"i",""))</f>
        <v>d</v>
      </c>
      <c r="Z8" s="121" t="str" cm="1">
        <f t="array" aca="1" ref="Z8" ca="1">IF(INDIRECT(_xlfn.CONCAT("'",$A$3," ",$B8,"'!B4"))&gt;=Z$2,"d",IF(INDIRECT(_xlfn.CONCAT("'",$A$3," ",$B8,"'!B5"))&gt;=Z$2,"i",""))</f>
        <v>d</v>
      </c>
      <c r="AA8" s="121" t="str" cm="1">
        <f t="array" aca="1" ref="AA8" ca="1">IF(INDIRECT(_xlfn.CONCAT("'",$A$3," ",$B8,"'!B4"))&gt;=AA$2,"d",IF(INDIRECT(_xlfn.CONCAT("'",$A$3," ",$B8,"'!B5"))&gt;=AA$2,"i",""))</f>
        <v>d</v>
      </c>
      <c r="AB8" s="121" t="str" cm="1">
        <f t="array" aca="1" ref="AB8" ca="1">IF(INDIRECT(_xlfn.CONCAT("'",$A$3," ",$B8,"'!B4"))&gt;=AB$2,"d",IF(INDIRECT(_xlfn.CONCAT("'",$A$3," ",$B8,"'!B5"))&gt;=AB$2,"i",""))</f>
        <v>d</v>
      </c>
      <c r="AC8" s="122"/>
      <c r="AD8" s="121" t="str" cm="1">
        <f t="array" aca="1" ref="AD8" ca="1">IF(INDIRECT(_xlfn.CONCAT("'",$A$3," ",$B8,"'!E4"))&gt;=T$2,"d",IF(INDIRECT(_xlfn.CONCAT("'",$A$3," ",$B8,"'!E5"))&gt;=T$2,"i",""))</f>
        <v>d</v>
      </c>
      <c r="AE8" s="121" t="str" cm="1">
        <f t="array" aca="1" ref="AE8" ca="1">IF(INDIRECT(_xlfn.CONCAT("'",$A$3," ",$B8,"'!E4"))&gt;=U$2,"d",IF(INDIRECT(_xlfn.CONCAT("'",$A$3," ",$B8,"'!E5"))&gt;=U$2,"i",""))</f>
        <v>d</v>
      </c>
      <c r="AF8" s="121" t="str" cm="1">
        <f t="array" aca="1" ref="AF8" ca="1">IF(INDIRECT(_xlfn.CONCAT("'",$A$3," ",$B8,"'!E4"))&gt;=V$2,"d",IF(INDIRECT(_xlfn.CONCAT("'",$A$3," ",$B8,"'!E5"))&gt;=V$2,"i",""))</f>
        <v>d</v>
      </c>
      <c r="AG8" s="121" t="str" cm="1">
        <f t="array" aca="1" ref="AG8" ca="1">IF(INDIRECT(_xlfn.CONCAT("'",$A$3," ",$B8,"'!E4"))&gt;=W$2,"d",IF(INDIRECT(_xlfn.CONCAT("'",$A$3," ",$B8,"'!E5"))&gt;=W$2,"i",""))</f>
        <v>d</v>
      </c>
      <c r="AH8" s="121" t="str" cm="1">
        <f t="array" aca="1" ref="AH8" ca="1">IF(INDIRECT(_xlfn.CONCAT("'",$A$3," ",$B8,"'!E4"))&gt;=X$2,"d",IF(INDIRECT(_xlfn.CONCAT("'",$A$3," ",$B8,"'!E5"))&gt;=X$2,"i",""))</f>
        <v>d</v>
      </c>
      <c r="AI8" s="121" t="str" cm="1">
        <f t="array" aca="1" ref="AI8" ca="1">IF(INDIRECT(_xlfn.CONCAT("'",$A$3," ",$B8,"'!E4"))&gt;=Y$2,"d",IF(INDIRECT(_xlfn.CONCAT("'",$A$3," ",$B8,"'!E5"))&gt;=Y$2,"i",""))</f>
        <v>d</v>
      </c>
      <c r="AJ8" s="121" t="str" cm="1">
        <f t="array" aca="1" ref="AJ8" ca="1">IF(INDIRECT(_xlfn.CONCAT("'",$A$3," ",$B8,"'!E4"))&gt;=Z$2,"d",IF(INDIRECT(_xlfn.CONCAT("'",$A$3," ",$B8,"'!E5"))&gt;=Z$2,"i",""))</f>
        <v>d</v>
      </c>
      <c r="AK8" s="121" t="str" cm="1">
        <f t="array" aca="1" ref="AK8" ca="1">IF(INDIRECT(_xlfn.CONCAT("'",$A$3," ",$B8,"'!E4"))&gt;=AA$2,"d",IF(INDIRECT(_xlfn.CONCAT("'",$A$3," ",$B8,"'!E5"))&gt;=AA$2,"i",""))</f>
        <v>d</v>
      </c>
      <c r="AL8" s="121" t="str" cm="1">
        <f t="array" aca="1" ref="AL8" ca="1">IF(INDIRECT(_xlfn.CONCAT("'",$A$3," ",$B8,"'!E4"))&gt;=AB$2,"d",IF(INDIRECT(_xlfn.CONCAT("'",$A$3," ",$B8,"'!E5"))&gt;=AB$2,"i",""))</f>
        <v>d</v>
      </c>
      <c r="AM8" s="122"/>
      <c r="AN8" s="121" t="str" cm="1">
        <f t="array" aca="1" ref="AN8" ca="1">IF(INDIRECT(_xlfn.CONCAT("'",$A$3," ",$B8,"'!H4"))&gt;=T$2,"d",IF(INDIRECT(_xlfn.CONCAT("'",$A$3," ",$B8,"'!H5"))&gt;=T$2,"i",""))</f>
        <v>d</v>
      </c>
      <c r="AO8" s="121" t="str" cm="1">
        <f t="array" aca="1" ref="AO8" ca="1">IF(INDIRECT(_xlfn.CONCAT("'",$A$3," ",$B8,"'!H4"))&gt;=U$2,"d",IF(INDIRECT(_xlfn.CONCAT("'",$A$3," ",$B8,"'!H5"))&gt;=U$2,"i",""))</f>
        <v>d</v>
      </c>
      <c r="AP8" s="121" t="str" cm="1">
        <f t="array" aca="1" ref="AP8" ca="1">IF(INDIRECT(_xlfn.CONCAT("'",$A$3," ",$B8,"'!H4"))&gt;=V$2,"d",IF(INDIRECT(_xlfn.CONCAT("'",$A$3," ",$B8,"'!H5"))&gt;=V$2,"i",""))</f>
        <v>d</v>
      </c>
      <c r="AQ8" s="121" t="str" cm="1">
        <f t="array" aca="1" ref="AQ8" ca="1">IF(INDIRECT(_xlfn.CONCAT("'",$A$3," ",$B8,"'!H4"))&gt;=W$2,"d",IF(INDIRECT(_xlfn.CONCAT("'",$A$3," ",$B8,"'!H5"))&gt;=W$2,"i",""))</f>
        <v>d</v>
      </c>
      <c r="AR8" s="121" t="str" cm="1">
        <f t="array" aca="1" ref="AR8" ca="1">IF(INDIRECT(_xlfn.CONCAT("'",$A$3," ",$B8,"'!H4"))&gt;=X$2,"d",IF(INDIRECT(_xlfn.CONCAT("'",$A$3," ",$B8,"'!H5"))&gt;=X$2,"i",""))</f>
        <v>d</v>
      </c>
      <c r="AS8" s="121" t="str" cm="1">
        <f t="array" aca="1" ref="AS8" ca="1">IF(INDIRECT(_xlfn.CONCAT("'",$A$3," ",$B8,"'!H4"))&gt;=Y$2,"d",IF(INDIRECT(_xlfn.CONCAT("'",$A$3," ",$B8,"'!H5"))&gt;=Y$2,"i",""))</f>
        <v>d</v>
      </c>
      <c r="AT8" s="121" t="str" cm="1">
        <f t="array" aca="1" ref="AT8" ca="1">IF(INDIRECT(_xlfn.CONCAT("'",$A$3," ",$B8,"'!H4"))&gt;=Z$2,"d",IF(INDIRECT(_xlfn.CONCAT("'",$A$3," ",$B8,"'!H5"))&gt;=Z$2,"i",""))</f>
        <v>d</v>
      </c>
      <c r="AU8" s="121" t="str" cm="1">
        <f t="array" aca="1" ref="AU8" ca="1">IF(INDIRECT(_xlfn.CONCAT("'",$A$3," ",$B8,"'!H4"))&gt;=AA$2,"d",IF(INDIRECT(_xlfn.CONCAT("'",$A$3," ",$B8,"'!H5"))&gt;=AA$2,"i",""))</f>
        <v>d</v>
      </c>
      <c r="AV8" s="120" t="str" cm="1">
        <f t="array" aca="1" ref="AV8" ca="1">IF(INDIRECT(_xlfn.CONCAT("'",$A$3," ",$B8,"'!H4"))&gt;=AB$2,"d",IF(INDIRECT(_xlfn.CONCAT("'",$A$3," ",$B8,"'!H5"))&gt;=AB$2,"i",""))</f>
        <v>d</v>
      </c>
    </row>
    <row r="9" spans="1:48" x14ac:dyDescent="0.25">
      <c r="A9" s="123"/>
      <c r="B9" s="124"/>
      <c r="C9" s="125"/>
      <c r="D9" s="94"/>
      <c r="E9" s="126"/>
      <c r="F9" s="127"/>
      <c r="G9" s="127"/>
      <c r="H9" s="127"/>
      <c r="I9" s="127"/>
      <c r="J9" s="127"/>
      <c r="K9" s="124"/>
      <c r="L9" s="105"/>
      <c r="M9" s="127"/>
      <c r="N9" s="127"/>
      <c r="O9" s="127"/>
      <c r="P9" s="127"/>
      <c r="Q9" s="127"/>
      <c r="R9" s="127"/>
      <c r="S9" s="106"/>
      <c r="T9" s="127"/>
      <c r="U9" s="127"/>
      <c r="V9" s="127"/>
      <c r="W9" s="127"/>
      <c r="X9" s="127"/>
      <c r="Y9" s="127"/>
      <c r="Z9" s="127"/>
      <c r="AA9" s="127"/>
      <c r="AB9" s="127"/>
      <c r="AC9" s="106"/>
      <c r="AD9" s="127"/>
      <c r="AE9" s="127"/>
      <c r="AF9" s="127"/>
      <c r="AG9" s="127"/>
      <c r="AH9" s="127"/>
      <c r="AI9" s="127"/>
      <c r="AJ9" s="127"/>
      <c r="AK9" s="127"/>
      <c r="AL9" s="127"/>
      <c r="AM9" s="106"/>
      <c r="AN9" s="127"/>
      <c r="AO9" s="127"/>
      <c r="AP9" s="127"/>
      <c r="AQ9" s="127"/>
      <c r="AR9" s="127"/>
      <c r="AS9" s="127"/>
      <c r="AT9" s="127"/>
      <c r="AU9" s="127"/>
      <c r="AV9" s="124"/>
    </row>
    <row r="10" spans="1:48" x14ac:dyDescent="0.25">
      <c r="A10" s="107" t="str" cm="1">
        <f t="array" ref="A10:A114">_xlfn.UNIQUE(Character_Name_List)</f>
        <v>Amber</v>
      </c>
      <c r="B10" s="6" t="str">
        <f t="shared" ref="B10:B41" si="0">VLOOKUP(A10,Character_List,2,FALSE)</f>
        <v>Pyro</v>
      </c>
      <c r="C10" s="108" t="str">
        <f t="shared" ref="C10:C41" si="1">VLOOKUP(A10,Character_List,7,FALSE)</f>
        <v>Mondstadt 1</v>
      </c>
      <c r="D10" s="86" t="str">
        <f t="shared" ref="D10:D41" si="2">VLOOKUP(A10,Character_List,8,FALSE)</f>
        <v>Dvalin 3</v>
      </c>
      <c r="E10" s="20" t="str" cm="1">
        <f t="array" aca="1" ref="E10" ca="1">IF(INDIRECT(_xlfn.CONCAT("'",$A10,"'!B4"))&gt;=E$2,"d",IF(INDIRECT(_xlfn.CONCAT("'",$A10,"'!B5"))&gt;=E$2,"i",""))</f>
        <v>d</v>
      </c>
      <c r="F10" s="5" t="str" cm="1">
        <f t="array" aca="1" ref="F10" ca="1">IF(INDIRECT(_xlfn.CONCAT("'",$A10,"'!B4"))&gt;=F$2,"d",IF(INDIRECT(_xlfn.CONCAT("'",$A10,"'!B5"))&gt;=F$2,"i",""))</f>
        <v>d</v>
      </c>
      <c r="G10" s="5" t="str" cm="1">
        <f t="array" aca="1" ref="G10" ca="1">IF(INDIRECT(_xlfn.CONCAT("'",$A10,"'!B4"))&gt;=G$2,"d",IF(INDIRECT(_xlfn.CONCAT("'",$A10,"'!B5"))&gt;=G$2,"i",""))</f>
        <v>d</v>
      </c>
      <c r="H10" s="5" t="str" cm="1">
        <f t="array" aca="1" ref="H10" ca="1">IF(INDIRECT(_xlfn.CONCAT("'",$A10,"'!B4"))&gt;=H$2,"d",IF(INDIRECT(_xlfn.CONCAT("'",$A10,"'!B5"))&gt;=H$2,"i",""))</f>
        <v>d</v>
      </c>
      <c r="I10" s="5" t="str" cm="1">
        <f t="array" aca="1" ref="I10" ca="1">IF(INDIRECT(_xlfn.CONCAT("'",$A10,"'!B4"))&gt;=I$2,"d",IF(INDIRECT(_xlfn.CONCAT("'",$A10,"'!B5"))&gt;=I$2,"i",""))</f>
        <v>d</v>
      </c>
      <c r="J10" s="5" t="str" cm="1">
        <f t="array" aca="1" ref="J10" ca="1">IF(INDIRECT(_xlfn.CONCAT("'",$A10,"'!B4"))&gt;=J$2,"d",IF(INDIRECT(_xlfn.CONCAT("'",$A10,"'!B5"))&gt;=J$2,"i",""))</f>
        <v>d</v>
      </c>
      <c r="K10" s="6" t="str" cm="1">
        <f t="array" aca="1" ref="K10" ca="1">IF(INDIRECT(_xlfn.CONCAT("'",$A10,"'!B4"))&gt;=K$2,"d",IF(INDIRECT(_xlfn.CONCAT("'",$A10,"'!B5"))&gt;=K$2,"i",""))</f>
        <v>d</v>
      </c>
      <c r="L10" s="105"/>
      <c r="M10" s="5" t="str" cm="1">
        <f t="array" aca="1" ref="M10" ca="1">IF(INDIRECT(_xlfn.CONCAT("'",$A10,"'!C10"))&gt;=M$2,"d",IF(INDIRECT(_xlfn.CONCAT("'",$A10,"'!C11"))&gt;=M$2,"i",""))</f>
        <v>d</v>
      </c>
      <c r="N10" s="5" t="str" cm="1">
        <f t="array" aca="1" ref="N10" ca="1">IF(INDIRECT(_xlfn.CONCAT("'",$A10,"'!C10"))&gt;=N$2,"d",IF(INDIRECT(_xlfn.CONCAT("'",$A10,"'!C11"))&gt;=N$2,"i",""))</f>
        <v>d</v>
      </c>
      <c r="O10" s="5" t="str" cm="1">
        <f t="array" aca="1" ref="O10" ca="1">IF(INDIRECT(_xlfn.CONCAT("'",$A10,"'!C10"))&gt;=O$2,"d",IF(INDIRECT(_xlfn.CONCAT("'",$A10,"'!C11"))&gt;=O$2,"i",""))</f>
        <v>d</v>
      </c>
      <c r="P10" s="5" t="str" cm="1">
        <f t="array" aca="1" ref="P10" ca="1">IF(INDIRECT(_xlfn.CONCAT("'",$A10,"'!C10"))&gt;=P$2,"d",IF(INDIRECT(_xlfn.CONCAT("'",$A10,"'!C11"))&gt;=P$2,"i",""))</f>
        <v>d</v>
      </c>
      <c r="Q10" s="5" t="str" cm="1">
        <f t="array" aca="1" ref="Q10" ca="1">IF(INDIRECT(_xlfn.CONCAT("'",$A10,"'!C10"))&gt;=Q$2,"d",IF(INDIRECT(_xlfn.CONCAT("'",$A10,"'!C11"))&gt;=Q$2,"i",""))</f>
        <v>d</v>
      </c>
      <c r="R10" s="5" t="str" cm="1">
        <f t="array" aca="1" ref="R10" ca="1">IF(INDIRECT(_xlfn.CONCAT("'",$A10,"'!C10"))&gt;=R$2,"d",IF(INDIRECT(_xlfn.CONCAT("'",$A10,"'!C11"))&gt;=R$2,"i",""))</f>
        <v>d</v>
      </c>
      <c r="S10" s="106"/>
      <c r="T10" s="5" t="str" cm="1">
        <f t="array" aca="1" ref="T10" ca="1">IF(INDIRECT(_xlfn.CONCAT("'",$A10,"'!F4"))&gt;=T$2,"d",IF(INDIRECT(_xlfn.CONCAT("'",$A10,"'!F5"))&gt;=T$2,"i",""))</f>
        <v>d</v>
      </c>
      <c r="U10" s="5" t="str" cm="1">
        <f t="array" aca="1" ref="U10" ca="1">IF(INDIRECT(_xlfn.CONCAT("'",$A10,"'!F4"))&gt;=U$2,"d",IF(INDIRECT(_xlfn.CONCAT("'",$A10,"'!F5"))&gt;=U$2,"i",""))</f>
        <v>d</v>
      </c>
      <c r="V10" s="5" t="str" cm="1">
        <f t="array" aca="1" ref="V10" ca="1">IF(INDIRECT(_xlfn.CONCAT("'",$A10,"'!F4"))&gt;=V$2,"d",IF(INDIRECT(_xlfn.CONCAT("'",$A10,"'!F5"))&gt;=V$2,"i",""))</f>
        <v>d</v>
      </c>
      <c r="W10" s="5" t="str" cm="1">
        <f t="array" aca="1" ref="W10" ca="1">IF(INDIRECT(_xlfn.CONCAT("'",$A10,"'!F4"))&gt;=W$2,"d",IF(INDIRECT(_xlfn.CONCAT("'",$A10,"'!F5"))&gt;=W$2,"i",""))</f>
        <v>d</v>
      </c>
      <c r="X10" s="5" t="str" cm="1">
        <f t="array" aca="1" ref="X10" ca="1">IF(INDIRECT(_xlfn.CONCAT("'",$A10,"'!F4"))&gt;=X$2,"d",IF(INDIRECT(_xlfn.CONCAT("'",$A10,"'!F5"))&gt;=X$2,"i",""))</f>
        <v>d</v>
      </c>
      <c r="Y10" s="5" t="str" cm="1">
        <f t="array" aca="1" ref="Y10" ca="1">IF(INDIRECT(_xlfn.CONCAT("'",$A10,"'!F4"))&gt;=Y$2,"d",IF(INDIRECT(_xlfn.CONCAT("'",$A10,"'!F5"))&gt;=Y$2,"i",""))</f>
        <v>d</v>
      </c>
      <c r="Z10" s="5" t="str" cm="1">
        <f t="array" aca="1" ref="Z10" ca="1">IF(INDIRECT(_xlfn.CONCAT("'",$A10,"'!F4"))&gt;=Z$2,"d",IF(INDIRECT(_xlfn.CONCAT("'",$A10,"'!F5"))&gt;=Z$2,"i",""))</f>
        <v>d</v>
      </c>
      <c r="AA10" s="5" t="str" cm="1">
        <f t="array" aca="1" ref="AA10" ca="1">IF(INDIRECT(_xlfn.CONCAT("'",$A10,"'!F4"))&gt;=AA$2,"d",IF(INDIRECT(_xlfn.CONCAT("'",$A10,"'!F5"))&gt;=AA$2,"i",""))</f>
        <v>d</v>
      </c>
      <c r="AB10" s="5" t="str" cm="1">
        <f t="array" aca="1" ref="AB10" ca="1">IF(INDIRECT(_xlfn.CONCAT("'",$A10,"'!F4"))&gt;=AB$2,"d",IF(INDIRECT(_xlfn.CONCAT("'",$A10,"'!F5"))&gt;=AB$2,"i",""))</f>
        <v/>
      </c>
      <c r="AC10" s="106"/>
      <c r="AD10" s="5" t="str" cm="1">
        <f t="array" aca="1" ref="AD10" ca="1">IF(INDIRECT(_xlfn.CONCAT("'",$A10,"'!F17"))&gt;=AD$2,"d",IF(INDIRECT(_xlfn.CONCAT("'",$A10,"'!F18"))&gt;=AD$2,"i",""))</f>
        <v>d</v>
      </c>
      <c r="AE10" s="5" t="str" cm="1">
        <f t="array" aca="1" ref="AE10" ca="1">IF(INDIRECT(_xlfn.CONCAT("'",$A10,"'!F17"))&gt;=AE$2,"d",IF(INDIRECT(_xlfn.CONCAT("'",$A10,"'!F18"))&gt;=AE$2,"i",""))</f>
        <v>d</v>
      </c>
      <c r="AF10" s="5" t="str" cm="1">
        <f t="array" aca="1" ref="AF10" ca="1">IF(INDIRECT(_xlfn.CONCAT("'",$A10,"'!F17"))&gt;=AF$2,"d",IF(INDIRECT(_xlfn.CONCAT("'",$A10,"'!F18"))&gt;=AF$2,"i",""))</f>
        <v>d</v>
      </c>
      <c r="AG10" s="5" t="str" cm="1">
        <f t="array" aca="1" ref="AG10" ca="1">IF(INDIRECT(_xlfn.CONCAT("'",$A10,"'!F17"))&gt;=AG$2,"d",IF(INDIRECT(_xlfn.CONCAT("'",$A10,"'!F18"))&gt;=AG$2,"i",""))</f>
        <v>d</v>
      </c>
      <c r="AH10" s="5" t="str" cm="1">
        <f t="array" aca="1" ref="AH10" ca="1">IF(INDIRECT(_xlfn.CONCAT("'",$A10,"'!F17"))&gt;=AH$2,"d",IF(INDIRECT(_xlfn.CONCAT("'",$A10,"'!F18"))&gt;=AH$2,"i",""))</f>
        <v>d</v>
      </c>
      <c r="AI10" s="5" t="str" cm="1">
        <f t="array" aca="1" ref="AI10" ca="1">IF(INDIRECT(_xlfn.CONCAT("'",$A10,"'!F17"))&gt;=AI$2,"d",IF(INDIRECT(_xlfn.CONCAT("'",$A10,"'!F18"))&gt;=AI$2,"i",""))</f>
        <v>d</v>
      </c>
      <c r="AJ10" s="5" t="str" cm="1">
        <f t="array" aca="1" ref="AJ10" ca="1">IF(INDIRECT(_xlfn.CONCAT("'",$A10,"'!F17"))&gt;=AJ$2,"d",IF(INDIRECT(_xlfn.CONCAT("'",$A10,"'!F18"))&gt;=AJ$2,"i",""))</f>
        <v>d</v>
      </c>
      <c r="AK10" s="5" t="str" cm="1">
        <f t="array" aca="1" ref="AK10" ca="1">IF(INDIRECT(_xlfn.CONCAT("'",$A10,"'!F17"))&gt;=AK$2,"d",IF(INDIRECT(_xlfn.CONCAT("'",$A10,"'!F18"))&gt;=AK$2,"i",""))</f>
        <v>d</v>
      </c>
      <c r="AL10" s="5" t="str" cm="1">
        <f t="array" aca="1" ref="AL10" ca="1">IF(INDIRECT(_xlfn.CONCAT("'",$A10,"'!F17"))&gt;=AL$2,"d",IF(INDIRECT(_xlfn.CONCAT("'",$A10,"'!F18"))&gt;=AL$2,"i",""))</f>
        <v/>
      </c>
      <c r="AM10" s="106"/>
      <c r="AN10" s="5" t="str" cm="1">
        <f t="array" aca="1" ref="AN10" ca="1">IF(INDIRECT(_xlfn.CONCAT("'",$A10,"'!F30"))&gt;=AN$2,"d",IF(INDIRECT(_xlfn.CONCAT("'",$A10,"'!F31"))&gt;=AN$2,"i",""))</f>
        <v>d</v>
      </c>
      <c r="AO10" s="5" t="str" cm="1">
        <f t="array" aca="1" ref="AO10" ca="1">IF(INDIRECT(_xlfn.CONCAT("'",$A10,"'!F30"))&gt;=AO$2,"d",IF(INDIRECT(_xlfn.CONCAT("'",$A10,"'!F31"))&gt;=AO$2,"i",""))</f>
        <v>d</v>
      </c>
      <c r="AP10" s="5" t="str" cm="1">
        <f t="array" aca="1" ref="AP10" ca="1">IF(INDIRECT(_xlfn.CONCAT("'",$A10,"'!F30"))&gt;=AP$2,"d",IF(INDIRECT(_xlfn.CONCAT("'",$A10,"'!F31"))&gt;=AP$2,"i",""))</f>
        <v>d</v>
      </c>
      <c r="AQ10" s="5" t="str" cm="1">
        <f t="array" aca="1" ref="AQ10" ca="1">IF(INDIRECT(_xlfn.CONCAT("'",$A10,"'!F30"))&gt;=AQ$2,"d",IF(INDIRECT(_xlfn.CONCAT("'",$A10,"'!F31"))&gt;=AQ$2,"i",""))</f>
        <v>d</v>
      </c>
      <c r="AR10" s="5" t="str" cm="1">
        <f t="array" aca="1" ref="AR10" ca="1">IF(INDIRECT(_xlfn.CONCAT("'",$A10,"'!F30"))&gt;=AR$2,"d",IF(INDIRECT(_xlfn.CONCAT("'",$A10,"'!F31"))&gt;=AR$2,"i",""))</f>
        <v>d</v>
      </c>
      <c r="AS10" s="5" t="str" cm="1">
        <f t="array" aca="1" ref="AS10" ca="1">IF(INDIRECT(_xlfn.CONCAT("'",$A10,"'!F30"))&gt;=AS$2,"d",IF(INDIRECT(_xlfn.CONCAT("'",$A10,"'!F31"))&gt;=AS$2,"i",""))</f>
        <v>d</v>
      </c>
      <c r="AT10" s="5" t="str" cm="1">
        <f t="array" aca="1" ref="AT10" ca="1">IF(INDIRECT(_xlfn.CONCAT("'",$A10,"'!F30"))&gt;=AT$2,"d",IF(INDIRECT(_xlfn.CONCAT("'",$A10,"'!F31"))&gt;=AT$2,"i",""))</f>
        <v>d</v>
      </c>
      <c r="AU10" s="5" t="str" cm="1">
        <f t="array" aca="1" ref="AU10" ca="1">IF(INDIRECT(_xlfn.CONCAT("'",$A10,"'!F30"))&gt;=AU$2,"d",IF(INDIRECT(_xlfn.CONCAT("'",$A10,"'!F31"))&gt;=AU$2,"i",""))</f>
        <v>d</v>
      </c>
      <c r="AV10" s="6" t="str" cm="1">
        <f t="array" aca="1" ref="AV10" ca="1">IF(INDIRECT(_xlfn.CONCAT("'",$A10,"'!F30"))&gt;=AV$2,"d",IF(INDIRECT(_xlfn.CONCAT("'",$A10,"'!F31"))&gt;=AV$2,"i",""))</f>
        <v/>
      </c>
    </row>
    <row r="11" spans="1:48" x14ac:dyDescent="0.25">
      <c r="A11" s="101" t="str">
        <v>Lisa</v>
      </c>
      <c r="B11" s="4" t="str">
        <f t="shared" si="0"/>
        <v>Electro</v>
      </c>
      <c r="C11" s="38" t="str">
        <f t="shared" si="1"/>
        <v>Mondstadt 3</v>
      </c>
      <c r="D11" s="85" t="str">
        <f t="shared" si="2"/>
        <v>Dvalin 2</v>
      </c>
      <c r="E11" s="14" t="str" cm="1">
        <f t="array" aca="1" ref="E11" ca="1">IF(INDIRECT(_xlfn.CONCAT("'",$A11,"'!B4"))&gt;=E$2,"d",IF(INDIRECT(_xlfn.CONCAT("'",$A11,"'!B5"))&gt;=E$2,"i",""))</f>
        <v>d</v>
      </c>
      <c r="F11" s="1" t="str" cm="1">
        <f t="array" aca="1" ref="F11" ca="1">IF(INDIRECT(_xlfn.CONCAT("'",$A11,"'!B4"))&gt;=F$2,"d",IF(INDIRECT(_xlfn.CONCAT("'",$A11,"'!B5"))&gt;=F$2,"i",""))</f>
        <v>d</v>
      </c>
      <c r="G11" s="1" t="str" cm="1">
        <f t="array" aca="1" ref="G11" ca="1">IF(INDIRECT(_xlfn.CONCAT("'",$A11,"'!B4"))&gt;=G$2,"d",IF(INDIRECT(_xlfn.CONCAT("'",$A11,"'!B5"))&gt;=G$2,"i",""))</f>
        <v>d</v>
      </c>
      <c r="H11" s="1" t="str" cm="1">
        <f t="array" aca="1" ref="H11" ca="1">IF(INDIRECT(_xlfn.CONCAT("'",$A11,"'!B4"))&gt;=H$2,"d",IF(INDIRECT(_xlfn.CONCAT("'",$A11,"'!B5"))&gt;=H$2,"i",""))</f>
        <v>d</v>
      </c>
      <c r="I11" s="1" t="str" cm="1">
        <f t="array" aca="1" ref="I11" ca="1">IF(INDIRECT(_xlfn.CONCAT("'",$A11,"'!B4"))&gt;=I$2,"d",IF(INDIRECT(_xlfn.CONCAT("'",$A11,"'!B5"))&gt;=I$2,"i",""))</f>
        <v>d</v>
      </c>
      <c r="J11" s="1" t="str" cm="1">
        <f t="array" aca="1" ref="J11" ca="1">IF(INDIRECT(_xlfn.CONCAT("'",$A11,"'!B4"))&gt;=J$2,"d",IF(INDIRECT(_xlfn.CONCAT("'",$A11,"'!B5"))&gt;=J$2,"i",""))</f>
        <v>d</v>
      </c>
      <c r="K11" s="4" t="str" cm="1">
        <f t="array" aca="1" ref="K11" ca="1">IF(INDIRECT(_xlfn.CONCAT("'",$A11,"'!B4"))&gt;=K$2,"d",IF(INDIRECT(_xlfn.CONCAT("'",$A11,"'!B5"))&gt;=K$2,"i",""))</f>
        <v>d</v>
      </c>
      <c r="L11" s="39"/>
      <c r="M11" s="1" t="str" cm="1">
        <f t="array" aca="1" ref="M11" ca="1">IF(INDIRECT(_xlfn.CONCAT("'",$A11,"'!C10"))&gt;=M$2,"d",IF(INDIRECT(_xlfn.CONCAT("'",$A11,"'!C11"))&gt;=M$2,"i",""))</f>
        <v>d</v>
      </c>
      <c r="N11" s="1" t="str" cm="1">
        <f t="array" aca="1" ref="N11" ca="1">IF(INDIRECT(_xlfn.CONCAT("'",$A11,"'!C10"))&gt;=N$2,"d",IF(INDIRECT(_xlfn.CONCAT("'",$A11,"'!C11"))&gt;=N$2,"i",""))</f>
        <v>d</v>
      </c>
      <c r="O11" s="1" t="str" cm="1">
        <f t="array" aca="1" ref="O11" ca="1">IF(INDIRECT(_xlfn.CONCAT("'",$A11,"'!C10"))&gt;=O$2,"d",IF(INDIRECT(_xlfn.CONCAT("'",$A11,"'!C11"))&gt;=O$2,"i",""))</f>
        <v>d</v>
      </c>
      <c r="P11" s="1" t="str" cm="1">
        <f t="array" aca="1" ref="P11" ca="1">IF(INDIRECT(_xlfn.CONCAT("'",$A11,"'!C10"))&gt;=P$2,"d",IF(INDIRECT(_xlfn.CONCAT("'",$A11,"'!C11"))&gt;=P$2,"i",""))</f>
        <v>d</v>
      </c>
      <c r="Q11" s="1" t="str" cm="1">
        <f t="array" aca="1" ref="Q11" ca="1">IF(INDIRECT(_xlfn.CONCAT("'",$A11,"'!C10"))&gt;=Q$2,"d",IF(INDIRECT(_xlfn.CONCAT("'",$A11,"'!C11"))&gt;=Q$2,"i",""))</f>
        <v>d</v>
      </c>
      <c r="R11" s="1" t="str" cm="1">
        <f t="array" aca="1" ref="R11" ca="1">IF(INDIRECT(_xlfn.CONCAT("'",$A11,"'!C10"))&gt;=R$2,"d",IF(INDIRECT(_xlfn.CONCAT("'",$A11,"'!C11"))&gt;=R$2,"i",""))</f>
        <v>d</v>
      </c>
      <c r="S11" s="36"/>
      <c r="T11" s="1" t="str" cm="1">
        <f t="array" aca="1" ref="T11" ca="1">IF(INDIRECT(_xlfn.CONCAT("'",$A11,"'!F4"))&gt;=T$2,"d",IF(INDIRECT(_xlfn.CONCAT("'",$A11,"'!F5"))&gt;=T$2,"i",""))</f>
        <v>d</v>
      </c>
      <c r="U11" s="1" t="str" cm="1">
        <f t="array" aca="1" ref="U11" ca="1">IF(INDIRECT(_xlfn.CONCAT("'",$A11,"'!F4"))&gt;=U$2,"d",IF(INDIRECT(_xlfn.CONCAT("'",$A11,"'!F5"))&gt;=U$2,"i",""))</f>
        <v>d</v>
      </c>
      <c r="V11" s="1" t="str" cm="1">
        <f t="array" aca="1" ref="V11" ca="1">IF(INDIRECT(_xlfn.CONCAT("'",$A11,"'!F4"))&gt;=V$2,"d",IF(INDIRECT(_xlfn.CONCAT("'",$A11,"'!F5"))&gt;=V$2,"i",""))</f>
        <v>d</v>
      </c>
      <c r="W11" s="1" t="str" cm="1">
        <f t="array" aca="1" ref="W11" ca="1">IF(INDIRECT(_xlfn.CONCAT("'",$A11,"'!F4"))&gt;=W$2,"d",IF(INDIRECT(_xlfn.CONCAT("'",$A11,"'!F5"))&gt;=W$2,"i",""))</f>
        <v>d</v>
      </c>
      <c r="X11" s="1" t="str" cm="1">
        <f t="array" aca="1" ref="X11" ca="1">IF(INDIRECT(_xlfn.CONCAT("'",$A11,"'!F4"))&gt;=X$2,"d",IF(INDIRECT(_xlfn.CONCAT("'",$A11,"'!F5"))&gt;=X$2,"i",""))</f>
        <v>d</v>
      </c>
      <c r="Y11" s="1" t="str" cm="1">
        <f t="array" aca="1" ref="Y11" ca="1">IF(INDIRECT(_xlfn.CONCAT("'",$A11,"'!F4"))&gt;=Y$2,"d",IF(INDIRECT(_xlfn.CONCAT("'",$A11,"'!F5"))&gt;=Y$2,"i",""))</f>
        <v>d</v>
      </c>
      <c r="Z11" s="1" t="str" cm="1">
        <f t="array" aca="1" ref="Z11" ca="1">IF(INDIRECT(_xlfn.CONCAT("'",$A11,"'!F4"))&gt;=Z$2,"d",IF(INDIRECT(_xlfn.CONCAT("'",$A11,"'!F5"))&gt;=Z$2,"i",""))</f>
        <v>d</v>
      </c>
      <c r="AA11" s="1" t="str" cm="1">
        <f t="array" aca="1" ref="AA11" ca="1">IF(INDIRECT(_xlfn.CONCAT("'",$A11,"'!F4"))&gt;=AA$2,"d",IF(INDIRECT(_xlfn.CONCAT("'",$A11,"'!F5"))&gt;=AA$2,"i",""))</f>
        <v>d</v>
      </c>
      <c r="AB11" s="1" t="str" cm="1">
        <f t="array" aca="1" ref="AB11" ca="1">IF(INDIRECT(_xlfn.CONCAT("'",$A11,"'!F4"))&gt;=AB$2,"d",IF(INDIRECT(_xlfn.CONCAT("'",$A11,"'!F5"))&gt;=AB$2,"i",""))</f>
        <v/>
      </c>
      <c r="AC11" s="36"/>
      <c r="AD11" s="1" t="str" cm="1">
        <f t="array" aca="1" ref="AD11" ca="1">IF(INDIRECT(_xlfn.CONCAT("'",$A11,"'!F17"))&gt;=AD$2,"d",IF(INDIRECT(_xlfn.CONCAT("'",$A11,"'!F18"))&gt;=AD$2,"i",""))</f>
        <v>d</v>
      </c>
      <c r="AE11" s="1" t="str" cm="1">
        <f t="array" aca="1" ref="AE11" ca="1">IF(INDIRECT(_xlfn.CONCAT("'",$A11,"'!F17"))&gt;=AE$2,"d",IF(INDIRECT(_xlfn.CONCAT("'",$A11,"'!F18"))&gt;=AE$2,"i",""))</f>
        <v>d</v>
      </c>
      <c r="AF11" s="1" t="str" cm="1">
        <f t="array" aca="1" ref="AF11" ca="1">IF(INDIRECT(_xlfn.CONCAT("'",$A11,"'!F17"))&gt;=AF$2,"d",IF(INDIRECT(_xlfn.CONCAT("'",$A11,"'!F18"))&gt;=AF$2,"i",""))</f>
        <v>d</v>
      </c>
      <c r="AG11" s="1" t="str" cm="1">
        <f t="array" aca="1" ref="AG11" ca="1">IF(INDIRECT(_xlfn.CONCAT("'",$A11,"'!F17"))&gt;=AG$2,"d",IF(INDIRECT(_xlfn.CONCAT("'",$A11,"'!F18"))&gt;=AG$2,"i",""))</f>
        <v>d</v>
      </c>
      <c r="AH11" s="1" t="str" cm="1">
        <f t="array" aca="1" ref="AH11" ca="1">IF(INDIRECT(_xlfn.CONCAT("'",$A11,"'!F17"))&gt;=AH$2,"d",IF(INDIRECT(_xlfn.CONCAT("'",$A11,"'!F18"))&gt;=AH$2,"i",""))</f>
        <v>d</v>
      </c>
      <c r="AI11" s="1" t="str" cm="1">
        <f t="array" aca="1" ref="AI11" ca="1">IF(INDIRECT(_xlfn.CONCAT("'",$A11,"'!F17"))&gt;=AI$2,"d",IF(INDIRECT(_xlfn.CONCAT("'",$A11,"'!F18"))&gt;=AI$2,"i",""))</f>
        <v>d</v>
      </c>
      <c r="AJ11" s="1" t="str" cm="1">
        <f t="array" aca="1" ref="AJ11" ca="1">IF(INDIRECT(_xlfn.CONCAT("'",$A11,"'!F17"))&gt;=AJ$2,"d",IF(INDIRECT(_xlfn.CONCAT("'",$A11,"'!F18"))&gt;=AJ$2,"i",""))</f>
        <v>d</v>
      </c>
      <c r="AK11" s="1" t="str" cm="1">
        <f t="array" aca="1" ref="AK11" ca="1">IF(INDIRECT(_xlfn.CONCAT("'",$A11,"'!F17"))&gt;=AK$2,"d",IF(INDIRECT(_xlfn.CONCAT("'",$A11,"'!F18"))&gt;=AK$2,"i",""))</f>
        <v>d</v>
      </c>
      <c r="AL11" s="1" t="str" cm="1">
        <f t="array" aca="1" ref="AL11" ca="1">IF(INDIRECT(_xlfn.CONCAT("'",$A11,"'!F17"))&gt;=AL$2,"d",IF(INDIRECT(_xlfn.CONCAT("'",$A11,"'!F18"))&gt;=AL$2,"i",""))</f>
        <v/>
      </c>
      <c r="AM11" s="36"/>
      <c r="AN11" s="1" t="str" cm="1">
        <f t="array" aca="1" ref="AN11" ca="1">IF(INDIRECT(_xlfn.CONCAT("'",$A11,"'!F30"))&gt;=AN$2,"d",IF(INDIRECT(_xlfn.CONCAT("'",$A11,"'!F31"))&gt;=AN$2,"i",""))</f>
        <v>d</v>
      </c>
      <c r="AO11" s="1" t="str" cm="1">
        <f t="array" aca="1" ref="AO11" ca="1">IF(INDIRECT(_xlfn.CONCAT("'",$A11,"'!F30"))&gt;=AO$2,"d",IF(INDIRECT(_xlfn.CONCAT("'",$A11,"'!F31"))&gt;=AO$2,"i",""))</f>
        <v>d</v>
      </c>
      <c r="AP11" s="1" t="str" cm="1">
        <f t="array" aca="1" ref="AP11" ca="1">IF(INDIRECT(_xlfn.CONCAT("'",$A11,"'!F30"))&gt;=AP$2,"d",IF(INDIRECT(_xlfn.CONCAT("'",$A11,"'!F31"))&gt;=AP$2,"i",""))</f>
        <v>d</v>
      </c>
      <c r="AQ11" s="1" t="str" cm="1">
        <f t="array" aca="1" ref="AQ11" ca="1">IF(INDIRECT(_xlfn.CONCAT("'",$A11,"'!F30"))&gt;=AQ$2,"d",IF(INDIRECT(_xlfn.CONCAT("'",$A11,"'!F31"))&gt;=AQ$2,"i",""))</f>
        <v>d</v>
      </c>
      <c r="AR11" s="1" t="str" cm="1">
        <f t="array" aca="1" ref="AR11" ca="1">IF(INDIRECT(_xlfn.CONCAT("'",$A11,"'!F30"))&gt;=AR$2,"d",IF(INDIRECT(_xlfn.CONCAT("'",$A11,"'!F31"))&gt;=AR$2,"i",""))</f>
        <v>d</v>
      </c>
      <c r="AS11" s="1" t="str" cm="1">
        <f t="array" aca="1" ref="AS11" ca="1">IF(INDIRECT(_xlfn.CONCAT("'",$A11,"'!F30"))&gt;=AS$2,"d",IF(INDIRECT(_xlfn.CONCAT("'",$A11,"'!F31"))&gt;=AS$2,"i",""))</f>
        <v>d</v>
      </c>
      <c r="AT11" s="1" t="str" cm="1">
        <f t="array" aca="1" ref="AT11" ca="1">IF(INDIRECT(_xlfn.CONCAT("'",$A11,"'!F30"))&gt;=AT$2,"d",IF(INDIRECT(_xlfn.CONCAT("'",$A11,"'!F31"))&gt;=AT$2,"i",""))</f>
        <v>d</v>
      </c>
      <c r="AU11" s="1" t="str" cm="1">
        <f t="array" aca="1" ref="AU11" ca="1">IF(INDIRECT(_xlfn.CONCAT("'",$A11,"'!F30"))&gt;=AU$2,"d",IF(INDIRECT(_xlfn.CONCAT("'",$A11,"'!F31"))&gt;=AU$2,"i",""))</f>
        <v>d</v>
      </c>
      <c r="AV11" s="4" t="str" cm="1">
        <f t="array" aca="1" ref="AV11" ca="1">IF(INDIRECT(_xlfn.CONCAT("'",$A11,"'!F30"))&gt;=AV$2,"d",IF(INDIRECT(_xlfn.CONCAT("'",$A11,"'!F31"))&gt;=AV$2,"i",""))</f>
        <v/>
      </c>
    </row>
    <row r="12" spans="1:48" x14ac:dyDescent="0.25">
      <c r="A12" s="101" t="str">
        <v>Razor</v>
      </c>
      <c r="B12" s="4" t="str">
        <f t="shared" si="0"/>
        <v>Electro</v>
      </c>
      <c r="C12" s="38" t="str">
        <f t="shared" si="1"/>
        <v>Mondstadt 2</v>
      </c>
      <c r="D12" s="85" t="str">
        <f t="shared" si="2"/>
        <v>Dvalin 2</v>
      </c>
      <c r="E12" s="14" t="str" cm="1">
        <f t="array" aca="1" ref="E12" ca="1">IF(INDIRECT(_xlfn.CONCAT("'",$A12,"'!B4"))&gt;=E$2,"d",IF(INDIRECT(_xlfn.CONCAT("'",$A12,"'!B5"))&gt;=E$2,"i",""))</f>
        <v>d</v>
      </c>
      <c r="F12" s="1" t="str" cm="1">
        <f t="array" aca="1" ref="F12" ca="1">IF(INDIRECT(_xlfn.CONCAT("'",$A12,"'!B4"))&gt;=F$2,"d",IF(INDIRECT(_xlfn.CONCAT("'",$A12,"'!B5"))&gt;=F$2,"i",""))</f>
        <v>d</v>
      </c>
      <c r="G12" s="1" t="str" cm="1">
        <f t="array" aca="1" ref="G12" ca="1">IF(INDIRECT(_xlfn.CONCAT("'",$A12,"'!B4"))&gt;=G$2,"d",IF(INDIRECT(_xlfn.CONCAT("'",$A12,"'!B5"))&gt;=G$2,"i",""))</f>
        <v>d</v>
      </c>
      <c r="H12" s="1" t="str" cm="1">
        <f t="array" aca="1" ref="H12" ca="1">IF(INDIRECT(_xlfn.CONCAT("'",$A12,"'!B4"))&gt;=H$2,"d",IF(INDIRECT(_xlfn.CONCAT("'",$A12,"'!B5"))&gt;=H$2,"i",""))</f>
        <v>d</v>
      </c>
      <c r="I12" s="1" t="str" cm="1">
        <f t="array" aca="1" ref="I12" ca="1">IF(INDIRECT(_xlfn.CONCAT("'",$A12,"'!B4"))&gt;=I$2,"d",IF(INDIRECT(_xlfn.CONCAT("'",$A12,"'!B5"))&gt;=I$2,"i",""))</f>
        <v>d</v>
      </c>
      <c r="J12" s="1" t="str" cm="1">
        <f t="array" aca="1" ref="J12" ca="1">IF(INDIRECT(_xlfn.CONCAT("'",$A12,"'!B4"))&gt;=J$2,"d",IF(INDIRECT(_xlfn.CONCAT("'",$A12,"'!B5"))&gt;=J$2,"i",""))</f>
        <v>d</v>
      </c>
      <c r="K12" s="4" t="str" cm="1">
        <f t="array" aca="1" ref="K12" ca="1">IF(INDIRECT(_xlfn.CONCAT("'",$A12,"'!B4"))&gt;=K$2,"d",IF(INDIRECT(_xlfn.CONCAT("'",$A12,"'!B5"))&gt;=K$2,"i",""))</f>
        <v>d</v>
      </c>
      <c r="L12" s="39"/>
      <c r="M12" s="1" t="str" cm="1">
        <f t="array" aca="1" ref="M12" ca="1">IF(INDIRECT(_xlfn.CONCAT("'",$A12,"'!C10"))&gt;=M$2,"d",IF(INDIRECT(_xlfn.CONCAT("'",$A12,"'!C11"))&gt;=M$2,"i",""))</f>
        <v>d</v>
      </c>
      <c r="N12" s="1" t="str" cm="1">
        <f t="array" aca="1" ref="N12" ca="1">IF(INDIRECT(_xlfn.CONCAT("'",$A12,"'!C10"))&gt;=N$2,"d",IF(INDIRECT(_xlfn.CONCAT("'",$A12,"'!C11"))&gt;=N$2,"i",""))</f>
        <v>d</v>
      </c>
      <c r="O12" s="1" t="str" cm="1">
        <f t="array" aca="1" ref="O12" ca="1">IF(INDIRECT(_xlfn.CONCAT("'",$A12,"'!C10"))&gt;=O$2,"d",IF(INDIRECT(_xlfn.CONCAT("'",$A12,"'!C11"))&gt;=O$2,"i",""))</f>
        <v>d</v>
      </c>
      <c r="P12" s="1" t="str" cm="1">
        <f t="array" aca="1" ref="P12" ca="1">IF(INDIRECT(_xlfn.CONCAT("'",$A12,"'!C10"))&gt;=P$2,"d",IF(INDIRECT(_xlfn.CONCAT("'",$A12,"'!C11"))&gt;=P$2,"i",""))</f>
        <v>d</v>
      </c>
      <c r="Q12" s="1" t="str" cm="1">
        <f t="array" aca="1" ref="Q12" ca="1">IF(INDIRECT(_xlfn.CONCAT("'",$A12,"'!C10"))&gt;=Q$2,"d",IF(INDIRECT(_xlfn.CONCAT("'",$A12,"'!C11"))&gt;=Q$2,"i",""))</f>
        <v>d</v>
      </c>
      <c r="R12" s="1" t="str" cm="1">
        <f t="array" aca="1" ref="R12" ca="1">IF(INDIRECT(_xlfn.CONCAT("'",$A12,"'!C10"))&gt;=R$2,"d",IF(INDIRECT(_xlfn.CONCAT("'",$A12,"'!C11"))&gt;=R$2,"i",""))</f>
        <v>d</v>
      </c>
      <c r="S12" s="36"/>
      <c r="T12" s="1" t="str" cm="1">
        <f t="array" aca="1" ref="T12" ca="1">IF(INDIRECT(_xlfn.CONCAT("'",$A12,"'!F4"))&gt;=T$2,"d",IF(INDIRECT(_xlfn.CONCAT("'",$A12,"'!F5"))&gt;=T$2,"i",""))</f>
        <v>d</v>
      </c>
      <c r="U12" s="1" t="str" cm="1">
        <f t="array" aca="1" ref="U12" ca="1">IF(INDIRECT(_xlfn.CONCAT("'",$A12,"'!F4"))&gt;=U$2,"d",IF(INDIRECT(_xlfn.CONCAT("'",$A12,"'!F5"))&gt;=U$2,"i",""))</f>
        <v>d</v>
      </c>
      <c r="V12" s="1" t="str" cm="1">
        <f t="array" aca="1" ref="V12" ca="1">IF(INDIRECT(_xlfn.CONCAT("'",$A12,"'!F4"))&gt;=V$2,"d",IF(INDIRECT(_xlfn.CONCAT("'",$A12,"'!F5"))&gt;=V$2,"i",""))</f>
        <v>d</v>
      </c>
      <c r="W12" s="1" t="str" cm="1">
        <f t="array" aca="1" ref="W12" ca="1">IF(INDIRECT(_xlfn.CONCAT("'",$A12,"'!F4"))&gt;=W$2,"d",IF(INDIRECT(_xlfn.CONCAT("'",$A12,"'!F5"))&gt;=W$2,"i",""))</f>
        <v>d</v>
      </c>
      <c r="X12" s="1" t="str" cm="1">
        <f t="array" aca="1" ref="X12" ca="1">IF(INDIRECT(_xlfn.CONCAT("'",$A12,"'!F4"))&gt;=X$2,"d",IF(INDIRECT(_xlfn.CONCAT("'",$A12,"'!F5"))&gt;=X$2,"i",""))</f>
        <v>d</v>
      </c>
      <c r="Y12" s="1" t="str" cm="1">
        <f t="array" aca="1" ref="Y12" ca="1">IF(INDIRECT(_xlfn.CONCAT("'",$A12,"'!F4"))&gt;=Y$2,"d",IF(INDIRECT(_xlfn.CONCAT("'",$A12,"'!F5"))&gt;=Y$2,"i",""))</f>
        <v>d</v>
      </c>
      <c r="Z12" s="1" t="str" cm="1">
        <f t="array" aca="1" ref="Z12" ca="1">IF(INDIRECT(_xlfn.CONCAT("'",$A12,"'!F4"))&gt;=Z$2,"d",IF(INDIRECT(_xlfn.CONCAT("'",$A12,"'!F5"))&gt;=Z$2,"i",""))</f>
        <v>d</v>
      </c>
      <c r="AA12" s="1" t="str" cm="1">
        <f t="array" aca="1" ref="AA12" ca="1">IF(INDIRECT(_xlfn.CONCAT("'",$A12,"'!F4"))&gt;=AA$2,"d",IF(INDIRECT(_xlfn.CONCAT("'",$A12,"'!F5"))&gt;=AA$2,"i",""))</f>
        <v>d</v>
      </c>
      <c r="AB12" s="1" t="str" cm="1">
        <f t="array" aca="1" ref="AB12" ca="1">IF(INDIRECT(_xlfn.CONCAT("'",$A12,"'!F4"))&gt;=AB$2,"d",IF(INDIRECT(_xlfn.CONCAT("'",$A12,"'!F5"))&gt;=AB$2,"i",""))</f>
        <v/>
      </c>
      <c r="AC12" s="36"/>
      <c r="AD12" s="1" t="str" cm="1">
        <f t="array" aca="1" ref="AD12" ca="1">IF(INDIRECT(_xlfn.CONCAT("'",$A12,"'!F17"))&gt;=AD$2,"d",IF(INDIRECT(_xlfn.CONCAT("'",$A12,"'!F18"))&gt;=AD$2,"i",""))</f>
        <v>d</v>
      </c>
      <c r="AE12" s="1" t="str" cm="1">
        <f t="array" aca="1" ref="AE12" ca="1">IF(INDIRECT(_xlfn.CONCAT("'",$A12,"'!F17"))&gt;=AE$2,"d",IF(INDIRECT(_xlfn.CONCAT("'",$A12,"'!F18"))&gt;=AE$2,"i",""))</f>
        <v>d</v>
      </c>
      <c r="AF12" s="1" t="str" cm="1">
        <f t="array" aca="1" ref="AF12" ca="1">IF(INDIRECT(_xlfn.CONCAT("'",$A12,"'!F17"))&gt;=AF$2,"d",IF(INDIRECT(_xlfn.CONCAT("'",$A12,"'!F18"))&gt;=AF$2,"i",""))</f>
        <v>d</v>
      </c>
      <c r="AG12" s="1" t="str" cm="1">
        <f t="array" aca="1" ref="AG12" ca="1">IF(INDIRECT(_xlfn.CONCAT("'",$A12,"'!F17"))&gt;=AG$2,"d",IF(INDIRECT(_xlfn.CONCAT("'",$A12,"'!F18"))&gt;=AG$2,"i",""))</f>
        <v>d</v>
      </c>
      <c r="AH12" s="1" t="str" cm="1">
        <f t="array" aca="1" ref="AH12" ca="1">IF(INDIRECT(_xlfn.CONCAT("'",$A12,"'!F17"))&gt;=AH$2,"d",IF(INDIRECT(_xlfn.CONCAT("'",$A12,"'!F18"))&gt;=AH$2,"i",""))</f>
        <v>d</v>
      </c>
      <c r="AI12" s="1" t="str" cm="1">
        <f t="array" aca="1" ref="AI12" ca="1">IF(INDIRECT(_xlfn.CONCAT("'",$A12,"'!F17"))&gt;=AI$2,"d",IF(INDIRECT(_xlfn.CONCAT("'",$A12,"'!F18"))&gt;=AI$2,"i",""))</f>
        <v>d</v>
      </c>
      <c r="AJ12" s="1" t="str" cm="1">
        <f t="array" aca="1" ref="AJ12" ca="1">IF(INDIRECT(_xlfn.CONCAT("'",$A12,"'!F17"))&gt;=AJ$2,"d",IF(INDIRECT(_xlfn.CONCAT("'",$A12,"'!F18"))&gt;=AJ$2,"i",""))</f>
        <v>d</v>
      </c>
      <c r="AK12" s="1" t="str" cm="1">
        <f t="array" aca="1" ref="AK12" ca="1">IF(INDIRECT(_xlfn.CONCAT("'",$A12,"'!F17"))&gt;=AK$2,"d",IF(INDIRECT(_xlfn.CONCAT("'",$A12,"'!F18"))&gt;=AK$2,"i",""))</f>
        <v>d</v>
      </c>
      <c r="AL12" s="1" t="str" cm="1">
        <f t="array" aca="1" ref="AL12" ca="1">IF(INDIRECT(_xlfn.CONCAT("'",$A12,"'!F17"))&gt;=AL$2,"d",IF(INDIRECT(_xlfn.CONCAT("'",$A12,"'!F18"))&gt;=AL$2,"i",""))</f>
        <v/>
      </c>
      <c r="AM12" s="36"/>
      <c r="AN12" s="1" t="str" cm="1">
        <f t="array" aca="1" ref="AN12" ca="1">IF(INDIRECT(_xlfn.CONCAT("'",$A12,"'!F30"))&gt;=AN$2,"d",IF(INDIRECT(_xlfn.CONCAT("'",$A12,"'!F31"))&gt;=AN$2,"i",""))</f>
        <v>d</v>
      </c>
      <c r="AO12" s="1" t="str" cm="1">
        <f t="array" aca="1" ref="AO12" ca="1">IF(INDIRECT(_xlfn.CONCAT("'",$A12,"'!F30"))&gt;=AO$2,"d",IF(INDIRECT(_xlfn.CONCAT("'",$A12,"'!F31"))&gt;=AO$2,"i",""))</f>
        <v>d</v>
      </c>
      <c r="AP12" s="1" t="str" cm="1">
        <f t="array" aca="1" ref="AP12" ca="1">IF(INDIRECT(_xlfn.CONCAT("'",$A12,"'!F30"))&gt;=AP$2,"d",IF(INDIRECT(_xlfn.CONCAT("'",$A12,"'!F31"))&gt;=AP$2,"i",""))</f>
        <v>d</v>
      </c>
      <c r="AQ12" s="1" t="str" cm="1">
        <f t="array" aca="1" ref="AQ12" ca="1">IF(INDIRECT(_xlfn.CONCAT("'",$A12,"'!F30"))&gt;=AQ$2,"d",IF(INDIRECT(_xlfn.CONCAT("'",$A12,"'!F31"))&gt;=AQ$2,"i",""))</f>
        <v>d</v>
      </c>
      <c r="AR12" s="1" t="str" cm="1">
        <f t="array" aca="1" ref="AR12" ca="1">IF(INDIRECT(_xlfn.CONCAT("'",$A12,"'!F30"))&gt;=AR$2,"d",IF(INDIRECT(_xlfn.CONCAT("'",$A12,"'!F31"))&gt;=AR$2,"i",""))</f>
        <v>d</v>
      </c>
      <c r="AS12" s="1" t="str" cm="1">
        <f t="array" aca="1" ref="AS12" ca="1">IF(INDIRECT(_xlfn.CONCAT("'",$A12,"'!F30"))&gt;=AS$2,"d",IF(INDIRECT(_xlfn.CONCAT("'",$A12,"'!F31"))&gt;=AS$2,"i",""))</f>
        <v>d</v>
      </c>
      <c r="AT12" s="1" t="str" cm="1">
        <f t="array" aca="1" ref="AT12" ca="1">IF(INDIRECT(_xlfn.CONCAT("'",$A12,"'!F30"))&gt;=AT$2,"d",IF(INDIRECT(_xlfn.CONCAT("'",$A12,"'!F31"))&gt;=AT$2,"i",""))</f>
        <v>d</v>
      </c>
      <c r="AU12" s="1" t="str" cm="1">
        <f t="array" aca="1" ref="AU12" ca="1">IF(INDIRECT(_xlfn.CONCAT("'",$A12,"'!F30"))&gt;=AU$2,"d",IF(INDIRECT(_xlfn.CONCAT("'",$A12,"'!F31"))&gt;=AU$2,"i",""))</f>
        <v>d</v>
      </c>
      <c r="AV12" s="4" t="str" cm="1">
        <f t="array" aca="1" ref="AV12" ca="1">IF(INDIRECT(_xlfn.CONCAT("'",$A12,"'!F30"))&gt;=AV$2,"d",IF(INDIRECT(_xlfn.CONCAT("'",$A12,"'!F31"))&gt;=AV$2,"i",""))</f>
        <v/>
      </c>
    </row>
    <row r="13" spans="1:48" x14ac:dyDescent="0.25">
      <c r="A13" s="101" t="str">
        <v>Xiangling</v>
      </c>
      <c r="B13" s="4" t="str">
        <f t="shared" si="0"/>
        <v>Pyro</v>
      </c>
      <c r="C13" s="38" t="str">
        <f t="shared" si="1"/>
        <v>Liyue 2</v>
      </c>
      <c r="D13" s="85" t="str">
        <f t="shared" si="2"/>
        <v>Dvalin 2</v>
      </c>
      <c r="E13" s="14" t="str" cm="1">
        <f t="array" aca="1" ref="E13" ca="1">IF(INDIRECT(_xlfn.CONCAT("'",$A13,"'!B4"))&gt;=E$2,"d",IF(INDIRECT(_xlfn.CONCAT("'",$A13,"'!B5"))&gt;=E$2,"i",""))</f>
        <v>d</v>
      </c>
      <c r="F13" s="1" t="str" cm="1">
        <f t="array" aca="1" ref="F13" ca="1">IF(INDIRECT(_xlfn.CONCAT("'",$A13,"'!B4"))&gt;=F$2,"d",IF(INDIRECT(_xlfn.CONCAT("'",$A13,"'!B5"))&gt;=F$2,"i",""))</f>
        <v>d</v>
      </c>
      <c r="G13" s="1" t="str" cm="1">
        <f t="array" aca="1" ref="G13" ca="1">IF(INDIRECT(_xlfn.CONCAT("'",$A13,"'!B4"))&gt;=G$2,"d",IF(INDIRECT(_xlfn.CONCAT("'",$A13,"'!B5"))&gt;=G$2,"i",""))</f>
        <v>d</v>
      </c>
      <c r="H13" s="1" t="str" cm="1">
        <f t="array" aca="1" ref="H13" ca="1">IF(INDIRECT(_xlfn.CONCAT("'",$A13,"'!B4"))&gt;=H$2,"d",IF(INDIRECT(_xlfn.CONCAT("'",$A13,"'!B5"))&gt;=H$2,"i",""))</f>
        <v>d</v>
      </c>
      <c r="I13" s="1" t="str" cm="1">
        <f t="array" aca="1" ref="I13" ca="1">IF(INDIRECT(_xlfn.CONCAT("'",$A13,"'!B4"))&gt;=I$2,"d",IF(INDIRECT(_xlfn.CONCAT("'",$A13,"'!B5"))&gt;=I$2,"i",""))</f>
        <v>d</v>
      </c>
      <c r="J13" s="1" t="str" cm="1">
        <f t="array" aca="1" ref="J13" ca="1">IF(INDIRECT(_xlfn.CONCAT("'",$A13,"'!B4"))&gt;=J$2,"d",IF(INDIRECT(_xlfn.CONCAT("'",$A13,"'!B5"))&gt;=J$2,"i",""))</f>
        <v>d</v>
      </c>
      <c r="K13" s="4" t="str" cm="1">
        <f t="array" aca="1" ref="K13" ca="1">IF(INDIRECT(_xlfn.CONCAT("'",$A13,"'!B4"))&gt;=K$2,"d",IF(INDIRECT(_xlfn.CONCAT("'",$A13,"'!B5"))&gt;=K$2,"i",""))</f>
        <v>d</v>
      </c>
      <c r="L13" s="39"/>
      <c r="M13" s="1" t="str" cm="1">
        <f t="array" aca="1" ref="M13" ca="1">IF(INDIRECT(_xlfn.CONCAT("'",$A13,"'!C10"))&gt;=M$2,"d",IF(INDIRECT(_xlfn.CONCAT("'",$A13,"'!C11"))&gt;=M$2,"i",""))</f>
        <v>d</v>
      </c>
      <c r="N13" s="1" t="str" cm="1">
        <f t="array" aca="1" ref="N13" ca="1">IF(INDIRECT(_xlfn.CONCAT("'",$A13,"'!C10"))&gt;=N$2,"d",IF(INDIRECT(_xlfn.CONCAT("'",$A13,"'!C11"))&gt;=N$2,"i",""))</f>
        <v>d</v>
      </c>
      <c r="O13" s="1" t="str" cm="1">
        <f t="array" aca="1" ref="O13" ca="1">IF(INDIRECT(_xlfn.CONCAT("'",$A13,"'!C10"))&gt;=O$2,"d",IF(INDIRECT(_xlfn.CONCAT("'",$A13,"'!C11"))&gt;=O$2,"i",""))</f>
        <v>d</v>
      </c>
      <c r="P13" s="1" t="str" cm="1">
        <f t="array" aca="1" ref="P13" ca="1">IF(INDIRECT(_xlfn.CONCAT("'",$A13,"'!C10"))&gt;=P$2,"d",IF(INDIRECT(_xlfn.CONCAT("'",$A13,"'!C11"))&gt;=P$2,"i",""))</f>
        <v>d</v>
      </c>
      <c r="Q13" s="1" t="str" cm="1">
        <f t="array" aca="1" ref="Q13" ca="1">IF(INDIRECT(_xlfn.CONCAT("'",$A13,"'!C10"))&gt;=Q$2,"d",IF(INDIRECT(_xlfn.CONCAT("'",$A13,"'!C11"))&gt;=Q$2,"i",""))</f>
        <v>d</v>
      </c>
      <c r="R13" s="1" t="str" cm="1">
        <f t="array" aca="1" ref="R13" ca="1">IF(INDIRECT(_xlfn.CONCAT("'",$A13,"'!C10"))&gt;=R$2,"d",IF(INDIRECT(_xlfn.CONCAT("'",$A13,"'!C11"))&gt;=R$2,"i",""))</f>
        <v>d</v>
      </c>
      <c r="S13" s="36"/>
      <c r="T13" s="1" t="str" cm="1">
        <f t="array" aca="1" ref="T13" ca="1">IF(INDIRECT(_xlfn.CONCAT("'",$A13,"'!F4"))&gt;=T$2,"d",IF(INDIRECT(_xlfn.CONCAT("'",$A13,"'!F5"))&gt;=T$2,"i",""))</f>
        <v>d</v>
      </c>
      <c r="U13" s="1" t="str" cm="1">
        <f t="array" aca="1" ref="U13" ca="1">IF(INDIRECT(_xlfn.CONCAT("'",$A13,"'!F4"))&gt;=U$2,"d",IF(INDIRECT(_xlfn.CONCAT("'",$A13,"'!F5"))&gt;=U$2,"i",""))</f>
        <v>d</v>
      </c>
      <c r="V13" s="1" t="str" cm="1">
        <f t="array" aca="1" ref="V13" ca="1">IF(INDIRECT(_xlfn.CONCAT("'",$A13,"'!F4"))&gt;=V$2,"d",IF(INDIRECT(_xlfn.CONCAT("'",$A13,"'!F5"))&gt;=V$2,"i",""))</f>
        <v>d</v>
      </c>
      <c r="W13" s="1" t="str" cm="1">
        <f t="array" aca="1" ref="W13" ca="1">IF(INDIRECT(_xlfn.CONCAT("'",$A13,"'!F4"))&gt;=W$2,"d",IF(INDIRECT(_xlfn.CONCAT("'",$A13,"'!F5"))&gt;=W$2,"i",""))</f>
        <v>d</v>
      </c>
      <c r="X13" s="1" t="str" cm="1">
        <f t="array" aca="1" ref="X13" ca="1">IF(INDIRECT(_xlfn.CONCAT("'",$A13,"'!F4"))&gt;=X$2,"d",IF(INDIRECT(_xlfn.CONCAT("'",$A13,"'!F5"))&gt;=X$2,"i",""))</f>
        <v>d</v>
      </c>
      <c r="Y13" s="1" t="str" cm="1">
        <f t="array" aca="1" ref="Y13" ca="1">IF(INDIRECT(_xlfn.CONCAT("'",$A13,"'!F4"))&gt;=Y$2,"d",IF(INDIRECT(_xlfn.CONCAT("'",$A13,"'!F5"))&gt;=Y$2,"i",""))</f>
        <v>d</v>
      </c>
      <c r="Z13" s="1" t="str" cm="1">
        <f t="array" aca="1" ref="Z13" ca="1">IF(INDIRECT(_xlfn.CONCAT("'",$A13,"'!F4"))&gt;=Z$2,"d",IF(INDIRECT(_xlfn.CONCAT("'",$A13,"'!F5"))&gt;=Z$2,"i",""))</f>
        <v>d</v>
      </c>
      <c r="AA13" s="1" t="str" cm="1">
        <f t="array" aca="1" ref="AA13" ca="1">IF(INDIRECT(_xlfn.CONCAT("'",$A13,"'!F4"))&gt;=AA$2,"d",IF(INDIRECT(_xlfn.CONCAT("'",$A13,"'!F5"))&gt;=AA$2,"i",""))</f>
        <v>d</v>
      </c>
      <c r="AB13" s="1" t="str" cm="1">
        <f t="array" aca="1" ref="AB13" ca="1">IF(INDIRECT(_xlfn.CONCAT("'",$A13,"'!F4"))&gt;=AB$2,"d",IF(INDIRECT(_xlfn.CONCAT("'",$A13,"'!F5"))&gt;=AB$2,"i",""))</f>
        <v/>
      </c>
      <c r="AC13" s="36"/>
      <c r="AD13" s="1" t="str" cm="1">
        <f t="array" aca="1" ref="AD13" ca="1">IF(INDIRECT(_xlfn.CONCAT("'",$A13,"'!F17"))&gt;=AD$2,"d",IF(INDIRECT(_xlfn.CONCAT("'",$A13,"'!F18"))&gt;=AD$2,"i",""))</f>
        <v>d</v>
      </c>
      <c r="AE13" s="1" t="str" cm="1">
        <f t="array" aca="1" ref="AE13" ca="1">IF(INDIRECT(_xlfn.CONCAT("'",$A13,"'!F17"))&gt;=AE$2,"d",IF(INDIRECT(_xlfn.CONCAT("'",$A13,"'!F18"))&gt;=AE$2,"i",""))</f>
        <v>d</v>
      </c>
      <c r="AF13" s="1" t="str" cm="1">
        <f t="array" aca="1" ref="AF13" ca="1">IF(INDIRECT(_xlfn.CONCAT("'",$A13,"'!F17"))&gt;=AF$2,"d",IF(INDIRECT(_xlfn.CONCAT("'",$A13,"'!F18"))&gt;=AF$2,"i",""))</f>
        <v>d</v>
      </c>
      <c r="AG13" s="1" t="str" cm="1">
        <f t="array" aca="1" ref="AG13" ca="1">IF(INDIRECT(_xlfn.CONCAT("'",$A13,"'!F17"))&gt;=AG$2,"d",IF(INDIRECT(_xlfn.CONCAT("'",$A13,"'!F18"))&gt;=AG$2,"i",""))</f>
        <v>d</v>
      </c>
      <c r="AH13" s="1" t="str" cm="1">
        <f t="array" aca="1" ref="AH13" ca="1">IF(INDIRECT(_xlfn.CONCAT("'",$A13,"'!F17"))&gt;=AH$2,"d",IF(INDIRECT(_xlfn.CONCAT("'",$A13,"'!F18"))&gt;=AH$2,"i",""))</f>
        <v>d</v>
      </c>
      <c r="AI13" s="1" t="str" cm="1">
        <f t="array" aca="1" ref="AI13" ca="1">IF(INDIRECT(_xlfn.CONCAT("'",$A13,"'!F17"))&gt;=AI$2,"d",IF(INDIRECT(_xlfn.CONCAT("'",$A13,"'!F18"))&gt;=AI$2,"i",""))</f>
        <v>d</v>
      </c>
      <c r="AJ13" s="1" t="str" cm="1">
        <f t="array" aca="1" ref="AJ13" ca="1">IF(INDIRECT(_xlfn.CONCAT("'",$A13,"'!F17"))&gt;=AJ$2,"d",IF(INDIRECT(_xlfn.CONCAT("'",$A13,"'!F18"))&gt;=AJ$2,"i",""))</f>
        <v>d</v>
      </c>
      <c r="AK13" s="1" t="str" cm="1">
        <f t="array" aca="1" ref="AK13" ca="1">IF(INDIRECT(_xlfn.CONCAT("'",$A13,"'!F17"))&gt;=AK$2,"d",IF(INDIRECT(_xlfn.CONCAT("'",$A13,"'!F18"))&gt;=AK$2,"i",""))</f>
        <v>d</v>
      </c>
      <c r="AL13" s="1" t="str" cm="1">
        <f t="array" aca="1" ref="AL13" ca="1">IF(INDIRECT(_xlfn.CONCAT("'",$A13,"'!F17"))&gt;=AL$2,"d",IF(INDIRECT(_xlfn.CONCAT("'",$A13,"'!F18"))&gt;=AL$2,"i",""))</f>
        <v/>
      </c>
      <c r="AM13" s="36"/>
      <c r="AN13" s="1" t="str" cm="1">
        <f t="array" aca="1" ref="AN13" ca="1">IF(INDIRECT(_xlfn.CONCAT("'",$A13,"'!F30"))&gt;=AN$2,"d",IF(INDIRECT(_xlfn.CONCAT("'",$A13,"'!F31"))&gt;=AN$2,"i",""))</f>
        <v>d</v>
      </c>
      <c r="AO13" s="1" t="str" cm="1">
        <f t="array" aca="1" ref="AO13" ca="1">IF(INDIRECT(_xlfn.CONCAT("'",$A13,"'!F30"))&gt;=AO$2,"d",IF(INDIRECT(_xlfn.CONCAT("'",$A13,"'!F31"))&gt;=AO$2,"i",""))</f>
        <v>d</v>
      </c>
      <c r="AP13" s="1" t="str" cm="1">
        <f t="array" aca="1" ref="AP13" ca="1">IF(INDIRECT(_xlfn.CONCAT("'",$A13,"'!F30"))&gt;=AP$2,"d",IF(INDIRECT(_xlfn.CONCAT("'",$A13,"'!F31"))&gt;=AP$2,"i",""))</f>
        <v>d</v>
      </c>
      <c r="AQ13" s="1" t="str" cm="1">
        <f t="array" aca="1" ref="AQ13" ca="1">IF(INDIRECT(_xlfn.CONCAT("'",$A13,"'!F30"))&gt;=AQ$2,"d",IF(INDIRECT(_xlfn.CONCAT("'",$A13,"'!F31"))&gt;=AQ$2,"i",""))</f>
        <v>d</v>
      </c>
      <c r="AR13" s="1" t="str" cm="1">
        <f t="array" aca="1" ref="AR13" ca="1">IF(INDIRECT(_xlfn.CONCAT("'",$A13,"'!F30"))&gt;=AR$2,"d",IF(INDIRECT(_xlfn.CONCAT("'",$A13,"'!F31"))&gt;=AR$2,"i",""))</f>
        <v>d</v>
      </c>
      <c r="AS13" s="1" t="str" cm="1">
        <f t="array" aca="1" ref="AS13" ca="1">IF(INDIRECT(_xlfn.CONCAT("'",$A13,"'!F30"))&gt;=AS$2,"d",IF(INDIRECT(_xlfn.CONCAT("'",$A13,"'!F31"))&gt;=AS$2,"i",""))</f>
        <v>d</v>
      </c>
      <c r="AT13" s="1" t="str" cm="1">
        <f t="array" aca="1" ref="AT13" ca="1">IF(INDIRECT(_xlfn.CONCAT("'",$A13,"'!F30"))&gt;=AT$2,"d",IF(INDIRECT(_xlfn.CONCAT("'",$A13,"'!F31"))&gt;=AT$2,"i",""))</f>
        <v>d</v>
      </c>
      <c r="AU13" s="1" t="str" cm="1">
        <f t="array" aca="1" ref="AU13" ca="1">IF(INDIRECT(_xlfn.CONCAT("'",$A13,"'!F30"))&gt;=AU$2,"d",IF(INDIRECT(_xlfn.CONCAT("'",$A13,"'!F31"))&gt;=AU$2,"i",""))</f>
        <v>d</v>
      </c>
      <c r="AV13" s="4" t="str" cm="1">
        <f t="array" aca="1" ref="AV13" ca="1">IF(INDIRECT(_xlfn.CONCAT("'",$A13,"'!F30"))&gt;=AV$2,"d",IF(INDIRECT(_xlfn.CONCAT("'",$A13,"'!F31"))&gt;=AV$2,"i",""))</f>
        <v/>
      </c>
    </row>
    <row r="14" spans="1:48" x14ac:dyDescent="0.25">
      <c r="A14" s="101" t="str">
        <v>Beidou</v>
      </c>
      <c r="B14" s="4" t="str">
        <f t="shared" si="0"/>
        <v>Electro</v>
      </c>
      <c r="C14" s="38" t="str">
        <f t="shared" si="1"/>
        <v>Liyue 3</v>
      </c>
      <c r="D14" s="85" t="str">
        <f t="shared" si="2"/>
        <v>Dvalin 3</v>
      </c>
      <c r="E14" s="14" t="str" cm="1">
        <f t="array" aca="1" ref="E14" ca="1">IF(INDIRECT(_xlfn.CONCAT("'",$A14,"'!B4"))&gt;=E$2,"d",IF(INDIRECT(_xlfn.CONCAT("'",$A14,"'!B5"))&gt;=E$2,"i",""))</f>
        <v>d</v>
      </c>
      <c r="F14" s="1" t="str" cm="1">
        <f t="array" aca="1" ref="F14" ca="1">IF(INDIRECT(_xlfn.CONCAT("'",$A14,"'!B4"))&gt;=F$2,"d",IF(INDIRECT(_xlfn.CONCAT("'",$A14,"'!B5"))&gt;=F$2,"i",""))</f>
        <v>d</v>
      </c>
      <c r="G14" s="1" t="str" cm="1">
        <f t="array" aca="1" ref="G14" ca="1">IF(INDIRECT(_xlfn.CONCAT("'",$A14,"'!B4"))&gt;=G$2,"d",IF(INDIRECT(_xlfn.CONCAT("'",$A14,"'!B5"))&gt;=G$2,"i",""))</f>
        <v>d</v>
      </c>
      <c r="H14" s="1" t="str" cm="1">
        <f t="array" aca="1" ref="H14" ca="1">IF(INDIRECT(_xlfn.CONCAT("'",$A14,"'!B4"))&gt;=H$2,"d",IF(INDIRECT(_xlfn.CONCAT("'",$A14,"'!B5"))&gt;=H$2,"i",""))</f>
        <v>d</v>
      </c>
      <c r="I14" s="1" t="str" cm="1">
        <f t="array" aca="1" ref="I14" ca="1">IF(INDIRECT(_xlfn.CONCAT("'",$A14,"'!B4"))&gt;=I$2,"d",IF(INDIRECT(_xlfn.CONCAT("'",$A14,"'!B5"))&gt;=I$2,"i",""))</f>
        <v>d</v>
      </c>
      <c r="J14" s="1" t="str" cm="1">
        <f t="array" aca="1" ref="J14" ca="1">IF(INDIRECT(_xlfn.CONCAT("'",$A14,"'!B4"))&gt;=J$2,"d",IF(INDIRECT(_xlfn.CONCAT("'",$A14,"'!B5"))&gt;=J$2,"i",""))</f>
        <v>d</v>
      </c>
      <c r="K14" s="4" t="str" cm="1">
        <f t="array" aca="1" ref="K14" ca="1">IF(INDIRECT(_xlfn.CONCAT("'",$A14,"'!B4"))&gt;=K$2,"d",IF(INDIRECT(_xlfn.CONCAT("'",$A14,"'!B5"))&gt;=K$2,"i",""))</f>
        <v>d</v>
      </c>
      <c r="L14" s="39"/>
      <c r="M14" s="1" t="str" cm="1">
        <f t="array" aca="1" ref="M14" ca="1">IF(INDIRECT(_xlfn.CONCAT("'",$A14,"'!C10"))&gt;=M$2,"d",IF(INDIRECT(_xlfn.CONCAT("'",$A14,"'!C11"))&gt;=M$2,"i",""))</f>
        <v>d</v>
      </c>
      <c r="N14" s="1" t="str" cm="1">
        <f t="array" aca="1" ref="N14" ca="1">IF(INDIRECT(_xlfn.CONCAT("'",$A14,"'!C10"))&gt;=N$2,"d",IF(INDIRECT(_xlfn.CONCAT("'",$A14,"'!C11"))&gt;=N$2,"i",""))</f>
        <v>d</v>
      </c>
      <c r="O14" s="1" t="str" cm="1">
        <f t="array" aca="1" ref="O14" ca="1">IF(INDIRECT(_xlfn.CONCAT("'",$A14,"'!C10"))&gt;=O$2,"d",IF(INDIRECT(_xlfn.CONCAT("'",$A14,"'!C11"))&gt;=O$2,"i",""))</f>
        <v>d</v>
      </c>
      <c r="P14" s="1" t="str" cm="1">
        <f t="array" aca="1" ref="P14" ca="1">IF(INDIRECT(_xlfn.CONCAT("'",$A14,"'!C10"))&gt;=P$2,"d",IF(INDIRECT(_xlfn.CONCAT("'",$A14,"'!C11"))&gt;=P$2,"i",""))</f>
        <v>d</v>
      </c>
      <c r="Q14" s="1" t="str" cm="1">
        <f t="array" aca="1" ref="Q14" ca="1">IF(INDIRECT(_xlfn.CONCAT("'",$A14,"'!C10"))&gt;=Q$2,"d",IF(INDIRECT(_xlfn.CONCAT("'",$A14,"'!C11"))&gt;=Q$2,"i",""))</f>
        <v>d</v>
      </c>
      <c r="R14" s="1" t="str" cm="1">
        <f t="array" aca="1" ref="R14" ca="1">IF(INDIRECT(_xlfn.CONCAT("'",$A14,"'!C10"))&gt;=R$2,"d",IF(INDIRECT(_xlfn.CONCAT("'",$A14,"'!C11"))&gt;=R$2,"i",""))</f>
        <v>d</v>
      </c>
      <c r="S14" s="36"/>
      <c r="T14" s="1" t="str" cm="1">
        <f t="array" aca="1" ref="T14" ca="1">IF(INDIRECT(_xlfn.CONCAT("'",$A14,"'!F4"))&gt;=T$2,"d",IF(INDIRECT(_xlfn.CONCAT("'",$A14,"'!F5"))&gt;=T$2,"i",""))</f>
        <v>d</v>
      </c>
      <c r="U14" s="1" t="str" cm="1">
        <f t="array" aca="1" ref="U14" ca="1">IF(INDIRECT(_xlfn.CONCAT("'",$A14,"'!F4"))&gt;=U$2,"d",IF(INDIRECT(_xlfn.CONCAT("'",$A14,"'!F5"))&gt;=U$2,"i",""))</f>
        <v>d</v>
      </c>
      <c r="V14" s="1" t="str" cm="1">
        <f t="array" aca="1" ref="V14" ca="1">IF(INDIRECT(_xlfn.CONCAT("'",$A14,"'!F4"))&gt;=V$2,"d",IF(INDIRECT(_xlfn.CONCAT("'",$A14,"'!F5"))&gt;=V$2,"i",""))</f>
        <v>d</v>
      </c>
      <c r="W14" s="1" t="str" cm="1">
        <f t="array" aca="1" ref="W14" ca="1">IF(INDIRECT(_xlfn.CONCAT("'",$A14,"'!F4"))&gt;=W$2,"d",IF(INDIRECT(_xlfn.CONCAT("'",$A14,"'!F5"))&gt;=W$2,"i",""))</f>
        <v>d</v>
      </c>
      <c r="X14" s="1" t="str" cm="1">
        <f t="array" aca="1" ref="X14" ca="1">IF(INDIRECT(_xlfn.CONCAT("'",$A14,"'!F4"))&gt;=X$2,"d",IF(INDIRECT(_xlfn.CONCAT("'",$A14,"'!F5"))&gt;=X$2,"i",""))</f>
        <v>d</v>
      </c>
      <c r="Y14" s="1" t="str" cm="1">
        <f t="array" aca="1" ref="Y14" ca="1">IF(INDIRECT(_xlfn.CONCAT("'",$A14,"'!F4"))&gt;=Y$2,"d",IF(INDIRECT(_xlfn.CONCAT("'",$A14,"'!F5"))&gt;=Y$2,"i",""))</f>
        <v>d</v>
      </c>
      <c r="Z14" s="1" t="str" cm="1">
        <f t="array" aca="1" ref="Z14" ca="1">IF(INDIRECT(_xlfn.CONCAT("'",$A14,"'!F4"))&gt;=Z$2,"d",IF(INDIRECT(_xlfn.CONCAT("'",$A14,"'!F5"))&gt;=Z$2,"i",""))</f>
        <v>d</v>
      </c>
      <c r="AA14" s="1" t="str" cm="1">
        <f t="array" aca="1" ref="AA14" ca="1">IF(INDIRECT(_xlfn.CONCAT("'",$A14,"'!F4"))&gt;=AA$2,"d",IF(INDIRECT(_xlfn.CONCAT("'",$A14,"'!F5"))&gt;=AA$2,"i",""))</f>
        <v>d</v>
      </c>
      <c r="AB14" s="1" t="str" cm="1">
        <f t="array" aca="1" ref="AB14" ca="1">IF(INDIRECT(_xlfn.CONCAT("'",$A14,"'!F4"))&gt;=AB$2,"d",IF(INDIRECT(_xlfn.CONCAT("'",$A14,"'!F5"))&gt;=AB$2,"i",""))</f>
        <v/>
      </c>
      <c r="AC14" s="36"/>
      <c r="AD14" s="1" t="str" cm="1">
        <f t="array" aca="1" ref="AD14" ca="1">IF(INDIRECT(_xlfn.CONCAT("'",$A14,"'!F17"))&gt;=AD$2,"d",IF(INDIRECT(_xlfn.CONCAT("'",$A14,"'!F18"))&gt;=AD$2,"i",""))</f>
        <v>d</v>
      </c>
      <c r="AE14" s="1" t="str" cm="1">
        <f t="array" aca="1" ref="AE14" ca="1">IF(INDIRECT(_xlfn.CONCAT("'",$A14,"'!F17"))&gt;=AE$2,"d",IF(INDIRECT(_xlfn.CONCAT("'",$A14,"'!F18"))&gt;=AE$2,"i",""))</f>
        <v>d</v>
      </c>
      <c r="AF14" s="1" t="str" cm="1">
        <f t="array" aca="1" ref="AF14" ca="1">IF(INDIRECT(_xlfn.CONCAT("'",$A14,"'!F17"))&gt;=AF$2,"d",IF(INDIRECT(_xlfn.CONCAT("'",$A14,"'!F18"))&gt;=AF$2,"i",""))</f>
        <v>d</v>
      </c>
      <c r="AG14" s="1" t="str" cm="1">
        <f t="array" aca="1" ref="AG14" ca="1">IF(INDIRECT(_xlfn.CONCAT("'",$A14,"'!F17"))&gt;=AG$2,"d",IF(INDIRECT(_xlfn.CONCAT("'",$A14,"'!F18"))&gt;=AG$2,"i",""))</f>
        <v>d</v>
      </c>
      <c r="AH14" s="1" t="str" cm="1">
        <f t="array" aca="1" ref="AH14" ca="1">IF(INDIRECT(_xlfn.CONCAT("'",$A14,"'!F17"))&gt;=AH$2,"d",IF(INDIRECT(_xlfn.CONCAT("'",$A14,"'!F18"))&gt;=AH$2,"i",""))</f>
        <v>d</v>
      </c>
      <c r="AI14" s="1" t="str" cm="1">
        <f t="array" aca="1" ref="AI14" ca="1">IF(INDIRECT(_xlfn.CONCAT("'",$A14,"'!F17"))&gt;=AI$2,"d",IF(INDIRECT(_xlfn.CONCAT("'",$A14,"'!F18"))&gt;=AI$2,"i",""))</f>
        <v>d</v>
      </c>
      <c r="AJ14" s="1" t="str" cm="1">
        <f t="array" aca="1" ref="AJ14" ca="1">IF(INDIRECT(_xlfn.CONCAT("'",$A14,"'!F17"))&gt;=AJ$2,"d",IF(INDIRECT(_xlfn.CONCAT("'",$A14,"'!F18"))&gt;=AJ$2,"i",""))</f>
        <v>d</v>
      </c>
      <c r="AK14" s="1" t="str" cm="1">
        <f t="array" aca="1" ref="AK14" ca="1">IF(INDIRECT(_xlfn.CONCAT("'",$A14,"'!F17"))&gt;=AK$2,"d",IF(INDIRECT(_xlfn.CONCAT("'",$A14,"'!F18"))&gt;=AK$2,"i",""))</f>
        <v>d</v>
      </c>
      <c r="AL14" s="1" t="str" cm="1">
        <f t="array" aca="1" ref="AL14" ca="1">IF(INDIRECT(_xlfn.CONCAT("'",$A14,"'!F17"))&gt;=AL$2,"d",IF(INDIRECT(_xlfn.CONCAT("'",$A14,"'!F18"))&gt;=AL$2,"i",""))</f>
        <v/>
      </c>
      <c r="AM14" s="36"/>
      <c r="AN14" s="1" t="str" cm="1">
        <f t="array" aca="1" ref="AN14" ca="1">IF(INDIRECT(_xlfn.CONCAT("'",$A14,"'!F30"))&gt;=AN$2,"d",IF(INDIRECT(_xlfn.CONCAT("'",$A14,"'!F31"))&gt;=AN$2,"i",""))</f>
        <v>d</v>
      </c>
      <c r="AO14" s="1" t="str" cm="1">
        <f t="array" aca="1" ref="AO14" ca="1">IF(INDIRECT(_xlfn.CONCAT("'",$A14,"'!F30"))&gt;=AO$2,"d",IF(INDIRECT(_xlfn.CONCAT("'",$A14,"'!F31"))&gt;=AO$2,"i",""))</f>
        <v>d</v>
      </c>
      <c r="AP14" s="1" t="str" cm="1">
        <f t="array" aca="1" ref="AP14" ca="1">IF(INDIRECT(_xlfn.CONCAT("'",$A14,"'!F30"))&gt;=AP$2,"d",IF(INDIRECT(_xlfn.CONCAT("'",$A14,"'!F31"))&gt;=AP$2,"i",""))</f>
        <v>d</v>
      </c>
      <c r="AQ14" s="1" t="str" cm="1">
        <f t="array" aca="1" ref="AQ14" ca="1">IF(INDIRECT(_xlfn.CONCAT("'",$A14,"'!F30"))&gt;=AQ$2,"d",IF(INDIRECT(_xlfn.CONCAT("'",$A14,"'!F31"))&gt;=AQ$2,"i",""))</f>
        <v>d</v>
      </c>
      <c r="AR14" s="1" t="str" cm="1">
        <f t="array" aca="1" ref="AR14" ca="1">IF(INDIRECT(_xlfn.CONCAT("'",$A14,"'!F30"))&gt;=AR$2,"d",IF(INDIRECT(_xlfn.CONCAT("'",$A14,"'!F31"))&gt;=AR$2,"i",""))</f>
        <v>d</v>
      </c>
      <c r="AS14" s="1" t="str" cm="1">
        <f t="array" aca="1" ref="AS14" ca="1">IF(INDIRECT(_xlfn.CONCAT("'",$A14,"'!F30"))&gt;=AS$2,"d",IF(INDIRECT(_xlfn.CONCAT("'",$A14,"'!F31"))&gt;=AS$2,"i",""))</f>
        <v>d</v>
      </c>
      <c r="AT14" s="1" t="str" cm="1">
        <f t="array" aca="1" ref="AT14" ca="1">IF(INDIRECT(_xlfn.CONCAT("'",$A14,"'!F30"))&gt;=AT$2,"d",IF(INDIRECT(_xlfn.CONCAT("'",$A14,"'!F31"))&gt;=AT$2,"i",""))</f>
        <v>d</v>
      </c>
      <c r="AU14" s="1" t="str" cm="1">
        <f t="array" aca="1" ref="AU14" ca="1">IF(INDIRECT(_xlfn.CONCAT("'",$A14,"'!F30"))&gt;=AU$2,"d",IF(INDIRECT(_xlfn.CONCAT("'",$A14,"'!F31"))&gt;=AU$2,"i",""))</f>
        <v>d</v>
      </c>
      <c r="AV14" s="4" t="str" cm="1">
        <f t="array" aca="1" ref="AV14" ca="1">IF(INDIRECT(_xlfn.CONCAT("'",$A14,"'!F30"))&gt;=AV$2,"d",IF(INDIRECT(_xlfn.CONCAT("'",$A14,"'!F31"))&gt;=AV$2,"i",""))</f>
        <v/>
      </c>
    </row>
    <row r="15" spans="1:48" x14ac:dyDescent="0.25">
      <c r="A15" s="101" t="str">
        <v>Bennett</v>
      </c>
      <c r="B15" s="4" t="str">
        <f t="shared" si="0"/>
        <v>Pyro</v>
      </c>
      <c r="C15" s="38" t="str">
        <f t="shared" si="1"/>
        <v>Mondstadt 2</v>
      </c>
      <c r="D15" s="85" t="str">
        <f t="shared" si="2"/>
        <v>Dvalin 1</v>
      </c>
      <c r="E15" s="14" t="str" cm="1">
        <f t="array" aca="1" ref="E15" ca="1">IF(INDIRECT(_xlfn.CONCAT("'",$A15,"'!B4"))&gt;=E$2,"d",IF(INDIRECT(_xlfn.CONCAT("'",$A15,"'!B5"))&gt;=E$2,"i",""))</f>
        <v>d</v>
      </c>
      <c r="F15" s="1" t="str" cm="1">
        <f t="array" aca="1" ref="F15" ca="1">IF(INDIRECT(_xlfn.CONCAT("'",$A15,"'!B4"))&gt;=F$2,"d",IF(INDIRECT(_xlfn.CONCAT("'",$A15,"'!B5"))&gt;=F$2,"i",""))</f>
        <v>d</v>
      </c>
      <c r="G15" s="1" t="str" cm="1">
        <f t="array" aca="1" ref="G15" ca="1">IF(INDIRECT(_xlfn.CONCAT("'",$A15,"'!B4"))&gt;=G$2,"d",IF(INDIRECT(_xlfn.CONCAT("'",$A15,"'!B5"))&gt;=G$2,"i",""))</f>
        <v>d</v>
      </c>
      <c r="H15" s="1" t="str" cm="1">
        <f t="array" aca="1" ref="H15" ca="1">IF(INDIRECT(_xlfn.CONCAT("'",$A15,"'!B4"))&gt;=H$2,"d",IF(INDIRECT(_xlfn.CONCAT("'",$A15,"'!B5"))&gt;=H$2,"i",""))</f>
        <v>d</v>
      </c>
      <c r="I15" s="1" t="str" cm="1">
        <f t="array" aca="1" ref="I15" ca="1">IF(INDIRECT(_xlfn.CONCAT("'",$A15,"'!B4"))&gt;=I$2,"d",IF(INDIRECT(_xlfn.CONCAT("'",$A15,"'!B5"))&gt;=I$2,"i",""))</f>
        <v>d</v>
      </c>
      <c r="J15" s="1" t="str" cm="1">
        <f t="array" aca="1" ref="J15" ca="1">IF(INDIRECT(_xlfn.CONCAT("'",$A15,"'!B4"))&gt;=J$2,"d",IF(INDIRECT(_xlfn.CONCAT("'",$A15,"'!B5"))&gt;=J$2,"i",""))</f>
        <v>d</v>
      </c>
      <c r="K15" s="4" t="str" cm="1">
        <f t="array" aca="1" ref="K15" ca="1">IF(INDIRECT(_xlfn.CONCAT("'",$A15,"'!B4"))&gt;=K$2,"d",IF(INDIRECT(_xlfn.CONCAT("'",$A15,"'!B5"))&gt;=K$2,"i",""))</f>
        <v>d</v>
      </c>
      <c r="L15" s="39"/>
      <c r="M15" s="1" t="str" cm="1">
        <f t="array" aca="1" ref="M15" ca="1">IF(INDIRECT(_xlfn.CONCAT("'",$A15,"'!C10"))&gt;=M$2,"d",IF(INDIRECT(_xlfn.CONCAT("'",$A15,"'!C11"))&gt;=M$2,"i",""))</f>
        <v>d</v>
      </c>
      <c r="N15" s="1" t="str" cm="1">
        <f t="array" aca="1" ref="N15" ca="1">IF(INDIRECT(_xlfn.CONCAT("'",$A15,"'!C10"))&gt;=N$2,"d",IF(INDIRECT(_xlfn.CONCAT("'",$A15,"'!C11"))&gt;=N$2,"i",""))</f>
        <v>d</v>
      </c>
      <c r="O15" s="1" t="str" cm="1">
        <f t="array" aca="1" ref="O15" ca="1">IF(INDIRECT(_xlfn.CONCAT("'",$A15,"'!C10"))&gt;=O$2,"d",IF(INDIRECT(_xlfn.CONCAT("'",$A15,"'!C11"))&gt;=O$2,"i",""))</f>
        <v>d</v>
      </c>
      <c r="P15" s="1" t="str" cm="1">
        <f t="array" aca="1" ref="P15" ca="1">IF(INDIRECT(_xlfn.CONCAT("'",$A15,"'!C10"))&gt;=P$2,"d",IF(INDIRECT(_xlfn.CONCAT("'",$A15,"'!C11"))&gt;=P$2,"i",""))</f>
        <v>d</v>
      </c>
      <c r="Q15" s="1" t="str" cm="1">
        <f t="array" aca="1" ref="Q15" ca="1">IF(INDIRECT(_xlfn.CONCAT("'",$A15,"'!C10"))&gt;=Q$2,"d",IF(INDIRECT(_xlfn.CONCAT("'",$A15,"'!C11"))&gt;=Q$2,"i",""))</f>
        <v>d</v>
      </c>
      <c r="R15" s="1" t="str" cm="1">
        <f t="array" aca="1" ref="R15" ca="1">IF(INDIRECT(_xlfn.CONCAT("'",$A15,"'!C10"))&gt;=R$2,"d",IF(INDIRECT(_xlfn.CONCAT("'",$A15,"'!C11"))&gt;=R$2,"i",""))</f>
        <v>d</v>
      </c>
      <c r="S15" s="36"/>
      <c r="T15" s="1" t="str" cm="1">
        <f t="array" aca="1" ref="T15" ca="1">IF(INDIRECT(_xlfn.CONCAT("'",$A15,"'!F4"))&gt;=T$2,"d",IF(INDIRECT(_xlfn.CONCAT("'",$A15,"'!F5"))&gt;=T$2,"i",""))</f>
        <v>d</v>
      </c>
      <c r="U15" s="1" t="str" cm="1">
        <f t="array" aca="1" ref="U15" ca="1">IF(INDIRECT(_xlfn.CONCAT("'",$A15,"'!F4"))&gt;=U$2,"d",IF(INDIRECT(_xlfn.CONCAT("'",$A15,"'!F5"))&gt;=U$2,"i",""))</f>
        <v>d</v>
      </c>
      <c r="V15" s="1" t="str" cm="1">
        <f t="array" aca="1" ref="V15" ca="1">IF(INDIRECT(_xlfn.CONCAT("'",$A15,"'!F4"))&gt;=V$2,"d",IF(INDIRECT(_xlfn.CONCAT("'",$A15,"'!F5"))&gt;=V$2,"i",""))</f>
        <v>d</v>
      </c>
      <c r="W15" s="1" t="str" cm="1">
        <f t="array" aca="1" ref="W15" ca="1">IF(INDIRECT(_xlfn.CONCAT("'",$A15,"'!F4"))&gt;=W$2,"d",IF(INDIRECT(_xlfn.CONCAT("'",$A15,"'!F5"))&gt;=W$2,"i",""))</f>
        <v>d</v>
      </c>
      <c r="X15" s="1" t="str" cm="1">
        <f t="array" aca="1" ref="X15" ca="1">IF(INDIRECT(_xlfn.CONCAT("'",$A15,"'!F4"))&gt;=X$2,"d",IF(INDIRECT(_xlfn.CONCAT("'",$A15,"'!F5"))&gt;=X$2,"i",""))</f>
        <v>d</v>
      </c>
      <c r="Y15" s="1" t="str" cm="1">
        <f t="array" aca="1" ref="Y15" ca="1">IF(INDIRECT(_xlfn.CONCAT("'",$A15,"'!F4"))&gt;=Y$2,"d",IF(INDIRECT(_xlfn.CONCAT("'",$A15,"'!F5"))&gt;=Y$2,"i",""))</f>
        <v>d</v>
      </c>
      <c r="Z15" s="1" t="str" cm="1">
        <f t="array" aca="1" ref="Z15" ca="1">IF(INDIRECT(_xlfn.CONCAT("'",$A15,"'!F4"))&gt;=Z$2,"d",IF(INDIRECT(_xlfn.CONCAT("'",$A15,"'!F5"))&gt;=Z$2,"i",""))</f>
        <v>d</v>
      </c>
      <c r="AA15" s="1" t="str" cm="1">
        <f t="array" aca="1" ref="AA15" ca="1">IF(INDIRECT(_xlfn.CONCAT("'",$A15,"'!F4"))&gt;=AA$2,"d",IF(INDIRECT(_xlfn.CONCAT("'",$A15,"'!F5"))&gt;=AA$2,"i",""))</f>
        <v>d</v>
      </c>
      <c r="AB15" s="1" t="str" cm="1">
        <f t="array" aca="1" ref="AB15" ca="1">IF(INDIRECT(_xlfn.CONCAT("'",$A15,"'!F4"))&gt;=AB$2,"d",IF(INDIRECT(_xlfn.CONCAT("'",$A15,"'!F5"))&gt;=AB$2,"i",""))</f>
        <v/>
      </c>
      <c r="AC15" s="36"/>
      <c r="AD15" s="1" t="str" cm="1">
        <f t="array" aca="1" ref="AD15" ca="1">IF(INDIRECT(_xlfn.CONCAT("'",$A15,"'!F17"))&gt;=AD$2,"d",IF(INDIRECT(_xlfn.CONCAT("'",$A15,"'!F18"))&gt;=AD$2,"i",""))</f>
        <v>d</v>
      </c>
      <c r="AE15" s="1" t="str" cm="1">
        <f t="array" aca="1" ref="AE15" ca="1">IF(INDIRECT(_xlfn.CONCAT("'",$A15,"'!F17"))&gt;=AE$2,"d",IF(INDIRECT(_xlfn.CONCAT("'",$A15,"'!F18"))&gt;=AE$2,"i",""))</f>
        <v>d</v>
      </c>
      <c r="AF15" s="1" t="str" cm="1">
        <f t="array" aca="1" ref="AF15" ca="1">IF(INDIRECT(_xlfn.CONCAT("'",$A15,"'!F17"))&gt;=AF$2,"d",IF(INDIRECT(_xlfn.CONCAT("'",$A15,"'!F18"))&gt;=AF$2,"i",""))</f>
        <v>d</v>
      </c>
      <c r="AG15" s="1" t="str" cm="1">
        <f t="array" aca="1" ref="AG15" ca="1">IF(INDIRECT(_xlfn.CONCAT("'",$A15,"'!F17"))&gt;=AG$2,"d",IF(INDIRECT(_xlfn.CONCAT("'",$A15,"'!F18"))&gt;=AG$2,"i",""))</f>
        <v>d</v>
      </c>
      <c r="AH15" s="1" t="str" cm="1">
        <f t="array" aca="1" ref="AH15" ca="1">IF(INDIRECT(_xlfn.CONCAT("'",$A15,"'!F17"))&gt;=AH$2,"d",IF(INDIRECT(_xlfn.CONCAT("'",$A15,"'!F18"))&gt;=AH$2,"i",""))</f>
        <v>d</v>
      </c>
      <c r="AI15" s="1" t="str" cm="1">
        <f t="array" aca="1" ref="AI15" ca="1">IF(INDIRECT(_xlfn.CONCAT("'",$A15,"'!F17"))&gt;=AI$2,"d",IF(INDIRECT(_xlfn.CONCAT("'",$A15,"'!F18"))&gt;=AI$2,"i",""))</f>
        <v>d</v>
      </c>
      <c r="AJ15" s="1" t="str" cm="1">
        <f t="array" aca="1" ref="AJ15" ca="1">IF(INDIRECT(_xlfn.CONCAT("'",$A15,"'!F17"))&gt;=AJ$2,"d",IF(INDIRECT(_xlfn.CONCAT("'",$A15,"'!F18"))&gt;=AJ$2,"i",""))</f>
        <v>d</v>
      </c>
      <c r="AK15" s="1" t="str" cm="1">
        <f t="array" aca="1" ref="AK15" ca="1">IF(INDIRECT(_xlfn.CONCAT("'",$A15,"'!F17"))&gt;=AK$2,"d",IF(INDIRECT(_xlfn.CONCAT("'",$A15,"'!F18"))&gt;=AK$2,"i",""))</f>
        <v>d</v>
      </c>
      <c r="AL15" s="1" t="str" cm="1">
        <f t="array" aca="1" ref="AL15" ca="1">IF(INDIRECT(_xlfn.CONCAT("'",$A15,"'!F17"))&gt;=AL$2,"d",IF(INDIRECT(_xlfn.CONCAT("'",$A15,"'!F18"))&gt;=AL$2,"i",""))</f>
        <v/>
      </c>
      <c r="AM15" s="36"/>
      <c r="AN15" s="1" t="str" cm="1">
        <f t="array" aca="1" ref="AN15" ca="1">IF(INDIRECT(_xlfn.CONCAT("'",$A15,"'!F30"))&gt;=AN$2,"d",IF(INDIRECT(_xlfn.CONCAT("'",$A15,"'!F31"))&gt;=AN$2,"i",""))</f>
        <v>d</v>
      </c>
      <c r="AO15" s="1" t="str" cm="1">
        <f t="array" aca="1" ref="AO15" ca="1">IF(INDIRECT(_xlfn.CONCAT("'",$A15,"'!F30"))&gt;=AO$2,"d",IF(INDIRECT(_xlfn.CONCAT("'",$A15,"'!F31"))&gt;=AO$2,"i",""))</f>
        <v>d</v>
      </c>
      <c r="AP15" s="1" t="str" cm="1">
        <f t="array" aca="1" ref="AP15" ca="1">IF(INDIRECT(_xlfn.CONCAT("'",$A15,"'!F30"))&gt;=AP$2,"d",IF(INDIRECT(_xlfn.CONCAT("'",$A15,"'!F31"))&gt;=AP$2,"i",""))</f>
        <v>d</v>
      </c>
      <c r="AQ15" s="1" t="str" cm="1">
        <f t="array" aca="1" ref="AQ15" ca="1">IF(INDIRECT(_xlfn.CONCAT("'",$A15,"'!F30"))&gt;=AQ$2,"d",IF(INDIRECT(_xlfn.CONCAT("'",$A15,"'!F31"))&gt;=AQ$2,"i",""))</f>
        <v>d</v>
      </c>
      <c r="AR15" s="1" t="str" cm="1">
        <f t="array" aca="1" ref="AR15" ca="1">IF(INDIRECT(_xlfn.CONCAT("'",$A15,"'!F30"))&gt;=AR$2,"d",IF(INDIRECT(_xlfn.CONCAT("'",$A15,"'!F31"))&gt;=AR$2,"i",""))</f>
        <v>d</v>
      </c>
      <c r="AS15" s="1" t="str" cm="1">
        <f t="array" aca="1" ref="AS15" ca="1">IF(INDIRECT(_xlfn.CONCAT("'",$A15,"'!F30"))&gt;=AS$2,"d",IF(INDIRECT(_xlfn.CONCAT("'",$A15,"'!F31"))&gt;=AS$2,"i",""))</f>
        <v>d</v>
      </c>
      <c r="AT15" s="1" t="str" cm="1">
        <f t="array" aca="1" ref="AT15" ca="1">IF(INDIRECT(_xlfn.CONCAT("'",$A15,"'!F30"))&gt;=AT$2,"d",IF(INDIRECT(_xlfn.CONCAT("'",$A15,"'!F31"))&gt;=AT$2,"i",""))</f>
        <v>d</v>
      </c>
      <c r="AU15" s="1" t="str" cm="1">
        <f t="array" aca="1" ref="AU15" ca="1">IF(INDIRECT(_xlfn.CONCAT("'",$A15,"'!F30"))&gt;=AU$2,"d",IF(INDIRECT(_xlfn.CONCAT("'",$A15,"'!F31"))&gt;=AU$2,"i",""))</f>
        <v>d</v>
      </c>
      <c r="AV15" s="4" t="str" cm="1">
        <f t="array" aca="1" ref="AV15" ca="1">IF(INDIRECT(_xlfn.CONCAT("'",$A15,"'!F30"))&gt;=AV$2,"d",IF(INDIRECT(_xlfn.CONCAT("'",$A15,"'!F31"))&gt;=AV$2,"i",""))</f>
        <v/>
      </c>
    </row>
    <row r="16" spans="1:48" x14ac:dyDescent="0.25">
      <c r="A16" s="101" t="str">
        <v>Noelle</v>
      </c>
      <c r="B16" s="4" t="str">
        <f t="shared" si="0"/>
        <v>Geo</v>
      </c>
      <c r="C16" s="38" t="str">
        <f t="shared" si="1"/>
        <v>Mondstadt 2</v>
      </c>
      <c r="D16" s="85" t="str">
        <f t="shared" si="2"/>
        <v>Dvalin 2</v>
      </c>
      <c r="E16" s="14" t="str" cm="1">
        <f t="array" aca="1" ref="E16" ca="1">IF(INDIRECT(_xlfn.CONCAT("'",$A16,"'!B4"))&gt;=E$2,"d",IF(INDIRECT(_xlfn.CONCAT("'",$A16,"'!B5"))&gt;=E$2,"i",""))</f>
        <v>d</v>
      </c>
      <c r="F16" s="1" t="str" cm="1">
        <f t="array" aca="1" ref="F16" ca="1">IF(INDIRECT(_xlfn.CONCAT("'",$A16,"'!B4"))&gt;=F$2,"d",IF(INDIRECT(_xlfn.CONCAT("'",$A16,"'!B5"))&gt;=F$2,"i",""))</f>
        <v>d</v>
      </c>
      <c r="G16" s="1" t="str" cm="1">
        <f t="array" aca="1" ref="G16" ca="1">IF(INDIRECT(_xlfn.CONCAT("'",$A16,"'!B4"))&gt;=G$2,"d",IF(INDIRECT(_xlfn.CONCAT("'",$A16,"'!B5"))&gt;=G$2,"i",""))</f>
        <v>d</v>
      </c>
      <c r="H16" s="1" t="str" cm="1">
        <f t="array" aca="1" ref="H16" ca="1">IF(INDIRECT(_xlfn.CONCAT("'",$A16,"'!B4"))&gt;=H$2,"d",IF(INDIRECT(_xlfn.CONCAT("'",$A16,"'!B5"))&gt;=H$2,"i",""))</f>
        <v>d</v>
      </c>
      <c r="I16" s="1" t="str" cm="1">
        <f t="array" aca="1" ref="I16" ca="1">IF(INDIRECT(_xlfn.CONCAT("'",$A16,"'!B4"))&gt;=I$2,"d",IF(INDIRECT(_xlfn.CONCAT("'",$A16,"'!B5"))&gt;=I$2,"i",""))</f>
        <v>d</v>
      </c>
      <c r="J16" s="1" t="str" cm="1">
        <f t="array" aca="1" ref="J16" ca="1">IF(INDIRECT(_xlfn.CONCAT("'",$A16,"'!B4"))&gt;=J$2,"d",IF(INDIRECT(_xlfn.CONCAT("'",$A16,"'!B5"))&gt;=J$2,"i",""))</f>
        <v>d</v>
      </c>
      <c r="K16" s="4" t="str" cm="1">
        <f t="array" aca="1" ref="K16" ca="1">IF(INDIRECT(_xlfn.CONCAT("'",$A16,"'!B4"))&gt;=K$2,"d",IF(INDIRECT(_xlfn.CONCAT("'",$A16,"'!B5"))&gt;=K$2,"i",""))</f>
        <v>d</v>
      </c>
      <c r="L16" s="39"/>
      <c r="M16" s="1" t="str" cm="1">
        <f t="array" aca="1" ref="M16" ca="1">IF(INDIRECT(_xlfn.CONCAT("'",$A16,"'!C10"))&gt;=M$2,"d",IF(INDIRECT(_xlfn.CONCAT("'",$A16,"'!C11"))&gt;=M$2,"i",""))</f>
        <v>d</v>
      </c>
      <c r="N16" s="1" t="str" cm="1">
        <f t="array" aca="1" ref="N16" ca="1">IF(INDIRECT(_xlfn.CONCAT("'",$A16,"'!C10"))&gt;=N$2,"d",IF(INDIRECT(_xlfn.CONCAT("'",$A16,"'!C11"))&gt;=N$2,"i",""))</f>
        <v>d</v>
      </c>
      <c r="O16" s="1" t="str" cm="1">
        <f t="array" aca="1" ref="O16" ca="1">IF(INDIRECT(_xlfn.CONCAT("'",$A16,"'!C10"))&gt;=O$2,"d",IF(INDIRECT(_xlfn.CONCAT("'",$A16,"'!C11"))&gt;=O$2,"i",""))</f>
        <v>d</v>
      </c>
      <c r="P16" s="1" t="str" cm="1">
        <f t="array" aca="1" ref="P16" ca="1">IF(INDIRECT(_xlfn.CONCAT("'",$A16,"'!C10"))&gt;=P$2,"d",IF(INDIRECT(_xlfn.CONCAT("'",$A16,"'!C11"))&gt;=P$2,"i",""))</f>
        <v>d</v>
      </c>
      <c r="Q16" s="1" t="str" cm="1">
        <f t="array" aca="1" ref="Q16" ca="1">IF(INDIRECT(_xlfn.CONCAT("'",$A16,"'!C10"))&gt;=Q$2,"d",IF(INDIRECT(_xlfn.CONCAT("'",$A16,"'!C11"))&gt;=Q$2,"i",""))</f>
        <v>d</v>
      </c>
      <c r="R16" s="1" t="str" cm="1">
        <f t="array" aca="1" ref="R16" ca="1">IF(INDIRECT(_xlfn.CONCAT("'",$A16,"'!C10"))&gt;=R$2,"d",IF(INDIRECT(_xlfn.CONCAT("'",$A16,"'!C11"))&gt;=R$2,"i",""))</f>
        <v>d</v>
      </c>
      <c r="S16" s="36"/>
      <c r="T16" s="1" t="str" cm="1">
        <f t="array" aca="1" ref="T16" ca="1">IF(INDIRECT(_xlfn.CONCAT("'",$A16,"'!F4"))&gt;=T$2,"d",IF(INDIRECT(_xlfn.CONCAT("'",$A16,"'!F5"))&gt;=T$2,"i",""))</f>
        <v>d</v>
      </c>
      <c r="U16" s="1" t="str" cm="1">
        <f t="array" aca="1" ref="U16" ca="1">IF(INDIRECT(_xlfn.CONCAT("'",$A16,"'!F4"))&gt;=U$2,"d",IF(INDIRECT(_xlfn.CONCAT("'",$A16,"'!F5"))&gt;=U$2,"i",""))</f>
        <v>d</v>
      </c>
      <c r="V16" s="1" t="str" cm="1">
        <f t="array" aca="1" ref="V16" ca="1">IF(INDIRECT(_xlfn.CONCAT("'",$A16,"'!F4"))&gt;=V$2,"d",IF(INDIRECT(_xlfn.CONCAT("'",$A16,"'!F5"))&gt;=V$2,"i",""))</f>
        <v>d</v>
      </c>
      <c r="W16" s="1" t="str" cm="1">
        <f t="array" aca="1" ref="W16" ca="1">IF(INDIRECT(_xlfn.CONCAT("'",$A16,"'!F4"))&gt;=W$2,"d",IF(INDIRECT(_xlfn.CONCAT("'",$A16,"'!F5"))&gt;=W$2,"i",""))</f>
        <v>d</v>
      </c>
      <c r="X16" s="1" t="str" cm="1">
        <f t="array" aca="1" ref="X16" ca="1">IF(INDIRECT(_xlfn.CONCAT("'",$A16,"'!F4"))&gt;=X$2,"d",IF(INDIRECT(_xlfn.CONCAT("'",$A16,"'!F5"))&gt;=X$2,"i",""))</f>
        <v>d</v>
      </c>
      <c r="Y16" s="1" t="str" cm="1">
        <f t="array" aca="1" ref="Y16" ca="1">IF(INDIRECT(_xlfn.CONCAT("'",$A16,"'!F4"))&gt;=Y$2,"d",IF(INDIRECT(_xlfn.CONCAT("'",$A16,"'!F5"))&gt;=Y$2,"i",""))</f>
        <v>d</v>
      </c>
      <c r="Z16" s="1" t="str" cm="1">
        <f t="array" aca="1" ref="Z16" ca="1">IF(INDIRECT(_xlfn.CONCAT("'",$A16,"'!F4"))&gt;=Z$2,"d",IF(INDIRECT(_xlfn.CONCAT("'",$A16,"'!F5"))&gt;=Z$2,"i",""))</f>
        <v>d</v>
      </c>
      <c r="AA16" s="1" t="str" cm="1">
        <f t="array" aca="1" ref="AA16" ca="1">IF(INDIRECT(_xlfn.CONCAT("'",$A16,"'!F4"))&gt;=AA$2,"d",IF(INDIRECT(_xlfn.CONCAT("'",$A16,"'!F5"))&gt;=AA$2,"i",""))</f>
        <v>d</v>
      </c>
      <c r="AB16" s="1" t="str" cm="1">
        <f t="array" aca="1" ref="AB16" ca="1">IF(INDIRECT(_xlfn.CONCAT("'",$A16,"'!F4"))&gt;=AB$2,"d",IF(INDIRECT(_xlfn.CONCAT("'",$A16,"'!F5"))&gt;=AB$2,"i",""))</f>
        <v/>
      </c>
      <c r="AC16" s="36"/>
      <c r="AD16" s="1" t="str" cm="1">
        <f t="array" aca="1" ref="AD16" ca="1">IF(INDIRECT(_xlfn.CONCAT("'",$A16,"'!F17"))&gt;=AD$2,"d",IF(INDIRECT(_xlfn.CONCAT("'",$A16,"'!F18"))&gt;=AD$2,"i",""))</f>
        <v>d</v>
      </c>
      <c r="AE16" s="1" t="str" cm="1">
        <f t="array" aca="1" ref="AE16" ca="1">IF(INDIRECT(_xlfn.CONCAT("'",$A16,"'!F17"))&gt;=AE$2,"d",IF(INDIRECT(_xlfn.CONCAT("'",$A16,"'!F18"))&gt;=AE$2,"i",""))</f>
        <v>d</v>
      </c>
      <c r="AF16" s="1" t="str" cm="1">
        <f t="array" aca="1" ref="AF16" ca="1">IF(INDIRECT(_xlfn.CONCAT("'",$A16,"'!F17"))&gt;=AF$2,"d",IF(INDIRECT(_xlfn.CONCAT("'",$A16,"'!F18"))&gt;=AF$2,"i",""))</f>
        <v>d</v>
      </c>
      <c r="AG16" s="1" t="str" cm="1">
        <f t="array" aca="1" ref="AG16" ca="1">IF(INDIRECT(_xlfn.CONCAT("'",$A16,"'!F17"))&gt;=AG$2,"d",IF(INDIRECT(_xlfn.CONCAT("'",$A16,"'!F18"))&gt;=AG$2,"i",""))</f>
        <v>d</v>
      </c>
      <c r="AH16" s="1" t="str" cm="1">
        <f t="array" aca="1" ref="AH16" ca="1">IF(INDIRECT(_xlfn.CONCAT("'",$A16,"'!F17"))&gt;=AH$2,"d",IF(INDIRECT(_xlfn.CONCAT("'",$A16,"'!F18"))&gt;=AH$2,"i",""))</f>
        <v>d</v>
      </c>
      <c r="AI16" s="1" t="str" cm="1">
        <f t="array" aca="1" ref="AI16" ca="1">IF(INDIRECT(_xlfn.CONCAT("'",$A16,"'!F17"))&gt;=AI$2,"d",IF(INDIRECT(_xlfn.CONCAT("'",$A16,"'!F18"))&gt;=AI$2,"i",""))</f>
        <v>d</v>
      </c>
      <c r="AJ16" s="1" t="str" cm="1">
        <f t="array" aca="1" ref="AJ16" ca="1">IF(INDIRECT(_xlfn.CONCAT("'",$A16,"'!F17"))&gt;=AJ$2,"d",IF(INDIRECT(_xlfn.CONCAT("'",$A16,"'!F18"))&gt;=AJ$2,"i",""))</f>
        <v>d</v>
      </c>
      <c r="AK16" s="1" t="str" cm="1">
        <f t="array" aca="1" ref="AK16" ca="1">IF(INDIRECT(_xlfn.CONCAT("'",$A16,"'!F17"))&gt;=AK$2,"d",IF(INDIRECT(_xlfn.CONCAT("'",$A16,"'!F18"))&gt;=AK$2,"i",""))</f>
        <v>d</v>
      </c>
      <c r="AL16" s="1" t="str" cm="1">
        <f t="array" aca="1" ref="AL16" ca="1">IF(INDIRECT(_xlfn.CONCAT("'",$A16,"'!F17"))&gt;=AL$2,"d",IF(INDIRECT(_xlfn.CONCAT("'",$A16,"'!F18"))&gt;=AL$2,"i",""))</f>
        <v/>
      </c>
      <c r="AM16" s="36"/>
      <c r="AN16" s="1" t="str" cm="1">
        <f t="array" aca="1" ref="AN16" ca="1">IF(INDIRECT(_xlfn.CONCAT("'",$A16,"'!F30"))&gt;=AN$2,"d",IF(INDIRECT(_xlfn.CONCAT("'",$A16,"'!F31"))&gt;=AN$2,"i",""))</f>
        <v>d</v>
      </c>
      <c r="AO16" s="1" t="str" cm="1">
        <f t="array" aca="1" ref="AO16" ca="1">IF(INDIRECT(_xlfn.CONCAT("'",$A16,"'!F30"))&gt;=AO$2,"d",IF(INDIRECT(_xlfn.CONCAT("'",$A16,"'!F31"))&gt;=AO$2,"i",""))</f>
        <v>d</v>
      </c>
      <c r="AP16" s="1" t="str" cm="1">
        <f t="array" aca="1" ref="AP16" ca="1">IF(INDIRECT(_xlfn.CONCAT("'",$A16,"'!F30"))&gt;=AP$2,"d",IF(INDIRECT(_xlfn.CONCAT("'",$A16,"'!F31"))&gt;=AP$2,"i",""))</f>
        <v>d</v>
      </c>
      <c r="AQ16" s="1" t="str" cm="1">
        <f t="array" aca="1" ref="AQ16" ca="1">IF(INDIRECT(_xlfn.CONCAT("'",$A16,"'!F30"))&gt;=AQ$2,"d",IF(INDIRECT(_xlfn.CONCAT("'",$A16,"'!F31"))&gt;=AQ$2,"i",""))</f>
        <v>d</v>
      </c>
      <c r="AR16" s="1" t="str" cm="1">
        <f t="array" aca="1" ref="AR16" ca="1">IF(INDIRECT(_xlfn.CONCAT("'",$A16,"'!F30"))&gt;=AR$2,"d",IF(INDIRECT(_xlfn.CONCAT("'",$A16,"'!F31"))&gt;=AR$2,"i",""))</f>
        <v>d</v>
      </c>
      <c r="AS16" s="1" t="str" cm="1">
        <f t="array" aca="1" ref="AS16" ca="1">IF(INDIRECT(_xlfn.CONCAT("'",$A16,"'!F30"))&gt;=AS$2,"d",IF(INDIRECT(_xlfn.CONCAT("'",$A16,"'!F31"))&gt;=AS$2,"i",""))</f>
        <v>d</v>
      </c>
      <c r="AT16" s="1" t="str" cm="1">
        <f t="array" aca="1" ref="AT16" ca="1">IF(INDIRECT(_xlfn.CONCAT("'",$A16,"'!F30"))&gt;=AT$2,"d",IF(INDIRECT(_xlfn.CONCAT("'",$A16,"'!F31"))&gt;=AT$2,"i",""))</f>
        <v>d</v>
      </c>
      <c r="AU16" s="1" t="str" cm="1">
        <f t="array" aca="1" ref="AU16" ca="1">IF(INDIRECT(_xlfn.CONCAT("'",$A16,"'!F30"))&gt;=AU$2,"d",IF(INDIRECT(_xlfn.CONCAT("'",$A16,"'!F31"))&gt;=AU$2,"i",""))</f>
        <v>d</v>
      </c>
      <c r="AV16" s="4" t="str" cm="1">
        <f t="array" aca="1" ref="AV16" ca="1">IF(INDIRECT(_xlfn.CONCAT("'",$A16,"'!F30"))&gt;=AV$2,"d",IF(INDIRECT(_xlfn.CONCAT("'",$A16,"'!F31"))&gt;=AV$2,"i",""))</f>
        <v/>
      </c>
    </row>
    <row r="17" spans="1:48" x14ac:dyDescent="0.25">
      <c r="A17" s="101" t="str">
        <v>Chongyun</v>
      </c>
      <c r="B17" s="4" t="str">
        <f t="shared" si="0"/>
        <v>Cryo</v>
      </c>
      <c r="C17" s="38" t="str">
        <f t="shared" si="1"/>
        <v>Liyue 2</v>
      </c>
      <c r="D17" s="85" t="str">
        <f t="shared" si="2"/>
        <v>Dvalin 3</v>
      </c>
      <c r="E17" s="14" t="str" cm="1">
        <f t="array" aca="1" ref="E17" ca="1">IF(INDIRECT(_xlfn.CONCAT("'",$A17,"'!B4"))&gt;=E$2,"d",IF(INDIRECT(_xlfn.CONCAT("'",$A17,"'!B5"))&gt;=E$2,"i",""))</f>
        <v>d</v>
      </c>
      <c r="F17" s="1" t="str" cm="1">
        <f t="array" aca="1" ref="F17" ca="1">IF(INDIRECT(_xlfn.CONCAT("'",$A17,"'!B4"))&gt;=F$2,"d",IF(INDIRECT(_xlfn.CONCAT("'",$A17,"'!B5"))&gt;=F$2,"i",""))</f>
        <v>d</v>
      </c>
      <c r="G17" s="1" t="str" cm="1">
        <f t="array" aca="1" ref="G17" ca="1">IF(INDIRECT(_xlfn.CONCAT("'",$A17,"'!B4"))&gt;=G$2,"d",IF(INDIRECT(_xlfn.CONCAT("'",$A17,"'!B5"))&gt;=G$2,"i",""))</f>
        <v>d</v>
      </c>
      <c r="H17" s="1" t="str" cm="1">
        <f t="array" aca="1" ref="H17" ca="1">IF(INDIRECT(_xlfn.CONCAT("'",$A17,"'!B4"))&gt;=H$2,"d",IF(INDIRECT(_xlfn.CONCAT("'",$A17,"'!B5"))&gt;=H$2,"i",""))</f>
        <v>d</v>
      </c>
      <c r="I17" s="1" t="str" cm="1">
        <f t="array" aca="1" ref="I17" ca="1">IF(INDIRECT(_xlfn.CONCAT("'",$A17,"'!B4"))&gt;=I$2,"d",IF(INDIRECT(_xlfn.CONCAT("'",$A17,"'!B5"))&gt;=I$2,"i",""))</f>
        <v>d</v>
      </c>
      <c r="J17" s="1" t="str" cm="1">
        <f t="array" aca="1" ref="J17" ca="1">IF(INDIRECT(_xlfn.CONCAT("'",$A17,"'!B4"))&gt;=J$2,"d",IF(INDIRECT(_xlfn.CONCAT("'",$A17,"'!B5"))&gt;=J$2,"i",""))</f>
        <v>d</v>
      </c>
      <c r="K17" s="4" t="str" cm="1">
        <f t="array" aca="1" ref="K17" ca="1">IF(INDIRECT(_xlfn.CONCAT("'",$A17,"'!B4"))&gt;=K$2,"d",IF(INDIRECT(_xlfn.CONCAT("'",$A17,"'!B5"))&gt;=K$2,"i",""))</f>
        <v>d</v>
      </c>
      <c r="L17" s="39"/>
      <c r="M17" s="1" t="str" cm="1">
        <f t="array" aca="1" ref="M17" ca="1">IF(INDIRECT(_xlfn.CONCAT("'",$A17,"'!C10"))&gt;=M$2,"d",IF(INDIRECT(_xlfn.CONCAT("'",$A17,"'!C11"))&gt;=M$2,"i",""))</f>
        <v>d</v>
      </c>
      <c r="N17" s="1" t="str" cm="1">
        <f t="array" aca="1" ref="N17" ca="1">IF(INDIRECT(_xlfn.CONCAT("'",$A17,"'!C10"))&gt;=N$2,"d",IF(INDIRECT(_xlfn.CONCAT("'",$A17,"'!C11"))&gt;=N$2,"i",""))</f>
        <v>d</v>
      </c>
      <c r="O17" s="1" t="str" cm="1">
        <f t="array" aca="1" ref="O17" ca="1">IF(INDIRECT(_xlfn.CONCAT("'",$A17,"'!C10"))&gt;=O$2,"d",IF(INDIRECT(_xlfn.CONCAT("'",$A17,"'!C11"))&gt;=O$2,"i",""))</f>
        <v>d</v>
      </c>
      <c r="P17" s="1" t="str" cm="1">
        <f t="array" aca="1" ref="P17" ca="1">IF(INDIRECT(_xlfn.CONCAT("'",$A17,"'!C10"))&gt;=P$2,"d",IF(INDIRECT(_xlfn.CONCAT("'",$A17,"'!C11"))&gt;=P$2,"i",""))</f>
        <v>d</v>
      </c>
      <c r="Q17" s="1" t="str" cm="1">
        <f t="array" aca="1" ref="Q17" ca="1">IF(INDIRECT(_xlfn.CONCAT("'",$A17,"'!C10"))&gt;=Q$2,"d",IF(INDIRECT(_xlfn.CONCAT("'",$A17,"'!C11"))&gt;=Q$2,"i",""))</f>
        <v>d</v>
      </c>
      <c r="R17" s="1" t="str" cm="1">
        <f t="array" aca="1" ref="R17" ca="1">IF(INDIRECT(_xlfn.CONCAT("'",$A17,"'!C10"))&gt;=R$2,"d",IF(INDIRECT(_xlfn.CONCAT("'",$A17,"'!C11"))&gt;=R$2,"i",""))</f>
        <v>d</v>
      </c>
      <c r="S17" s="36"/>
      <c r="T17" s="1" t="str" cm="1">
        <f t="array" aca="1" ref="T17" ca="1">IF(INDIRECT(_xlfn.CONCAT("'",$A17,"'!F4"))&gt;=T$2,"d",IF(INDIRECT(_xlfn.CONCAT("'",$A17,"'!F5"))&gt;=T$2,"i",""))</f>
        <v>d</v>
      </c>
      <c r="U17" s="1" t="str" cm="1">
        <f t="array" aca="1" ref="U17" ca="1">IF(INDIRECT(_xlfn.CONCAT("'",$A17,"'!F4"))&gt;=U$2,"d",IF(INDIRECT(_xlfn.CONCAT("'",$A17,"'!F5"))&gt;=U$2,"i",""))</f>
        <v>d</v>
      </c>
      <c r="V17" s="1" t="str" cm="1">
        <f t="array" aca="1" ref="V17" ca="1">IF(INDIRECT(_xlfn.CONCAT("'",$A17,"'!F4"))&gt;=V$2,"d",IF(INDIRECT(_xlfn.CONCAT("'",$A17,"'!F5"))&gt;=V$2,"i",""))</f>
        <v>d</v>
      </c>
      <c r="W17" s="1" t="str" cm="1">
        <f t="array" aca="1" ref="W17" ca="1">IF(INDIRECT(_xlfn.CONCAT("'",$A17,"'!F4"))&gt;=W$2,"d",IF(INDIRECT(_xlfn.CONCAT("'",$A17,"'!F5"))&gt;=W$2,"i",""))</f>
        <v>d</v>
      </c>
      <c r="X17" s="1" t="str" cm="1">
        <f t="array" aca="1" ref="X17" ca="1">IF(INDIRECT(_xlfn.CONCAT("'",$A17,"'!F4"))&gt;=X$2,"d",IF(INDIRECT(_xlfn.CONCAT("'",$A17,"'!F5"))&gt;=X$2,"i",""))</f>
        <v>d</v>
      </c>
      <c r="Y17" s="1" t="str" cm="1">
        <f t="array" aca="1" ref="Y17" ca="1">IF(INDIRECT(_xlfn.CONCAT("'",$A17,"'!F4"))&gt;=Y$2,"d",IF(INDIRECT(_xlfn.CONCAT("'",$A17,"'!F5"))&gt;=Y$2,"i",""))</f>
        <v>d</v>
      </c>
      <c r="Z17" s="1" t="str" cm="1">
        <f t="array" aca="1" ref="Z17" ca="1">IF(INDIRECT(_xlfn.CONCAT("'",$A17,"'!F4"))&gt;=Z$2,"d",IF(INDIRECT(_xlfn.CONCAT("'",$A17,"'!F5"))&gt;=Z$2,"i",""))</f>
        <v>d</v>
      </c>
      <c r="AA17" s="1" t="str" cm="1">
        <f t="array" aca="1" ref="AA17" ca="1">IF(INDIRECT(_xlfn.CONCAT("'",$A17,"'!F4"))&gt;=AA$2,"d",IF(INDIRECT(_xlfn.CONCAT("'",$A17,"'!F5"))&gt;=AA$2,"i",""))</f>
        <v>d</v>
      </c>
      <c r="AB17" s="1" t="str" cm="1">
        <f t="array" aca="1" ref="AB17" ca="1">IF(INDIRECT(_xlfn.CONCAT("'",$A17,"'!F4"))&gt;=AB$2,"d",IF(INDIRECT(_xlfn.CONCAT("'",$A17,"'!F5"))&gt;=AB$2,"i",""))</f>
        <v/>
      </c>
      <c r="AC17" s="36"/>
      <c r="AD17" s="1" t="str" cm="1">
        <f t="array" aca="1" ref="AD17" ca="1">IF(INDIRECT(_xlfn.CONCAT("'",$A17,"'!F17"))&gt;=AD$2,"d",IF(INDIRECT(_xlfn.CONCAT("'",$A17,"'!F18"))&gt;=AD$2,"i",""))</f>
        <v>d</v>
      </c>
      <c r="AE17" s="1" t="str" cm="1">
        <f t="array" aca="1" ref="AE17" ca="1">IF(INDIRECT(_xlfn.CONCAT("'",$A17,"'!F17"))&gt;=AE$2,"d",IF(INDIRECT(_xlfn.CONCAT("'",$A17,"'!F18"))&gt;=AE$2,"i",""))</f>
        <v>d</v>
      </c>
      <c r="AF17" s="1" t="str" cm="1">
        <f t="array" aca="1" ref="AF17" ca="1">IF(INDIRECT(_xlfn.CONCAT("'",$A17,"'!F17"))&gt;=AF$2,"d",IF(INDIRECT(_xlfn.CONCAT("'",$A17,"'!F18"))&gt;=AF$2,"i",""))</f>
        <v>d</v>
      </c>
      <c r="AG17" s="1" t="str" cm="1">
        <f t="array" aca="1" ref="AG17" ca="1">IF(INDIRECT(_xlfn.CONCAT("'",$A17,"'!F17"))&gt;=AG$2,"d",IF(INDIRECT(_xlfn.CONCAT("'",$A17,"'!F18"))&gt;=AG$2,"i",""))</f>
        <v>d</v>
      </c>
      <c r="AH17" s="1" t="str" cm="1">
        <f t="array" aca="1" ref="AH17" ca="1">IF(INDIRECT(_xlfn.CONCAT("'",$A17,"'!F17"))&gt;=AH$2,"d",IF(INDIRECT(_xlfn.CONCAT("'",$A17,"'!F18"))&gt;=AH$2,"i",""))</f>
        <v>d</v>
      </c>
      <c r="AI17" s="1" t="str" cm="1">
        <f t="array" aca="1" ref="AI17" ca="1">IF(INDIRECT(_xlfn.CONCAT("'",$A17,"'!F17"))&gt;=AI$2,"d",IF(INDIRECT(_xlfn.CONCAT("'",$A17,"'!F18"))&gt;=AI$2,"i",""))</f>
        <v>d</v>
      </c>
      <c r="AJ17" s="1" t="str" cm="1">
        <f t="array" aca="1" ref="AJ17" ca="1">IF(INDIRECT(_xlfn.CONCAT("'",$A17,"'!F17"))&gt;=AJ$2,"d",IF(INDIRECT(_xlfn.CONCAT("'",$A17,"'!F18"))&gt;=AJ$2,"i",""))</f>
        <v>d</v>
      </c>
      <c r="AK17" s="1" t="str" cm="1">
        <f t="array" aca="1" ref="AK17" ca="1">IF(INDIRECT(_xlfn.CONCAT("'",$A17,"'!F17"))&gt;=AK$2,"d",IF(INDIRECT(_xlfn.CONCAT("'",$A17,"'!F18"))&gt;=AK$2,"i",""))</f>
        <v>d</v>
      </c>
      <c r="AL17" s="1" t="str" cm="1">
        <f t="array" aca="1" ref="AL17" ca="1">IF(INDIRECT(_xlfn.CONCAT("'",$A17,"'!F17"))&gt;=AL$2,"d",IF(INDIRECT(_xlfn.CONCAT("'",$A17,"'!F18"))&gt;=AL$2,"i",""))</f>
        <v/>
      </c>
      <c r="AM17" s="36"/>
      <c r="AN17" s="1" t="str" cm="1">
        <f t="array" aca="1" ref="AN17" ca="1">IF(INDIRECT(_xlfn.CONCAT("'",$A17,"'!F30"))&gt;=AN$2,"d",IF(INDIRECT(_xlfn.CONCAT("'",$A17,"'!F31"))&gt;=AN$2,"i",""))</f>
        <v>d</v>
      </c>
      <c r="AO17" s="1" t="str" cm="1">
        <f t="array" aca="1" ref="AO17" ca="1">IF(INDIRECT(_xlfn.CONCAT("'",$A17,"'!F30"))&gt;=AO$2,"d",IF(INDIRECT(_xlfn.CONCAT("'",$A17,"'!F31"))&gt;=AO$2,"i",""))</f>
        <v>d</v>
      </c>
      <c r="AP17" s="1" t="str" cm="1">
        <f t="array" aca="1" ref="AP17" ca="1">IF(INDIRECT(_xlfn.CONCAT("'",$A17,"'!F30"))&gt;=AP$2,"d",IF(INDIRECT(_xlfn.CONCAT("'",$A17,"'!F31"))&gt;=AP$2,"i",""))</f>
        <v>d</v>
      </c>
      <c r="AQ17" s="1" t="str" cm="1">
        <f t="array" aca="1" ref="AQ17" ca="1">IF(INDIRECT(_xlfn.CONCAT("'",$A17,"'!F30"))&gt;=AQ$2,"d",IF(INDIRECT(_xlfn.CONCAT("'",$A17,"'!F31"))&gt;=AQ$2,"i",""))</f>
        <v>d</v>
      </c>
      <c r="AR17" s="1" t="str" cm="1">
        <f t="array" aca="1" ref="AR17" ca="1">IF(INDIRECT(_xlfn.CONCAT("'",$A17,"'!F30"))&gt;=AR$2,"d",IF(INDIRECT(_xlfn.CONCAT("'",$A17,"'!F31"))&gt;=AR$2,"i",""))</f>
        <v>d</v>
      </c>
      <c r="AS17" s="1" t="str" cm="1">
        <f t="array" aca="1" ref="AS17" ca="1">IF(INDIRECT(_xlfn.CONCAT("'",$A17,"'!F30"))&gt;=AS$2,"d",IF(INDIRECT(_xlfn.CONCAT("'",$A17,"'!F31"))&gt;=AS$2,"i",""))</f>
        <v>d</v>
      </c>
      <c r="AT17" s="1" t="str" cm="1">
        <f t="array" aca="1" ref="AT17" ca="1">IF(INDIRECT(_xlfn.CONCAT("'",$A17,"'!F30"))&gt;=AT$2,"d",IF(INDIRECT(_xlfn.CONCAT("'",$A17,"'!F31"))&gt;=AT$2,"i",""))</f>
        <v>d</v>
      </c>
      <c r="AU17" s="1" t="str" cm="1">
        <f t="array" aca="1" ref="AU17" ca="1">IF(INDIRECT(_xlfn.CONCAT("'",$A17,"'!F30"))&gt;=AU$2,"d",IF(INDIRECT(_xlfn.CONCAT("'",$A17,"'!F31"))&gt;=AU$2,"i",""))</f>
        <v>d</v>
      </c>
      <c r="AV17" s="4" t="str" cm="1">
        <f t="array" aca="1" ref="AV17" ca="1">IF(INDIRECT(_xlfn.CONCAT("'",$A17,"'!F30"))&gt;=AV$2,"d",IF(INDIRECT(_xlfn.CONCAT("'",$A17,"'!F31"))&gt;=AV$2,"i",""))</f>
        <v/>
      </c>
    </row>
    <row r="18" spans="1:48" x14ac:dyDescent="0.25">
      <c r="A18" s="101" t="str">
        <v>Jean</v>
      </c>
      <c r="B18" s="4" t="str">
        <f t="shared" si="0"/>
        <v>Anemo</v>
      </c>
      <c r="C18" s="38" t="str">
        <f t="shared" si="1"/>
        <v>Mondstadt 2</v>
      </c>
      <c r="D18" s="85" t="str">
        <f t="shared" si="2"/>
        <v>Dvalin 1</v>
      </c>
      <c r="E18" s="14" t="str" cm="1">
        <f t="array" aca="1" ref="E18" ca="1">IF(INDIRECT(_xlfn.CONCAT("'",$A18,"'!B4"))&gt;=E$2,"d",IF(INDIRECT(_xlfn.CONCAT("'",$A18,"'!B5"))&gt;=E$2,"i",""))</f>
        <v>d</v>
      </c>
      <c r="F18" s="1" t="str" cm="1">
        <f t="array" aca="1" ref="F18" ca="1">IF(INDIRECT(_xlfn.CONCAT("'",$A18,"'!B4"))&gt;=F$2,"d",IF(INDIRECT(_xlfn.CONCAT("'",$A18,"'!B5"))&gt;=F$2,"i",""))</f>
        <v>d</v>
      </c>
      <c r="G18" s="1" t="str" cm="1">
        <f t="array" aca="1" ref="G18" ca="1">IF(INDIRECT(_xlfn.CONCAT("'",$A18,"'!B4"))&gt;=G$2,"d",IF(INDIRECT(_xlfn.CONCAT("'",$A18,"'!B5"))&gt;=G$2,"i",""))</f>
        <v>d</v>
      </c>
      <c r="H18" s="1" t="str" cm="1">
        <f t="array" aca="1" ref="H18" ca="1">IF(INDIRECT(_xlfn.CONCAT("'",$A18,"'!B4"))&gt;=H$2,"d",IF(INDIRECT(_xlfn.CONCAT("'",$A18,"'!B5"))&gt;=H$2,"i",""))</f>
        <v>d</v>
      </c>
      <c r="I18" s="1" t="str" cm="1">
        <f t="array" aca="1" ref="I18" ca="1">IF(INDIRECT(_xlfn.CONCAT("'",$A18,"'!B4"))&gt;=I$2,"d",IF(INDIRECT(_xlfn.CONCAT("'",$A18,"'!B5"))&gt;=I$2,"i",""))</f>
        <v>d</v>
      </c>
      <c r="J18" s="1" t="str" cm="1">
        <f t="array" aca="1" ref="J18" ca="1">IF(INDIRECT(_xlfn.CONCAT("'",$A18,"'!B4"))&gt;=J$2,"d",IF(INDIRECT(_xlfn.CONCAT("'",$A18,"'!B5"))&gt;=J$2,"i",""))</f>
        <v>d</v>
      </c>
      <c r="K18" s="4" t="str" cm="1">
        <f t="array" aca="1" ref="K18" ca="1">IF(INDIRECT(_xlfn.CONCAT("'",$A18,"'!B4"))&gt;=K$2,"d",IF(INDIRECT(_xlfn.CONCAT("'",$A18,"'!B5"))&gt;=K$2,"i",""))</f>
        <v>d</v>
      </c>
      <c r="L18" s="39"/>
      <c r="M18" s="1" t="str" cm="1">
        <f t="array" aca="1" ref="M18" ca="1">IF(INDIRECT(_xlfn.CONCAT("'",$A18,"'!C10"))&gt;=M$2,"d",IF(INDIRECT(_xlfn.CONCAT("'",$A18,"'!C11"))&gt;=M$2,"i",""))</f>
        <v>d</v>
      </c>
      <c r="N18" s="1" t="str" cm="1">
        <f t="array" aca="1" ref="N18" ca="1">IF(INDIRECT(_xlfn.CONCAT("'",$A18,"'!C10"))&gt;=N$2,"d",IF(INDIRECT(_xlfn.CONCAT("'",$A18,"'!C11"))&gt;=N$2,"i",""))</f>
        <v>d</v>
      </c>
      <c r="O18" s="1" t="str" cm="1">
        <f t="array" aca="1" ref="O18" ca="1">IF(INDIRECT(_xlfn.CONCAT("'",$A18,"'!C10"))&gt;=O$2,"d",IF(INDIRECT(_xlfn.CONCAT("'",$A18,"'!C11"))&gt;=O$2,"i",""))</f>
        <v>d</v>
      </c>
      <c r="P18" s="1" t="str" cm="1">
        <f t="array" aca="1" ref="P18" ca="1">IF(INDIRECT(_xlfn.CONCAT("'",$A18,"'!C10"))&gt;=P$2,"d",IF(INDIRECT(_xlfn.CONCAT("'",$A18,"'!C11"))&gt;=P$2,"i",""))</f>
        <v>d</v>
      </c>
      <c r="Q18" s="1" t="str" cm="1">
        <f t="array" aca="1" ref="Q18" ca="1">IF(INDIRECT(_xlfn.CONCAT("'",$A18,"'!C10"))&gt;=Q$2,"d",IF(INDIRECT(_xlfn.CONCAT("'",$A18,"'!C11"))&gt;=Q$2,"i",""))</f>
        <v>d</v>
      </c>
      <c r="R18" s="1" t="str" cm="1">
        <f t="array" aca="1" ref="R18" ca="1">IF(INDIRECT(_xlfn.CONCAT("'",$A18,"'!C10"))&gt;=R$2,"d",IF(INDIRECT(_xlfn.CONCAT("'",$A18,"'!C11"))&gt;=R$2,"i",""))</f>
        <v>d</v>
      </c>
      <c r="S18" s="36"/>
      <c r="T18" s="1" t="str" cm="1">
        <f t="array" aca="1" ref="T18" ca="1">IF(INDIRECT(_xlfn.CONCAT("'",$A18,"'!F4"))&gt;=T$2,"d",IF(INDIRECT(_xlfn.CONCAT("'",$A18,"'!F5"))&gt;=T$2,"i",""))</f>
        <v>d</v>
      </c>
      <c r="U18" s="1" t="str" cm="1">
        <f t="array" aca="1" ref="U18" ca="1">IF(INDIRECT(_xlfn.CONCAT("'",$A18,"'!F4"))&gt;=U$2,"d",IF(INDIRECT(_xlfn.CONCAT("'",$A18,"'!F5"))&gt;=U$2,"i",""))</f>
        <v>d</v>
      </c>
      <c r="V18" s="1" t="str" cm="1">
        <f t="array" aca="1" ref="V18" ca="1">IF(INDIRECT(_xlfn.CONCAT("'",$A18,"'!F4"))&gt;=V$2,"d",IF(INDIRECT(_xlfn.CONCAT("'",$A18,"'!F5"))&gt;=V$2,"i",""))</f>
        <v>d</v>
      </c>
      <c r="W18" s="1" t="str" cm="1">
        <f t="array" aca="1" ref="W18" ca="1">IF(INDIRECT(_xlfn.CONCAT("'",$A18,"'!F4"))&gt;=W$2,"d",IF(INDIRECT(_xlfn.CONCAT("'",$A18,"'!F5"))&gt;=W$2,"i",""))</f>
        <v>d</v>
      </c>
      <c r="X18" s="1" t="str" cm="1">
        <f t="array" aca="1" ref="X18" ca="1">IF(INDIRECT(_xlfn.CONCAT("'",$A18,"'!F4"))&gt;=X$2,"d",IF(INDIRECT(_xlfn.CONCAT("'",$A18,"'!F5"))&gt;=X$2,"i",""))</f>
        <v>d</v>
      </c>
      <c r="Y18" s="1" t="str" cm="1">
        <f t="array" aca="1" ref="Y18" ca="1">IF(INDIRECT(_xlfn.CONCAT("'",$A18,"'!F4"))&gt;=Y$2,"d",IF(INDIRECT(_xlfn.CONCAT("'",$A18,"'!F5"))&gt;=Y$2,"i",""))</f>
        <v>d</v>
      </c>
      <c r="Z18" s="1" t="str" cm="1">
        <f t="array" aca="1" ref="Z18" ca="1">IF(INDIRECT(_xlfn.CONCAT("'",$A18,"'!F4"))&gt;=Z$2,"d",IF(INDIRECT(_xlfn.CONCAT("'",$A18,"'!F5"))&gt;=Z$2,"i",""))</f>
        <v>d</v>
      </c>
      <c r="AA18" s="1" t="str" cm="1">
        <f t="array" aca="1" ref="AA18" ca="1">IF(INDIRECT(_xlfn.CONCAT("'",$A18,"'!F4"))&gt;=AA$2,"d",IF(INDIRECT(_xlfn.CONCAT("'",$A18,"'!F5"))&gt;=AA$2,"i",""))</f>
        <v>d</v>
      </c>
      <c r="AB18" s="1" t="str" cm="1">
        <f t="array" aca="1" ref="AB18" ca="1">IF(INDIRECT(_xlfn.CONCAT("'",$A18,"'!F4"))&gt;=AB$2,"d",IF(INDIRECT(_xlfn.CONCAT("'",$A18,"'!F5"))&gt;=AB$2,"i",""))</f>
        <v/>
      </c>
      <c r="AC18" s="36"/>
      <c r="AD18" s="1" t="str" cm="1">
        <f t="array" aca="1" ref="AD18" ca="1">IF(INDIRECT(_xlfn.CONCAT("'",$A18,"'!F17"))&gt;=AD$2,"d",IF(INDIRECT(_xlfn.CONCAT("'",$A18,"'!F18"))&gt;=AD$2,"i",""))</f>
        <v>d</v>
      </c>
      <c r="AE18" s="1" t="str" cm="1">
        <f t="array" aca="1" ref="AE18" ca="1">IF(INDIRECT(_xlfn.CONCAT("'",$A18,"'!F17"))&gt;=AE$2,"d",IF(INDIRECT(_xlfn.CONCAT("'",$A18,"'!F18"))&gt;=AE$2,"i",""))</f>
        <v>d</v>
      </c>
      <c r="AF18" s="1" t="str" cm="1">
        <f t="array" aca="1" ref="AF18" ca="1">IF(INDIRECT(_xlfn.CONCAT("'",$A18,"'!F17"))&gt;=AF$2,"d",IF(INDIRECT(_xlfn.CONCAT("'",$A18,"'!F18"))&gt;=AF$2,"i",""))</f>
        <v>d</v>
      </c>
      <c r="AG18" s="1" t="str" cm="1">
        <f t="array" aca="1" ref="AG18" ca="1">IF(INDIRECT(_xlfn.CONCAT("'",$A18,"'!F17"))&gt;=AG$2,"d",IF(INDIRECT(_xlfn.CONCAT("'",$A18,"'!F18"))&gt;=AG$2,"i",""))</f>
        <v>d</v>
      </c>
      <c r="AH18" s="1" t="str" cm="1">
        <f t="array" aca="1" ref="AH18" ca="1">IF(INDIRECT(_xlfn.CONCAT("'",$A18,"'!F17"))&gt;=AH$2,"d",IF(INDIRECT(_xlfn.CONCAT("'",$A18,"'!F18"))&gt;=AH$2,"i",""))</f>
        <v>d</v>
      </c>
      <c r="AI18" s="1" t="str" cm="1">
        <f t="array" aca="1" ref="AI18" ca="1">IF(INDIRECT(_xlfn.CONCAT("'",$A18,"'!F17"))&gt;=AI$2,"d",IF(INDIRECT(_xlfn.CONCAT("'",$A18,"'!F18"))&gt;=AI$2,"i",""))</f>
        <v>d</v>
      </c>
      <c r="AJ18" s="1" t="str" cm="1">
        <f t="array" aca="1" ref="AJ18" ca="1">IF(INDIRECT(_xlfn.CONCAT("'",$A18,"'!F17"))&gt;=AJ$2,"d",IF(INDIRECT(_xlfn.CONCAT("'",$A18,"'!F18"))&gt;=AJ$2,"i",""))</f>
        <v>d</v>
      </c>
      <c r="AK18" s="1" t="str" cm="1">
        <f t="array" aca="1" ref="AK18" ca="1">IF(INDIRECT(_xlfn.CONCAT("'",$A18,"'!F17"))&gt;=AK$2,"d",IF(INDIRECT(_xlfn.CONCAT("'",$A18,"'!F18"))&gt;=AK$2,"i",""))</f>
        <v>d</v>
      </c>
      <c r="AL18" s="1" t="str" cm="1">
        <f t="array" aca="1" ref="AL18" ca="1">IF(INDIRECT(_xlfn.CONCAT("'",$A18,"'!F17"))&gt;=AL$2,"d",IF(INDIRECT(_xlfn.CONCAT("'",$A18,"'!F18"))&gt;=AL$2,"i",""))</f>
        <v/>
      </c>
      <c r="AM18" s="36"/>
      <c r="AN18" s="1" t="str" cm="1">
        <f t="array" aca="1" ref="AN18" ca="1">IF(INDIRECT(_xlfn.CONCAT("'",$A18,"'!F30"))&gt;=AN$2,"d",IF(INDIRECT(_xlfn.CONCAT("'",$A18,"'!F31"))&gt;=AN$2,"i",""))</f>
        <v>d</v>
      </c>
      <c r="AO18" s="1" t="str" cm="1">
        <f t="array" aca="1" ref="AO18" ca="1">IF(INDIRECT(_xlfn.CONCAT("'",$A18,"'!F30"))&gt;=AO$2,"d",IF(INDIRECT(_xlfn.CONCAT("'",$A18,"'!F31"))&gt;=AO$2,"i",""))</f>
        <v>d</v>
      </c>
      <c r="AP18" s="1" t="str" cm="1">
        <f t="array" aca="1" ref="AP18" ca="1">IF(INDIRECT(_xlfn.CONCAT("'",$A18,"'!F30"))&gt;=AP$2,"d",IF(INDIRECT(_xlfn.CONCAT("'",$A18,"'!F31"))&gt;=AP$2,"i",""))</f>
        <v>d</v>
      </c>
      <c r="AQ18" s="1" t="str" cm="1">
        <f t="array" aca="1" ref="AQ18" ca="1">IF(INDIRECT(_xlfn.CONCAT("'",$A18,"'!F30"))&gt;=AQ$2,"d",IF(INDIRECT(_xlfn.CONCAT("'",$A18,"'!F31"))&gt;=AQ$2,"i",""))</f>
        <v>d</v>
      </c>
      <c r="AR18" s="1" t="str" cm="1">
        <f t="array" aca="1" ref="AR18" ca="1">IF(INDIRECT(_xlfn.CONCAT("'",$A18,"'!F30"))&gt;=AR$2,"d",IF(INDIRECT(_xlfn.CONCAT("'",$A18,"'!F31"))&gt;=AR$2,"i",""))</f>
        <v>d</v>
      </c>
      <c r="AS18" s="1" t="str" cm="1">
        <f t="array" aca="1" ref="AS18" ca="1">IF(INDIRECT(_xlfn.CONCAT("'",$A18,"'!F30"))&gt;=AS$2,"d",IF(INDIRECT(_xlfn.CONCAT("'",$A18,"'!F31"))&gt;=AS$2,"i",""))</f>
        <v>d</v>
      </c>
      <c r="AT18" s="1" t="str" cm="1">
        <f t="array" aca="1" ref="AT18" ca="1">IF(INDIRECT(_xlfn.CONCAT("'",$A18,"'!F30"))&gt;=AT$2,"d",IF(INDIRECT(_xlfn.CONCAT("'",$A18,"'!F31"))&gt;=AT$2,"i",""))</f>
        <v>d</v>
      </c>
      <c r="AU18" s="1" t="str" cm="1">
        <f t="array" aca="1" ref="AU18" ca="1">IF(INDIRECT(_xlfn.CONCAT("'",$A18,"'!F30"))&gt;=AU$2,"d",IF(INDIRECT(_xlfn.CONCAT("'",$A18,"'!F31"))&gt;=AU$2,"i",""))</f>
        <v>d</v>
      </c>
      <c r="AV18" s="4" t="str" cm="1">
        <f t="array" aca="1" ref="AV18" ca="1">IF(INDIRECT(_xlfn.CONCAT("'",$A18,"'!F30"))&gt;=AV$2,"d",IF(INDIRECT(_xlfn.CONCAT("'",$A18,"'!F31"))&gt;=AV$2,"i",""))</f>
        <v/>
      </c>
    </row>
    <row r="19" spans="1:48" x14ac:dyDescent="0.25">
      <c r="A19" s="101" t="str">
        <v>Diluc</v>
      </c>
      <c r="B19" s="4" t="str">
        <f t="shared" si="0"/>
        <v>Pyro</v>
      </c>
      <c r="C19" s="38" t="str">
        <f t="shared" si="1"/>
        <v>Mondstadt 2</v>
      </c>
      <c r="D19" s="85" t="str">
        <f t="shared" si="2"/>
        <v>Dvalin 1</v>
      </c>
      <c r="E19" s="14" t="str" cm="1">
        <f t="array" aca="1" ref="E19" ca="1">IF(INDIRECT(_xlfn.CONCAT("'",$A19,"'!B4"))&gt;=E$2,"d",IF(INDIRECT(_xlfn.CONCAT("'",$A19,"'!B5"))&gt;=E$2,"i",""))</f>
        <v>d</v>
      </c>
      <c r="F19" s="1" t="str" cm="1">
        <f t="array" aca="1" ref="F19" ca="1">IF(INDIRECT(_xlfn.CONCAT("'",$A19,"'!B4"))&gt;=F$2,"d",IF(INDIRECT(_xlfn.CONCAT("'",$A19,"'!B5"))&gt;=F$2,"i",""))</f>
        <v>d</v>
      </c>
      <c r="G19" s="1" t="str" cm="1">
        <f t="array" aca="1" ref="G19" ca="1">IF(INDIRECT(_xlfn.CONCAT("'",$A19,"'!B4"))&gt;=G$2,"d",IF(INDIRECT(_xlfn.CONCAT("'",$A19,"'!B5"))&gt;=G$2,"i",""))</f>
        <v>d</v>
      </c>
      <c r="H19" s="1" t="str" cm="1">
        <f t="array" aca="1" ref="H19" ca="1">IF(INDIRECT(_xlfn.CONCAT("'",$A19,"'!B4"))&gt;=H$2,"d",IF(INDIRECT(_xlfn.CONCAT("'",$A19,"'!B5"))&gt;=H$2,"i",""))</f>
        <v>d</v>
      </c>
      <c r="I19" s="1" t="str" cm="1">
        <f t="array" aca="1" ref="I19" ca="1">IF(INDIRECT(_xlfn.CONCAT("'",$A19,"'!B4"))&gt;=I$2,"d",IF(INDIRECT(_xlfn.CONCAT("'",$A19,"'!B5"))&gt;=I$2,"i",""))</f>
        <v>d</v>
      </c>
      <c r="J19" s="1" t="str" cm="1">
        <f t="array" aca="1" ref="J19" ca="1">IF(INDIRECT(_xlfn.CONCAT("'",$A19,"'!B4"))&gt;=J$2,"d",IF(INDIRECT(_xlfn.CONCAT("'",$A19,"'!B5"))&gt;=J$2,"i",""))</f>
        <v>d</v>
      </c>
      <c r="K19" s="4" t="str" cm="1">
        <f t="array" aca="1" ref="K19" ca="1">IF(INDIRECT(_xlfn.CONCAT("'",$A19,"'!B4"))&gt;=K$2,"d",IF(INDIRECT(_xlfn.CONCAT("'",$A19,"'!B5"))&gt;=K$2,"i",""))</f>
        <v>d</v>
      </c>
      <c r="L19" s="39"/>
      <c r="M19" s="1" t="str" cm="1">
        <f t="array" aca="1" ref="M19" ca="1">IF(INDIRECT(_xlfn.CONCAT("'",$A19,"'!C10"))&gt;=M$2,"d",IF(INDIRECT(_xlfn.CONCAT("'",$A19,"'!C11"))&gt;=M$2,"i",""))</f>
        <v>d</v>
      </c>
      <c r="N19" s="1" t="str" cm="1">
        <f t="array" aca="1" ref="N19" ca="1">IF(INDIRECT(_xlfn.CONCAT("'",$A19,"'!C10"))&gt;=N$2,"d",IF(INDIRECT(_xlfn.CONCAT("'",$A19,"'!C11"))&gt;=N$2,"i",""))</f>
        <v>d</v>
      </c>
      <c r="O19" s="1" t="str" cm="1">
        <f t="array" aca="1" ref="O19" ca="1">IF(INDIRECT(_xlfn.CONCAT("'",$A19,"'!C10"))&gt;=O$2,"d",IF(INDIRECT(_xlfn.CONCAT("'",$A19,"'!C11"))&gt;=O$2,"i",""))</f>
        <v>d</v>
      </c>
      <c r="P19" s="1" t="str" cm="1">
        <f t="array" aca="1" ref="P19" ca="1">IF(INDIRECT(_xlfn.CONCAT("'",$A19,"'!C10"))&gt;=P$2,"d",IF(INDIRECT(_xlfn.CONCAT("'",$A19,"'!C11"))&gt;=P$2,"i",""))</f>
        <v>d</v>
      </c>
      <c r="Q19" s="1" t="str" cm="1">
        <f t="array" aca="1" ref="Q19" ca="1">IF(INDIRECT(_xlfn.CONCAT("'",$A19,"'!C10"))&gt;=Q$2,"d",IF(INDIRECT(_xlfn.CONCAT("'",$A19,"'!C11"))&gt;=Q$2,"i",""))</f>
        <v>d</v>
      </c>
      <c r="R19" s="1" t="str" cm="1">
        <f t="array" aca="1" ref="R19" ca="1">IF(INDIRECT(_xlfn.CONCAT("'",$A19,"'!C10"))&gt;=R$2,"d",IF(INDIRECT(_xlfn.CONCAT("'",$A19,"'!C11"))&gt;=R$2,"i",""))</f>
        <v>d</v>
      </c>
      <c r="S19" s="36"/>
      <c r="T19" s="1" t="str" cm="1">
        <f t="array" aca="1" ref="T19" ca="1">IF(INDIRECT(_xlfn.CONCAT("'",$A19,"'!F4"))&gt;=T$2,"d",IF(INDIRECT(_xlfn.CONCAT("'",$A19,"'!F5"))&gt;=T$2,"i",""))</f>
        <v>d</v>
      </c>
      <c r="U19" s="1" t="str" cm="1">
        <f t="array" aca="1" ref="U19" ca="1">IF(INDIRECT(_xlfn.CONCAT("'",$A19,"'!F4"))&gt;=U$2,"d",IF(INDIRECT(_xlfn.CONCAT("'",$A19,"'!F5"))&gt;=U$2,"i",""))</f>
        <v>d</v>
      </c>
      <c r="V19" s="1" t="str" cm="1">
        <f t="array" aca="1" ref="V19" ca="1">IF(INDIRECT(_xlfn.CONCAT("'",$A19,"'!F4"))&gt;=V$2,"d",IF(INDIRECT(_xlfn.CONCAT("'",$A19,"'!F5"))&gt;=V$2,"i",""))</f>
        <v>d</v>
      </c>
      <c r="W19" s="1" t="str" cm="1">
        <f t="array" aca="1" ref="W19" ca="1">IF(INDIRECT(_xlfn.CONCAT("'",$A19,"'!F4"))&gt;=W$2,"d",IF(INDIRECT(_xlfn.CONCAT("'",$A19,"'!F5"))&gt;=W$2,"i",""))</f>
        <v>d</v>
      </c>
      <c r="X19" s="1" t="str" cm="1">
        <f t="array" aca="1" ref="X19" ca="1">IF(INDIRECT(_xlfn.CONCAT("'",$A19,"'!F4"))&gt;=X$2,"d",IF(INDIRECT(_xlfn.CONCAT("'",$A19,"'!F5"))&gt;=X$2,"i",""))</f>
        <v>d</v>
      </c>
      <c r="Y19" s="1" t="str" cm="1">
        <f t="array" aca="1" ref="Y19" ca="1">IF(INDIRECT(_xlfn.CONCAT("'",$A19,"'!F4"))&gt;=Y$2,"d",IF(INDIRECT(_xlfn.CONCAT("'",$A19,"'!F5"))&gt;=Y$2,"i",""))</f>
        <v>d</v>
      </c>
      <c r="Z19" s="1" t="str" cm="1">
        <f t="array" aca="1" ref="Z19" ca="1">IF(INDIRECT(_xlfn.CONCAT("'",$A19,"'!F4"))&gt;=Z$2,"d",IF(INDIRECT(_xlfn.CONCAT("'",$A19,"'!F5"))&gt;=Z$2,"i",""))</f>
        <v>d</v>
      </c>
      <c r="AA19" s="1" t="str" cm="1">
        <f t="array" aca="1" ref="AA19" ca="1">IF(INDIRECT(_xlfn.CONCAT("'",$A19,"'!F4"))&gt;=AA$2,"d",IF(INDIRECT(_xlfn.CONCAT("'",$A19,"'!F5"))&gt;=AA$2,"i",""))</f>
        <v>d</v>
      </c>
      <c r="AB19" s="1" t="str" cm="1">
        <f t="array" aca="1" ref="AB19" ca="1">IF(INDIRECT(_xlfn.CONCAT("'",$A19,"'!F4"))&gt;=AB$2,"d",IF(INDIRECT(_xlfn.CONCAT("'",$A19,"'!F5"))&gt;=AB$2,"i",""))</f>
        <v/>
      </c>
      <c r="AC19" s="36"/>
      <c r="AD19" s="1" t="str" cm="1">
        <f t="array" aca="1" ref="AD19" ca="1">IF(INDIRECT(_xlfn.CONCAT("'",$A19,"'!F17"))&gt;=AD$2,"d",IF(INDIRECT(_xlfn.CONCAT("'",$A19,"'!F18"))&gt;=AD$2,"i",""))</f>
        <v>d</v>
      </c>
      <c r="AE19" s="1" t="str" cm="1">
        <f t="array" aca="1" ref="AE19" ca="1">IF(INDIRECT(_xlfn.CONCAT("'",$A19,"'!F17"))&gt;=AE$2,"d",IF(INDIRECT(_xlfn.CONCAT("'",$A19,"'!F18"))&gt;=AE$2,"i",""))</f>
        <v>d</v>
      </c>
      <c r="AF19" s="1" t="str" cm="1">
        <f t="array" aca="1" ref="AF19" ca="1">IF(INDIRECT(_xlfn.CONCAT("'",$A19,"'!F17"))&gt;=AF$2,"d",IF(INDIRECT(_xlfn.CONCAT("'",$A19,"'!F18"))&gt;=AF$2,"i",""))</f>
        <v>d</v>
      </c>
      <c r="AG19" s="1" t="str" cm="1">
        <f t="array" aca="1" ref="AG19" ca="1">IF(INDIRECT(_xlfn.CONCAT("'",$A19,"'!F17"))&gt;=AG$2,"d",IF(INDIRECT(_xlfn.CONCAT("'",$A19,"'!F18"))&gt;=AG$2,"i",""))</f>
        <v>d</v>
      </c>
      <c r="AH19" s="1" t="str" cm="1">
        <f t="array" aca="1" ref="AH19" ca="1">IF(INDIRECT(_xlfn.CONCAT("'",$A19,"'!F17"))&gt;=AH$2,"d",IF(INDIRECT(_xlfn.CONCAT("'",$A19,"'!F18"))&gt;=AH$2,"i",""))</f>
        <v>d</v>
      </c>
      <c r="AI19" s="1" t="str" cm="1">
        <f t="array" aca="1" ref="AI19" ca="1">IF(INDIRECT(_xlfn.CONCAT("'",$A19,"'!F17"))&gt;=AI$2,"d",IF(INDIRECT(_xlfn.CONCAT("'",$A19,"'!F18"))&gt;=AI$2,"i",""))</f>
        <v>d</v>
      </c>
      <c r="AJ19" s="1" t="str" cm="1">
        <f t="array" aca="1" ref="AJ19" ca="1">IF(INDIRECT(_xlfn.CONCAT("'",$A19,"'!F17"))&gt;=AJ$2,"d",IF(INDIRECT(_xlfn.CONCAT("'",$A19,"'!F18"))&gt;=AJ$2,"i",""))</f>
        <v>d</v>
      </c>
      <c r="AK19" s="1" t="str" cm="1">
        <f t="array" aca="1" ref="AK19" ca="1">IF(INDIRECT(_xlfn.CONCAT("'",$A19,"'!F17"))&gt;=AK$2,"d",IF(INDIRECT(_xlfn.CONCAT("'",$A19,"'!F18"))&gt;=AK$2,"i",""))</f>
        <v>d</v>
      </c>
      <c r="AL19" s="1" t="str" cm="1">
        <f t="array" aca="1" ref="AL19" ca="1">IF(INDIRECT(_xlfn.CONCAT("'",$A19,"'!F17"))&gt;=AL$2,"d",IF(INDIRECT(_xlfn.CONCAT("'",$A19,"'!F18"))&gt;=AL$2,"i",""))</f>
        <v/>
      </c>
      <c r="AM19" s="36"/>
      <c r="AN19" s="1" t="str" cm="1">
        <f t="array" aca="1" ref="AN19" ca="1">IF(INDIRECT(_xlfn.CONCAT("'",$A19,"'!F30"))&gt;=AN$2,"d",IF(INDIRECT(_xlfn.CONCAT("'",$A19,"'!F31"))&gt;=AN$2,"i",""))</f>
        <v>d</v>
      </c>
      <c r="AO19" s="1" t="str" cm="1">
        <f t="array" aca="1" ref="AO19" ca="1">IF(INDIRECT(_xlfn.CONCAT("'",$A19,"'!F30"))&gt;=AO$2,"d",IF(INDIRECT(_xlfn.CONCAT("'",$A19,"'!F31"))&gt;=AO$2,"i",""))</f>
        <v>d</v>
      </c>
      <c r="AP19" s="1" t="str" cm="1">
        <f t="array" aca="1" ref="AP19" ca="1">IF(INDIRECT(_xlfn.CONCAT("'",$A19,"'!F30"))&gt;=AP$2,"d",IF(INDIRECT(_xlfn.CONCAT("'",$A19,"'!F31"))&gt;=AP$2,"i",""))</f>
        <v>d</v>
      </c>
      <c r="AQ19" s="1" t="str" cm="1">
        <f t="array" aca="1" ref="AQ19" ca="1">IF(INDIRECT(_xlfn.CONCAT("'",$A19,"'!F30"))&gt;=AQ$2,"d",IF(INDIRECT(_xlfn.CONCAT("'",$A19,"'!F31"))&gt;=AQ$2,"i",""))</f>
        <v>d</v>
      </c>
      <c r="AR19" s="1" t="str" cm="1">
        <f t="array" aca="1" ref="AR19" ca="1">IF(INDIRECT(_xlfn.CONCAT("'",$A19,"'!F30"))&gt;=AR$2,"d",IF(INDIRECT(_xlfn.CONCAT("'",$A19,"'!F31"))&gt;=AR$2,"i",""))</f>
        <v>d</v>
      </c>
      <c r="AS19" s="1" t="str" cm="1">
        <f t="array" aca="1" ref="AS19" ca="1">IF(INDIRECT(_xlfn.CONCAT("'",$A19,"'!F30"))&gt;=AS$2,"d",IF(INDIRECT(_xlfn.CONCAT("'",$A19,"'!F31"))&gt;=AS$2,"i",""))</f>
        <v>d</v>
      </c>
      <c r="AT19" s="1" t="str" cm="1">
        <f t="array" aca="1" ref="AT19" ca="1">IF(INDIRECT(_xlfn.CONCAT("'",$A19,"'!F30"))&gt;=AT$2,"d",IF(INDIRECT(_xlfn.CONCAT("'",$A19,"'!F31"))&gt;=AT$2,"i",""))</f>
        <v>d</v>
      </c>
      <c r="AU19" s="1" t="str" cm="1">
        <f t="array" aca="1" ref="AU19" ca="1">IF(INDIRECT(_xlfn.CONCAT("'",$A19,"'!F30"))&gt;=AU$2,"d",IF(INDIRECT(_xlfn.CONCAT("'",$A19,"'!F31"))&gt;=AU$2,"i",""))</f>
        <v>d</v>
      </c>
      <c r="AV19" s="4" t="str" cm="1">
        <f t="array" aca="1" ref="AV19" ca="1">IF(INDIRECT(_xlfn.CONCAT("'",$A19,"'!F30"))&gt;=AV$2,"d",IF(INDIRECT(_xlfn.CONCAT("'",$A19,"'!F31"))&gt;=AV$2,"i",""))</f>
        <v/>
      </c>
    </row>
    <row r="20" spans="1:48" x14ac:dyDescent="0.25">
      <c r="A20" s="101" t="str">
        <v>Kaeya</v>
      </c>
      <c r="B20" s="4" t="str">
        <f t="shared" si="0"/>
        <v>Cryo</v>
      </c>
      <c r="C20" s="38" t="str">
        <f t="shared" si="1"/>
        <v>Mondstadt 3</v>
      </c>
      <c r="D20" s="85" t="str">
        <f t="shared" si="2"/>
        <v>Boreas 3</v>
      </c>
      <c r="E20" s="14" t="str" cm="1">
        <f t="array" aca="1" ref="E20" ca="1">IF(INDIRECT(_xlfn.CONCAT("'",$A20,"'!B4"))&gt;=E$2,"d",IF(INDIRECT(_xlfn.CONCAT("'",$A20,"'!B5"))&gt;=E$2,"i",""))</f>
        <v>d</v>
      </c>
      <c r="F20" s="1" t="str" cm="1">
        <f t="array" aca="1" ref="F20" ca="1">IF(INDIRECT(_xlfn.CONCAT("'",$A20,"'!B4"))&gt;=F$2,"d",IF(INDIRECT(_xlfn.CONCAT("'",$A20,"'!B5"))&gt;=F$2,"i",""))</f>
        <v>d</v>
      </c>
      <c r="G20" s="1" t="str" cm="1">
        <f t="array" aca="1" ref="G20" ca="1">IF(INDIRECT(_xlfn.CONCAT("'",$A20,"'!B4"))&gt;=G$2,"d",IF(INDIRECT(_xlfn.CONCAT("'",$A20,"'!B5"))&gt;=G$2,"i",""))</f>
        <v>d</v>
      </c>
      <c r="H20" s="1" t="str" cm="1">
        <f t="array" aca="1" ref="H20" ca="1">IF(INDIRECT(_xlfn.CONCAT("'",$A20,"'!B4"))&gt;=H$2,"d",IF(INDIRECT(_xlfn.CONCAT("'",$A20,"'!B5"))&gt;=H$2,"i",""))</f>
        <v>d</v>
      </c>
      <c r="I20" s="1" t="str" cm="1">
        <f t="array" aca="1" ref="I20" ca="1">IF(INDIRECT(_xlfn.CONCAT("'",$A20,"'!B4"))&gt;=I$2,"d",IF(INDIRECT(_xlfn.CONCAT("'",$A20,"'!B5"))&gt;=I$2,"i",""))</f>
        <v>d</v>
      </c>
      <c r="J20" s="1" t="str" cm="1">
        <f t="array" aca="1" ref="J20" ca="1">IF(INDIRECT(_xlfn.CONCAT("'",$A20,"'!B4"))&gt;=J$2,"d",IF(INDIRECT(_xlfn.CONCAT("'",$A20,"'!B5"))&gt;=J$2,"i",""))</f>
        <v>d</v>
      </c>
      <c r="K20" s="4" t="str" cm="1">
        <f t="array" aca="1" ref="K20" ca="1">IF(INDIRECT(_xlfn.CONCAT("'",$A20,"'!B4"))&gt;=K$2,"d",IF(INDIRECT(_xlfn.CONCAT("'",$A20,"'!B5"))&gt;=K$2,"i",""))</f>
        <v>d</v>
      </c>
      <c r="L20" s="39"/>
      <c r="M20" s="1" t="str" cm="1">
        <f t="array" aca="1" ref="M20" ca="1">IF(INDIRECT(_xlfn.CONCAT("'",$A20,"'!C10"))&gt;=M$2,"d",IF(INDIRECT(_xlfn.CONCAT("'",$A20,"'!C11"))&gt;=M$2,"i",""))</f>
        <v>d</v>
      </c>
      <c r="N20" s="1" t="str" cm="1">
        <f t="array" aca="1" ref="N20" ca="1">IF(INDIRECT(_xlfn.CONCAT("'",$A20,"'!C10"))&gt;=N$2,"d",IF(INDIRECT(_xlfn.CONCAT("'",$A20,"'!C11"))&gt;=N$2,"i",""))</f>
        <v>d</v>
      </c>
      <c r="O20" s="1" t="str" cm="1">
        <f t="array" aca="1" ref="O20" ca="1">IF(INDIRECT(_xlfn.CONCAT("'",$A20,"'!C10"))&gt;=O$2,"d",IF(INDIRECT(_xlfn.CONCAT("'",$A20,"'!C11"))&gt;=O$2,"i",""))</f>
        <v>d</v>
      </c>
      <c r="P20" s="1" t="str" cm="1">
        <f t="array" aca="1" ref="P20" ca="1">IF(INDIRECT(_xlfn.CONCAT("'",$A20,"'!C10"))&gt;=P$2,"d",IF(INDIRECT(_xlfn.CONCAT("'",$A20,"'!C11"))&gt;=P$2,"i",""))</f>
        <v>d</v>
      </c>
      <c r="Q20" s="1" t="str" cm="1">
        <f t="array" aca="1" ref="Q20" ca="1">IF(INDIRECT(_xlfn.CONCAT("'",$A20,"'!C10"))&gt;=Q$2,"d",IF(INDIRECT(_xlfn.CONCAT("'",$A20,"'!C11"))&gt;=Q$2,"i",""))</f>
        <v>d</v>
      </c>
      <c r="R20" s="1" t="str" cm="1">
        <f t="array" aca="1" ref="R20" ca="1">IF(INDIRECT(_xlfn.CONCAT("'",$A20,"'!C10"))&gt;=R$2,"d",IF(INDIRECT(_xlfn.CONCAT("'",$A20,"'!C11"))&gt;=R$2,"i",""))</f>
        <v>d</v>
      </c>
      <c r="S20" s="36"/>
      <c r="T20" s="1" t="str" cm="1">
        <f t="array" aca="1" ref="T20" ca="1">IF(INDIRECT(_xlfn.CONCAT("'",$A20,"'!F4"))&gt;=T$2,"d",IF(INDIRECT(_xlfn.CONCAT("'",$A20,"'!F5"))&gt;=T$2,"i",""))</f>
        <v>d</v>
      </c>
      <c r="U20" s="1" t="str" cm="1">
        <f t="array" aca="1" ref="U20" ca="1">IF(INDIRECT(_xlfn.CONCAT("'",$A20,"'!F4"))&gt;=U$2,"d",IF(INDIRECT(_xlfn.CONCAT("'",$A20,"'!F5"))&gt;=U$2,"i",""))</f>
        <v>d</v>
      </c>
      <c r="V20" s="1" t="str" cm="1">
        <f t="array" aca="1" ref="V20" ca="1">IF(INDIRECT(_xlfn.CONCAT("'",$A20,"'!F4"))&gt;=V$2,"d",IF(INDIRECT(_xlfn.CONCAT("'",$A20,"'!F5"))&gt;=V$2,"i",""))</f>
        <v>d</v>
      </c>
      <c r="W20" s="1" t="str" cm="1">
        <f t="array" aca="1" ref="W20" ca="1">IF(INDIRECT(_xlfn.CONCAT("'",$A20,"'!F4"))&gt;=W$2,"d",IF(INDIRECT(_xlfn.CONCAT("'",$A20,"'!F5"))&gt;=W$2,"i",""))</f>
        <v>d</v>
      </c>
      <c r="X20" s="1" t="str" cm="1">
        <f t="array" aca="1" ref="X20" ca="1">IF(INDIRECT(_xlfn.CONCAT("'",$A20,"'!F4"))&gt;=X$2,"d",IF(INDIRECT(_xlfn.CONCAT("'",$A20,"'!F5"))&gt;=X$2,"i",""))</f>
        <v>d</v>
      </c>
      <c r="Y20" s="1" t="str" cm="1">
        <f t="array" aca="1" ref="Y20" ca="1">IF(INDIRECT(_xlfn.CONCAT("'",$A20,"'!F4"))&gt;=Y$2,"d",IF(INDIRECT(_xlfn.CONCAT("'",$A20,"'!F5"))&gt;=Y$2,"i",""))</f>
        <v>d</v>
      </c>
      <c r="Z20" s="1" t="str" cm="1">
        <f t="array" aca="1" ref="Z20" ca="1">IF(INDIRECT(_xlfn.CONCAT("'",$A20,"'!F4"))&gt;=Z$2,"d",IF(INDIRECT(_xlfn.CONCAT("'",$A20,"'!F5"))&gt;=Z$2,"i",""))</f>
        <v>d</v>
      </c>
      <c r="AA20" s="1" t="str" cm="1">
        <f t="array" aca="1" ref="AA20" ca="1">IF(INDIRECT(_xlfn.CONCAT("'",$A20,"'!F4"))&gt;=AA$2,"d",IF(INDIRECT(_xlfn.CONCAT("'",$A20,"'!F5"))&gt;=AA$2,"i",""))</f>
        <v>d</v>
      </c>
      <c r="AB20" s="1" t="str" cm="1">
        <f t="array" aca="1" ref="AB20" ca="1">IF(INDIRECT(_xlfn.CONCAT("'",$A20,"'!F4"))&gt;=AB$2,"d",IF(INDIRECT(_xlfn.CONCAT("'",$A20,"'!F5"))&gt;=AB$2,"i",""))</f>
        <v/>
      </c>
      <c r="AC20" s="36"/>
      <c r="AD20" s="1" t="str" cm="1">
        <f t="array" aca="1" ref="AD20" ca="1">IF(INDIRECT(_xlfn.CONCAT("'",$A20,"'!F17"))&gt;=AD$2,"d",IF(INDIRECT(_xlfn.CONCAT("'",$A20,"'!F18"))&gt;=AD$2,"i",""))</f>
        <v>d</v>
      </c>
      <c r="AE20" s="1" t="str" cm="1">
        <f t="array" aca="1" ref="AE20" ca="1">IF(INDIRECT(_xlfn.CONCAT("'",$A20,"'!F17"))&gt;=AE$2,"d",IF(INDIRECT(_xlfn.CONCAT("'",$A20,"'!F18"))&gt;=AE$2,"i",""))</f>
        <v>d</v>
      </c>
      <c r="AF20" s="1" t="str" cm="1">
        <f t="array" aca="1" ref="AF20" ca="1">IF(INDIRECT(_xlfn.CONCAT("'",$A20,"'!F17"))&gt;=AF$2,"d",IF(INDIRECT(_xlfn.CONCAT("'",$A20,"'!F18"))&gt;=AF$2,"i",""))</f>
        <v>d</v>
      </c>
      <c r="AG20" s="1" t="str" cm="1">
        <f t="array" aca="1" ref="AG20" ca="1">IF(INDIRECT(_xlfn.CONCAT("'",$A20,"'!F17"))&gt;=AG$2,"d",IF(INDIRECT(_xlfn.CONCAT("'",$A20,"'!F18"))&gt;=AG$2,"i",""))</f>
        <v>d</v>
      </c>
      <c r="AH20" s="1" t="str" cm="1">
        <f t="array" aca="1" ref="AH20" ca="1">IF(INDIRECT(_xlfn.CONCAT("'",$A20,"'!F17"))&gt;=AH$2,"d",IF(INDIRECT(_xlfn.CONCAT("'",$A20,"'!F18"))&gt;=AH$2,"i",""))</f>
        <v>d</v>
      </c>
      <c r="AI20" s="1" t="str" cm="1">
        <f t="array" aca="1" ref="AI20" ca="1">IF(INDIRECT(_xlfn.CONCAT("'",$A20,"'!F17"))&gt;=AI$2,"d",IF(INDIRECT(_xlfn.CONCAT("'",$A20,"'!F18"))&gt;=AI$2,"i",""))</f>
        <v>d</v>
      </c>
      <c r="AJ20" s="1" t="str" cm="1">
        <f t="array" aca="1" ref="AJ20" ca="1">IF(INDIRECT(_xlfn.CONCAT("'",$A20,"'!F17"))&gt;=AJ$2,"d",IF(INDIRECT(_xlfn.CONCAT("'",$A20,"'!F18"))&gt;=AJ$2,"i",""))</f>
        <v>d</v>
      </c>
      <c r="AK20" s="1" t="str" cm="1">
        <f t="array" aca="1" ref="AK20" ca="1">IF(INDIRECT(_xlfn.CONCAT("'",$A20,"'!F17"))&gt;=AK$2,"d",IF(INDIRECT(_xlfn.CONCAT("'",$A20,"'!F18"))&gt;=AK$2,"i",""))</f>
        <v>d</v>
      </c>
      <c r="AL20" s="1" t="str" cm="1">
        <f t="array" aca="1" ref="AL20" ca="1">IF(INDIRECT(_xlfn.CONCAT("'",$A20,"'!F17"))&gt;=AL$2,"d",IF(INDIRECT(_xlfn.CONCAT("'",$A20,"'!F18"))&gt;=AL$2,"i",""))</f>
        <v/>
      </c>
      <c r="AM20" s="36"/>
      <c r="AN20" s="1" t="str" cm="1">
        <f t="array" aca="1" ref="AN20" ca="1">IF(INDIRECT(_xlfn.CONCAT("'",$A20,"'!F30"))&gt;=AN$2,"d",IF(INDIRECT(_xlfn.CONCAT("'",$A20,"'!F31"))&gt;=AN$2,"i",""))</f>
        <v>d</v>
      </c>
      <c r="AO20" s="1" t="str" cm="1">
        <f t="array" aca="1" ref="AO20" ca="1">IF(INDIRECT(_xlfn.CONCAT("'",$A20,"'!F30"))&gt;=AO$2,"d",IF(INDIRECT(_xlfn.CONCAT("'",$A20,"'!F31"))&gt;=AO$2,"i",""))</f>
        <v>d</v>
      </c>
      <c r="AP20" s="1" t="str" cm="1">
        <f t="array" aca="1" ref="AP20" ca="1">IF(INDIRECT(_xlfn.CONCAT("'",$A20,"'!F30"))&gt;=AP$2,"d",IF(INDIRECT(_xlfn.CONCAT("'",$A20,"'!F31"))&gt;=AP$2,"i",""))</f>
        <v>d</v>
      </c>
      <c r="AQ20" s="1" t="str" cm="1">
        <f t="array" aca="1" ref="AQ20" ca="1">IF(INDIRECT(_xlfn.CONCAT("'",$A20,"'!F30"))&gt;=AQ$2,"d",IF(INDIRECT(_xlfn.CONCAT("'",$A20,"'!F31"))&gt;=AQ$2,"i",""))</f>
        <v>d</v>
      </c>
      <c r="AR20" s="1" t="str" cm="1">
        <f t="array" aca="1" ref="AR20" ca="1">IF(INDIRECT(_xlfn.CONCAT("'",$A20,"'!F30"))&gt;=AR$2,"d",IF(INDIRECT(_xlfn.CONCAT("'",$A20,"'!F31"))&gt;=AR$2,"i",""))</f>
        <v>d</v>
      </c>
      <c r="AS20" s="1" t="str" cm="1">
        <f t="array" aca="1" ref="AS20" ca="1">IF(INDIRECT(_xlfn.CONCAT("'",$A20,"'!F30"))&gt;=AS$2,"d",IF(INDIRECT(_xlfn.CONCAT("'",$A20,"'!F31"))&gt;=AS$2,"i",""))</f>
        <v>d</v>
      </c>
      <c r="AT20" s="1" t="str" cm="1">
        <f t="array" aca="1" ref="AT20" ca="1">IF(INDIRECT(_xlfn.CONCAT("'",$A20,"'!F30"))&gt;=AT$2,"d",IF(INDIRECT(_xlfn.CONCAT("'",$A20,"'!F31"))&gt;=AT$2,"i",""))</f>
        <v>d</v>
      </c>
      <c r="AU20" s="1" t="str" cm="1">
        <f t="array" aca="1" ref="AU20" ca="1">IF(INDIRECT(_xlfn.CONCAT("'",$A20,"'!F30"))&gt;=AU$2,"d",IF(INDIRECT(_xlfn.CONCAT("'",$A20,"'!F31"))&gt;=AU$2,"i",""))</f>
        <v>d</v>
      </c>
      <c r="AV20" s="4" t="str" cm="1">
        <f t="array" aca="1" ref="AV20" ca="1">IF(INDIRECT(_xlfn.CONCAT("'",$A20,"'!F30"))&gt;=AV$2,"d",IF(INDIRECT(_xlfn.CONCAT("'",$A20,"'!F31"))&gt;=AV$2,"i",""))</f>
        <v/>
      </c>
    </row>
    <row r="21" spans="1:48" x14ac:dyDescent="0.25">
      <c r="A21" s="101" t="str">
        <v>Barbara</v>
      </c>
      <c r="B21" s="4" t="str">
        <f t="shared" si="0"/>
        <v>Hydro</v>
      </c>
      <c r="C21" s="38" t="str">
        <f t="shared" si="1"/>
        <v>Mondstadt 1</v>
      </c>
      <c r="D21" s="85" t="str">
        <f t="shared" si="2"/>
        <v>Boreas 2</v>
      </c>
      <c r="E21" s="14" t="str" cm="1">
        <f t="array" aca="1" ref="E21" ca="1">IF(INDIRECT(_xlfn.CONCAT("'",$A21,"'!B4"))&gt;=E$2,"d",IF(INDIRECT(_xlfn.CONCAT("'",$A21,"'!B5"))&gt;=E$2,"i",""))</f>
        <v>d</v>
      </c>
      <c r="F21" s="1" t="str" cm="1">
        <f t="array" aca="1" ref="F21" ca="1">IF(INDIRECT(_xlfn.CONCAT("'",$A21,"'!B4"))&gt;=F$2,"d",IF(INDIRECT(_xlfn.CONCAT("'",$A21,"'!B5"))&gt;=F$2,"i",""))</f>
        <v>d</v>
      </c>
      <c r="G21" s="1" t="str" cm="1">
        <f t="array" aca="1" ref="G21" ca="1">IF(INDIRECT(_xlfn.CONCAT("'",$A21,"'!B4"))&gt;=G$2,"d",IF(INDIRECT(_xlfn.CONCAT("'",$A21,"'!B5"))&gt;=G$2,"i",""))</f>
        <v>d</v>
      </c>
      <c r="H21" s="1" t="str" cm="1">
        <f t="array" aca="1" ref="H21" ca="1">IF(INDIRECT(_xlfn.CONCAT("'",$A21,"'!B4"))&gt;=H$2,"d",IF(INDIRECT(_xlfn.CONCAT("'",$A21,"'!B5"))&gt;=H$2,"i",""))</f>
        <v>d</v>
      </c>
      <c r="I21" s="1" t="str" cm="1">
        <f t="array" aca="1" ref="I21" ca="1">IF(INDIRECT(_xlfn.CONCAT("'",$A21,"'!B4"))&gt;=I$2,"d",IF(INDIRECT(_xlfn.CONCAT("'",$A21,"'!B5"))&gt;=I$2,"i",""))</f>
        <v>d</v>
      </c>
      <c r="J21" s="1" t="str" cm="1">
        <f t="array" aca="1" ref="J21" ca="1">IF(INDIRECT(_xlfn.CONCAT("'",$A21,"'!B4"))&gt;=J$2,"d",IF(INDIRECT(_xlfn.CONCAT("'",$A21,"'!B5"))&gt;=J$2,"i",""))</f>
        <v>d</v>
      </c>
      <c r="K21" s="4" t="str" cm="1">
        <f t="array" aca="1" ref="K21" ca="1">IF(INDIRECT(_xlfn.CONCAT("'",$A21,"'!B4"))&gt;=K$2,"d",IF(INDIRECT(_xlfn.CONCAT("'",$A21,"'!B5"))&gt;=K$2,"i",""))</f>
        <v>d</v>
      </c>
      <c r="L21" s="39"/>
      <c r="M21" s="1" t="str" cm="1">
        <f t="array" aca="1" ref="M21" ca="1">IF(INDIRECT(_xlfn.CONCAT("'",$A21,"'!C10"))&gt;=M$2,"d",IF(INDIRECT(_xlfn.CONCAT("'",$A21,"'!C11"))&gt;=M$2,"i",""))</f>
        <v>d</v>
      </c>
      <c r="N21" s="1" t="str" cm="1">
        <f t="array" aca="1" ref="N21" ca="1">IF(INDIRECT(_xlfn.CONCAT("'",$A21,"'!C10"))&gt;=N$2,"d",IF(INDIRECT(_xlfn.CONCAT("'",$A21,"'!C11"))&gt;=N$2,"i",""))</f>
        <v>d</v>
      </c>
      <c r="O21" s="1" t="str" cm="1">
        <f t="array" aca="1" ref="O21" ca="1">IF(INDIRECT(_xlfn.CONCAT("'",$A21,"'!C10"))&gt;=O$2,"d",IF(INDIRECT(_xlfn.CONCAT("'",$A21,"'!C11"))&gt;=O$2,"i",""))</f>
        <v>d</v>
      </c>
      <c r="P21" s="1" t="str" cm="1">
        <f t="array" aca="1" ref="P21" ca="1">IF(INDIRECT(_xlfn.CONCAT("'",$A21,"'!C10"))&gt;=P$2,"d",IF(INDIRECT(_xlfn.CONCAT("'",$A21,"'!C11"))&gt;=P$2,"i",""))</f>
        <v>d</v>
      </c>
      <c r="Q21" s="1" t="str" cm="1">
        <f t="array" aca="1" ref="Q21" ca="1">IF(INDIRECT(_xlfn.CONCAT("'",$A21,"'!C10"))&gt;=Q$2,"d",IF(INDIRECT(_xlfn.CONCAT("'",$A21,"'!C11"))&gt;=Q$2,"i",""))</f>
        <v>d</v>
      </c>
      <c r="R21" s="1" t="str" cm="1">
        <f t="array" aca="1" ref="R21" ca="1">IF(INDIRECT(_xlfn.CONCAT("'",$A21,"'!C10"))&gt;=R$2,"d",IF(INDIRECT(_xlfn.CONCAT("'",$A21,"'!C11"))&gt;=R$2,"i",""))</f>
        <v>d</v>
      </c>
      <c r="S21" s="36"/>
      <c r="T21" s="1" t="str" cm="1">
        <f t="array" aca="1" ref="T21" ca="1">IF(INDIRECT(_xlfn.CONCAT("'",$A21,"'!F4"))&gt;=T$2,"d",IF(INDIRECT(_xlfn.CONCAT("'",$A21,"'!F5"))&gt;=T$2,"i",""))</f>
        <v>d</v>
      </c>
      <c r="U21" s="1" t="str" cm="1">
        <f t="array" aca="1" ref="U21" ca="1">IF(INDIRECT(_xlfn.CONCAT("'",$A21,"'!F4"))&gt;=U$2,"d",IF(INDIRECT(_xlfn.CONCAT("'",$A21,"'!F5"))&gt;=U$2,"i",""))</f>
        <v>d</v>
      </c>
      <c r="V21" s="1" t="str" cm="1">
        <f t="array" aca="1" ref="V21" ca="1">IF(INDIRECT(_xlfn.CONCAT("'",$A21,"'!F4"))&gt;=V$2,"d",IF(INDIRECT(_xlfn.CONCAT("'",$A21,"'!F5"))&gt;=V$2,"i",""))</f>
        <v>d</v>
      </c>
      <c r="W21" s="1" t="str" cm="1">
        <f t="array" aca="1" ref="W21" ca="1">IF(INDIRECT(_xlfn.CONCAT("'",$A21,"'!F4"))&gt;=W$2,"d",IF(INDIRECT(_xlfn.CONCAT("'",$A21,"'!F5"))&gt;=W$2,"i",""))</f>
        <v>d</v>
      </c>
      <c r="X21" s="1" t="str" cm="1">
        <f t="array" aca="1" ref="X21" ca="1">IF(INDIRECT(_xlfn.CONCAT("'",$A21,"'!F4"))&gt;=X$2,"d",IF(INDIRECT(_xlfn.CONCAT("'",$A21,"'!F5"))&gt;=X$2,"i",""))</f>
        <v>d</v>
      </c>
      <c r="Y21" s="1" t="str" cm="1">
        <f t="array" aca="1" ref="Y21" ca="1">IF(INDIRECT(_xlfn.CONCAT("'",$A21,"'!F4"))&gt;=Y$2,"d",IF(INDIRECT(_xlfn.CONCAT("'",$A21,"'!F5"))&gt;=Y$2,"i",""))</f>
        <v>d</v>
      </c>
      <c r="Z21" s="1" t="str" cm="1">
        <f t="array" aca="1" ref="Z21" ca="1">IF(INDIRECT(_xlfn.CONCAT("'",$A21,"'!F4"))&gt;=Z$2,"d",IF(INDIRECT(_xlfn.CONCAT("'",$A21,"'!F5"))&gt;=Z$2,"i",""))</f>
        <v>d</v>
      </c>
      <c r="AA21" s="1" t="str" cm="1">
        <f t="array" aca="1" ref="AA21" ca="1">IF(INDIRECT(_xlfn.CONCAT("'",$A21,"'!F4"))&gt;=AA$2,"d",IF(INDIRECT(_xlfn.CONCAT("'",$A21,"'!F5"))&gt;=AA$2,"i",""))</f>
        <v>d</v>
      </c>
      <c r="AB21" s="1" t="str" cm="1">
        <f t="array" aca="1" ref="AB21" ca="1">IF(INDIRECT(_xlfn.CONCAT("'",$A21,"'!F4"))&gt;=AB$2,"d",IF(INDIRECT(_xlfn.CONCAT("'",$A21,"'!F5"))&gt;=AB$2,"i",""))</f>
        <v/>
      </c>
      <c r="AC21" s="36"/>
      <c r="AD21" s="1" t="str" cm="1">
        <f t="array" aca="1" ref="AD21" ca="1">IF(INDIRECT(_xlfn.CONCAT("'",$A21,"'!F17"))&gt;=AD$2,"d",IF(INDIRECT(_xlfn.CONCAT("'",$A21,"'!F18"))&gt;=AD$2,"i",""))</f>
        <v>d</v>
      </c>
      <c r="AE21" s="1" t="str" cm="1">
        <f t="array" aca="1" ref="AE21" ca="1">IF(INDIRECT(_xlfn.CONCAT("'",$A21,"'!F17"))&gt;=AE$2,"d",IF(INDIRECT(_xlfn.CONCAT("'",$A21,"'!F18"))&gt;=AE$2,"i",""))</f>
        <v>d</v>
      </c>
      <c r="AF21" s="1" t="str" cm="1">
        <f t="array" aca="1" ref="AF21" ca="1">IF(INDIRECT(_xlfn.CONCAT("'",$A21,"'!F17"))&gt;=AF$2,"d",IF(INDIRECT(_xlfn.CONCAT("'",$A21,"'!F18"))&gt;=AF$2,"i",""))</f>
        <v>d</v>
      </c>
      <c r="AG21" s="1" t="str" cm="1">
        <f t="array" aca="1" ref="AG21" ca="1">IF(INDIRECT(_xlfn.CONCAT("'",$A21,"'!F17"))&gt;=AG$2,"d",IF(INDIRECT(_xlfn.CONCAT("'",$A21,"'!F18"))&gt;=AG$2,"i",""))</f>
        <v>d</v>
      </c>
      <c r="AH21" s="1" t="str" cm="1">
        <f t="array" aca="1" ref="AH21" ca="1">IF(INDIRECT(_xlfn.CONCAT("'",$A21,"'!F17"))&gt;=AH$2,"d",IF(INDIRECT(_xlfn.CONCAT("'",$A21,"'!F18"))&gt;=AH$2,"i",""))</f>
        <v>d</v>
      </c>
      <c r="AI21" s="1" t="str" cm="1">
        <f t="array" aca="1" ref="AI21" ca="1">IF(INDIRECT(_xlfn.CONCAT("'",$A21,"'!F17"))&gt;=AI$2,"d",IF(INDIRECT(_xlfn.CONCAT("'",$A21,"'!F18"))&gt;=AI$2,"i",""))</f>
        <v>d</v>
      </c>
      <c r="AJ21" s="1" t="str" cm="1">
        <f t="array" aca="1" ref="AJ21" ca="1">IF(INDIRECT(_xlfn.CONCAT("'",$A21,"'!F17"))&gt;=AJ$2,"d",IF(INDIRECT(_xlfn.CONCAT("'",$A21,"'!F18"))&gt;=AJ$2,"i",""))</f>
        <v>d</v>
      </c>
      <c r="AK21" s="1" t="str" cm="1">
        <f t="array" aca="1" ref="AK21" ca="1">IF(INDIRECT(_xlfn.CONCAT("'",$A21,"'!F17"))&gt;=AK$2,"d",IF(INDIRECT(_xlfn.CONCAT("'",$A21,"'!F18"))&gt;=AK$2,"i",""))</f>
        <v>d</v>
      </c>
      <c r="AL21" s="1" t="str" cm="1">
        <f t="array" aca="1" ref="AL21" ca="1">IF(INDIRECT(_xlfn.CONCAT("'",$A21,"'!F17"))&gt;=AL$2,"d",IF(INDIRECT(_xlfn.CONCAT("'",$A21,"'!F18"))&gt;=AL$2,"i",""))</f>
        <v/>
      </c>
      <c r="AM21" s="36"/>
      <c r="AN21" s="1" t="str" cm="1">
        <f t="array" aca="1" ref="AN21" ca="1">IF(INDIRECT(_xlfn.CONCAT("'",$A21,"'!F30"))&gt;=AN$2,"d",IF(INDIRECT(_xlfn.CONCAT("'",$A21,"'!F31"))&gt;=AN$2,"i",""))</f>
        <v>d</v>
      </c>
      <c r="AO21" s="1" t="str" cm="1">
        <f t="array" aca="1" ref="AO21" ca="1">IF(INDIRECT(_xlfn.CONCAT("'",$A21,"'!F30"))&gt;=AO$2,"d",IF(INDIRECT(_xlfn.CONCAT("'",$A21,"'!F31"))&gt;=AO$2,"i",""))</f>
        <v>d</v>
      </c>
      <c r="AP21" s="1" t="str" cm="1">
        <f t="array" aca="1" ref="AP21" ca="1">IF(INDIRECT(_xlfn.CONCAT("'",$A21,"'!F30"))&gt;=AP$2,"d",IF(INDIRECT(_xlfn.CONCAT("'",$A21,"'!F31"))&gt;=AP$2,"i",""))</f>
        <v>d</v>
      </c>
      <c r="AQ21" s="1" t="str" cm="1">
        <f t="array" aca="1" ref="AQ21" ca="1">IF(INDIRECT(_xlfn.CONCAT("'",$A21,"'!F30"))&gt;=AQ$2,"d",IF(INDIRECT(_xlfn.CONCAT("'",$A21,"'!F31"))&gt;=AQ$2,"i",""))</f>
        <v>d</v>
      </c>
      <c r="AR21" s="1" t="str" cm="1">
        <f t="array" aca="1" ref="AR21" ca="1">IF(INDIRECT(_xlfn.CONCAT("'",$A21,"'!F30"))&gt;=AR$2,"d",IF(INDIRECT(_xlfn.CONCAT("'",$A21,"'!F31"))&gt;=AR$2,"i",""))</f>
        <v>d</v>
      </c>
      <c r="AS21" s="1" t="str" cm="1">
        <f t="array" aca="1" ref="AS21" ca="1">IF(INDIRECT(_xlfn.CONCAT("'",$A21,"'!F30"))&gt;=AS$2,"d",IF(INDIRECT(_xlfn.CONCAT("'",$A21,"'!F31"))&gt;=AS$2,"i",""))</f>
        <v>d</v>
      </c>
      <c r="AT21" s="1" t="str" cm="1">
        <f t="array" aca="1" ref="AT21" ca="1">IF(INDIRECT(_xlfn.CONCAT("'",$A21,"'!F30"))&gt;=AT$2,"d",IF(INDIRECT(_xlfn.CONCAT("'",$A21,"'!F31"))&gt;=AT$2,"i",""))</f>
        <v>d</v>
      </c>
      <c r="AU21" s="1" t="str" cm="1">
        <f t="array" aca="1" ref="AU21" ca="1">IF(INDIRECT(_xlfn.CONCAT("'",$A21,"'!F30"))&gt;=AU$2,"d",IF(INDIRECT(_xlfn.CONCAT("'",$A21,"'!F31"))&gt;=AU$2,"i",""))</f>
        <v>d</v>
      </c>
      <c r="AV21" s="4" t="str" cm="1">
        <f t="array" aca="1" ref="AV21" ca="1">IF(INDIRECT(_xlfn.CONCAT("'",$A21,"'!F30"))&gt;=AV$2,"d",IF(INDIRECT(_xlfn.CONCAT("'",$A21,"'!F31"))&gt;=AV$2,"i",""))</f>
        <v/>
      </c>
    </row>
    <row r="22" spans="1:48" x14ac:dyDescent="0.25">
      <c r="A22" s="101" t="str">
        <v>Xingqiu</v>
      </c>
      <c r="B22" s="4" t="str">
        <f t="shared" si="0"/>
        <v>Hydro</v>
      </c>
      <c r="C22" s="38" t="str">
        <f t="shared" si="1"/>
        <v>Liyue 3</v>
      </c>
      <c r="D22" s="85" t="str">
        <f t="shared" si="2"/>
        <v>Boreas 1</v>
      </c>
      <c r="E22" s="14" t="str" cm="1">
        <f t="array" aca="1" ref="E22" ca="1">IF(INDIRECT(_xlfn.CONCAT("'",$A22,"'!B4"))&gt;=E$2,"d",IF(INDIRECT(_xlfn.CONCAT("'",$A22,"'!B5"))&gt;=E$2,"i",""))</f>
        <v>d</v>
      </c>
      <c r="F22" s="1" t="str" cm="1">
        <f t="array" aca="1" ref="F22" ca="1">IF(INDIRECT(_xlfn.CONCAT("'",$A22,"'!B4"))&gt;=F$2,"d",IF(INDIRECT(_xlfn.CONCAT("'",$A22,"'!B5"))&gt;=F$2,"i",""))</f>
        <v>d</v>
      </c>
      <c r="G22" s="1" t="str" cm="1">
        <f t="array" aca="1" ref="G22" ca="1">IF(INDIRECT(_xlfn.CONCAT("'",$A22,"'!B4"))&gt;=G$2,"d",IF(INDIRECT(_xlfn.CONCAT("'",$A22,"'!B5"))&gt;=G$2,"i",""))</f>
        <v>d</v>
      </c>
      <c r="H22" s="1" t="str" cm="1">
        <f t="array" aca="1" ref="H22" ca="1">IF(INDIRECT(_xlfn.CONCAT("'",$A22,"'!B4"))&gt;=H$2,"d",IF(INDIRECT(_xlfn.CONCAT("'",$A22,"'!B5"))&gt;=H$2,"i",""))</f>
        <v>d</v>
      </c>
      <c r="I22" s="1" t="str" cm="1">
        <f t="array" aca="1" ref="I22" ca="1">IF(INDIRECT(_xlfn.CONCAT("'",$A22,"'!B4"))&gt;=I$2,"d",IF(INDIRECT(_xlfn.CONCAT("'",$A22,"'!B5"))&gt;=I$2,"i",""))</f>
        <v>d</v>
      </c>
      <c r="J22" s="1" t="str" cm="1">
        <f t="array" aca="1" ref="J22" ca="1">IF(INDIRECT(_xlfn.CONCAT("'",$A22,"'!B4"))&gt;=J$2,"d",IF(INDIRECT(_xlfn.CONCAT("'",$A22,"'!B5"))&gt;=J$2,"i",""))</f>
        <v>d</v>
      </c>
      <c r="K22" s="4" t="str" cm="1">
        <f t="array" aca="1" ref="K22" ca="1">IF(INDIRECT(_xlfn.CONCAT("'",$A22,"'!B4"))&gt;=K$2,"d",IF(INDIRECT(_xlfn.CONCAT("'",$A22,"'!B5"))&gt;=K$2,"i",""))</f>
        <v>d</v>
      </c>
      <c r="L22" s="39"/>
      <c r="M22" s="1" t="str" cm="1">
        <f t="array" aca="1" ref="M22" ca="1">IF(INDIRECT(_xlfn.CONCAT("'",$A22,"'!C10"))&gt;=M$2,"d",IF(INDIRECT(_xlfn.CONCAT("'",$A22,"'!C11"))&gt;=M$2,"i",""))</f>
        <v>d</v>
      </c>
      <c r="N22" s="1" t="str" cm="1">
        <f t="array" aca="1" ref="N22" ca="1">IF(INDIRECT(_xlfn.CONCAT("'",$A22,"'!C10"))&gt;=N$2,"d",IF(INDIRECT(_xlfn.CONCAT("'",$A22,"'!C11"))&gt;=N$2,"i",""))</f>
        <v>d</v>
      </c>
      <c r="O22" s="1" t="str" cm="1">
        <f t="array" aca="1" ref="O22" ca="1">IF(INDIRECT(_xlfn.CONCAT("'",$A22,"'!C10"))&gt;=O$2,"d",IF(INDIRECT(_xlfn.CONCAT("'",$A22,"'!C11"))&gt;=O$2,"i",""))</f>
        <v>d</v>
      </c>
      <c r="P22" s="1" t="str" cm="1">
        <f t="array" aca="1" ref="P22" ca="1">IF(INDIRECT(_xlfn.CONCAT("'",$A22,"'!C10"))&gt;=P$2,"d",IF(INDIRECT(_xlfn.CONCAT("'",$A22,"'!C11"))&gt;=P$2,"i",""))</f>
        <v>d</v>
      </c>
      <c r="Q22" s="1" t="str" cm="1">
        <f t="array" aca="1" ref="Q22" ca="1">IF(INDIRECT(_xlfn.CONCAT("'",$A22,"'!C10"))&gt;=Q$2,"d",IF(INDIRECT(_xlfn.CONCAT("'",$A22,"'!C11"))&gt;=Q$2,"i",""))</f>
        <v>d</v>
      </c>
      <c r="R22" s="1" t="str" cm="1">
        <f t="array" aca="1" ref="R22" ca="1">IF(INDIRECT(_xlfn.CONCAT("'",$A22,"'!C10"))&gt;=R$2,"d",IF(INDIRECT(_xlfn.CONCAT("'",$A22,"'!C11"))&gt;=R$2,"i",""))</f>
        <v>d</v>
      </c>
      <c r="S22" s="36"/>
      <c r="T22" s="1" t="str" cm="1">
        <f t="array" aca="1" ref="T22" ca="1">IF(INDIRECT(_xlfn.CONCAT("'",$A22,"'!F4"))&gt;=T$2,"d",IF(INDIRECT(_xlfn.CONCAT("'",$A22,"'!F5"))&gt;=T$2,"i",""))</f>
        <v>d</v>
      </c>
      <c r="U22" s="1" t="str" cm="1">
        <f t="array" aca="1" ref="U22" ca="1">IF(INDIRECT(_xlfn.CONCAT("'",$A22,"'!F4"))&gt;=U$2,"d",IF(INDIRECT(_xlfn.CONCAT("'",$A22,"'!F5"))&gt;=U$2,"i",""))</f>
        <v>d</v>
      </c>
      <c r="V22" s="1" t="str" cm="1">
        <f t="array" aca="1" ref="V22" ca="1">IF(INDIRECT(_xlfn.CONCAT("'",$A22,"'!F4"))&gt;=V$2,"d",IF(INDIRECT(_xlfn.CONCAT("'",$A22,"'!F5"))&gt;=V$2,"i",""))</f>
        <v>d</v>
      </c>
      <c r="W22" s="1" t="str" cm="1">
        <f t="array" aca="1" ref="W22" ca="1">IF(INDIRECT(_xlfn.CONCAT("'",$A22,"'!F4"))&gt;=W$2,"d",IF(INDIRECT(_xlfn.CONCAT("'",$A22,"'!F5"))&gt;=W$2,"i",""))</f>
        <v>d</v>
      </c>
      <c r="X22" s="1" t="str" cm="1">
        <f t="array" aca="1" ref="X22" ca="1">IF(INDIRECT(_xlfn.CONCAT("'",$A22,"'!F4"))&gt;=X$2,"d",IF(INDIRECT(_xlfn.CONCAT("'",$A22,"'!F5"))&gt;=X$2,"i",""))</f>
        <v>d</v>
      </c>
      <c r="Y22" s="1" t="str" cm="1">
        <f t="array" aca="1" ref="Y22" ca="1">IF(INDIRECT(_xlfn.CONCAT("'",$A22,"'!F4"))&gt;=Y$2,"d",IF(INDIRECT(_xlfn.CONCAT("'",$A22,"'!F5"))&gt;=Y$2,"i",""))</f>
        <v>d</v>
      </c>
      <c r="Z22" s="1" t="str" cm="1">
        <f t="array" aca="1" ref="Z22" ca="1">IF(INDIRECT(_xlfn.CONCAT("'",$A22,"'!F4"))&gt;=Z$2,"d",IF(INDIRECT(_xlfn.CONCAT("'",$A22,"'!F5"))&gt;=Z$2,"i",""))</f>
        <v>d</v>
      </c>
      <c r="AA22" s="1" t="str" cm="1">
        <f t="array" aca="1" ref="AA22" ca="1">IF(INDIRECT(_xlfn.CONCAT("'",$A22,"'!F4"))&gt;=AA$2,"d",IF(INDIRECT(_xlfn.CONCAT("'",$A22,"'!F5"))&gt;=AA$2,"i",""))</f>
        <v>d</v>
      </c>
      <c r="AB22" s="1" t="str" cm="1">
        <f t="array" aca="1" ref="AB22" ca="1">IF(INDIRECT(_xlfn.CONCAT("'",$A22,"'!F4"))&gt;=AB$2,"d",IF(INDIRECT(_xlfn.CONCAT("'",$A22,"'!F5"))&gt;=AB$2,"i",""))</f>
        <v/>
      </c>
      <c r="AC22" s="36"/>
      <c r="AD22" s="1" t="str" cm="1">
        <f t="array" aca="1" ref="AD22" ca="1">IF(INDIRECT(_xlfn.CONCAT("'",$A22,"'!F17"))&gt;=AD$2,"d",IF(INDIRECT(_xlfn.CONCAT("'",$A22,"'!F18"))&gt;=AD$2,"i",""))</f>
        <v>d</v>
      </c>
      <c r="AE22" s="1" t="str" cm="1">
        <f t="array" aca="1" ref="AE22" ca="1">IF(INDIRECT(_xlfn.CONCAT("'",$A22,"'!F17"))&gt;=AE$2,"d",IF(INDIRECT(_xlfn.CONCAT("'",$A22,"'!F18"))&gt;=AE$2,"i",""))</f>
        <v>d</v>
      </c>
      <c r="AF22" s="1" t="str" cm="1">
        <f t="array" aca="1" ref="AF22" ca="1">IF(INDIRECT(_xlfn.CONCAT("'",$A22,"'!F17"))&gt;=AF$2,"d",IF(INDIRECT(_xlfn.CONCAT("'",$A22,"'!F18"))&gt;=AF$2,"i",""))</f>
        <v>d</v>
      </c>
      <c r="AG22" s="1" t="str" cm="1">
        <f t="array" aca="1" ref="AG22" ca="1">IF(INDIRECT(_xlfn.CONCAT("'",$A22,"'!F17"))&gt;=AG$2,"d",IF(INDIRECT(_xlfn.CONCAT("'",$A22,"'!F18"))&gt;=AG$2,"i",""))</f>
        <v>d</v>
      </c>
      <c r="AH22" s="1" t="str" cm="1">
        <f t="array" aca="1" ref="AH22" ca="1">IF(INDIRECT(_xlfn.CONCAT("'",$A22,"'!F17"))&gt;=AH$2,"d",IF(INDIRECT(_xlfn.CONCAT("'",$A22,"'!F18"))&gt;=AH$2,"i",""))</f>
        <v>d</v>
      </c>
      <c r="AI22" s="1" t="str" cm="1">
        <f t="array" aca="1" ref="AI22" ca="1">IF(INDIRECT(_xlfn.CONCAT("'",$A22,"'!F17"))&gt;=AI$2,"d",IF(INDIRECT(_xlfn.CONCAT("'",$A22,"'!F18"))&gt;=AI$2,"i",""))</f>
        <v>d</v>
      </c>
      <c r="AJ22" s="1" t="str" cm="1">
        <f t="array" aca="1" ref="AJ22" ca="1">IF(INDIRECT(_xlfn.CONCAT("'",$A22,"'!F17"))&gt;=AJ$2,"d",IF(INDIRECT(_xlfn.CONCAT("'",$A22,"'!F18"))&gt;=AJ$2,"i",""))</f>
        <v>d</v>
      </c>
      <c r="AK22" s="1" t="str" cm="1">
        <f t="array" aca="1" ref="AK22" ca="1">IF(INDIRECT(_xlfn.CONCAT("'",$A22,"'!F17"))&gt;=AK$2,"d",IF(INDIRECT(_xlfn.CONCAT("'",$A22,"'!F18"))&gt;=AK$2,"i",""))</f>
        <v>d</v>
      </c>
      <c r="AL22" s="1" t="str" cm="1">
        <f t="array" aca="1" ref="AL22" ca="1">IF(INDIRECT(_xlfn.CONCAT("'",$A22,"'!F17"))&gt;=AL$2,"d",IF(INDIRECT(_xlfn.CONCAT("'",$A22,"'!F18"))&gt;=AL$2,"i",""))</f>
        <v/>
      </c>
      <c r="AM22" s="36"/>
      <c r="AN22" s="1" t="str" cm="1">
        <f t="array" aca="1" ref="AN22" ca="1">IF(INDIRECT(_xlfn.CONCAT("'",$A22,"'!F30"))&gt;=AN$2,"d",IF(INDIRECT(_xlfn.CONCAT("'",$A22,"'!F31"))&gt;=AN$2,"i",""))</f>
        <v>d</v>
      </c>
      <c r="AO22" s="1" t="str" cm="1">
        <f t="array" aca="1" ref="AO22" ca="1">IF(INDIRECT(_xlfn.CONCAT("'",$A22,"'!F30"))&gt;=AO$2,"d",IF(INDIRECT(_xlfn.CONCAT("'",$A22,"'!F31"))&gt;=AO$2,"i",""))</f>
        <v>d</v>
      </c>
      <c r="AP22" s="1" t="str" cm="1">
        <f t="array" aca="1" ref="AP22" ca="1">IF(INDIRECT(_xlfn.CONCAT("'",$A22,"'!F30"))&gt;=AP$2,"d",IF(INDIRECT(_xlfn.CONCAT("'",$A22,"'!F31"))&gt;=AP$2,"i",""))</f>
        <v>d</v>
      </c>
      <c r="AQ22" s="1" t="str" cm="1">
        <f t="array" aca="1" ref="AQ22" ca="1">IF(INDIRECT(_xlfn.CONCAT("'",$A22,"'!F30"))&gt;=AQ$2,"d",IF(INDIRECT(_xlfn.CONCAT("'",$A22,"'!F31"))&gt;=AQ$2,"i",""))</f>
        <v>d</v>
      </c>
      <c r="AR22" s="1" t="str" cm="1">
        <f t="array" aca="1" ref="AR22" ca="1">IF(INDIRECT(_xlfn.CONCAT("'",$A22,"'!F30"))&gt;=AR$2,"d",IF(INDIRECT(_xlfn.CONCAT("'",$A22,"'!F31"))&gt;=AR$2,"i",""))</f>
        <v>d</v>
      </c>
      <c r="AS22" s="1" t="str" cm="1">
        <f t="array" aca="1" ref="AS22" ca="1">IF(INDIRECT(_xlfn.CONCAT("'",$A22,"'!F30"))&gt;=AS$2,"d",IF(INDIRECT(_xlfn.CONCAT("'",$A22,"'!F31"))&gt;=AS$2,"i",""))</f>
        <v>d</v>
      </c>
      <c r="AT22" s="1" t="str" cm="1">
        <f t="array" aca="1" ref="AT22" ca="1">IF(INDIRECT(_xlfn.CONCAT("'",$A22,"'!F30"))&gt;=AT$2,"d",IF(INDIRECT(_xlfn.CONCAT("'",$A22,"'!F31"))&gt;=AT$2,"i",""))</f>
        <v>d</v>
      </c>
      <c r="AU22" s="1" t="str" cm="1">
        <f t="array" aca="1" ref="AU22" ca="1">IF(INDIRECT(_xlfn.CONCAT("'",$A22,"'!F30"))&gt;=AU$2,"d",IF(INDIRECT(_xlfn.CONCAT("'",$A22,"'!F31"))&gt;=AU$2,"i",""))</f>
        <v>d</v>
      </c>
      <c r="AV22" s="4" t="str" cm="1">
        <f t="array" aca="1" ref="AV22" ca="1">IF(INDIRECT(_xlfn.CONCAT("'",$A22,"'!F30"))&gt;=AV$2,"d",IF(INDIRECT(_xlfn.CONCAT("'",$A22,"'!F31"))&gt;=AV$2,"i",""))</f>
        <v/>
      </c>
    </row>
    <row r="23" spans="1:48" x14ac:dyDescent="0.25">
      <c r="A23" s="101" t="str">
        <v>Ningguang</v>
      </c>
      <c r="B23" s="4" t="str">
        <f t="shared" si="0"/>
        <v>Geo</v>
      </c>
      <c r="C23" s="38" t="str">
        <f t="shared" si="1"/>
        <v>Liyue 1</v>
      </c>
      <c r="D23" s="85" t="str">
        <f t="shared" si="2"/>
        <v>Boreas 3</v>
      </c>
      <c r="E23" s="14" t="str" cm="1">
        <f t="array" aca="1" ref="E23" ca="1">IF(INDIRECT(_xlfn.CONCAT("'",$A23,"'!B4"))&gt;=E$2,"d",IF(INDIRECT(_xlfn.CONCAT("'",$A23,"'!B5"))&gt;=E$2,"i",""))</f>
        <v>d</v>
      </c>
      <c r="F23" s="1" t="str" cm="1">
        <f t="array" aca="1" ref="F23" ca="1">IF(INDIRECT(_xlfn.CONCAT("'",$A23,"'!B4"))&gt;=F$2,"d",IF(INDIRECT(_xlfn.CONCAT("'",$A23,"'!B5"))&gt;=F$2,"i",""))</f>
        <v>d</v>
      </c>
      <c r="G23" s="1" t="str" cm="1">
        <f t="array" aca="1" ref="G23" ca="1">IF(INDIRECT(_xlfn.CONCAT("'",$A23,"'!B4"))&gt;=G$2,"d",IF(INDIRECT(_xlfn.CONCAT("'",$A23,"'!B5"))&gt;=G$2,"i",""))</f>
        <v>d</v>
      </c>
      <c r="H23" s="1" t="str" cm="1">
        <f t="array" aca="1" ref="H23" ca="1">IF(INDIRECT(_xlfn.CONCAT("'",$A23,"'!B4"))&gt;=H$2,"d",IF(INDIRECT(_xlfn.CONCAT("'",$A23,"'!B5"))&gt;=H$2,"i",""))</f>
        <v>d</v>
      </c>
      <c r="I23" s="1" t="str" cm="1">
        <f t="array" aca="1" ref="I23" ca="1">IF(INDIRECT(_xlfn.CONCAT("'",$A23,"'!B4"))&gt;=I$2,"d",IF(INDIRECT(_xlfn.CONCAT("'",$A23,"'!B5"))&gt;=I$2,"i",""))</f>
        <v>d</v>
      </c>
      <c r="J23" s="1" t="str" cm="1">
        <f t="array" aca="1" ref="J23" ca="1">IF(INDIRECT(_xlfn.CONCAT("'",$A23,"'!B4"))&gt;=J$2,"d",IF(INDIRECT(_xlfn.CONCAT("'",$A23,"'!B5"))&gt;=J$2,"i",""))</f>
        <v>d</v>
      </c>
      <c r="K23" s="4" t="str" cm="1">
        <f t="array" aca="1" ref="K23" ca="1">IF(INDIRECT(_xlfn.CONCAT("'",$A23,"'!B4"))&gt;=K$2,"d",IF(INDIRECT(_xlfn.CONCAT("'",$A23,"'!B5"))&gt;=K$2,"i",""))</f>
        <v>d</v>
      </c>
      <c r="L23" s="39"/>
      <c r="M23" s="1" t="str" cm="1">
        <f t="array" aca="1" ref="M23" ca="1">IF(INDIRECT(_xlfn.CONCAT("'",$A23,"'!C10"))&gt;=M$2,"d",IF(INDIRECT(_xlfn.CONCAT("'",$A23,"'!C11"))&gt;=M$2,"i",""))</f>
        <v>d</v>
      </c>
      <c r="N23" s="1" t="str" cm="1">
        <f t="array" aca="1" ref="N23" ca="1">IF(INDIRECT(_xlfn.CONCAT("'",$A23,"'!C10"))&gt;=N$2,"d",IF(INDIRECT(_xlfn.CONCAT("'",$A23,"'!C11"))&gt;=N$2,"i",""))</f>
        <v>d</v>
      </c>
      <c r="O23" s="1" t="str" cm="1">
        <f t="array" aca="1" ref="O23" ca="1">IF(INDIRECT(_xlfn.CONCAT("'",$A23,"'!C10"))&gt;=O$2,"d",IF(INDIRECT(_xlfn.CONCAT("'",$A23,"'!C11"))&gt;=O$2,"i",""))</f>
        <v>d</v>
      </c>
      <c r="P23" s="1" t="str" cm="1">
        <f t="array" aca="1" ref="P23" ca="1">IF(INDIRECT(_xlfn.CONCAT("'",$A23,"'!C10"))&gt;=P$2,"d",IF(INDIRECT(_xlfn.CONCAT("'",$A23,"'!C11"))&gt;=P$2,"i",""))</f>
        <v>d</v>
      </c>
      <c r="Q23" s="1" t="str" cm="1">
        <f t="array" aca="1" ref="Q23" ca="1">IF(INDIRECT(_xlfn.CONCAT("'",$A23,"'!C10"))&gt;=Q$2,"d",IF(INDIRECT(_xlfn.CONCAT("'",$A23,"'!C11"))&gt;=Q$2,"i",""))</f>
        <v>d</v>
      </c>
      <c r="R23" s="1" t="str" cm="1">
        <f t="array" aca="1" ref="R23" ca="1">IF(INDIRECT(_xlfn.CONCAT("'",$A23,"'!C10"))&gt;=R$2,"d",IF(INDIRECT(_xlfn.CONCAT("'",$A23,"'!C11"))&gt;=R$2,"i",""))</f>
        <v>d</v>
      </c>
      <c r="S23" s="36"/>
      <c r="T23" s="1" t="str" cm="1">
        <f t="array" aca="1" ref="T23" ca="1">IF(INDIRECT(_xlfn.CONCAT("'",$A23,"'!F4"))&gt;=T$2,"d",IF(INDIRECT(_xlfn.CONCAT("'",$A23,"'!F5"))&gt;=T$2,"i",""))</f>
        <v>d</v>
      </c>
      <c r="U23" s="1" t="str" cm="1">
        <f t="array" aca="1" ref="U23" ca="1">IF(INDIRECT(_xlfn.CONCAT("'",$A23,"'!F4"))&gt;=U$2,"d",IF(INDIRECT(_xlfn.CONCAT("'",$A23,"'!F5"))&gt;=U$2,"i",""))</f>
        <v>d</v>
      </c>
      <c r="V23" s="1" t="str" cm="1">
        <f t="array" aca="1" ref="V23" ca="1">IF(INDIRECT(_xlfn.CONCAT("'",$A23,"'!F4"))&gt;=V$2,"d",IF(INDIRECT(_xlfn.CONCAT("'",$A23,"'!F5"))&gt;=V$2,"i",""))</f>
        <v>d</v>
      </c>
      <c r="W23" s="1" t="str" cm="1">
        <f t="array" aca="1" ref="W23" ca="1">IF(INDIRECT(_xlfn.CONCAT("'",$A23,"'!F4"))&gt;=W$2,"d",IF(INDIRECT(_xlfn.CONCAT("'",$A23,"'!F5"))&gt;=W$2,"i",""))</f>
        <v>d</v>
      </c>
      <c r="X23" s="1" t="str" cm="1">
        <f t="array" aca="1" ref="X23" ca="1">IF(INDIRECT(_xlfn.CONCAT("'",$A23,"'!F4"))&gt;=X$2,"d",IF(INDIRECT(_xlfn.CONCAT("'",$A23,"'!F5"))&gt;=X$2,"i",""))</f>
        <v>d</v>
      </c>
      <c r="Y23" s="1" t="str" cm="1">
        <f t="array" aca="1" ref="Y23" ca="1">IF(INDIRECT(_xlfn.CONCAT("'",$A23,"'!F4"))&gt;=Y$2,"d",IF(INDIRECT(_xlfn.CONCAT("'",$A23,"'!F5"))&gt;=Y$2,"i",""))</f>
        <v>d</v>
      </c>
      <c r="Z23" s="1" t="str" cm="1">
        <f t="array" aca="1" ref="Z23" ca="1">IF(INDIRECT(_xlfn.CONCAT("'",$A23,"'!F4"))&gt;=Z$2,"d",IF(INDIRECT(_xlfn.CONCAT("'",$A23,"'!F5"))&gt;=Z$2,"i",""))</f>
        <v>d</v>
      </c>
      <c r="AA23" s="1" t="str" cm="1">
        <f t="array" aca="1" ref="AA23" ca="1">IF(INDIRECT(_xlfn.CONCAT("'",$A23,"'!F4"))&gt;=AA$2,"d",IF(INDIRECT(_xlfn.CONCAT("'",$A23,"'!F5"))&gt;=AA$2,"i",""))</f>
        <v>d</v>
      </c>
      <c r="AB23" s="1" t="str" cm="1">
        <f t="array" aca="1" ref="AB23" ca="1">IF(INDIRECT(_xlfn.CONCAT("'",$A23,"'!F4"))&gt;=AB$2,"d",IF(INDIRECT(_xlfn.CONCAT("'",$A23,"'!F5"))&gt;=AB$2,"i",""))</f>
        <v/>
      </c>
      <c r="AC23" s="36"/>
      <c r="AD23" s="1" t="str" cm="1">
        <f t="array" aca="1" ref="AD23" ca="1">IF(INDIRECT(_xlfn.CONCAT("'",$A23,"'!F17"))&gt;=AD$2,"d",IF(INDIRECT(_xlfn.CONCAT("'",$A23,"'!F18"))&gt;=AD$2,"i",""))</f>
        <v>d</v>
      </c>
      <c r="AE23" s="1" t="str" cm="1">
        <f t="array" aca="1" ref="AE23" ca="1">IF(INDIRECT(_xlfn.CONCAT("'",$A23,"'!F17"))&gt;=AE$2,"d",IF(INDIRECT(_xlfn.CONCAT("'",$A23,"'!F18"))&gt;=AE$2,"i",""))</f>
        <v>d</v>
      </c>
      <c r="AF23" s="1" t="str" cm="1">
        <f t="array" aca="1" ref="AF23" ca="1">IF(INDIRECT(_xlfn.CONCAT("'",$A23,"'!F17"))&gt;=AF$2,"d",IF(INDIRECT(_xlfn.CONCAT("'",$A23,"'!F18"))&gt;=AF$2,"i",""))</f>
        <v>d</v>
      </c>
      <c r="AG23" s="1" t="str" cm="1">
        <f t="array" aca="1" ref="AG23" ca="1">IF(INDIRECT(_xlfn.CONCAT("'",$A23,"'!F17"))&gt;=AG$2,"d",IF(INDIRECT(_xlfn.CONCAT("'",$A23,"'!F18"))&gt;=AG$2,"i",""))</f>
        <v>d</v>
      </c>
      <c r="AH23" s="1" t="str" cm="1">
        <f t="array" aca="1" ref="AH23" ca="1">IF(INDIRECT(_xlfn.CONCAT("'",$A23,"'!F17"))&gt;=AH$2,"d",IF(INDIRECT(_xlfn.CONCAT("'",$A23,"'!F18"))&gt;=AH$2,"i",""))</f>
        <v>d</v>
      </c>
      <c r="AI23" s="1" t="str" cm="1">
        <f t="array" aca="1" ref="AI23" ca="1">IF(INDIRECT(_xlfn.CONCAT("'",$A23,"'!F17"))&gt;=AI$2,"d",IF(INDIRECT(_xlfn.CONCAT("'",$A23,"'!F18"))&gt;=AI$2,"i",""))</f>
        <v>d</v>
      </c>
      <c r="AJ23" s="1" t="str" cm="1">
        <f t="array" aca="1" ref="AJ23" ca="1">IF(INDIRECT(_xlfn.CONCAT("'",$A23,"'!F17"))&gt;=AJ$2,"d",IF(INDIRECT(_xlfn.CONCAT("'",$A23,"'!F18"))&gt;=AJ$2,"i",""))</f>
        <v>d</v>
      </c>
      <c r="AK23" s="1" t="str" cm="1">
        <f t="array" aca="1" ref="AK23" ca="1">IF(INDIRECT(_xlfn.CONCAT("'",$A23,"'!F17"))&gt;=AK$2,"d",IF(INDIRECT(_xlfn.CONCAT("'",$A23,"'!F18"))&gt;=AK$2,"i",""))</f>
        <v>d</v>
      </c>
      <c r="AL23" s="1" t="str" cm="1">
        <f t="array" aca="1" ref="AL23" ca="1">IF(INDIRECT(_xlfn.CONCAT("'",$A23,"'!F17"))&gt;=AL$2,"d",IF(INDIRECT(_xlfn.CONCAT("'",$A23,"'!F18"))&gt;=AL$2,"i",""))</f>
        <v/>
      </c>
      <c r="AM23" s="36"/>
      <c r="AN23" s="1" t="str" cm="1">
        <f t="array" aca="1" ref="AN23" ca="1">IF(INDIRECT(_xlfn.CONCAT("'",$A23,"'!F30"))&gt;=AN$2,"d",IF(INDIRECT(_xlfn.CONCAT("'",$A23,"'!F31"))&gt;=AN$2,"i",""))</f>
        <v>d</v>
      </c>
      <c r="AO23" s="1" t="str" cm="1">
        <f t="array" aca="1" ref="AO23" ca="1">IF(INDIRECT(_xlfn.CONCAT("'",$A23,"'!F30"))&gt;=AO$2,"d",IF(INDIRECT(_xlfn.CONCAT("'",$A23,"'!F31"))&gt;=AO$2,"i",""))</f>
        <v>d</v>
      </c>
      <c r="AP23" s="1" t="str" cm="1">
        <f t="array" aca="1" ref="AP23" ca="1">IF(INDIRECT(_xlfn.CONCAT("'",$A23,"'!F30"))&gt;=AP$2,"d",IF(INDIRECT(_xlfn.CONCAT("'",$A23,"'!F31"))&gt;=AP$2,"i",""))</f>
        <v>d</v>
      </c>
      <c r="AQ23" s="1" t="str" cm="1">
        <f t="array" aca="1" ref="AQ23" ca="1">IF(INDIRECT(_xlfn.CONCAT("'",$A23,"'!F30"))&gt;=AQ$2,"d",IF(INDIRECT(_xlfn.CONCAT("'",$A23,"'!F31"))&gt;=AQ$2,"i",""))</f>
        <v>d</v>
      </c>
      <c r="AR23" s="1" t="str" cm="1">
        <f t="array" aca="1" ref="AR23" ca="1">IF(INDIRECT(_xlfn.CONCAT("'",$A23,"'!F30"))&gt;=AR$2,"d",IF(INDIRECT(_xlfn.CONCAT("'",$A23,"'!F31"))&gt;=AR$2,"i",""))</f>
        <v>d</v>
      </c>
      <c r="AS23" s="1" t="str" cm="1">
        <f t="array" aca="1" ref="AS23" ca="1">IF(INDIRECT(_xlfn.CONCAT("'",$A23,"'!F30"))&gt;=AS$2,"d",IF(INDIRECT(_xlfn.CONCAT("'",$A23,"'!F31"))&gt;=AS$2,"i",""))</f>
        <v>d</v>
      </c>
      <c r="AT23" s="1" t="str" cm="1">
        <f t="array" aca="1" ref="AT23" ca="1">IF(INDIRECT(_xlfn.CONCAT("'",$A23,"'!F30"))&gt;=AT$2,"d",IF(INDIRECT(_xlfn.CONCAT("'",$A23,"'!F31"))&gt;=AT$2,"i",""))</f>
        <v>d</v>
      </c>
      <c r="AU23" s="1" t="str" cm="1">
        <f t="array" aca="1" ref="AU23" ca="1">IF(INDIRECT(_xlfn.CONCAT("'",$A23,"'!F30"))&gt;=AU$2,"d",IF(INDIRECT(_xlfn.CONCAT("'",$A23,"'!F31"))&gt;=AU$2,"i",""))</f>
        <v>d</v>
      </c>
      <c r="AV23" s="4" t="str" cm="1">
        <f t="array" aca="1" ref="AV23" ca="1">IF(INDIRECT(_xlfn.CONCAT("'",$A23,"'!F30"))&gt;=AV$2,"d",IF(INDIRECT(_xlfn.CONCAT("'",$A23,"'!F31"))&gt;=AV$2,"i",""))</f>
        <v/>
      </c>
    </row>
    <row r="24" spans="1:48" x14ac:dyDescent="0.25">
      <c r="A24" s="101" t="str">
        <v>Fischl</v>
      </c>
      <c r="B24" s="4" t="str">
        <f t="shared" si="0"/>
        <v>Electro</v>
      </c>
      <c r="C24" s="38" t="str">
        <f t="shared" si="1"/>
        <v>Mondstadt 3</v>
      </c>
      <c r="D24" s="85" t="str">
        <f t="shared" si="2"/>
        <v>Boreas 3</v>
      </c>
      <c r="E24" s="14" t="str" cm="1">
        <f t="array" aca="1" ref="E24" ca="1">IF(INDIRECT(_xlfn.CONCAT("'",$A24,"'!B4"))&gt;=E$2,"d",IF(INDIRECT(_xlfn.CONCAT("'",$A24,"'!B5"))&gt;=E$2,"i",""))</f>
        <v>d</v>
      </c>
      <c r="F24" s="1" t="str" cm="1">
        <f t="array" aca="1" ref="F24" ca="1">IF(INDIRECT(_xlfn.CONCAT("'",$A24,"'!B4"))&gt;=F$2,"d",IF(INDIRECT(_xlfn.CONCAT("'",$A24,"'!B5"))&gt;=F$2,"i",""))</f>
        <v>d</v>
      </c>
      <c r="G24" s="1" t="str" cm="1">
        <f t="array" aca="1" ref="G24" ca="1">IF(INDIRECT(_xlfn.CONCAT("'",$A24,"'!B4"))&gt;=G$2,"d",IF(INDIRECT(_xlfn.CONCAT("'",$A24,"'!B5"))&gt;=G$2,"i",""))</f>
        <v>d</v>
      </c>
      <c r="H24" s="1" t="str" cm="1">
        <f t="array" aca="1" ref="H24" ca="1">IF(INDIRECT(_xlfn.CONCAT("'",$A24,"'!B4"))&gt;=H$2,"d",IF(INDIRECT(_xlfn.CONCAT("'",$A24,"'!B5"))&gt;=H$2,"i",""))</f>
        <v>d</v>
      </c>
      <c r="I24" s="1" t="str" cm="1">
        <f t="array" aca="1" ref="I24" ca="1">IF(INDIRECT(_xlfn.CONCAT("'",$A24,"'!B4"))&gt;=I$2,"d",IF(INDIRECT(_xlfn.CONCAT("'",$A24,"'!B5"))&gt;=I$2,"i",""))</f>
        <v>d</v>
      </c>
      <c r="J24" s="1" t="str" cm="1">
        <f t="array" aca="1" ref="J24" ca="1">IF(INDIRECT(_xlfn.CONCAT("'",$A24,"'!B4"))&gt;=J$2,"d",IF(INDIRECT(_xlfn.CONCAT("'",$A24,"'!B5"))&gt;=J$2,"i",""))</f>
        <v>d</v>
      </c>
      <c r="K24" s="4" t="str" cm="1">
        <f t="array" aca="1" ref="K24" ca="1">IF(INDIRECT(_xlfn.CONCAT("'",$A24,"'!B4"))&gt;=K$2,"d",IF(INDIRECT(_xlfn.CONCAT("'",$A24,"'!B5"))&gt;=K$2,"i",""))</f>
        <v>d</v>
      </c>
      <c r="L24" s="39"/>
      <c r="M24" s="1" t="str" cm="1">
        <f t="array" aca="1" ref="M24" ca="1">IF(INDIRECT(_xlfn.CONCAT("'",$A24,"'!C10"))&gt;=M$2,"d",IF(INDIRECT(_xlfn.CONCAT("'",$A24,"'!C11"))&gt;=M$2,"i",""))</f>
        <v>d</v>
      </c>
      <c r="N24" s="1" t="str" cm="1">
        <f t="array" aca="1" ref="N24" ca="1">IF(INDIRECT(_xlfn.CONCAT("'",$A24,"'!C10"))&gt;=N$2,"d",IF(INDIRECT(_xlfn.CONCAT("'",$A24,"'!C11"))&gt;=N$2,"i",""))</f>
        <v>d</v>
      </c>
      <c r="O24" s="1" t="str" cm="1">
        <f t="array" aca="1" ref="O24" ca="1">IF(INDIRECT(_xlfn.CONCAT("'",$A24,"'!C10"))&gt;=O$2,"d",IF(INDIRECT(_xlfn.CONCAT("'",$A24,"'!C11"))&gt;=O$2,"i",""))</f>
        <v>d</v>
      </c>
      <c r="P24" s="1" t="str" cm="1">
        <f t="array" aca="1" ref="P24" ca="1">IF(INDIRECT(_xlfn.CONCAT("'",$A24,"'!C10"))&gt;=P$2,"d",IF(INDIRECT(_xlfn.CONCAT("'",$A24,"'!C11"))&gt;=P$2,"i",""))</f>
        <v>d</v>
      </c>
      <c r="Q24" s="1" t="str" cm="1">
        <f t="array" aca="1" ref="Q24" ca="1">IF(INDIRECT(_xlfn.CONCAT("'",$A24,"'!C10"))&gt;=Q$2,"d",IF(INDIRECT(_xlfn.CONCAT("'",$A24,"'!C11"))&gt;=Q$2,"i",""))</f>
        <v>d</v>
      </c>
      <c r="R24" s="1" t="str" cm="1">
        <f t="array" aca="1" ref="R24" ca="1">IF(INDIRECT(_xlfn.CONCAT("'",$A24,"'!C10"))&gt;=R$2,"d",IF(INDIRECT(_xlfn.CONCAT("'",$A24,"'!C11"))&gt;=R$2,"i",""))</f>
        <v>d</v>
      </c>
      <c r="S24" s="36"/>
      <c r="T24" s="1" t="str" cm="1">
        <f t="array" aca="1" ref="T24" ca="1">IF(INDIRECT(_xlfn.CONCAT("'",$A24,"'!F4"))&gt;=T$2,"d",IF(INDIRECT(_xlfn.CONCAT("'",$A24,"'!F5"))&gt;=T$2,"i",""))</f>
        <v>d</v>
      </c>
      <c r="U24" s="1" t="str" cm="1">
        <f t="array" aca="1" ref="U24" ca="1">IF(INDIRECT(_xlfn.CONCAT("'",$A24,"'!F4"))&gt;=U$2,"d",IF(INDIRECT(_xlfn.CONCAT("'",$A24,"'!F5"))&gt;=U$2,"i",""))</f>
        <v>d</v>
      </c>
      <c r="V24" s="1" t="str" cm="1">
        <f t="array" aca="1" ref="V24" ca="1">IF(INDIRECT(_xlfn.CONCAT("'",$A24,"'!F4"))&gt;=V$2,"d",IF(INDIRECT(_xlfn.CONCAT("'",$A24,"'!F5"))&gt;=V$2,"i",""))</f>
        <v>d</v>
      </c>
      <c r="W24" s="1" t="str" cm="1">
        <f t="array" aca="1" ref="W24" ca="1">IF(INDIRECT(_xlfn.CONCAT("'",$A24,"'!F4"))&gt;=W$2,"d",IF(INDIRECT(_xlfn.CONCAT("'",$A24,"'!F5"))&gt;=W$2,"i",""))</f>
        <v>d</v>
      </c>
      <c r="X24" s="1" t="str" cm="1">
        <f t="array" aca="1" ref="X24" ca="1">IF(INDIRECT(_xlfn.CONCAT("'",$A24,"'!F4"))&gt;=X$2,"d",IF(INDIRECT(_xlfn.CONCAT("'",$A24,"'!F5"))&gt;=X$2,"i",""))</f>
        <v>d</v>
      </c>
      <c r="Y24" s="1" t="str" cm="1">
        <f t="array" aca="1" ref="Y24" ca="1">IF(INDIRECT(_xlfn.CONCAT("'",$A24,"'!F4"))&gt;=Y$2,"d",IF(INDIRECT(_xlfn.CONCAT("'",$A24,"'!F5"))&gt;=Y$2,"i",""))</f>
        <v>d</v>
      </c>
      <c r="Z24" s="1" t="str" cm="1">
        <f t="array" aca="1" ref="Z24" ca="1">IF(INDIRECT(_xlfn.CONCAT("'",$A24,"'!F4"))&gt;=Z$2,"d",IF(INDIRECT(_xlfn.CONCAT("'",$A24,"'!F5"))&gt;=Z$2,"i",""))</f>
        <v>d</v>
      </c>
      <c r="AA24" s="1" t="str" cm="1">
        <f t="array" aca="1" ref="AA24" ca="1">IF(INDIRECT(_xlfn.CONCAT("'",$A24,"'!F4"))&gt;=AA$2,"d",IF(INDIRECT(_xlfn.CONCAT("'",$A24,"'!F5"))&gt;=AA$2,"i",""))</f>
        <v>d</v>
      </c>
      <c r="AB24" s="1" t="str" cm="1">
        <f t="array" aca="1" ref="AB24" ca="1">IF(INDIRECT(_xlfn.CONCAT("'",$A24,"'!F4"))&gt;=AB$2,"d",IF(INDIRECT(_xlfn.CONCAT("'",$A24,"'!F5"))&gt;=AB$2,"i",""))</f>
        <v/>
      </c>
      <c r="AC24" s="36"/>
      <c r="AD24" s="1" t="str" cm="1">
        <f t="array" aca="1" ref="AD24" ca="1">IF(INDIRECT(_xlfn.CONCAT("'",$A24,"'!F17"))&gt;=AD$2,"d",IF(INDIRECT(_xlfn.CONCAT("'",$A24,"'!F18"))&gt;=AD$2,"i",""))</f>
        <v>d</v>
      </c>
      <c r="AE24" s="1" t="str" cm="1">
        <f t="array" aca="1" ref="AE24" ca="1">IF(INDIRECT(_xlfn.CONCAT("'",$A24,"'!F17"))&gt;=AE$2,"d",IF(INDIRECT(_xlfn.CONCAT("'",$A24,"'!F18"))&gt;=AE$2,"i",""))</f>
        <v>d</v>
      </c>
      <c r="AF24" s="1" t="str" cm="1">
        <f t="array" aca="1" ref="AF24" ca="1">IF(INDIRECT(_xlfn.CONCAT("'",$A24,"'!F17"))&gt;=AF$2,"d",IF(INDIRECT(_xlfn.CONCAT("'",$A24,"'!F18"))&gt;=AF$2,"i",""))</f>
        <v>d</v>
      </c>
      <c r="AG24" s="1" t="str" cm="1">
        <f t="array" aca="1" ref="AG24" ca="1">IF(INDIRECT(_xlfn.CONCAT("'",$A24,"'!F17"))&gt;=AG$2,"d",IF(INDIRECT(_xlfn.CONCAT("'",$A24,"'!F18"))&gt;=AG$2,"i",""))</f>
        <v>d</v>
      </c>
      <c r="AH24" s="1" t="str" cm="1">
        <f t="array" aca="1" ref="AH24" ca="1">IF(INDIRECT(_xlfn.CONCAT("'",$A24,"'!F17"))&gt;=AH$2,"d",IF(INDIRECT(_xlfn.CONCAT("'",$A24,"'!F18"))&gt;=AH$2,"i",""))</f>
        <v>d</v>
      </c>
      <c r="AI24" s="1" t="str" cm="1">
        <f t="array" aca="1" ref="AI24" ca="1">IF(INDIRECT(_xlfn.CONCAT("'",$A24,"'!F17"))&gt;=AI$2,"d",IF(INDIRECT(_xlfn.CONCAT("'",$A24,"'!F18"))&gt;=AI$2,"i",""))</f>
        <v>d</v>
      </c>
      <c r="AJ24" s="1" t="str" cm="1">
        <f t="array" aca="1" ref="AJ24" ca="1">IF(INDIRECT(_xlfn.CONCAT("'",$A24,"'!F17"))&gt;=AJ$2,"d",IF(INDIRECT(_xlfn.CONCAT("'",$A24,"'!F18"))&gt;=AJ$2,"i",""))</f>
        <v>d</v>
      </c>
      <c r="AK24" s="1" t="str" cm="1">
        <f t="array" aca="1" ref="AK24" ca="1">IF(INDIRECT(_xlfn.CONCAT("'",$A24,"'!F17"))&gt;=AK$2,"d",IF(INDIRECT(_xlfn.CONCAT("'",$A24,"'!F18"))&gt;=AK$2,"i",""))</f>
        <v>d</v>
      </c>
      <c r="AL24" s="1" t="str" cm="1">
        <f t="array" aca="1" ref="AL24" ca="1">IF(INDIRECT(_xlfn.CONCAT("'",$A24,"'!F17"))&gt;=AL$2,"d",IF(INDIRECT(_xlfn.CONCAT("'",$A24,"'!F18"))&gt;=AL$2,"i",""))</f>
        <v/>
      </c>
      <c r="AM24" s="36"/>
      <c r="AN24" s="1" t="str" cm="1">
        <f t="array" aca="1" ref="AN24" ca="1">IF(INDIRECT(_xlfn.CONCAT("'",$A24,"'!F30"))&gt;=AN$2,"d",IF(INDIRECT(_xlfn.CONCAT("'",$A24,"'!F31"))&gt;=AN$2,"i",""))</f>
        <v>d</v>
      </c>
      <c r="AO24" s="1" t="str" cm="1">
        <f t="array" aca="1" ref="AO24" ca="1">IF(INDIRECT(_xlfn.CONCAT("'",$A24,"'!F30"))&gt;=AO$2,"d",IF(INDIRECT(_xlfn.CONCAT("'",$A24,"'!F31"))&gt;=AO$2,"i",""))</f>
        <v>d</v>
      </c>
      <c r="AP24" s="1" t="str" cm="1">
        <f t="array" aca="1" ref="AP24" ca="1">IF(INDIRECT(_xlfn.CONCAT("'",$A24,"'!F30"))&gt;=AP$2,"d",IF(INDIRECT(_xlfn.CONCAT("'",$A24,"'!F31"))&gt;=AP$2,"i",""))</f>
        <v>d</v>
      </c>
      <c r="AQ24" s="1" t="str" cm="1">
        <f t="array" aca="1" ref="AQ24" ca="1">IF(INDIRECT(_xlfn.CONCAT("'",$A24,"'!F30"))&gt;=AQ$2,"d",IF(INDIRECT(_xlfn.CONCAT("'",$A24,"'!F31"))&gt;=AQ$2,"i",""))</f>
        <v>d</v>
      </c>
      <c r="AR24" s="1" t="str" cm="1">
        <f t="array" aca="1" ref="AR24" ca="1">IF(INDIRECT(_xlfn.CONCAT("'",$A24,"'!F30"))&gt;=AR$2,"d",IF(INDIRECT(_xlfn.CONCAT("'",$A24,"'!F31"))&gt;=AR$2,"i",""))</f>
        <v>d</v>
      </c>
      <c r="AS24" s="1" t="str" cm="1">
        <f t="array" aca="1" ref="AS24" ca="1">IF(INDIRECT(_xlfn.CONCAT("'",$A24,"'!F30"))&gt;=AS$2,"d",IF(INDIRECT(_xlfn.CONCAT("'",$A24,"'!F31"))&gt;=AS$2,"i",""))</f>
        <v>d</v>
      </c>
      <c r="AT24" s="1" t="str" cm="1">
        <f t="array" aca="1" ref="AT24" ca="1">IF(INDIRECT(_xlfn.CONCAT("'",$A24,"'!F30"))&gt;=AT$2,"d",IF(INDIRECT(_xlfn.CONCAT("'",$A24,"'!F31"))&gt;=AT$2,"i",""))</f>
        <v>d</v>
      </c>
      <c r="AU24" s="1" t="str" cm="1">
        <f t="array" aca="1" ref="AU24" ca="1">IF(INDIRECT(_xlfn.CONCAT("'",$A24,"'!F30"))&gt;=AU$2,"d",IF(INDIRECT(_xlfn.CONCAT("'",$A24,"'!F31"))&gt;=AU$2,"i",""))</f>
        <v>d</v>
      </c>
      <c r="AV24" s="4" t="str" cm="1">
        <f t="array" aca="1" ref="AV24" ca="1">IF(INDIRECT(_xlfn.CONCAT("'",$A24,"'!F30"))&gt;=AV$2,"d",IF(INDIRECT(_xlfn.CONCAT("'",$A24,"'!F31"))&gt;=AV$2,"i",""))</f>
        <v/>
      </c>
    </row>
    <row r="25" spans="1:48" x14ac:dyDescent="0.25">
      <c r="A25" s="101" t="str">
        <v>Sucrose</v>
      </c>
      <c r="B25" s="4" t="str">
        <f t="shared" si="0"/>
        <v>Anemo</v>
      </c>
      <c r="C25" s="38" t="str">
        <f t="shared" si="1"/>
        <v>Mondstadt 1</v>
      </c>
      <c r="D25" s="85" t="str">
        <f t="shared" si="2"/>
        <v>Boreas 3</v>
      </c>
      <c r="E25" s="14" t="str" cm="1">
        <f t="array" aca="1" ref="E25" ca="1">IF(INDIRECT(_xlfn.CONCAT("'",$A25,"'!B4"))&gt;=E$2,"d",IF(INDIRECT(_xlfn.CONCAT("'",$A25,"'!B5"))&gt;=E$2,"i",""))</f>
        <v>d</v>
      </c>
      <c r="F25" s="1" t="str" cm="1">
        <f t="array" aca="1" ref="F25" ca="1">IF(INDIRECT(_xlfn.CONCAT("'",$A25,"'!B4"))&gt;=F$2,"d",IF(INDIRECT(_xlfn.CONCAT("'",$A25,"'!B5"))&gt;=F$2,"i",""))</f>
        <v>d</v>
      </c>
      <c r="G25" s="1" t="str" cm="1">
        <f t="array" aca="1" ref="G25" ca="1">IF(INDIRECT(_xlfn.CONCAT("'",$A25,"'!B4"))&gt;=G$2,"d",IF(INDIRECT(_xlfn.CONCAT("'",$A25,"'!B5"))&gt;=G$2,"i",""))</f>
        <v>d</v>
      </c>
      <c r="H25" s="1" t="str" cm="1">
        <f t="array" aca="1" ref="H25" ca="1">IF(INDIRECT(_xlfn.CONCAT("'",$A25,"'!B4"))&gt;=H$2,"d",IF(INDIRECT(_xlfn.CONCAT("'",$A25,"'!B5"))&gt;=H$2,"i",""))</f>
        <v>d</v>
      </c>
      <c r="I25" s="1" t="str" cm="1">
        <f t="array" aca="1" ref="I25" ca="1">IF(INDIRECT(_xlfn.CONCAT("'",$A25,"'!B4"))&gt;=I$2,"d",IF(INDIRECT(_xlfn.CONCAT("'",$A25,"'!B5"))&gt;=I$2,"i",""))</f>
        <v>d</v>
      </c>
      <c r="J25" s="1" t="str" cm="1">
        <f t="array" aca="1" ref="J25" ca="1">IF(INDIRECT(_xlfn.CONCAT("'",$A25,"'!B4"))&gt;=J$2,"d",IF(INDIRECT(_xlfn.CONCAT("'",$A25,"'!B5"))&gt;=J$2,"i",""))</f>
        <v>d</v>
      </c>
      <c r="K25" s="4" t="str" cm="1">
        <f t="array" aca="1" ref="K25" ca="1">IF(INDIRECT(_xlfn.CONCAT("'",$A25,"'!B4"))&gt;=K$2,"d",IF(INDIRECT(_xlfn.CONCAT("'",$A25,"'!B5"))&gt;=K$2,"i",""))</f>
        <v>d</v>
      </c>
      <c r="L25" s="39"/>
      <c r="M25" s="1" t="str" cm="1">
        <f t="array" aca="1" ref="M25" ca="1">IF(INDIRECT(_xlfn.CONCAT("'",$A25,"'!C10"))&gt;=M$2,"d",IF(INDIRECT(_xlfn.CONCAT("'",$A25,"'!C11"))&gt;=M$2,"i",""))</f>
        <v>d</v>
      </c>
      <c r="N25" s="1" t="str" cm="1">
        <f t="array" aca="1" ref="N25" ca="1">IF(INDIRECT(_xlfn.CONCAT("'",$A25,"'!C10"))&gt;=N$2,"d",IF(INDIRECT(_xlfn.CONCAT("'",$A25,"'!C11"))&gt;=N$2,"i",""))</f>
        <v>d</v>
      </c>
      <c r="O25" s="1" t="str" cm="1">
        <f t="array" aca="1" ref="O25" ca="1">IF(INDIRECT(_xlfn.CONCAT("'",$A25,"'!C10"))&gt;=O$2,"d",IF(INDIRECT(_xlfn.CONCAT("'",$A25,"'!C11"))&gt;=O$2,"i",""))</f>
        <v>d</v>
      </c>
      <c r="P25" s="1" t="str" cm="1">
        <f t="array" aca="1" ref="P25" ca="1">IF(INDIRECT(_xlfn.CONCAT("'",$A25,"'!C10"))&gt;=P$2,"d",IF(INDIRECT(_xlfn.CONCAT("'",$A25,"'!C11"))&gt;=P$2,"i",""))</f>
        <v>d</v>
      </c>
      <c r="Q25" s="1" t="str" cm="1">
        <f t="array" aca="1" ref="Q25" ca="1">IF(INDIRECT(_xlfn.CONCAT("'",$A25,"'!C10"))&gt;=Q$2,"d",IF(INDIRECT(_xlfn.CONCAT("'",$A25,"'!C11"))&gt;=Q$2,"i",""))</f>
        <v>d</v>
      </c>
      <c r="R25" s="1" t="str" cm="1">
        <f t="array" aca="1" ref="R25" ca="1">IF(INDIRECT(_xlfn.CONCAT("'",$A25,"'!C10"))&gt;=R$2,"d",IF(INDIRECT(_xlfn.CONCAT("'",$A25,"'!C11"))&gt;=R$2,"i",""))</f>
        <v>d</v>
      </c>
      <c r="S25" s="36"/>
      <c r="T25" s="1" t="str" cm="1">
        <f t="array" aca="1" ref="T25" ca="1">IF(INDIRECT(_xlfn.CONCAT("'",$A25,"'!F4"))&gt;=T$2,"d",IF(INDIRECT(_xlfn.CONCAT("'",$A25,"'!F5"))&gt;=T$2,"i",""))</f>
        <v>d</v>
      </c>
      <c r="U25" s="1" t="str" cm="1">
        <f t="array" aca="1" ref="U25" ca="1">IF(INDIRECT(_xlfn.CONCAT("'",$A25,"'!F4"))&gt;=U$2,"d",IF(INDIRECT(_xlfn.CONCAT("'",$A25,"'!F5"))&gt;=U$2,"i",""))</f>
        <v>d</v>
      </c>
      <c r="V25" s="1" t="str" cm="1">
        <f t="array" aca="1" ref="V25" ca="1">IF(INDIRECT(_xlfn.CONCAT("'",$A25,"'!F4"))&gt;=V$2,"d",IF(INDIRECT(_xlfn.CONCAT("'",$A25,"'!F5"))&gt;=V$2,"i",""))</f>
        <v>d</v>
      </c>
      <c r="W25" s="1" t="str" cm="1">
        <f t="array" aca="1" ref="W25" ca="1">IF(INDIRECT(_xlfn.CONCAT("'",$A25,"'!F4"))&gt;=W$2,"d",IF(INDIRECT(_xlfn.CONCAT("'",$A25,"'!F5"))&gt;=W$2,"i",""))</f>
        <v>d</v>
      </c>
      <c r="X25" s="1" t="str" cm="1">
        <f t="array" aca="1" ref="X25" ca="1">IF(INDIRECT(_xlfn.CONCAT("'",$A25,"'!F4"))&gt;=X$2,"d",IF(INDIRECT(_xlfn.CONCAT("'",$A25,"'!F5"))&gt;=X$2,"i",""))</f>
        <v>d</v>
      </c>
      <c r="Y25" s="1" t="str" cm="1">
        <f t="array" aca="1" ref="Y25" ca="1">IF(INDIRECT(_xlfn.CONCAT("'",$A25,"'!F4"))&gt;=Y$2,"d",IF(INDIRECT(_xlfn.CONCAT("'",$A25,"'!F5"))&gt;=Y$2,"i",""))</f>
        <v>d</v>
      </c>
      <c r="Z25" s="1" t="str" cm="1">
        <f t="array" aca="1" ref="Z25" ca="1">IF(INDIRECT(_xlfn.CONCAT("'",$A25,"'!F4"))&gt;=Z$2,"d",IF(INDIRECT(_xlfn.CONCAT("'",$A25,"'!F5"))&gt;=Z$2,"i",""))</f>
        <v>d</v>
      </c>
      <c r="AA25" s="1" t="str" cm="1">
        <f t="array" aca="1" ref="AA25" ca="1">IF(INDIRECT(_xlfn.CONCAT("'",$A25,"'!F4"))&gt;=AA$2,"d",IF(INDIRECT(_xlfn.CONCAT("'",$A25,"'!F5"))&gt;=AA$2,"i",""))</f>
        <v>d</v>
      </c>
      <c r="AB25" s="1" t="str" cm="1">
        <f t="array" aca="1" ref="AB25" ca="1">IF(INDIRECT(_xlfn.CONCAT("'",$A25,"'!F4"))&gt;=AB$2,"d",IF(INDIRECT(_xlfn.CONCAT("'",$A25,"'!F5"))&gt;=AB$2,"i",""))</f>
        <v/>
      </c>
      <c r="AC25" s="36"/>
      <c r="AD25" s="1" t="str" cm="1">
        <f t="array" aca="1" ref="AD25" ca="1">IF(INDIRECT(_xlfn.CONCAT("'",$A25,"'!F17"))&gt;=AD$2,"d",IF(INDIRECT(_xlfn.CONCAT("'",$A25,"'!F18"))&gt;=AD$2,"i",""))</f>
        <v>d</v>
      </c>
      <c r="AE25" s="1" t="str" cm="1">
        <f t="array" aca="1" ref="AE25" ca="1">IF(INDIRECT(_xlfn.CONCAT("'",$A25,"'!F17"))&gt;=AE$2,"d",IF(INDIRECT(_xlfn.CONCAT("'",$A25,"'!F18"))&gt;=AE$2,"i",""))</f>
        <v>d</v>
      </c>
      <c r="AF25" s="1" t="str" cm="1">
        <f t="array" aca="1" ref="AF25" ca="1">IF(INDIRECT(_xlfn.CONCAT("'",$A25,"'!F17"))&gt;=AF$2,"d",IF(INDIRECT(_xlfn.CONCAT("'",$A25,"'!F18"))&gt;=AF$2,"i",""))</f>
        <v>d</v>
      </c>
      <c r="AG25" s="1" t="str" cm="1">
        <f t="array" aca="1" ref="AG25" ca="1">IF(INDIRECT(_xlfn.CONCAT("'",$A25,"'!F17"))&gt;=AG$2,"d",IF(INDIRECT(_xlfn.CONCAT("'",$A25,"'!F18"))&gt;=AG$2,"i",""))</f>
        <v>d</v>
      </c>
      <c r="AH25" s="1" t="str" cm="1">
        <f t="array" aca="1" ref="AH25" ca="1">IF(INDIRECT(_xlfn.CONCAT("'",$A25,"'!F17"))&gt;=AH$2,"d",IF(INDIRECT(_xlfn.CONCAT("'",$A25,"'!F18"))&gt;=AH$2,"i",""))</f>
        <v>d</v>
      </c>
      <c r="AI25" s="1" t="str" cm="1">
        <f t="array" aca="1" ref="AI25" ca="1">IF(INDIRECT(_xlfn.CONCAT("'",$A25,"'!F17"))&gt;=AI$2,"d",IF(INDIRECT(_xlfn.CONCAT("'",$A25,"'!F18"))&gt;=AI$2,"i",""))</f>
        <v>d</v>
      </c>
      <c r="AJ25" s="1" t="str" cm="1">
        <f t="array" aca="1" ref="AJ25" ca="1">IF(INDIRECT(_xlfn.CONCAT("'",$A25,"'!F17"))&gt;=AJ$2,"d",IF(INDIRECT(_xlfn.CONCAT("'",$A25,"'!F18"))&gt;=AJ$2,"i",""))</f>
        <v>d</v>
      </c>
      <c r="AK25" s="1" t="str" cm="1">
        <f t="array" aca="1" ref="AK25" ca="1">IF(INDIRECT(_xlfn.CONCAT("'",$A25,"'!F17"))&gt;=AK$2,"d",IF(INDIRECT(_xlfn.CONCAT("'",$A25,"'!F18"))&gt;=AK$2,"i",""))</f>
        <v>d</v>
      </c>
      <c r="AL25" s="1" t="str" cm="1">
        <f t="array" aca="1" ref="AL25" ca="1">IF(INDIRECT(_xlfn.CONCAT("'",$A25,"'!F17"))&gt;=AL$2,"d",IF(INDIRECT(_xlfn.CONCAT("'",$A25,"'!F18"))&gt;=AL$2,"i",""))</f>
        <v/>
      </c>
      <c r="AM25" s="36"/>
      <c r="AN25" s="1" t="str" cm="1">
        <f t="array" aca="1" ref="AN25" ca="1">IF(INDIRECT(_xlfn.CONCAT("'",$A25,"'!F30"))&gt;=AN$2,"d",IF(INDIRECT(_xlfn.CONCAT("'",$A25,"'!F31"))&gt;=AN$2,"i",""))</f>
        <v>d</v>
      </c>
      <c r="AO25" s="1" t="str" cm="1">
        <f t="array" aca="1" ref="AO25" ca="1">IF(INDIRECT(_xlfn.CONCAT("'",$A25,"'!F30"))&gt;=AO$2,"d",IF(INDIRECT(_xlfn.CONCAT("'",$A25,"'!F31"))&gt;=AO$2,"i",""))</f>
        <v>d</v>
      </c>
      <c r="AP25" s="1" t="str" cm="1">
        <f t="array" aca="1" ref="AP25" ca="1">IF(INDIRECT(_xlfn.CONCAT("'",$A25,"'!F30"))&gt;=AP$2,"d",IF(INDIRECT(_xlfn.CONCAT("'",$A25,"'!F31"))&gt;=AP$2,"i",""))</f>
        <v>d</v>
      </c>
      <c r="AQ25" s="1" t="str" cm="1">
        <f t="array" aca="1" ref="AQ25" ca="1">IF(INDIRECT(_xlfn.CONCAT("'",$A25,"'!F30"))&gt;=AQ$2,"d",IF(INDIRECT(_xlfn.CONCAT("'",$A25,"'!F31"))&gt;=AQ$2,"i",""))</f>
        <v>d</v>
      </c>
      <c r="AR25" s="1" t="str" cm="1">
        <f t="array" aca="1" ref="AR25" ca="1">IF(INDIRECT(_xlfn.CONCAT("'",$A25,"'!F30"))&gt;=AR$2,"d",IF(INDIRECT(_xlfn.CONCAT("'",$A25,"'!F31"))&gt;=AR$2,"i",""))</f>
        <v>d</v>
      </c>
      <c r="AS25" s="1" t="str" cm="1">
        <f t="array" aca="1" ref="AS25" ca="1">IF(INDIRECT(_xlfn.CONCAT("'",$A25,"'!F30"))&gt;=AS$2,"d",IF(INDIRECT(_xlfn.CONCAT("'",$A25,"'!F31"))&gt;=AS$2,"i",""))</f>
        <v>d</v>
      </c>
      <c r="AT25" s="1" t="str" cm="1">
        <f t="array" aca="1" ref="AT25" ca="1">IF(INDIRECT(_xlfn.CONCAT("'",$A25,"'!F30"))&gt;=AT$2,"d",IF(INDIRECT(_xlfn.CONCAT("'",$A25,"'!F31"))&gt;=AT$2,"i",""))</f>
        <v>d</v>
      </c>
      <c r="AU25" s="1" t="str" cm="1">
        <f t="array" aca="1" ref="AU25" ca="1">IF(INDIRECT(_xlfn.CONCAT("'",$A25,"'!F30"))&gt;=AU$2,"d",IF(INDIRECT(_xlfn.CONCAT("'",$A25,"'!F31"))&gt;=AU$2,"i",""))</f>
        <v>d</v>
      </c>
      <c r="AV25" s="4" t="str" cm="1">
        <f t="array" aca="1" ref="AV25" ca="1">IF(INDIRECT(_xlfn.CONCAT("'",$A25,"'!F30"))&gt;=AV$2,"d",IF(INDIRECT(_xlfn.CONCAT("'",$A25,"'!F31"))&gt;=AV$2,"i",""))</f>
        <v/>
      </c>
    </row>
    <row r="26" spans="1:48" x14ac:dyDescent="0.25">
      <c r="A26" s="101" t="str">
        <v>Qiqi</v>
      </c>
      <c r="B26" s="4" t="str">
        <f t="shared" si="0"/>
        <v>Cryo</v>
      </c>
      <c r="C26" s="38" t="str">
        <f t="shared" si="1"/>
        <v>Liyue 1</v>
      </c>
      <c r="D26" s="85" t="str">
        <f t="shared" si="2"/>
        <v>Boreas 1</v>
      </c>
      <c r="E26" s="14" t="str" cm="1">
        <f t="array" aca="1" ref="E26" ca="1">IF(INDIRECT(_xlfn.CONCAT("'",$A26,"'!B4"))&gt;=E$2,"d",IF(INDIRECT(_xlfn.CONCAT("'",$A26,"'!B5"))&gt;=E$2,"i",""))</f>
        <v>d</v>
      </c>
      <c r="F26" s="1" t="str" cm="1">
        <f t="array" aca="1" ref="F26" ca="1">IF(INDIRECT(_xlfn.CONCAT("'",$A26,"'!B4"))&gt;=F$2,"d",IF(INDIRECT(_xlfn.CONCAT("'",$A26,"'!B5"))&gt;=F$2,"i",""))</f>
        <v>d</v>
      </c>
      <c r="G26" s="1" t="str" cm="1">
        <f t="array" aca="1" ref="G26" ca="1">IF(INDIRECT(_xlfn.CONCAT("'",$A26,"'!B4"))&gt;=G$2,"d",IF(INDIRECT(_xlfn.CONCAT("'",$A26,"'!B5"))&gt;=G$2,"i",""))</f>
        <v>d</v>
      </c>
      <c r="H26" s="1" t="str" cm="1">
        <f t="array" aca="1" ref="H26" ca="1">IF(INDIRECT(_xlfn.CONCAT("'",$A26,"'!B4"))&gt;=H$2,"d",IF(INDIRECT(_xlfn.CONCAT("'",$A26,"'!B5"))&gt;=H$2,"i",""))</f>
        <v>d</v>
      </c>
      <c r="I26" s="1" t="str" cm="1">
        <f t="array" aca="1" ref="I26" ca="1">IF(INDIRECT(_xlfn.CONCAT("'",$A26,"'!B4"))&gt;=I$2,"d",IF(INDIRECT(_xlfn.CONCAT("'",$A26,"'!B5"))&gt;=I$2,"i",""))</f>
        <v>d</v>
      </c>
      <c r="J26" s="1" t="str" cm="1">
        <f t="array" aca="1" ref="J26" ca="1">IF(INDIRECT(_xlfn.CONCAT("'",$A26,"'!B4"))&gt;=J$2,"d",IF(INDIRECT(_xlfn.CONCAT("'",$A26,"'!B5"))&gt;=J$2,"i",""))</f>
        <v>d</v>
      </c>
      <c r="K26" s="4" t="str" cm="1">
        <f t="array" aca="1" ref="K26" ca="1">IF(INDIRECT(_xlfn.CONCAT("'",$A26,"'!B4"))&gt;=K$2,"d",IF(INDIRECT(_xlfn.CONCAT("'",$A26,"'!B5"))&gt;=K$2,"i",""))</f>
        <v>d</v>
      </c>
      <c r="L26" s="39"/>
      <c r="M26" s="1" t="str" cm="1">
        <f t="array" aca="1" ref="M26" ca="1">IF(INDIRECT(_xlfn.CONCAT("'",$A26,"'!C10"))&gt;=M$2,"d",IF(INDIRECT(_xlfn.CONCAT("'",$A26,"'!C11"))&gt;=M$2,"i",""))</f>
        <v>d</v>
      </c>
      <c r="N26" s="1" t="str" cm="1">
        <f t="array" aca="1" ref="N26" ca="1">IF(INDIRECT(_xlfn.CONCAT("'",$A26,"'!C10"))&gt;=N$2,"d",IF(INDIRECT(_xlfn.CONCAT("'",$A26,"'!C11"))&gt;=N$2,"i",""))</f>
        <v>d</v>
      </c>
      <c r="O26" s="1" t="str" cm="1">
        <f t="array" aca="1" ref="O26" ca="1">IF(INDIRECT(_xlfn.CONCAT("'",$A26,"'!C10"))&gt;=O$2,"d",IF(INDIRECT(_xlfn.CONCAT("'",$A26,"'!C11"))&gt;=O$2,"i",""))</f>
        <v>d</v>
      </c>
      <c r="P26" s="1" t="str" cm="1">
        <f t="array" aca="1" ref="P26" ca="1">IF(INDIRECT(_xlfn.CONCAT("'",$A26,"'!C10"))&gt;=P$2,"d",IF(INDIRECT(_xlfn.CONCAT("'",$A26,"'!C11"))&gt;=P$2,"i",""))</f>
        <v>d</v>
      </c>
      <c r="Q26" s="1" t="str" cm="1">
        <f t="array" aca="1" ref="Q26" ca="1">IF(INDIRECT(_xlfn.CONCAT("'",$A26,"'!C10"))&gt;=Q$2,"d",IF(INDIRECT(_xlfn.CONCAT("'",$A26,"'!C11"))&gt;=Q$2,"i",""))</f>
        <v>d</v>
      </c>
      <c r="R26" s="1" t="str" cm="1">
        <f t="array" aca="1" ref="R26" ca="1">IF(INDIRECT(_xlfn.CONCAT("'",$A26,"'!C10"))&gt;=R$2,"d",IF(INDIRECT(_xlfn.CONCAT("'",$A26,"'!C11"))&gt;=R$2,"i",""))</f>
        <v>d</v>
      </c>
      <c r="S26" s="36"/>
      <c r="T26" s="1" t="str" cm="1">
        <f t="array" aca="1" ref="T26" ca="1">IF(INDIRECT(_xlfn.CONCAT("'",$A26,"'!F4"))&gt;=T$2,"d",IF(INDIRECT(_xlfn.CONCAT("'",$A26,"'!F5"))&gt;=T$2,"i",""))</f>
        <v>d</v>
      </c>
      <c r="U26" s="1" t="str" cm="1">
        <f t="array" aca="1" ref="U26" ca="1">IF(INDIRECT(_xlfn.CONCAT("'",$A26,"'!F4"))&gt;=U$2,"d",IF(INDIRECT(_xlfn.CONCAT("'",$A26,"'!F5"))&gt;=U$2,"i",""))</f>
        <v>d</v>
      </c>
      <c r="V26" s="1" t="str" cm="1">
        <f t="array" aca="1" ref="V26" ca="1">IF(INDIRECT(_xlfn.CONCAT("'",$A26,"'!F4"))&gt;=V$2,"d",IF(INDIRECT(_xlfn.CONCAT("'",$A26,"'!F5"))&gt;=V$2,"i",""))</f>
        <v>d</v>
      </c>
      <c r="W26" s="1" t="str" cm="1">
        <f t="array" aca="1" ref="W26" ca="1">IF(INDIRECT(_xlfn.CONCAT("'",$A26,"'!F4"))&gt;=W$2,"d",IF(INDIRECT(_xlfn.CONCAT("'",$A26,"'!F5"))&gt;=W$2,"i",""))</f>
        <v>d</v>
      </c>
      <c r="X26" s="1" t="str" cm="1">
        <f t="array" aca="1" ref="X26" ca="1">IF(INDIRECT(_xlfn.CONCAT("'",$A26,"'!F4"))&gt;=X$2,"d",IF(INDIRECT(_xlfn.CONCAT("'",$A26,"'!F5"))&gt;=X$2,"i",""))</f>
        <v>d</v>
      </c>
      <c r="Y26" s="1" t="str" cm="1">
        <f t="array" aca="1" ref="Y26" ca="1">IF(INDIRECT(_xlfn.CONCAT("'",$A26,"'!F4"))&gt;=Y$2,"d",IF(INDIRECT(_xlfn.CONCAT("'",$A26,"'!F5"))&gt;=Y$2,"i",""))</f>
        <v>d</v>
      </c>
      <c r="Z26" s="1" t="str" cm="1">
        <f t="array" aca="1" ref="Z26" ca="1">IF(INDIRECT(_xlfn.CONCAT("'",$A26,"'!F4"))&gt;=Z$2,"d",IF(INDIRECT(_xlfn.CONCAT("'",$A26,"'!F5"))&gt;=Z$2,"i",""))</f>
        <v>d</v>
      </c>
      <c r="AA26" s="1" t="str" cm="1">
        <f t="array" aca="1" ref="AA26" ca="1">IF(INDIRECT(_xlfn.CONCAT("'",$A26,"'!F4"))&gt;=AA$2,"d",IF(INDIRECT(_xlfn.CONCAT("'",$A26,"'!F5"))&gt;=AA$2,"i",""))</f>
        <v>d</v>
      </c>
      <c r="AB26" s="1" t="str" cm="1">
        <f t="array" aca="1" ref="AB26" ca="1">IF(INDIRECT(_xlfn.CONCAT("'",$A26,"'!F4"))&gt;=AB$2,"d",IF(INDIRECT(_xlfn.CONCAT("'",$A26,"'!F5"))&gt;=AB$2,"i",""))</f>
        <v/>
      </c>
      <c r="AC26" s="36"/>
      <c r="AD26" s="1" t="str" cm="1">
        <f t="array" aca="1" ref="AD26" ca="1">IF(INDIRECT(_xlfn.CONCAT("'",$A26,"'!F17"))&gt;=AD$2,"d",IF(INDIRECT(_xlfn.CONCAT("'",$A26,"'!F18"))&gt;=AD$2,"i",""))</f>
        <v>d</v>
      </c>
      <c r="AE26" s="1" t="str" cm="1">
        <f t="array" aca="1" ref="AE26" ca="1">IF(INDIRECT(_xlfn.CONCAT("'",$A26,"'!F17"))&gt;=AE$2,"d",IF(INDIRECT(_xlfn.CONCAT("'",$A26,"'!F18"))&gt;=AE$2,"i",""))</f>
        <v>d</v>
      </c>
      <c r="AF26" s="1" t="str" cm="1">
        <f t="array" aca="1" ref="AF26" ca="1">IF(INDIRECT(_xlfn.CONCAT("'",$A26,"'!F17"))&gt;=AF$2,"d",IF(INDIRECT(_xlfn.CONCAT("'",$A26,"'!F18"))&gt;=AF$2,"i",""))</f>
        <v>d</v>
      </c>
      <c r="AG26" s="1" t="str" cm="1">
        <f t="array" aca="1" ref="AG26" ca="1">IF(INDIRECT(_xlfn.CONCAT("'",$A26,"'!F17"))&gt;=AG$2,"d",IF(INDIRECT(_xlfn.CONCAT("'",$A26,"'!F18"))&gt;=AG$2,"i",""))</f>
        <v>d</v>
      </c>
      <c r="AH26" s="1" t="str" cm="1">
        <f t="array" aca="1" ref="AH26" ca="1">IF(INDIRECT(_xlfn.CONCAT("'",$A26,"'!F17"))&gt;=AH$2,"d",IF(INDIRECT(_xlfn.CONCAT("'",$A26,"'!F18"))&gt;=AH$2,"i",""))</f>
        <v>d</v>
      </c>
      <c r="AI26" s="1" t="str" cm="1">
        <f t="array" aca="1" ref="AI26" ca="1">IF(INDIRECT(_xlfn.CONCAT("'",$A26,"'!F17"))&gt;=AI$2,"d",IF(INDIRECT(_xlfn.CONCAT("'",$A26,"'!F18"))&gt;=AI$2,"i",""))</f>
        <v>d</v>
      </c>
      <c r="AJ26" s="1" t="str" cm="1">
        <f t="array" aca="1" ref="AJ26" ca="1">IF(INDIRECT(_xlfn.CONCAT("'",$A26,"'!F17"))&gt;=AJ$2,"d",IF(INDIRECT(_xlfn.CONCAT("'",$A26,"'!F18"))&gt;=AJ$2,"i",""))</f>
        <v>d</v>
      </c>
      <c r="AK26" s="1" t="str" cm="1">
        <f t="array" aca="1" ref="AK26" ca="1">IF(INDIRECT(_xlfn.CONCAT("'",$A26,"'!F17"))&gt;=AK$2,"d",IF(INDIRECT(_xlfn.CONCAT("'",$A26,"'!F18"))&gt;=AK$2,"i",""))</f>
        <v>d</v>
      </c>
      <c r="AL26" s="1" t="str" cm="1">
        <f t="array" aca="1" ref="AL26" ca="1">IF(INDIRECT(_xlfn.CONCAT("'",$A26,"'!F17"))&gt;=AL$2,"d",IF(INDIRECT(_xlfn.CONCAT("'",$A26,"'!F18"))&gt;=AL$2,"i",""))</f>
        <v/>
      </c>
      <c r="AM26" s="36"/>
      <c r="AN26" s="1" t="str" cm="1">
        <f t="array" aca="1" ref="AN26" ca="1">IF(INDIRECT(_xlfn.CONCAT("'",$A26,"'!F30"))&gt;=AN$2,"d",IF(INDIRECT(_xlfn.CONCAT("'",$A26,"'!F31"))&gt;=AN$2,"i",""))</f>
        <v>d</v>
      </c>
      <c r="AO26" s="1" t="str" cm="1">
        <f t="array" aca="1" ref="AO26" ca="1">IF(INDIRECT(_xlfn.CONCAT("'",$A26,"'!F30"))&gt;=AO$2,"d",IF(INDIRECT(_xlfn.CONCAT("'",$A26,"'!F31"))&gt;=AO$2,"i",""))</f>
        <v>d</v>
      </c>
      <c r="AP26" s="1" t="str" cm="1">
        <f t="array" aca="1" ref="AP26" ca="1">IF(INDIRECT(_xlfn.CONCAT("'",$A26,"'!F30"))&gt;=AP$2,"d",IF(INDIRECT(_xlfn.CONCAT("'",$A26,"'!F31"))&gt;=AP$2,"i",""))</f>
        <v>d</v>
      </c>
      <c r="AQ26" s="1" t="str" cm="1">
        <f t="array" aca="1" ref="AQ26" ca="1">IF(INDIRECT(_xlfn.CONCAT("'",$A26,"'!F30"))&gt;=AQ$2,"d",IF(INDIRECT(_xlfn.CONCAT("'",$A26,"'!F31"))&gt;=AQ$2,"i",""))</f>
        <v>d</v>
      </c>
      <c r="AR26" s="1" t="str" cm="1">
        <f t="array" aca="1" ref="AR26" ca="1">IF(INDIRECT(_xlfn.CONCAT("'",$A26,"'!F30"))&gt;=AR$2,"d",IF(INDIRECT(_xlfn.CONCAT("'",$A26,"'!F31"))&gt;=AR$2,"i",""))</f>
        <v>d</v>
      </c>
      <c r="AS26" s="1" t="str" cm="1">
        <f t="array" aca="1" ref="AS26" ca="1">IF(INDIRECT(_xlfn.CONCAT("'",$A26,"'!F30"))&gt;=AS$2,"d",IF(INDIRECT(_xlfn.CONCAT("'",$A26,"'!F31"))&gt;=AS$2,"i",""))</f>
        <v>d</v>
      </c>
      <c r="AT26" s="1" t="str" cm="1">
        <f t="array" aca="1" ref="AT26" ca="1">IF(INDIRECT(_xlfn.CONCAT("'",$A26,"'!F30"))&gt;=AT$2,"d",IF(INDIRECT(_xlfn.CONCAT("'",$A26,"'!F31"))&gt;=AT$2,"i",""))</f>
        <v>d</v>
      </c>
      <c r="AU26" s="1" t="str" cm="1">
        <f t="array" aca="1" ref="AU26" ca="1">IF(INDIRECT(_xlfn.CONCAT("'",$A26,"'!F30"))&gt;=AU$2,"d",IF(INDIRECT(_xlfn.CONCAT("'",$A26,"'!F31"))&gt;=AU$2,"i",""))</f>
        <v>d</v>
      </c>
      <c r="AV26" s="4" t="str" cm="1">
        <f t="array" aca="1" ref="AV26" ca="1">IF(INDIRECT(_xlfn.CONCAT("'",$A26,"'!F30"))&gt;=AV$2,"d",IF(INDIRECT(_xlfn.CONCAT("'",$A26,"'!F31"))&gt;=AV$2,"i",""))</f>
        <v/>
      </c>
    </row>
    <row r="27" spans="1:48" x14ac:dyDescent="0.25">
      <c r="A27" s="101" t="str">
        <v>Mona</v>
      </c>
      <c r="B27" s="4" t="str">
        <f t="shared" si="0"/>
        <v>Hydro</v>
      </c>
      <c r="C27" s="38" t="str">
        <f t="shared" si="1"/>
        <v>Mondstadt 2</v>
      </c>
      <c r="D27" s="85" t="str">
        <f t="shared" si="2"/>
        <v>Boreas 2</v>
      </c>
      <c r="E27" s="14" t="str" cm="1">
        <f t="array" aca="1" ref="E27" ca="1">IF(INDIRECT(_xlfn.CONCAT("'",$A27,"'!B4"))&gt;=E$2,"d",IF(INDIRECT(_xlfn.CONCAT("'",$A27,"'!B5"))&gt;=E$2,"i",""))</f>
        <v>d</v>
      </c>
      <c r="F27" s="1" t="str" cm="1">
        <f t="array" aca="1" ref="F27" ca="1">IF(INDIRECT(_xlfn.CONCAT("'",$A27,"'!B4"))&gt;=F$2,"d",IF(INDIRECT(_xlfn.CONCAT("'",$A27,"'!B5"))&gt;=F$2,"i",""))</f>
        <v>d</v>
      </c>
      <c r="G27" s="1" t="str" cm="1">
        <f t="array" aca="1" ref="G27" ca="1">IF(INDIRECT(_xlfn.CONCAT("'",$A27,"'!B4"))&gt;=G$2,"d",IF(INDIRECT(_xlfn.CONCAT("'",$A27,"'!B5"))&gt;=G$2,"i",""))</f>
        <v>d</v>
      </c>
      <c r="H27" s="1" t="str" cm="1">
        <f t="array" aca="1" ref="H27" ca="1">IF(INDIRECT(_xlfn.CONCAT("'",$A27,"'!B4"))&gt;=H$2,"d",IF(INDIRECT(_xlfn.CONCAT("'",$A27,"'!B5"))&gt;=H$2,"i",""))</f>
        <v>d</v>
      </c>
      <c r="I27" s="1" t="str" cm="1">
        <f t="array" aca="1" ref="I27" ca="1">IF(INDIRECT(_xlfn.CONCAT("'",$A27,"'!B4"))&gt;=I$2,"d",IF(INDIRECT(_xlfn.CONCAT("'",$A27,"'!B5"))&gt;=I$2,"i",""))</f>
        <v>d</v>
      </c>
      <c r="J27" s="1" t="str" cm="1">
        <f t="array" aca="1" ref="J27" ca="1">IF(INDIRECT(_xlfn.CONCAT("'",$A27,"'!B4"))&gt;=J$2,"d",IF(INDIRECT(_xlfn.CONCAT("'",$A27,"'!B5"))&gt;=J$2,"i",""))</f>
        <v>d</v>
      </c>
      <c r="K27" s="4" t="str" cm="1">
        <f t="array" aca="1" ref="K27" ca="1">IF(INDIRECT(_xlfn.CONCAT("'",$A27,"'!B4"))&gt;=K$2,"d",IF(INDIRECT(_xlfn.CONCAT("'",$A27,"'!B5"))&gt;=K$2,"i",""))</f>
        <v>d</v>
      </c>
      <c r="L27" s="39"/>
      <c r="M27" s="1" t="str" cm="1">
        <f t="array" aca="1" ref="M27" ca="1">IF(INDIRECT(_xlfn.CONCAT("'",$A27,"'!C10"))&gt;=M$2,"d",IF(INDIRECT(_xlfn.CONCAT("'",$A27,"'!C11"))&gt;=M$2,"i",""))</f>
        <v>d</v>
      </c>
      <c r="N27" s="1" t="str" cm="1">
        <f t="array" aca="1" ref="N27" ca="1">IF(INDIRECT(_xlfn.CONCAT("'",$A27,"'!C10"))&gt;=N$2,"d",IF(INDIRECT(_xlfn.CONCAT("'",$A27,"'!C11"))&gt;=N$2,"i",""))</f>
        <v>d</v>
      </c>
      <c r="O27" s="1" t="str" cm="1">
        <f t="array" aca="1" ref="O27" ca="1">IF(INDIRECT(_xlfn.CONCAT("'",$A27,"'!C10"))&gt;=O$2,"d",IF(INDIRECT(_xlfn.CONCAT("'",$A27,"'!C11"))&gt;=O$2,"i",""))</f>
        <v>d</v>
      </c>
      <c r="P27" s="1" t="str" cm="1">
        <f t="array" aca="1" ref="P27" ca="1">IF(INDIRECT(_xlfn.CONCAT("'",$A27,"'!C10"))&gt;=P$2,"d",IF(INDIRECT(_xlfn.CONCAT("'",$A27,"'!C11"))&gt;=P$2,"i",""))</f>
        <v>d</v>
      </c>
      <c r="Q27" s="1" t="str" cm="1">
        <f t="array" aca="1" ref="Q27" ca="1">IF(INDIRECT(_xlfn.CONCAT("'",$A27,"'!C10"))&gt;=Q$2,"d",IF(INDIRECT(_xlfn.CONCAT("'",$A27,"'!C11"))&gt;=Q$2,"i",""))</f>
        <v>d</v>
      </c>
      <c r="R27" s="1" t="str" cm="1">
        <f t="array" aca="1" ref="R27" ca="1">IF(INDIRECT(_xlfn.CONCAT("'",$A27,"'!C10"))&gt;=R$2,"d",IF(INDIRECT(_xlfn.CONCAT("'",$A27,"'!C11"))&gt;=R$2,"i",""))</f>
        <v>d</v>
      </c>
      <c r="S27" s="36"/>
      <c r="T27" s="1" t="str" cm="1">
        <f t="array" aca="1" ref="T27" ca="1">IF(INDIRECT(_xlfn.CONCAT("'",$A27,"'!F4"))&gt;=T$2,"d",IF(INDIRECT(_xlfn.CONCAT("'",$A27,"'!F5"))&gt;=T$2,"i",""))</f>
        <v>d</v>
      </c>
      <c r="U27" s="1" t="str" cm="1">
        <f t="array" aca="1" ref="U27" ca="1">IF(INDIRECT(_xlfn.CONCAT("'",$A27,"'!F4"))&gt;=U$2,"d",IF(INDIRECT(_xlfn.CONCAT("'",$A27,"'!F5"))&gt;=U$2,"i",""))</f>
        <v>d</v>
      </c>
      <c r="V27" s="1" t="str" cm="1">
        <f t="array" aca="1" ref="V27" ca="1">IF(INDIRECT(_xlfn.CONCAT("'",$A27,"'!F4"))&gt;=V$2,"d",IF(INDIRECT(_xlfn.CONCAT("'",$A27,"'!F5"))&gt;=V$2,"i",""))</f>
        <v>d</v>
      </c>
      <c r="W27" s="1" t="str" cm="1">
        <f t="array" aca="1" ref="W27" ca="1">IF(INDIRECT(_xlfn.CONCAT("'",$A27,"'!F4"))&gt;=W$2,"d",IF(INDIRECT(_xlfn.CONCAT("'",$A27,"'!F5"))&gt;=W$2,"i",""))</f>
        <v>d</v>
      </c>
      <c r="X27" s="1" t="str" cm="1">
        <f t="array" aca="1" ref="X27" ca="1">IF(INDIRECT(_xlfn.CONCAT("'",$A27,"'!F4"))&gt;=X$2,"d",IF(INDIRECT(_xlfn.CONCAT("'",$A27,"'!F5"))&gt;=X$2,"i",""))</f>
        <v>d</v>
      </c>
      <c r="Y27" s="1" t="str" cm="1">
        <f t="array" aca="1" ref="Y27" ca="1">IF(INDIRECT(_xlfn.CONCAT("'",$A27,"'!F4"))&gt;=Y$2,"d",IF(INDIRECT(_xlfn.CONCAT("'",$A27,"'!F5"))&gt;=Y$2,"i",""))</f>
        <v>d</v>
      </c>
      <c r="Z27" s="1" t="str" cm="1">
        <f t="array" aca="1" ref="Z27" ca="1">IF(INDIRECT(_xlfn.CONCAT("'",$A27,"'!F4"))&gt;=Z$2,"d",IF(INDIRECT(_xlfn.CONCAT("'",$A27,"'!F5"))&gt;=Z$2,"i",""))</f>
        <v>d</v>
      </c>
      <c r="AA27" s="1" t="str" cm="1">
        <f t="array" aca="1" ref="AA27" ca="1">IF(INDIRECT(_xlfn.CONCAT("'",$A27,"'!F4"))&gt;=AA$2,"d",IF(INDIRECT(_xlfn.CONCAT("'",$A27,"'!F5"))&gt;=AA$2,"i",""))</f>
        <v>d</v>
      </c>
      <c r="AB27" s="1" t="str" cm="1">
        <f t="array" aca="1" ref="AB27" ca="1">IF(INDIRECT(_xlfn.CONCAT("'",$A27,"'!F4"))&gt;=AB$2,"d",IF(INDIRECT(_xlfn.CONCAT("'",$A27,"'!F5"))&gt;=AB$2,"i",""))</f>
        <v/>
      </c>
      <c r="AC27" s="36"/>
      <c r="AD27" s="1" t="str" cm="1">
        <f t="array" aca="1" ref="AD27" ca="1">IF(INDIRECT(_xlfn.CONCAT("'",$A27,"'!F17"))&gt;=AD$2,"d",IF(INDIRECT(_xlfn.CONCAT("'",$A27,"'!F18"))&gt;=AD$2,"i",""))</f>
        <v>d</v>
      </c>
      <c r="AE27" s="1" t="str" cm="1">
        <f t="array" aca="1" ref="AE27" ca="1">IF(INDIRECT(_xlfn.CONCAT("'",$A27,"'!F17"))&gt;=AE$2,"d",IF(INDIRECT(_xlfn.CONCAT("'",$A27,"'!F18"))&gt;=AE$2,"i",""))</f>
        <v>d</v>
      </c>
      <c r="AF27" s="1" t="str" cm="1">
        <f t="array" aca="1" ref="AF27" ca="1">IF(INDIRECT(_xlfn.CONCAT("'",$A27,"'!F17"))&gt;=AF$2,"d",IF(INDIRECT(_xlfn.CONCAT("'",$A27,"'!F18"))&gt;=AF$2,"i",""))</f>
        <v>d</v>
      </c>
      <c r="AG27" s="1" t="str" cm="1">
        <f t="array" aca="1" ref="AG27" ca="1">IF(INDIRECT(_xlfn.CONCAT("'",$A27,"'!F17"))&gt;=AG$2,"d",IF(INDIRECT(_xlfn.CONCAT("'",$A27,"'!F18"))&gt;=AG$2,"i",""))</f>
        <v>d</v>
      </c>
      <c r="AH27" s="1" t="str" cm="1">
        <f t="array" aca="1" ref="AH27" ca="1">IF(INDIRECT(_xlfn.CONCAT("'",$A27,"'!F17"))&gt;=AH$2,"d",IF(INDIRECT(_xlfn.CONCAT("'",$A27,"'!F18"))&gt;=AH$2,"i",""))</f>
        <v>d</v>
      </c>
      <c r="AI27" s="1" t="str" cm="1">
        <f t="array" aca="1" ref="AI27" ca="1">IF(INDIRECT(_xlfn.CONCAT("'",$A27,"'!F17"))&gt;=AI$2,"d",IF(INDIRECT(_xlfn.CONCAT("'",$A27,"'!F18"))&gt;=AI$2,"i",""))</f>
        <v>d</v>
      </c>
      <c r="AJ27" s="1" t="str" cm="1">
        <f t="array" aca="1" ref="AJ27" ca="1">IF(INDIRECT(_xlfn.CONCAT("'",$A27,"'!F17"))&gt;=AJ$2,"d",IF(INDIRECT(_xlfn.CONCAT("'",$A27,"'!F18"))&gt;=AJ$2,"i",""))</f>
        <v>d</v>
      </c>
      <c r="AK27" s="1" t="str" cm="1">
        <f t="array" aca="1" ref="AK27" ca="1">IF(INDIRECT(_xlfn.CONCAT("'",$A27,"'!F17"))&gt;=AK$2,"d",IF(INDIRECT(_xlfn.CONCAT("'",$A27,"'!F18"))&gt;=AK$2,"i",""))</f>
        <v>d</v>
      </c>
      <c r="AL27" s="1" t="str" cm="1">
        <f t="array" aca="1" ref="AL27" ca="1">IF(INDIRECT(_xlfn.CONCAT("'",$A27,"'!F17"))&gt;=AL$2,"d",IF(INDIRECT(_xlfn.CONCAT("'",$A27,"'!F18"))&gt;=AL$2,"i",""))</f>
        <v/>
      </c>
      <c r="AM27" s="36"/>
      <c r="AN27" s="1" t="str" cm="1">
        <f t="array" aca="1" ref="AN27" ca="1">IF(INDIRECT(_xlfn.CONCAT("'",$A27,"'!F30"))&gt;=AN$2,"d",IF(INDIRECT(_xlfn.CONCAT("'",$A27,"'!F31"))&gt;=AN$2,"i",""))</f>
        <v>d</v>
      </c>
      <c r="AO27" s="1" t="str" cm="1">
        <f t="array" aca="1" ref="AO27" ca="1">IF(INDIRECT(_xlfn.CONCAT("'",$A27,"'!F30"))&gt;=AO$2,"d",IF(INDIRECT(_xlfn.CONCAT("'",$A27,"'!F31"))&gt;=AO$2,"i",""))</f>
        <v>d</v>
      </c>
      <c r="AP27" s="1" t="str" cm="1">
        <f t="array" aca="1" ref="AP27" ca="1">IF(INDIRECT(_xlfn.CONCAT("'",$A27,"'!F30"))&gt;=AP$2,"d",IF(INDIRECT(_xlfn.CONCAT("'",$A27,"'!F31"))&gt;=AP$2,"i",""))</f>
        <v>d</v>
      </c>
      <c r="AQ27" s="1" t="str" cm="1">
        <f t="array" aca="1" ref="AQ27" ca="1">IF(INDIRECT(_xlfn.CONCAT("'",$A27,"'!F30"))&gt;=AQ$2,"d",IF(INDIRECT(_xlfn.CONCAT("'",$A27,"'!F31"))&gt;=AQ$2,"i",""))</f>
        <v>d</v>
      </c>
      <c r="AR27" s="1" t="str" cm="1">
        <f t="array" aca="1" ref="AR27" ca="1">IF(INDIRECT(_xlfn.CONCAT("'",$A27,"'!F30"))&gt;=AR$2,"d",IF(INDIRECT(_xlfn.CONCAT("'",$A27,"'!F31"))&gt;=AR$2,"i",""))</f>
        <v>d</v>
      </c>
      <c r="AS27" s="1" t="str" cm="1">
        <f t="array" aca="1" ref="AS27" ca="1">IF(INDIRECT(_xlfn.CONCAT("'",$A27,"'!F30"))&gt;=AS$2,"d",IF(INDIRECT(_xlfn.CONCAT("'",$A27,"'!F31"))&gt;=AS$2,"i",""))</f>
        <v>d</v>
      </c>
      <c r="AT27" s="1" t="str" cm="1">
        <f t="array" aca="1" ref="AT27" ca="1">IF(INDIRECT(_xlfn.CONCAT("'",$A27,"'!F30"))&gt;=AT$2,"d",IF(INDIRECT(_xlfn.CONCAT("'",$A27,"'!F31"))&gt;=AT$2,"i",""))</f>
        <v>d</v>
      </c>
      <c r="AU27" s="1" t="str" cm="1">
        <f t="array" aca="1" ref="AU27" ca="1">IF(INDIRECT(_xlfn.CONCAT("'",$A27,"'!F30"))&gt;=AU$2,"d",IF(INDIRECT(_xlfn.CONCAT("'",$A27,"'!F31"))&gt;=AU$2,"i",""))</f>
        <v>d</v>
      </c>
      <c r="AV27" s="4" t="str" cm="1">
        <f t="array" aca="1" ref="AV27" ca="1">IF(INDIRECT(_xlfn.CONCAT("'",$A27,"'!F30"))&gt;=AV$2,"d",IF(INDIRECT(_xlfn.CONCAT("'",$A27,"'!F31"))&gt;=AV$2,"i",""))</f>
        <v/>
      </c>
    </row>
    <row r="28" spans="1:48" x14ac:dyDescent="0.25">
      <c r="A28" s="101" t="str">
        <v>Keqing</v>
      </c>
      <c r="B28" s="4" t="str">
        <f t="shared" si="0"/>
        <v>Electro</v>
      </c>
      <c r="C28" s="38" t="str">
        <f t="shared" si="1"/>
        <v>Liyue 1</v>
      </c>
      <c r="D28" s="85" t="str">
        <f t="shared" si="2"/>
        <v>Boreas 2</v>
      </c>
      <c r="E28" s="14" t="str" cm="1">
        <f t="array" aca="1" ref="E28" ca="1">IF(INDIRECT(_xlfn.CONCAT("'",$A28,"'!B4"))&gt;=E$2,"d",IF(INDIRECT(_xlfn.CONCAT("'",$A28,"'!B5"))&gt;=E$2,"i",""))</f>
        <v>d</v>
      </c>
      <c r="F28" s="1" t="str" cm="1">
        <f t="array" aca="1" ref="F28" ca="1">IF(INDIRECT(_xlfn.CONCAT("'",$A28,"'!B4"))&gt;=F$2,"d",IF(INDIRECT(_xlfn.CONCAT("'",$A28,"'!B5"))&gt;=F$2,"i",""))</f>
        <v>d</v>
      </c>
      <c r="G28" s="1" t="str" cm="1">
        <f t="array" aca="1" ref="G28" ca="1">IF(INDIRECT(_xlfn.CONCAT("'",$A28,"'!B4"))&gt;=G$2,"d",IF(INDIRECT(_xlfn.CONCAT("'",$A28,"'!B5"))&gt;=G$2,"i",""))</f>
        <v>d</v>
      </c>
      <c r="H28" s="1" t="str" cm="1">
        <f t="array" aca="1" ref="H28" ca="1">IF(INDIRECT(_xlfn.CONCAT("'",$A28,"'!B4"))&gt;=H$2,"d",IF(INDIRECT(_xlfn.CONCAT("'",$A28,"'!B5"))&gt;=H$2,"i",""))</f>
        <v>d</v>
      </c>
      <c r="I28" s="1" t="str" cm="1">
        <f t="array" aca="1" ref="I28" ca="1">IF(INDIRECT(_xlfn.CONCAT("'",$A28,"'!B4"))&gt;=I$2,"d",IF(INDIRECT(_xlfn.CONCAT("'",$A28,"'!B5"))&gt;=I$2,"i",""))</f>
        <v>d</v>
      </c>
      <c r="J28" s="1" t="str" cm="1">
        <f t="array" aca="1" ref="J28" ca="1">IF(INDIRECT(_xlfn.CONCAT("'",$A28,"'!B4"))&gt;=J$2,"d",IF(INDIRECT(_xlfn.CONCAT("'",$A28,"'!B5"))&gt;=J$2,"i",""))</f>
        <v>d</v>
      </c>
      <c r="K28" s="4" t="str" cm="1">
        <f t="array" aca="1" ref="K28" ca="1">IF(INDIRECT(_xlfn.CONCAT("'",$A28,"'!B4"))&gt;=K$2,"d",IF(INDIRECT(_xlfn.CONCAT("'",$A28,"'!B5"))&gt;=K$2,"i",""))</f>
        <v>d</v>
      </c>
      <c r="L28" s="39"/>
      <c r="M28" s="1" t="str" cm="1">
        <f t="array" aca="1" ref="M28" ca="1">IF(INDIRECT(_xlfn.CONCAT("'",$A28,"'!C10"))&gt;=M$2,"d",IF(INDIRECT(_xlfn.CONCAT("'",$A28,"'!C11"))&gt;=M$2,"i",""))</f>
        <v>d</v>
      </c>
      <c r="N28" s="1" t="str" cm="1">
        <f t="array" aca="1" ref="N28" ca="1">IF(INDIRECT(_xlfn.CONCAT("'",$A28,"'!C10"))&gt;=N$2,"d",IF(INDIRECT(_xlfn.CONCAT("'",$A28,"'!C11"))&gt;=N$2,"i",""))</f>
        <v>d</v>
      </c>
      <c r="O28" s="1" t="str" cm="1">
        <f t="array" aca="1" ref="O28" ca="1">IF(INDIRECT(_xlfn.CONCAT("'",$A28,"'!C10"))&gt;=O$2,"d",IF(INDIRECT(_xlfn.CONCAT("'",$A28,"'!C11"))&gt;=O$2,"i",""))</f>
        <v>d</v>
      </c>
      <c r="P28" s="1" t="str" cm="1">
        <f t="array" aca="1" ref="P28" ca="1">IF(INDIRECT(_xlfn.CONCAT("'",$A28,"'!C10"))&gt;=P$2,"d",IF(INDIRECT(_xlfn.CONCAT("'",$A28,"'!C11"))&gt;=P$2,"i",""))</f>
        <v>d</v>
      </c>
      <c r="Q28" s="1" t="str" cm="1">
        <f t="array" aca="1" ref="Q28" ca="1">IF(INDIRECT(_xlfn.CONCAT("'",$A28,"'!C10"))&gt;=Q$2,"d",IF(INDIRECT(_xlfn.CONCAT("'",$A28,"'!C11"))&gt;=Q$2,"i",""))</f>
        <v>d</v>
      </c>
      <c r="R28" s="1" t="str" cm="1">
        <f t="array" aca="1" ref="R28" ca="1">IF(INDIRECT(_xlfn.CONCAT("'",$A28,"'!C10"))&gt;=R$2,"d",IF(INDIRECT(_xlfn.CONCAT("'",$A28,"'!C11"))&gt;=R$2,"i",""))</f>
        <v>d</v>
      </c>
      <c r="S28" s="36"/>
      <c r="T28" s="1" t="str" cm="1">
        <f t="array" aca="1" ref="T28" ca="1">IF(INDIRECT(_xlfn.CONCAT("'",$A28,"'!F4"))&gt;=T$2,"d",IF(INDIRECT(_xlfn.CONCAT("'",$A28,"'!F5"))&gt;=T$2,"i",""))</f>
        <v>d</v>
      </c>
      <c r="U28" s="1" t="str" cm="1">
        <f t="array" aca="1" ref="U28" ca="1">IF(INDIRECT(_xlfn.CONCAT("'",$A28,"'!F4"))&gt;=U$2,"d",IF(INDIRECT(_xlfn.CONCAT("'",$A28,"'!F5"))&gt;=U$2,"i",""))</f>
        <v>d</v>
      </c>
      <c r="V28" s="1" t="str" cm="1">
        <f t="array" aca="1" ref="V28" ca="1">IF(INDIRECT(_xlfn.CONCAT("'",$A28,"'!F4"))&gt;=V$2,"d",IF(INDIRECT(_xlfn.CONCAT("'",$A28,"'!F5"))&gt;=V$2,"i",""))</f>
        <v>d</v>
      </c>
      <c r="W28" s="1" t="str" cm="1">
        <f t="array" aca="1" ref="W28" ca="1">IF(INDIRECT(_xlfn.CONCAT("'",$A28,"'!F4"))&gt;=W$2,"d",IF(INDIRECT(_xlfn.CONCAT("'",$A28,"'!F5"))&gt;=W$2,"i",""))</f>
        <v>d</v>
      </c>
      <c r="X28" s="1" t="str" cm="1">
        <f t="array" aca="1" ref="X28" ca="1">IF(INDIRECT(_xlfn.CONCAT("'",$A28,"'!F4"))&gt;=X$2,"d",IF(INDIRECT(_xlfn.CONCAT("'",$A28,"'!F5"))&gt;=X$2,"i",""))</f>
        <v>d</v>
      </c>
      <c r="Y28" s="1" t="str" cm="1">
        <f t="array" aca="1" ref="Y28" ca="1">IF(INDIRECT(_xlfn.CONCAT("'",$A28,"'!F4"))&gt;=Y$2,"d",IF(INDIRECT(_xlfn.CONCAT("'",$A28,"'!F5"))&gt;=Y$2,"i",""))</f>
        <v>d</v>
      </c>
      <c r="Z28" s="1" t="str" cm="1">
        <f t="array" aca="1" ref="Z28" ca="1">IF(INDIRECT(_xlfn.CONCAT("'",$A28,"'!F4"))&gt;=Z$2,"d",IF(INDIRECT(_xlfn.CONCAT("'",$A28,"'!F5"))&gt;=Z$2,"i",""))</f>
        <v>d</v>
      </c>
      <c r="AA28" s="1" t="str" cm="1">
        <f t="array" aca="1" ref="AA28" ca="1">IF(INDIRECT(_xlfn.CONCAT("'",$A28,"'!F4"))&gt;=AA$2,"d",IF(INDIRECT(_xlfn.CONCAT("'",$A28,"'!F5"))&gt;=AA$2,"i",""))</f>
        <v>d</v>
      </c>
      <c r="AB28" s="1" t="str" cm="1">
        <f t="array" aca="1" ref="AB28" ca="1">IF(INDIRECT(_xlfn.CONCAT("'",$A28,"'!F4"))&gt;=AB$2,"d",IF(INDIRECT(_xlfn.CONCAT("'",$A28,"'!F5"))&gt;=AB$2,"i",""))</f>
        <v/>
      </c>
      <c r="AC28" s="36"/>
      <c r="AD28" s="1" t="str" cm="1">
        <f t="array" aca="1" ref="AD28" ca="1">IF(INDIRECT(_xlfn.CONCAT("'",$A28,"'!F17"))&gt;=AD$2,"d",IF(INDIRECT(_xlfn.CONCAT("'",$A28,"'!F18"))&gt;=AD$2,"i",""))</f>
        <v>d</v>
      </c>
      <c r="AE28" s="1" t="str" cm="1">
        <f t="array" aca="1" ref="AE28" ca="1">IF(INDIRECT(_xlfn.CONCAT("'",$A28,"'!F17"))&gt;=AE$2,"d",IF(INDIRECT(_xlfn.CONCAT("'",$A28,"'!F18"))&gt;=AE$2,"i",""))</f>
        <v>d</v>
      </c>
      <c r="AF28" s="1" t="str" cm="1">
        <f t="array" aca="1" ref="AF28" ca="1">IF(INDIRECT(_xlfn.CONCAT("'",$A28,"'!F17"))&gt;=AF$2,"d",IF(INDIRECT(_xlfn.CONCAT("'",$A28,"'!F18"))&gt;=AF$2,"i",""))</f>
        <v>d</v>
      </c>
      <c r="AG28" s="1" t="str" cm="1">
        <f t="array" aca="1" ref="AG28" ca="1">IF(INDIRECT(_xlfn.CONCAT("'",$A28,"'!F17"))&gt;=AG$2,"d",IF(INDIRECT(_xlfn.CONCAT("'",$A28,"'!F18"))&gt;=AG$2,"i",""))</f>
        <v>d</v>
      </c>
      <c r="AH28" s="1" t="str" cm="1">
        <f t="array" aca="1" ref="AH28" ca="1">IF(INDIRECT(_xlfn.CONCAT("'",$A28,"'!F17"))&gt;=AH$2,"d",IF(INDIRECT(_xlfn.CONCAT("'",$A28,"'!F18"))&gt;=AH$2,"i",""))</f>
        <v>d</v>
      </c>
      <c r="AI28" s="1" t="str" cm="1">
        <f t="array" aca="1" ref="AI28" ca="1">IF(INDIRECT(_xlfn.CONCAT("'",$A28,"'!F17"))&gt;=AI$2,"d",IF(INDIRECT(_xlfn.CONCAT("'",$A28,"'!F18"))&gt;=AI$2,"i",""))</f>
        <v>d</v>
      </c>
      <c r="AJ28" s="1" t="str" cm="1">
        <f t="array" aca="1" ref="AJ28" ca="1">IF(INDIRECT(_xlfn.CONCAT("'",$A28,"'!F17"))&gt;=AJ$2,"d",IF(INDIRECT(_xlfn.CONCAT("'",$A28,"'!F18"))&gt;=AJ$2,"i",""))</f>
        <v>d</v>
      </c>
      <c r="AK28" s="1" t="str" cm="1">
        <f t="array" aca="1" ref="AK28" ca="1">IF(INDIRECT(_xlfn.CONCAT("'",$A28,"'!F17"))&gt;=AK$2,"d",IF(INDIRECT(_xlfn.CONCAT("'",$A28,"'!F18"))&gt;=AK$2,"i",""))</f>
        <v>d</v>
      </c>
      <c r="AL28" s="1" t="str" cm="1">
        <f t="array" aca="1" ref="AL28" ca="1">IF(INDIRECT(_xlfn.CONCAT("'",$A28,"'!F17"))&gt;=AL$2,"d",IF(INDIRECT(_xlfn.CONCAT("'",$A28,"'!F18"))&gt;=AL$2,"i",""))</f>
        <v/>
      </c>
      <c r="AM28" s="36"/>
      <c r="AN28" s="1" t="str" cm="1">
        <f t="array" aca="1" ref="AN28" ca="1">IF(INDIRECT(_xlfn.CONCAT("'",$A28,"'!F30"))&gt;=AN$2,"d",IF(INDIRECT(_xlfn.CONCAT("'",$A28,"'!F31"))&gt;=AN$2,"i",""))</f>
        <v>d</v>
      </c>
      <c r="AO28" s="1" t="str" cm="1">
        <f t="array" aca="1" ref="AO28" ca="1">IF(INDIRECT(_xlfn.CONCAT("'",$A28,"'!F30"))&gt;=AO$2,"d",IF(INDIRECT(_xlfn.CONCAT("'",$A28,"'!F31"))&gt;=AO$2,"i",""))</f>
        <v>d</v>
      </c>
      <c r="AP28" s="1" t="str" cm="1">
        <f t="array" aca="1" ref="AP28" ca="1">IF(INDIRECT(_xlfn.CONCAT("'",$A28,"'!F30"))&gt;=AP$2,"d",IF(INDIRECT(_xlfn.CONCAT("'",$A28,"'!F31"))&gt;=AP$2,"i",""))</f>
        <v>d</v>
      </c>
      <c r="AQ28" s="1" t="str" cm="1">
        <f t="array" aca="1" ref="AQ28" ca="1">IF(INDIRECT(_xlfn.CONCAT("'",$A28,"'!F30"))&gt;=AQ$2,"d",IF(INDIRECT(_xlfn.CONCAT("'",$A28,"'!F31"))&gt;=AQ$2,"i",""))</f>
        <v>d</v>
      </c>
      <c r="AR28" s="1" t="str" cm="1">
        <f t="array" aca="1" ref="AR28" ca="1">IF(INDIRECT(_xlfn.CONCAT("'",$A28,"'!F30"))&gt;=AR$2,"d",IF(INDIRECT(_xlfn.CONCAT("'",$A28,"'!F31"))&gt;=AR$2,"i",""))</f>
        <v>d</v>
      </c>
      <c r="AS28" s="1" t="str" cm="1">
        <f t="array" aca="1" ref="AS28" ca="1">IF(INDIRECT(_xlfn.CONCAT("'",$A28,"'!F30"))&gt;=AS$2,"d",IF(INDIRECT(_xlfn.CONCAT("'",$A28,"'!F31"))&gt;=AS$2,"i",""))</f>
        <v>d</v>
      </c>
      <c r="AT28" s="1" t="str" cm="1">
        <f t="array" aca="1" ref="AT28" ca="1">IF(INDIRECT(_xlfn.CONCAT("'",$A28,"'!F30"))&gt;=AT$2,"d",IF(INDIRECT(_xlfn.CONCAT("'",$A28,"'!F31"))&gt;=AT$2,"i",""))</f>
        <v>d</v>
      </c>
      <c r="AU28" s="1" t="str" cm="1">
        <f t="array" aca="1" ref="AU28" ca="1">IF(INDIRECT(_xlfn.CONCAT("'",$A28,"'!F30"))&gt;=AU$2,"d",IF(INDIRECT(_xlfn.CONCAT("'",$A28,"'!F31"))&gt;=AU$2,"i",""))</f>
        <v>d</v>
      </c>
      <c r="AV28" s="4" t="str" cm="1">
        <f t="array" aca="1" ref="AV28" ca="1">IF(INDIRECT(_xlfn.CONCAT("'",$A28,"'!F30"))&gt;=AV$2,"d",IF(INDIRECT(_xlfn.CONCAT("'",$A28,"'!F31"))&gt;=AV$2,"i",""))</f>
        <v/>
      </c>
    </row>
    <row r="29" spans="1:48" x14ac:dyDescent="0.25">
      <c r="A29" s="101" t="str">
        <v>Venti</v>
      </c>
      <c r="B29" s="4" t="str">
        <f t="shared" si="0"/>
        <v>Anemo</v>
      </c>
      <c r="C29" s="38" t="str">
        <f t="shared" si="1"/>
        <v>Mondstadt 3</v>
      </c>
      <c r="D29" s="85" t="str">
        <f t="shared" si="2"/>
        <v>Boreas 1</v>
      </c>
      <c r="E29" s="14" t="str" cm="1">
        <f t="array" aca="1" ref="E29" ca="1">IF(INDIRECT(_xlfn.CONCAT("'",$A29,"'!B4"))&gt;=E$2,"d",IF(INDIRECT(_xlfn.CONCAT("'",$A29,"'!B5"))&gt;=E$2,"i",""))</f>
        <v>d</v>
      </c>
      <c r="F29" s="1" t="str" cm="1">
        <f t="array" aca="1" ref="F29" ca="1">IF(INDIRECT(_xlfn.CONCAT("'",$A29,"'!B4"))&gt;=F$2,"d",IF(INDIRECT(_xlfn.CONCAT("'",$A29,"'!B5"))&gt;=F$2,"i",""))</f>
        <v>d</v>
      </c>
      <c r="G29" s="1" t="str" cm="1">
        <f t="array" aca="1" ref="G29" ca="1">IF(INDIRECT(_xlfn.CONCAT("'",$A29,"'!B4"))&gt;=G$2,"d",IF(INDIRECT(_xlfn.CONCAT("'",$A29,"'!B5"))&gt;=G$2,"i",""))</f>
        <v>d</v>
      </c>
      <c r="H29" s="1" t="str" cm="1">
        <f t="array" aca="1" ref="H29" ca="1">IF(INDIRECT(_xlfn.CONCAT("'",$A29,"'!B4"))&gt;=H$2,"d",IF(INDIRECT(_xlfn.CONCAT("'",$A29,"'!B5"))&gt;=H$2,"i",""))</f>
        <v>d</v>
      </c>
      <c r="I29" s="1" t="str" cm="1">
        <f t="array" aca="1" ref="I29" ca="1">IF(INDIRECT(_xlfn.CONCAT("'",$A29,"'!B4"))&gt;=I$2,"d",IF(INDIRECT(_xlfn.CONCAT("'",$A29,"'!B5"))&gt;=I$2,"i",""))</f>
        <v>d</v>
      </c>
      <c r="J29" s="1" t="str" cm="1">
        <f t="array" aca="1" ref="J29" ca="1">IF(INDIRECT(_xlfn.CONCAT("'",$A29,"'!B4"))&gt;=J$2,"d",IF(INDIRECT(_xlfn.CONCAT("'",$A29,"'!B5"))&gt;=J$2,"i",""))</f>
        <v>d</v>
      </c>
      <c r="K29" s="4" t="str" cm="1">
        <f t="array" aca="1" ref="K29" ca="1">IF(INDIRECT(_xlfn.CONCAT("'",$A29,"'!B4"))&gt;=K$2,"d",IF(INDIRECT(_xlfn.CONCAT("'",$A29,"'!B5"))&gt;=K$2,"i",""))</f>
        <v>d</v>
      </c>
      <c r="L29" s="39"/>
      <c r="M29" s="1" t="str" cm="1">
        <f t="array" aca="1" ref="M29" ca="1">IF(INDIRECT(_xlfn.CONCAT("'",$A29,"'!C10"))&gt;=M$2,"d",IF(INDIRECT(_xlfn.CONCAT("'",$A29,"'!C11"))&gt;=M$2,"i",""))</f>
        <v>d</v>
      </c>
      <c r="N29" s="1" t="str" cm="1">
        <f t="array" aca="1" ref="N29" ca="1">IF(INDIRECT(_xlfn.CONCAT("'",$A29,"'!C10"))&gt;=N$2,"d",IF(INDIRECT(_xlfn.CONCAT("'",$A29,"'!C11"))&gt;=N$2,"i",""))</f>
        <v>d</v>
      </c>
      <c r="O29" s="1" t="str" cm="1">
        <f t="array" aca="1" ref="O29" ca="1">IF(INDIRECT(_xlfn.CONCAT("'",$A29,"'!C10"))&gt;=O$2,"d",IF(INDIRECT(_xlfn.CONCAT("'",$A29,"'!C11"))&gt;=O$2,"i",""))</f>
        <v>d</v>
      </c>
      <c r="P29" s="1" t="str" cm="1">
        <f t="array" aca="1" ref="P29" ca="1">IF(INDIRECT(_xlfn.CONCAT("'",$A29,"'!C10"))&gt;=P$2,"d",IF(INDIRECT(_xlfn.CONCAT("'",$A29,"'!C11"))&gt;=P$2,"i",""))</f>
        <v>d</v>
      </c>
      <c r="Q29" s="1" t="str" cm="1">
        <f t="array" aca="1" ref="Q29" ca="1">IF(INDIRECT(_xlfn.CONCAT("'",$A29,"'!C10"))&gt;=Q$2,"d",IF(INDIRECT(_xlfn.CONCAT("'",$A29,"'!C11"))&gt;=Q$2,"i",""))</f>
        <v>d</v>
      </c>
      <c r="R29" s="1" t="str" cm="1">
        <f t="array" aca="1" ref="R29" ca="1">IF(INDIRECT(_xlfn.CONCAT("'",$A29,"'!C10"))&gt;=R$2,"d",IF(INDIRECT(_xlfn.CONCAT("'",$A29,"'!C11"))&gt;=R$2,"i",""))</f>
        <v>d</v>
      </c>
      <c r="S29" s="36"/>
      <c r="T29" s="1" t="str" cm="1">
        <f t="array" aca="1" ref="T29" ca="1">IF(INDIRECT(_xlfn.CONCAT("'",$A29,"'!F4"))&gt;=T$2,"d",IF(INDIRECT(_xlfn.CONCAT("'",$A29,"'!F5"))&gt;=T$2,"i",""))</f>
        <v>d</v>
      </c>
      <c r="U29" s="1" t="str" cm="1">
        <f t="array" aca="1" ref="U29" ca="1">IF(INDIRECT(_xlfn.CONCAT("'",$A29,"'!F4"))&gt;=U$2,"d",IF(INDIRECT(_xlfn.CONCAT("'",$A29,"'!F5"))&gt;=U$2,"i",""))</f>
        <v>d</v>
      </c>
      <c r="V29" s="1" t="str" cm="1">
        <f t="array" aca="1" ref="V29" ca="1">IF(INDIRECT(_xlfn.CONCAT("'",$A29,"'!F4"))&gt;=V$2,"d",IF(INDIRECT(_xlfn.CONCAT("'",$A29,"'!F5"))&gt;=V$2,"i",""))</f>
        <v>d</v>
      </c>
      <c r="W29" s="1" t="str" cm="1">
        <f t="array" aca="1" ref="W29" ca="1">IF(INDIRECT(_xlfn.CONCAT("'",$A29,"'!F4"))&gt;=W$2,"d",IF(INDIRECT(_xlfn.CONCAT("'",$A29,"'!F5"))&gt;=W$2,"i",""))</f>
        <v>d</v>
      </c>
      <c r="X29" s="1" t="str" cm="1">
        <f t="array" aca="1" ref="X29" ca="1">IF(INDIRECT(_xlfn.CONCAT("'",$A29,"'!F4"))&gt;=X$2,"d",IF(INDIRECT(_xlfn.CONCAT("'",$A29,"'!F5"))&gt;=X$2,"i",""))</f>
        <v>d</v>
      </c>
      <c r="Y29" s="1" t="str" cm="1">
        <f t="array" aca="1" ref="Y29" ca="1">IF(INDIRECT(_xlfn.CONCAT("'",$A29,"'!F4"))&gt;=Y$2,"d",IF(INDIRECT(_xlfn.CONCAT("'",$A29,"'!F5"))&gt;=Y$2,"i",""))</f>
        <v>d</v>
      </c>
      <c r="Z29" s="1" t="str" cm="1">
        <f t="array" aca="1" ref="Z29" ca="1">IF(INDIRECT(_xlfn.CONCAT("'",$A29,"'!F4"))&gt;=Z$2,"d",IF(INDIRECT(_xlfn.CONCAT("'",$A29,"'!F5"))&gt;=Z$2,"i",""))</f>
        <v>d</v>
      </c>
      <c r="AA29" s="1" t="str" cm="1">
        <f t="array" aca="1" ref="AA29" ca="1">IF(INDIRECT(_xlfn.CONCAT("'",$A29,"'!F4"))&gt;=AA$2,"d",IF(INDIRECT(_xlfn.CONCAT("'",$A29,"'!F5"))&gt;=AA$2,"i",""))</f>
        <v>d</v>
      </c>
      <c r="AB29" s="1" t="str" cm="1">
        <f t="array" aca="1" ref="AB29" ca="1">IF(INDIRECT(_xlfn.CONCAT("'",$A29,"'!F4"))&gt;=AB$2,"d",IF(INDIRECT(_xlfn.CONCAT("'",$A29,"'!F5"))&gt;=AB$2,"i",""))</f>
        <v/>
      </c>
      <c r="AC29" s="36"/>
      <c r="AD29" s="1" t="str" cm="1">
        <f t="array" aca="1" ref="AD29" ca="1">IF(INDIRECT(_xlfn.CONCAT("'",$A29,"'!F17"))&gt;=AD$2,"d",IF(INDIRECT(_xlfn.CONCAT("'",$A29,"'!F18"))&gt;=AD$2,"i",""))</f>
        <v>d</v>
      </c>
      <c r="AE29" s="1" t="str" cm="1">
        <f t="array" aca="1" ref="AE29" ca="1">IF(INDIRECT(_xlfn.CONCAT("'",$A29,"'!F17"))&gt;=AE$2,"d",IF(INDIRECT(_xlfn.CONCAT("'",$A29,"'!F18"))&gt;=AE$2,"i",""))</f>
        <v>d</v>
      </c>
      <c r="AF29" s="1" t="str" cm="1">
        <f t="array" aca="1" ref="AF29" ca="1">IF(INDIRECT(_xlfn.CONCAT("'",$A29,"'!F17"))&gt;=AF$2,"d",IF(INDIRECT(_xlfn.CONCAT("'",$A29,"'!F18"))&gt;=AF$2,"i",""))</f>
        <v>d</v>
      </c>
      <c r="AG29" s="1" t="str" cm="1">
        <f t="array" aca="1" ref="AG29" ca="1">IF(INDIRECT(_xlfn.CONCAT("'",$A29,"'!F17"))&gt;=AG$2,"d",IF(INDIRECT(_xlfn.CONCAT("'",$A29,"'!F18"))&gt;=AG$2,"i",""))</f>
        <v>d</v>
      </c>
      <c r="AH29" s="1" t="str" cm="1">
        <f t="array" aca="1" ref="AH29" ca="1">IF(INDIRECT(_xlfn.CONCAT("'",$A29,"'!F17"))&gt;=AH$2,"d",IF(INDIRECT(_xlfn.CONCAT("'",$A29,"'!F18"))&gt;=AH$2,"i",""))</f>
        <v>d</v>
      </c>
      <c r="AI29" s="1" t="str" cm="1">
        <f t="array" aca="1" ref="AI29" ca="1">IF(INDIRECT(_xlfn.CONCAT("'",$A29,"'!F17"))&gt;=AI$2,"d",IF(INDIRECT(_xlfn.CONCAT("'",$A29,"'!F18"))&gt;=AI$2,"i",""))</f>
        <v>d</v>
      </c>
      <c r="AJ29" s="1" t="str" cm="1">
        <f t="array" aca="1" ref="AJ29" ca="1">IF(INDIRECT(_xlfn.CONCAT("'",$A29,"'!F17"))&gt;=AJ$2,"d",IF(INDIRECT(_xlfn.CONCAT("'",$A29,"'!F18"))&gt;=AJ$2,"i",""))</f>
        <v>d</v>
      </c>
      <c r="AK29" s="1" t="str" cm="1">
        <f t="array" aca="1" ref="AK29" ca="1">IF(INDIRECT(_xlfn.CONCAT("'",$A29,"'!F17"))&gt;=AK$2,"d",IF(INDIRECT(_xlfn.CONCAT("'",$A29,"'!F18"))&gt;=AK$2,"i",""))</f>
        <v>d</v>
      </c>
      <c r="AL29" s="1" t="str" cm="1">
        <f t="array" aca="1" ref="AL29" ca="1">IF(INDIRECT(_xlfn.CONCAT("'",$A29,"'!F17"))&gt;=AL$2,"d",IF(INDIRECT(_xlfn.CONCAT("'",$A29,"'!F18"))&gt;=AL$2,"i",""))</f>
        <v/>
      </c>
      <c r="AM29" s="36"/>
      <c r="AN29" s="1" t="str" cm="1">
        <f t="array" aca="1" ref="AN29" ca="1">IF(INDIRECT(_xlfn.CONCAT("'",$A29,"'!F30"))&gt;=AN$2,"d",IF(INDIRECT(_xlfn.CONCAT("'",$A29,"'!F31"))&gt;=AN$2,"i",""))</f>
        <v>d</v>
      </c>
      <c r="AO29" s="1" t="str" cm="1">
        <f t="array" aca="1" ref="AO29" ca="1">IF(INDIRECT(_xlfn.CONCAT("'",$A29,"'!F30"))&gt;=AO$2,"d",IF(INDIRECT(_xlfn.CONCAT("'",$A29,"'!F31"))&gt;=AO$2,"i",""))</f>
        <v>d</v>
      </c>
      <c r="AP29" s="1" t="str" cm="1">
        <f t="array" aca="1" ref="AP29" ca="1">IF(INDIRECT(_xlfn.CONCAT("'",$A29,"'!F30"))&gt;=AP$2,"d",IF(INDIRECT(_xlfn.CONCAT("'",$A29,"'!F31"))&gt;=AP$2,"i",""))</f>
        <v>d</v>
      </c>
      <c r="AQ29" s="1" t="str" cm="1">
        <f t="array" aca="1" ref="AQ29" ca="1">IF(INDIRECT(_xlfn.CONCAT("'",$A29,"'!F30"))&gt;=AQ$2,"d",IF(INDIRECT(_xlfn.CONCAT("'",$A29,"'!F31"))&gt;=AQ$2,"i",""))</f>
        <v>d</v>
      </c>
      <c r="AR29" s="1" t="str" cm="1">
        <f t="array" aca="1" ref="AR29" ca="1">IF(INDIRECT(_xlfn.CONCAT("'",$A29,"'!F30"))&gt;=AR$2,"d",IF(INDIRECT(_xlfn.CONCAT("'",$A29,"'!F31"))&gt;=AR$2,"i",""))</f>
        <v>d</v>
      </c>
      <c r="AS29" s="1" t="str" cm="1">
        <f t="array" aca="1" ref="AS29" ca="1">IF(INDIRECT(_xlfn.CONCAT("'",$A29,"'!F30"))&gt;=AS$2,"d",IF(INDIRECT(_xlfn.CONCAT("'",$A29,"'!F31"))&gt;=AS$2,"i",""))</f>
        <v>d</v>
      </c>
      <c r="AT29" s="1" t="str" cm="1">
        <f t="array" aca="1" ref="AT29" ca="1">IF(INDIRECT(_xlfn.CONCAT("'",$A29,"'!F30"))&gt;=AT$2,"d",IF(INDIRECT(_xlfn.CONCAT("'",$A29,"'!F31"))&gt;=AT$2,"i",""))</f>
        <v>d</v>
      </c>
      <c r="AU29" s="1" t="str" cm="1">
        <f t="array" aca="1" ref="AU29" ca="1">IF(INDIRECT(_xlfn.CONCAT("'",$A29,"'!F30"))&gt;=AU$2,"d",IF(INDIRECT(_xlfn.CONCAT("'",$A29,"'!F31"))&gt;=AU$2,"i",""))</f>
        <v>d</v>
      </c>
      <c r="AV29" s="4" t="str" cm="1">
        <f t="array" aca="1" ref="AV29" ca="1">IF(INDIRECT(_xlfn.CONCAT("'",$A29,"'!F30"))&gt;=AV$2,"d",IF(INDIRECT(_xlfn.CONCAT("'",$A29,"'!F31"))&gt;=AV$2,"i",""))</f>
        <v/>
      </c>
    </row>
    <row r="30" spans="1:48" x14ac:dyDescent="0.25">
      <c r="A30" s="101" t="str">
        <v>Klee</v>
      </c>
      <c r="B30" s="4" t="str">
        <f t="shared" si="0"/>
        <v>Pyro</v>
      </c>
      <c r="C30" s="38" t="str">
        <f t="shared" si="1"/>
        <v>Mondstadt 1</v>
      </c>
      <c r="D30" s="85" t="str">
        <f t="shared" si="2"/>
        <v>Boreas 2</v>
      </c>
      <c r="E30" s="14" t="str" cm="1">
        <f t="array" aca="1" ref="E30" ca="1">IF(INDIRECT(_xlfn.CONCAT("'",$A30,"'!B4"))&gt;=E$2,"d",IF(INDIRECT(_xlfn.CONCAT("'",$A30,"'!B5"))&gt;=E$2,"i",""))</f>
        <v>d</v>
      </c>
      <c r="F30" s="1" t="str" cm="1">
        <f t="array" aca="1" ref="F30" ca="1">IF(INDIRECT(_xlfn.CONCAT("'",$A30,"'!B4"))&gt;=F$2,"d",IF(INDIRECT(_xlfn.CONCAT("'",$A30,"'!B5"))&gt;=F$2,"i",""))</f>
        <v>d</v>
      </c>
      <c r="G30" s="1" t="str" cm="1">
        <f t="array" aca="1" ref="G30" ca="1">IF(INDIRECT(_xlfn.CONCAT("'",$A30,"'!B4"))&gt;=G$2,"d",IF(INDIRECT(_xlfn.CONCAT("'",$A30,"'!B5"))&gt;=G$2,"i",""))</f>
        <v>d</v>
      </c>
      <c r="H30" s="1" t="str" cm="1">
        <f t="array" aca="1" ref="H30" ca="1">IF(INDIRECT(_xlfn.CONCAT("'",$A30,"'!B4"))&gt;=H$2,"d",IF(INDIRECT(_xlfn.CONCAT("'",$A30,"'!B5"))&gt;=H$2,"i",""))</f>
        <v>d</v>
      </c>
      <c r="I30" s="1" t="str" cm="1">
        <f t="array" aca="1" ref="I30" ca="1">IF(INDIRECT(_xlfn.CONCAT("'",$A30,"'!B4"))&gt;=I$2,"d",IF(INDIRECT(_xlfn.CONCAT("'",$A30,"'!B5"))&gt;=I$2,"i",""))</f>
        <v>d</v>
      </c>
      <c r="J30" s="1" t="str" cm="1">
        <f t="array" aca="1" ref="J30" ca="1">IF(INDIRECT(_xlfn.CONCAT("'",$A30,"'!B4"))&gt;=J$2,"d",IF(INDIRECT(_xlfn.CONCAT("'",$A30,"'!B5"))&gt;=J$2,"i",""))</f>
        <v>d</v>
      </c>
      <c r="K30" s="4" t="str" cm="1">
        <f t="array" aca="1" ref="K30" ca="1">IF(INDIRECT(_xlfn.CONCAT("'",$A30,"'!B4"))&gt;=K$2,"d",IF(INDIRECT(_xlfn.CONCAT("'",$A30,"'!B5"))&gt;=K$2,"i",""))</f>
        <v>d</v>
      </c>
      <c r="L30" s="39"/>
      <c r="M30" s="1" t="str" cm="1">
        <f t="array" aca="1" ref="M30" ca="1">IF(INDIRECT(_xlfn.CONCAT("'",$A30,"'!C10"))&gt;=M$2,"d",IF(INDIRECT(_xlfn.CONCAT("'",$A30,"'!C11"))&gt;=M$2,"i",""))</f>
        <v>d</v>
      </c>
      <c r="N30" s="1" t="str" cm="1">
        <f t="array" aca="1" ref="N30" ca="1">IF(INDIRECT(_xlfn.CONCAT("'",$A30,"'!C10"))&gt;=N$2,"d",IF(INDIRECT(_xlfn.CONCAT("'",$A30,"'!C11"))&gt;=N$2,"i",""))</f>
        <v>d</v>
      </c>
      <c r="O30" s="1" t="str" cm="1">
        <f t="array" aca="1" ref="O30" ca="1">IF(INDIRECT(_xlfn.CONCAT("'",$A30,"'!C10"))&gt;=O$2,"d",IF(INDIRECT(_xlfn.CONCAT("'",$A30,"'!C11"))&gt;=O$2,"i",""))</f>
        <v>d</v>
      </c>
      <c r="P30" s="1" t="str" cm="1">
        <f t="array" aca="1" ref="P30" ca="1">IF(INDIRECT(_xlfn.CONCAT("'",$A30,"'!C10"))&gt;=P$2,"d",IF(INDIRECT(_xlfn.CONCAT("'",$A30,"'!C11"))&gt;=P$2,"i",""))</f>
        <v>d</v>
      </c>
      <c r="Q30" s="1" t="str" cm="1">
        <f t="array" aca="1" ref="Q30" ca="1">IF(INDIRECT(_xlfn.CONCAT("'",$A30,"'!C10"))&gt;=Q$2,"d",IF(INDIRECT(_xlfn.CONCAT("'",$A30,"'!C11"))&gt;=Q$2,"i",""))</f>
        <v>d</v>
      </c>
      <c r="R30" s="1" t="str" cm="1">
        <f t="array" aca="1" ref="R30" ca="1">IF(INDIRECT(_xlfn.CONCAT("'",$A30,"'!C10"))&gt;=R$2,"d",IF(INDIRECT(_xlfn.CONCAT("'",$A30,"'!C11"))&gt;=R$2,"i",""))</f>
        <v>d</v>
      </c>
      <c r="S30" s="36"/>
      <c r="T30" s="1" t="str" cm="1">
        <f t="array" aca="1" ref="T30" ca="1">IF(INDIRECT(_xlfn.CONCAT("'",$A30,"'!F4"))&gt;=T$2,"d",IF(INDIRECT(_xlfn.CONCAT("'",$A30,"'!F5"))&gt;=T$2,"i",""))</f>
        <v>d</v>
      </c>
      <c r="U30" s="1" t="str" cm="1">
        <f t="array" aca="1" ref="U30" ca="1">IF(INDIRECT(_xlfn.CONCAT("'",$A30,"'!F4"))&gt;=U$2,"d",IF(INDIRECT(_xlfn.CONCAT("'",$A30,"'!F5"))&gt;=U$2,"i",""))</f>
        <v>d</v>
      </c>
      <c r="V30" s="1" t="str" cm="1">
        <f t="array" aca="1" ref="V30" ca="1">IF(INDIRECT(_xlfn.CONCAT("'",$A30,"'!F4"))&gt;=V$2,"d",IF(INDIRECT(_xlfn.CONCAT("'",$A30,"'!F5"))&gt;=V$2,"i",""))</f>
        <v>d</v>
      </c>
      <c r="W30" s="1" t="str" cm="1">
        <f t="array" aca="1" ref="W30" ca="1">IF(INDIRECT(_xlfn.CONCAT("'",$A30,"'!F4"))&gt;=W$2,"d",IF(INDIRECT(_xlfn.CONCAT("'",$A30,"'!F5"))&gt;=W$2,"i",""))</f>
        <v>d</v>
      </c>
      <c r="X30" s="1" t="str" cm="1">
        <f t="array" aca="1" ref="X30" ca="1">IF(INDIRECT(_xlfn.CONCAT("'",$A30,"'!F4"))&gt;=X$2,"d",IF(INDIRECT(_xlfn.CONCAT("'",$A30,"'!F5"))&gt;=X$2,"i",""))</f>
        <v>d</v>
      </c>
      <c r="Y30" s="1" t="str" cm="1">
        <f t="array" aca="1" ref="Y30" ca="1">IF(INDIRECT(_xlfn.CONCAT("'",$A30,"'!F4"))&gt;=Y$2,"d",IF(INDIRECT(_xlfn.CONCAT("'",$A30,"'!F5"))&gt;=Y$2,"i",""))</f>
        <v>d</v>
      </c>
      <c r="Z30" s="1" t="str" cm="1">
        <f t="array" aca="1" ref="Z30" ca="1">IF(INDIRECT(_xlfn.CONCAT("'",$A30,"'!F4"))&gt;=Z$2,"d",IF(INDIRECT(_xlfn.CONCAT("'",$A30,"'!F5"))&gt;=Z$2,"i",""))</f>
        <v>d</v>
      </c>
      <c r="AA30" s="1" t="str" cm="1">
        <f t="array" aca="1" ref="AA30" ca="1">IF(INDIRECT(_xlfn.CONCAT("'",$A30,"'!F4"))&gt;=AA$2,"d",IF(INDIRECT(_xlfn.CONCAT("'",$A30,"'!F5"))&gt;=AA$2,"i",""))</f>
        <v>d</v>
      </c>
      <c r="AB30" s="1" t="str" cm="1">
        <f t="array" aca="1" ref="AB30" ca="1">IF(INDIRECT(_xlfn.CONCAT("'",$A30,"'!F4"))&gt;=AB$2,"d",IF(INDIRECT(_xlfn.CONCAT("'",$A30,"'!F5"))&gt;=AB$2,"i",""))</f>
        <v/>
      </c>
      <c r="AC30" s="36"/>
      <c r="AD30" s="1" t="str" cm="1">
        <f t="array" aca="1" ref="AD30" ca="1">IF(INDIRECT(_xlfn.CONCAT("'",$A30,"'!F17"))&gt;=AD$2,"d",IF(INDIRECT(_xlfn.CONCAT("'",$A30,"'!F18"))&gt;=AD$2,"i",""))</f>
        <v>d</v>
      </c>
      <c r="AE30" s="1" t="str" cm="1">
        <f t="array" aca="1" ref="AE30" ca="1">IF(INDIRECT(_xlfn.CONCAT("'",$A30,"'!F17"))&gt;=AE$2,"d",IF(INDIRECT(_xlfn.CONCAT("'",$A30,"'!F18"))&gt;=AE$2,"i",""))</f>
        <v>d</v>
      </c>
      <c r="AF30" s="1" t="str" cm="1">
        <f t="array" aca="1" ref="AF30" ca="1">IF(INDIRECT(_xlfn.CONCAT("'",$A30,"'!F17"))&gt;=AF$2,"d",IF(INDIRECT(_xlfn.CONCAT("'",$A30,"'!F18"))&gt;=AF$2,"i",""))</f>
        <v>d</v>
      </c>
      <c r="AG30" s="1" t="str" cm="1">
        <f t="array" aca="1" ref="AG30" ca="1">IF(INDIRECT(_xlfn.CONCAT("'",$A30,"'!F17"))&gt;=AG$2,"d",IF(INDIRECT(_xlfn.CONCAT("'",$A30,"'!F18"))&gt;=AG$2,"i",""))</f>
        <v>d</v>
      </c>
      <c r="AH30" s="1" t="str" cm="1">
        <f t="array" aca="1" ref="AH30" ca="1">IF(INDIRECT(_xlfn.CONCAT("'",$A30,"'!F17"))&gt;=AH$2,"d",IF(INDIRECT(_xlfn.CONCAT("'",$A30,"'!F18"))&gt;=AH$2,"i",""))</f>
        <v>d</v>
      </c>
      <c r="AI30" s="1" t="str" cm="1">
        <f t="array" aca="1" ref="AI30" ca="1">IF(INDIRECT(_xlfn.CONCAT("'",$A30,"'!F17"))&gt;=AI$2,"d",IF(INDIRECT(_xlfn.CONCAT("'",$A30,"'!F18"))&gt;=AI$2,"i",""))</f>
        <v>d</v>
      </c>
      <c r="AJ30" s="1" t="str" cm="1">
        <f t="array" aca="1" ref="AJ30" ca="1">IF(INDIRECT(_xlfn.CONCAT("'",$A30,"'!F17"))&gt;=AJ$2,"d",IF(INDIRECT(_xlfn.CONCAT("'",$A30,"'!F18"))&gt;=AJ$2,"i",""))</f>
        <v>d</v>
      </c>
      <c r="AK30" s="1" t="str" cm="1">
        <f t="array" aca="1" ref="AK30" ca="1">IF(INDIRECT(_xlfn.CONCAT("'",$A30,"'!F17"))&gt;=AK$2,"d",IF(INDIRECT(_xlfn.CONCAT("'",$A30,"'!F18"))&gt;=AK$2,"i",""))</f>
        <v>d</v>
      </c>
      <c r="AL30" s="1" t="str" cm="1">
        <f t="array" aca="1" ref="AL30" ca="1">IF(INDIRECT(_xlfn.CONCAT("'",$A30,"'!F17"))&gt;=AL$2,"d",IF(INDIRECT(_xlfn.CONCAT("'",$A30,"'!F18"))&gt;=AL$2,"i",""))</f>
        <v/>
      </c>
      <c r="AM30" s="36"/>
      <c r="AN30" s="1" t="str" cm="1">
        <f t="array" aca="1" ref="AN30" ca="1">IF(INDIRECT(_xlfn.CONCAT("'",$A30,"'!F30"))&gt;=AN$2,"d",IF(INDIRECT(_xlfn.CONCAT("'",$A30,"'!F31"))&gt;=AN$2,"i",""))</f>
        <v>d</v>
      </c>
      <c r="AO30" s="1" t="str" cm="1">
        <f t="array" aca="1" ref="AO30" ca="1">IF(INDIRECT(_xlfn.CONCAT("'",$A30,"'!F30"))&gt;=AO$2,"d",IF(INDIRECT(_xlfn.CONCAT("'",$A30,"'!F31"))&gt;=AO$2,"i",""))</f>
        <v>d</v>
      </c>
      <c r="AP30" s="1" t="str" cm="1">
        <f t="array" aca="1" ref="AP30" ca="1">IF(INDIRECT(_xlfn.CONCAT("'",$A30,"'!F30"))&gt;=AP$2,"d",IF(INDIRECT(_xlfn.CONCAT("'",$A30,"'!F31"))&gt;=AP$2,"i",""))</f>
        <v>d</v>
      </c>
      <c r="AQ30" s="1" t="str" cm="1">
        <f t="array" aca="1" ref="AQ30" ca="1">IF(INDIRECT(_xlfn.CONCAT("'",$A30,"'!F30"))&gt;=AQ$2,"d",IF(INDIRECT(_xlfn.CONCAT("'",$A30,"'!F31"))&gt;=AQ$2,"i",""))</f>
        <v>d</v>
      </c>
      <c r="AR30" s="1" t="str" cm="1">
        <f t="array" aca="1" ref="AR30" ca="1">IF(INDIRECT(_xlfn.CONCAT("'",$A30,"'!F30"))&gt;=AR$2,"d",IF(INDIRECT(_xlfn.CONCAT("'",$A30,"'!F31"))&gt;=AR$2,"i",""))</f>
        <v>d</v>
      </c>
      <c r="AS30" s="1" t="str" cm="1">
        <f t="array" aca="1" ref="AS30" ca="1">IF(INDIRECT(_xlfn.CONCAT("'",$A30,"'!F30"))&gt;=AS$2,"d",IF(INDIRECT(_xlfn.CONCAT("'",$A30,"'!F31"))&gt;=AS$2,"i",""))</f>
        <v>d</v>
      </c>
      <c r="AT30" s="1" t="str" cm="1">
        <f t="array" aca="1" ref="AT30" ca="1">IF(INDIRECT(_xlfn.CONCAT("'",$A30,"'!F30"))&gt;=AT$2,"d",IF(INDIRECT(_xlfn.CONCAT("'",$A30,"'!F31"))&gt;=AT$2,"i",""))</f>
        <v>d</v>
      </c>
      <c r="AU30" s="1" t="str" cm="1">
        <f t="array" aca="1" ref="AU30" ca="1">IF(INDIRECT(_xlfn.CONCAT("'",$A30,"'!F30"))&gt;=AU$2,"d",IF(INDIRECT(_xlfn.CONCAT("'",$A30,"'!F31"))&gt;=AU$2,"i",""))</f>
        <v>d</v>
      </c>
      <c r="AV30" s="4" t="str" cm="1">
        <f t="array" aca="1" ref="AV30" ca="1">IF(INDIRECT(_xlfn.CONCAT("'",$A30,"'!F30"))&gt;=AV$2,"d",IF(INDIRECT(_xlfn.CONCAT("'",$A30,"'!F31"))&gt;=AV$2,"i",""))</f>
        <v/>
      </c>
    </row>
    <row r="31" spans="1:48" x14ac:dyDescent="0.25">
      <c r="A31" s="101" t="str">
        <v>Diona</v>
      </c>
      <c r="B31" s="4" t="str">
        <f t="shared" si="0"/>
        <v>Cryo</v>
      </c>
      <c r="C31" s="38" t="str">
        <f t="shared" si="1"/>
        <v>Mondstadt 1</v>
      </c>
      <c r="D31" s="85" t="str">
        <f t="shared" si="2"/>
        <v>Childe 2</v>
      </c>
      <c r="E31" s="14" t="str" cm="1">
        <f t="array" aca="1" ref="E31" ca="1">IF(INDIRECT(_xlfn.CONCAT("'",$A31,"'!B4"))&gt;=E$2,"d",IF(INDIRECT(_xlfn.CONCAT("'",$A31,"'!B5"))&gt;=E$2,"i",""))</f>
        <v>d</v>
      </c>
      <c r="F31" s="1" t="str" cm="1">
        <f t="array" aca="1" ref="F31" ca="1">IF(INDIRECT(_xlfn.CONCAT("'",$A31,"'!B4"))&gt;=F$2,"d",IF(INDIRECT(_xlfn.CONCAT("'",$A31,"'!B5"))&gt;=F$2,"i",""))</f>
        <v>d</v>
      </c>
      <c r="G31" s="1" t="str" cm="1">
        <f t="array" aca="1" ref="G31" ca="1">IF(INDIRECT(_xlfn.CONCAT("'",$A31,"'!B4"))&gt;=G$2,"d",IF(INDIRECT(_xlfn.CONCAT("'",$A31,"'!B5"))&gt;=G$2,"i",""))</f>
        <v>d</v>
      </c>
      <c r="H31" s="1" t="str" cm="1">
        <f t="array" aca="1" ref="H31" ca="1">IF(INDIRECT(_xlfn.CONCAT("'",$A31,"'!B4"))&gt;=H$2,"d",IF(INDIRECT(_xlfn.CONCAT("'",$A31,"'!B5"))&gt;=H$2,"i",""))</f>
        <v>d</v>
      </c>
      <c r="I31" s="1" t="str" cm="1">
        <f t="array" aca="1" ref="I31" ca="1">IF(INDIRECT(_xlfn.CONCAT("'",$A31,"'!B4"))&gt;=I$2,"d",IF(INDIRECT(_xlfn.CONCAT("'",$A31,"'!B5"))&gt;=I$2,"i",""))</f>
        <v>d</v>
      </c>
      <c r="J31" s="1" t="str" cm="1">
        <f t="array" aca="1" ref="J31" ca="1">IF(INDIRECT(_xlfn.CONCAT("'",$A31,"'!B4"))&gt;=J$2,"d",IF(INDIRECT(_xlfn.CONCAT("'",$A31,"'!B5"))&gt;=J$2,"i",""))</f>
        <v>d</v>
      </c>
      <c r="K31" s="4" t="str" cm="1">
        <f t="array" aca="1" ref="K31" ca="1">IF(INDIRECT(_xlfn.CONCAT("'",$A31,"'!B4"))&gt;=K$2,"d",IF(INDIRECT(_xlfn.CONCAT("'",$A31,"'!B5"))&gt;=K$2,"i",""))</f>
        <v>d</v>
      </c>
      <c r="L31" s="39"/>
      <c r="M31" s="1" t="str" cm="1">
        <f t="array" aca="1" ref="M31" ca="1">IF(INDIRECT(_xlfn.CONCAT("'",$A31,"'!C10"))&gt;=M$2,"d",IF(INDIRECT(_xlfn.CONCAT("'",$A31,"'!C11"))&gt;=M$2,"i",""))</f>
        <v>d</v>
      </c>
      <c r="N31" s="1" t="str" cm="1">
        <f t="array" aca="1" ref="N31" ca="1">IF(INDIRECT(_xlfn.CONCAT("'",$A31,"'!C10"))&gt;=N$2,"d",IF(INDIRECT(_xlfn.CONCAT("'",$A31,"'!C11"))&gt;=N$2,"i",""))</f>
        <v>d</v>
      </c>
      <c r="O31" s="1" t="str" cm="1">
        <f t="array" aca="1" ref="O31" ca="1">IF(INDIRECT(_xlfn.CONCAT("'",$A31,"'!C10"))&gt;=O$2,"d",IF(INDIRECT(_xlfn.CONCAT("'",$A31,"'!C11"))&gt;=O$2,"i",""))</f>
        <v>d</v>
      </c>
      <c r="P31" s="1" t="str" cm="1">
        <f t="array" aca="1" ref="P31" ca="1">IF(INDIRECT(_xlfn.CONCAT("'",$A31,"'!C10"))&gt;=P$2,"d",IF(INDIRECT(_xlfn.CONCAT("'",$A31,"'!C11"))&gt;=P$2,"i",""))</f>
        <v>d</v>
      </c>
      <c r="Q31" s="1" t="str" cm="1">
        <f t="array" aca="1" ref="Q31" ca="1">IF(INDIRECT(_xlfn.CONCAT("'",$A31,"'!C10"))&gt;=Q$2,"d",IF(INDIRECT(_xlfn.CONCAT("'",$A31,"'!C11"))&gt;=Q$2,"i",""))</f>
        <v>d</v>
      </c>
      <c r="R31" s="1" t="str" cm="1">
        <f t="array" aca="1" ref="R31" ca="1">IF(INDIRECT(_xlfn.CONCAT("'",$A31,"'!C10"))&gt;=R$2,"d",IF(INDIRECT(_xlfn.CONCAT("'",$A31,"'!C11"))&gt;=R$2,"i",""))</f>
        <v>d</v>
      </c>
      <c r="S31" s="36"/>
      <c r="T31" s="1" t="str" cm="1">
        <f t="array" aca="1" ref="T31" ca="1">IF(INDIRECT(_xlfn.CONCAT("'",$A31,"'!F4"))&gt;=T$2,"d",IF(INDIRECT(_xlfn.CONCAT("'",$A31,"'!F5"))&gt;=T$2,"i",""))</f>
        <v>d</v>
      </c>
      <c r="U31" s="1" t="str" cm="1">
        <f t="array" aca="1" ref="U31" ca="1">IF(INDIRECT(_xlfn.CONCAT("'",$A31,"'!F4"))&gt;=U$2,"d",IF(INDIRECT(_xlfn.CONCAT("'",$A31,"'!F5"))&gt;=U$2,"i",""))</f>
        <v>d</v>
      </c>
      <c r="V31" s="1" t="str" cm="1">
        <f t="array" aca="1" ref="V31" ca="1">IF(INDIRECT(_xlfn.CONCAT("'",$A31,"'!F4"))&gt;=V$2,"d",IF(INDIRECT(_xlfn.CONCAT("'",$A31,"'!F5"))&gt;=V$2,"i",""))</f>
        <v>d</v>
      </c>
      <c r="W31" s="1" t="str" cm="1">
        <f t="array" aca="1" ref="W31" ca="1">IF(INDIRECT(_xlfn.CONCAT("'",$A31,"'!F4"))&gt;=W$2,"d",IF(INDIRECT(_xlfn.CONCAT("'",$A31,"'!F5"))&gt;=W$2,"i",""))</f>
        <v>d</v>
      </c>
      <c r="X31" s="1" t="str" cm="1">
        <f t="array" aca="1" ref="X31" ca="1">IF(INDIRECT(_xlfn.CONCAT("'",$A31,"'!F4"))&gt;=X$2,"d",IF(INDIRECT(_xlfn.CONCAT("'",$A31,"'!F5"))&gt;=X$2,"i",""))</f>
        <v>d</v>
      </c>
      <c r="Y31" s="1" t="str" cm="1">
        <f t="array" aca="1" ref="Y31" ca="1">IF(INDIRECT(_xlfn.CONCAT("'",$A31,"'!F4"))&gt;=Y$2,"d",IF(INDIRECT(_xlfn.CONCAT("'",$A31,"'!F5"))&gt;=Y$2,"i",""))</f>
        <v>d</v>
      </c>
      <c r="Z31" s="1" t="str" cm="1">
        <f t="array" aca="1" ref="Z31" ca="1">IF(INDIRECT(_xlfn.CONCAT("'",$A31,"'!F4"))&gt;=Z$2,"d",IF(INDIRECT(_xlfn.CONCAT("'",$A31,"'!F5"))&gt;=Z$2,"i",""))</f>
        <v>d</v>
      </c>
      <c r="AA31" s="1" t="str" cm="1">
        <f t="array" aca="1" ref="AA31" ca="1">IF(INDIRECT(_xlfn.CONCAT("'",$A31,"'!F4"))&gt;=AA$2,"d",IF(INDIRECT(_xlfn.CONCAT("'",$A31,"'!F5"))&gt;=AA$2,"i",""))</f>
        <v>d</v>
      </c>
      <c r="AB31" s="1" t="str" cm="1">
        <f t="array" aca="1" ref="AB31" ca="1">IF(INDIRECT(_xlfn.CONCAT("'",$A31,"'!F4"))&gt;=AB$2,"d",IF(INDIRECT(_xlfn.CONCAT("'",$A31,"'!F5"))&gt;=AB$2,"i",""))</f>
        <v/>
      </c>
      <c r="AC31" s="36"/>
      <c r="AD31" s="1" t="str" cm="1">
        <f t="array" aca="1" ref="AD31" ca="1">IF(INDIRECT(_xlfn.CONCAT("'",$A31,"'!F17"))&gt;=AD$2,"d",IF(INDIRECT(_xlfn.CONCAT("'",$A31,"'!F18"))&gt;=AD$2,"i",""))</f>
        <v>d</v>
      </c>
      <c r="AE31" s="1" t="str" cm="1">
        <f t="array" aca="1" ref="AE31" ca="1">IF(INDIRECT(_xlfn.CONCAT("'",$A31,"'!F17"))&gt;=AE$2,"d",IF(INDIRECT(_xlfn.CONCAT("'",$A31,"'!F18"))&gt;=AE$2,"i",""))</f>
        <v>d</v>
      </c>
      <c r="AF31" s="1" t="str" cm="1">
        <f t="array" aca="1" ref="AF31" ca="1">IF(INDIRECT(_xlfn.CONCAT("'",$A31,"'!F17"))&gt;=AF$2,"d",IF(INDIRECT(_xlfn.CONCAT("'",$A31,"'!F18"))&gt;=AF$2,"i",""))</f>
        <v>d</v>
      </c>
      <c r="AG31" s="1" t="str" cm="1">
        <f t="array" aca="1" ref="AG31" ca="1">IF(INDIRECT(_xlfn.CONCAT("'",$A31,"'!F17"))&gt;=AG$2,"d",IF(INDIRECT(_xlfn.CONCAT("'",$A31,"'!F18"))&gt;=AG$2,"i",""))</f>
        <v>d</v>
      </c>
      <c r="AH31" s="1" t="str" cm="1">
        <f t="array" aca="1" ref="AH31" ca="1">IF(INDIRECT(_xlfn.CONCAT("'",$A31,"'!F17"))&gt;=AH$2,"d",IF(INDIRECT(_xlfn.CONCAT("'",$A31,"'!F18"))&gt;=AH$2,"i",""))</f>
        <v>d</v>
      </c>
      <c r="AI31" s="1" t="str" cm="1">
        <f t="array" aca="1" ref="AI31" ca="1">IF(INDIRECT(_xlfn.CONCAT("'",$A31,"'!F17"))&gt;=AI$2,"d",IF(INDIRECT(_xlfn.CONCAT("'",$A31,"'!F18"))&gt;=AI$2,"i",""))</f>
        <v>d</v>
      </c>
      <c r="AJ31" s="1" t="str" cm="1">
        <f t="array" aca="1" ref="AJ31" ca="1">IF(INDIRECT(_xlfn.CONCAT("'",$A31,"'!F17"))&gt;=AJ$2,"d",IF(INDIRECT(_xlfn.CONCAT("'",$A31,"'!F18"))&gt;=AJ$2,"i",""))</f>
        <v>d</v>
      </c>
      <c r="AK31" s="1" t="str" cm="1">
        <f t="array" aca="1" ref="AK31" ca="1">IF(INDIRECT(_xlfn.CONCAT("'",$A31,"'!F17"))&gt;=AK$2,"d",IF(INDIRECT(_xlfn.CONCAT("'",$A31,"'!F18"))&gt;=AK$2,"i",""))</f>
        <v>d</v>
      </c>
      <c r="AL31" s="1" t="str" cm="1">
        <f t="array" aca="1" ref="AL31" ca="1">IF(INDIRECT(_xlfn.CONCAT("'",$A31,"'!F17"))&gt;=AL$2,"d",IF(INDIRECT(_xlfn.CONCAT("'",$A31,"'!F18"))&gt;=AL$2,"i",""))</f>
        <v/>
      </c>
      <c r="AM31" s="36"/>
      <c r="AN31" s="1" t="str" cm="1">
        <f t="array" aca="1" ref="AN31" ca="1">IF(INDIRECT(_xlfn.CONCAT("'",$A31,"'!F30"))&gt;=AN$2,"d",IF(INDIRECT(_xlfn.CONCAT("'",$A31,"'!F31"))&gt;=AN$2,"i",""))</f>
        <v>d</v>
      </c>
      <c r="AO31" s="1" t="str" cm="1">
        <f t="array" aca="1" ref="AO31" ca="1">IF(INDIRECT(_xlfn.CONCAT("'",$A31,"'!F30"))&gt;=AO$2,"d",IF(INDIRECT(_xlfn.CONCAT("'",$A31,"'!F31"))&gt;=AO$2,"i",""))</f>
        <v>d</v>
      </c>
      <c r="AP31" s="1" t="str" cm="1">
        <f t="array" aca="1" ref="AP31" ca="1">IF(INDIRECT(_xlfn.CONCAT("'",$A31,"'!F30"))&gt;=AP$2,"d",IF(INDIRECT(_xlfn.CONCAT("'",$A31,"'!F31"))&gt;=AP$2,"i",""))</f>
        <v>d</v>
      </c>
      <c r="AQ31" s="1" t="str" cm="1">
        <f t="array" aca="1" ref="AQ31" ca="1">IF(INDIRECT(_xlfn.CONCAT("'",$A31,"'!F30"))&gt;=AQ$2,"d",IF(INDIRECT(_xlfn.CONCAT("'",$A31,"'!F31"))&gt;=AQ$2,"i",""))</f>
        <v>d</v>
      </c>
      <c r="AR31" s="1" t="str" cm="1">
        <f t="array" aca="1" ref="AR31" ca="1">IF(INDIRECT(_xlfn.CONCAT("'",$A31,"'!F30"))&gt;=AR$2,"d",IF(INDIRECT(_xlfn.CONCAT("'",$A31,"'!F31"))&gt;=AR$2,"i",""))</f>
        <v>d</v>
      </c>
      <c r="AS31" s="1" t="str" cm="1">
        <f t="array" aca="1" ref="AS31" ca="1">IF(INDIRECT(_xlfn.CONCAT("'",$A31,"'!F30"))&gt;=AS$2,"d",IF(INDIRECT(_xlfn.CONCAT("'",$A31,"'!F31"))&gt;=AS$2,"i",""))</f>
        <v>d</v>
      </c>
      <c r="AT31" s="1" t="str" cm="1">
        <f t="array" aca="1" ref="AT31" ca="1">IF(INDIRECT(_xlfn.CONCAT("'",$A31,"'!F30"))&gt;=AT$2,"d",IF(INDIRECT(_xlfn.CONCAT("'",$A31,"'!F31"))&gt;=AT$2,"i",""))</f>
        <v>d</v>
      </c>
      <c r="AU31" s="1" t="str" cm="1">
        <f t="array" aca="1" ref="AU31" ca="1">IF(INDIRECT(_xlfn.CONCAT("'",$A31,"'!F30"))&gt;=AU$2,"d",IF(INDIRECT(_xlfn.CONCAT("'",$A31,"'!F31"))&gt;=AU$2,"i",""))</f>
        <v>d</v>
      </c>
      <c r="AV31" s="4" t="str" cm="1">
        <f t="array" aca="1" ref="AV31" ca="1">IF(INDIRECT(_xlfn.CONCAT("'",$A31,"'!F30"))&gt;=AV$2,"d",IF(INDIRECT(_xlfn.CONCAT("'",$A31,"'!F31"))&gt;=AV$2,"i",""))</f>
        <v/>
      </c>
    </row>
    <row r="32" spans="1:48" x14ac:dyDescent="0.25">
      <c r="A32" s="101" t="str">
        <v>Tartaglia</v>
      </c>
      <c r="B32" s="4" t="str">
        <f t="shared" si="0"/>
        <v>Hydro</v>
      </c>
      <c r="C32" s="38" t="str">
        <f t="shared" si="1"/>
        <v>Mondstadt 1</v>
      </c>
      <c r="D32" s="85" t="str">
        <f t="shared" si="2"/>
        <v>Childe 2</v>
      </c>
      <c r="E32" s="14" t="str" cm="1">
        <f t="array" aca="1" ref="E32" ca="1">IF(INDIRECT(_xlfn.CONCAT("'",$A32,"'!B4"))&gt;=E$2,"d",IF(INDIRECT(_xlfn.CONCAT("'",$A32,"'!B5"))&gt;=E$2,"i",""))</f>
        <v>d</v>
      </c>
      <c r="F32" s="1" t="str" cm="1">
        <f t="array" aca="1" ref="F32" ca="1">IF(INDIRECT(_xlfn.CONCAT("'",$A32,"'!B4"))&gt;=F$2,"d",IF(INDIRECT(_xlfn.CONCAT("'",$A32,"'!B5"))&gt;=F$2,"i",""))</f>
        <v>d</v>
      </c>
      <c r="G32" s="1" t="str" cm="1">
        <f t="array" aca="1" ref="G32" ca="1">IF(INDIRECT(_xlfn.CONCAT("'",$A32,"'!B4"))&gt;=G$2,"d",IF(INDIRECT(_xlfn.CONCAT("'",$A32,"'!B5"))&gt;=G$2,"i",""))</f>
        <v>d</v>
      </c>
      <c r="H32" s="1" t="str" cm="1">
        <f t="array" aca="1" ref="H32" ca="1">IF(INDIRECT(_xlfn.CONCAT("'",$A32,"'!B4"))&gt;=H$2,"d",IF(INDIRECT(_xlfn.CONCAT("'",$A32,"'!B5"))&gt;=H$2,"i",""))</f>
        <v>d</v>
      </c>
      <c r="I32" s="1" t="str" cm="1">
        <f t="array" aca="1" ref="I32" ca="1">IF(INDIRECT(_xlfn.CONCAT("'",$A32,"'!B4"))&gt;=I$2,"d",IF(INDIRECT(_xlfn.CONCAT("'",$A32,"'!B5"))&gt;=I$2,"i",""))</f>
        <v>d</v>
      </c>
      <c r="J32" s="1" t="str" cm="1">
        <f t="array" aca="1" ref="J32" ca="1">IF(INDIRECT(_xlfn.CONCAT("'",$A32,"'!B4"))&gt;=J$2,"d",IF(INDIRECT(_xlfn.CONCAT("'",$A32,"'!B5"))&gt;=J$2,"i",""))</f>
        <v>d</v>
      </c>
      <c r="K32" s="4" t="str" cm="1">
        <f t="array" aca="1" ref="K32" ca="1">IF(INDIRECT(_xlfn.CONCAT("'",$A32,"'!B4"))&gt;=K$2,"d",IF(INDIRECT(_xlfn.CONCAT("'",$A32,"'!B5"))&gt;=K$2,"i",""))</f>
        <v>d</v>
      </c>
      <c r="L32" s="39"/>
      <c r="M32" s="1" t="str" cm="1">
        <f t="array" aca="1" ref="M32" ca="1">IF(INDIRECT(_xlfn.CONCAT("'",$A32,"'!C10"))&gt;=M$2,"d",IF(INDIRECT(_xlfn.CONCAT("'",$A32,"'!C11"))&gt;=M$2,"i",""))</f>
        <v>d</v>
      </c>
      <c r="N32" s="1" t="str" cm="1">
        <f t="array" aca="1" ref="N32" ca="1">IF(INDIRECT(_xlfn.CONCAT("'",$A32,"'!C10"))&gt;=N$2,"d",IF(INDIRECT(_xlfn.CONCAT("'",$A32,"'!C11"))&gt;=N$2,"i",""))</f>
        <v>d</v>
      </c>
      <c r="O32" s="1" t="str" cm="1">
        <f t="array" aca="1" ref="O32" ca="1">IF(INDIRECT(_xlfn.CONCAT("'",$A32,"'!C10"))&gt;=O$2,"d",IF(INDIRECT(_xlfn.CONCAT("'",$A32,"'!C11"))&gt;=O$2,"i",""))</f>
        <v>d</v>
      </c>
      <c r="P32" s="1" t="str" cm="1">
        <f t="array" aca="1" ref="P32" ca="1">IF(INDIRECT(_xlfn.CONCAT("'",$A32,"'!C10"))&gt;=P$2,"d",IF(INDIRECT(_xlfn.CONCAT("'",$A32,"'!C11"))&gt;=P$2,"i",""))</f>
        <v>d</v>
      </c>
      <c r="Q32" s="1" t="str" cm="1">
        <f t="array" aca="1" ref="Q32" ca="1">IF(INDIRECT(_xlfn.CONCAT("'",$A32,"'!C10"))&gt;=Q$2,"d",IF(INDIRECT(_xlfn.CONCAT("'",$A32,"'!C11"))&gt;=Q$2,"i",""))</f>
        <v>d</v>
      </c>
      <c r="R32" s="1" t="str" cm="1">
        <f t="array" aca="1" ref="R32" ca="1">IF(INDIRECT(_xlfn.CONCAT("'",$A32,"'!C10"))&gt;=R$2,"d",IF(INDIRECT(_xlfn.CONCAT("'",$A32,"'!C11"))&gt;=R$2,"i",""))</f>
        <v>d</v>
      </c>
      <c r="S32" s="36"/>
      <c r="T32" s="1" t="str" cm="1">
        <f t="array" aca="1" ref="T32" ca="1">IF(INDIRECT(_xlfn.CONCAT("'",$A32,"'!F4"))&gt;=T$2,"d",IF(INDIRECT(_xlfn.CONCAT("'",$A32,"'!F5"))&gt;=T$2,"i",""))</f>
        <v>d</v>
      </c>
      <c r="U32" s="1" t="str" cm="1">
        <f t="array" aca="1" ref="U32" ca="1">IF(INDIRECT(_xlfn.CONCAT("'",$A32,"'!F4"))&gt;=U$2,"d",IF(INDIRECT(_xlfn.CONCAT("'",$A32,"'!F5"))&gt;=U$2,"i",""))</f>
        <v>d</v>
      </c>
      <c r="V32" s="1" t="str" cm="1">
        <f t="array" aca="1" ref="V32" ca="1">IF(INDIRECT(_xlfn.CONCAT("'",$A32,"'!F4"))&gt;=V$2,"d",IF(INDIRECT(_xlfn.CONCAT("'",$A32,"'!F5"))&gt;=V$2,"i",""))</f>
        <v>d</v>
      </c>
      <c r="W32" s="1" t="str" cm="1">
        <f t="array" aca="1" ref="W32" ca="1">IF(INDIRECT(_xlfn.CONCAT("'",$A32,"'!F4"))&gt;=W$2,"d",IF(INDIRECT(_xlfn.CONCAT("'",$A32,"'!F5"))&gt;=W$2,"i",""))</f>
        <v>d</v>
      </c>
      <c r="X32" s="1" t="str" cm="1">
        <f t="array" aca="1" ref="X32" ca="1">IF(INDIRECT(_xlfn.CONCAT("'",$A32,"'!F4"))&gt;=X$2,"d",IF(INDIRECT(_xlfn.CONCAT("'",$A32,"'!F5"))&gt;=X$2,"i",""))</f>
        <v>d</v>
      </c>
      <c r="Y32" s="1" t="str" cm="1">
        <f t="array" aca="1" ref="Y32" ca="1">IF(INDIRECT(_xlfn.CONCAT("'",$A32,"'!F4"))&gt;=Y$2,"d",IF(INDIRECT(_xlfn.CONCAT("'",$A32,"'!F5"))&gt;=Y$2,"i",""))</f>
        <v>d</v>
      </c>
      <c r="Z32" s="1" t="str" cm="1">
        <f t="array" aca="1" ref="Z32" ca="1">IF(INDIRECT(_xlfn.CONCAT("'",$A32,"'!F4"))&gt;=Z$2,"d",IF(INDIRECT(_xlfn.CONCAT("'",$A32,"'!F5"))&gt;=Z$2,"i",""))</f>
        <v>d</v>
      </c>
      <c r="AA32" s="1" t="str" cm="1">
        <f t="array" aca="1" ref="AA32" ca="1">IF(INDIRECT(_xlfn.CONCAT("'",$A32,"'!F4"))&gt;=AA$2,"d",IF(INDIRECT(_xlfn.CONCAT("'",$A32,"'!F5"))&gt;=AA$2,"i",""))</f>
        <v>d</v>
      </c>
      <c r="AB32" s="1" t="str" cm="1">
        <f t="array" aca="1" ref="AB32" ca="1">IF(INDIRECT(_xlfn.CONCAT("'",$A32,"'!F4"))&gt;=AB$2,"d",IF(INDIRECT(_xlfn.CONCAT("'",$A32,"'!F5"))&gt;=AB$2,"i",""))</f>
        <v/>
      </c>
      <c r="AC32" s="36"/>
      <c r="AD32" s="1" t="str" cm="1">
        <f t="array" aca="1" ref="AD32" ca="1">IF(INDIRECT(_xlfn.CONCAT("'",$A32,"'!F17"))&gt;=AD$2,"d",IF(INDIRECT(_xlfn.CONCAT("'",$A32,"'!F18"))&gt;=AD$2,"i",""))</f>
        <v>d</v>
      </c>
      <c r="AE32" s="1" t="str" cm="1">
        <f t="array" aca="1" ref="AE32" ca="1">IF(INDIRECT(_xlfn.CONCAT("'",$A32,"'!F17"))&gt;=AE$2,"d",IF(INDIRECT(_xlfn.CONCAT("'",$A32,"'!F18"))&gt;=AE$2,"i",""))</f>
        <v>d</v>
      </c>
      <c r="AF32" s="1" t="str" cm="1">
        <f t="array" aca="1" ref="AF32" ca="1">IF(INDIRECT(_xlfn.CONCAT("'",$A32,"'!F17"))&gt;=AF$2,"d",IF(INDIRECT(_xlfn.CONCAT("'",$A32,"'!F18"))&gt;=AF$2,"i",""))</f>
        <v>d</v>
      </c>
      <c r="AG32" s="1" t="str" cm="1">
        <f t="array" aca="1" ref="AG32" ca="1">IF(INDIRECT(_xlfn.CONCAT("'",$A32,"'!F17"))&gt;=AG$2,"d",IF(INDIRECT(_xlfn.CONCAT("'",$A32,"'!F18"))&gt;=AG$2,"i",""))</f>
        <v>d</v>
      </c>
      <c r="AH32" s="1" t="str" cm="1">
        <f t="array" aca="1" ref="AH32" ca="1">IF(INDIRECT(_xlfn.CONCAT("'",$A32,"'!F17"))&gt;=AH$2,"d",IF(INDIRECT(_xlfn.CONCAT("'",$A32,"'!F18"))&gt;=AH$2,"i",""))</f>
        <v>d</v>
      </c>
      <c r="AI32" s="1" t="str" cm="1">
        <f t="array" aca="1" ref="AI32" ca="1">IF(INDIRECT(_xlfn.CONCAT("'",$A32,"'!F17"))&gt;=AI$2,"d",IF(INDIRECT(_xlfn.CONCAT("'",$A32,"'!F18"))&gt;=AI$2,"i",""))</f>
        <v>d</v>
      </c>
      <c r="AJ32" s="1" t="str" cm="1">
        <f t="array" aca="1" ref="AJ32" ca="1">IF(INDIRECT(_xlfn.CONCAT("'",$A32,"'!F17"))&gt;=AJ$2,"d",IF(INDIRECT(_xlfn.CONCAT("'",$A32,"'!F18"))&gt;=AJ$2,"i",""))</f>
        <v>d</v>
      </c>
      <c r="AK32" s="1" t="str" cm="1">
        <f t="array" aca="1" ref="AK32" ca="1">IF(INDIRECT(_xlfn.CONCAT("'",$A32,"'!F17"))&gt;=AK$2,"d",IF(INDIRECT(_xlfn.CONCAT("'",$A32,"'!F18"))&gt;=AK$2,"i",""))</f>
        <v>d</v>
      </c>
      <c r="AL32" s="1" t="str" cm="1">
        <f t="array" aca="1" ref="AL32" ca="1">IF(INDIRECT(_xlfn.CONCAT("'",$A32,"'!F17"))&gt;=AL$2,"d",IF(INDIRECT(_xlfn.CONCAT("'",$A32,"'!F18"))&gt;=AL$2,"i",""))</f>
        <v/>
      </c>
      <c r="AM32" s="36"/>
      <c r="AN32" s="1" t="str" cm="1">
        <f t="array" aca="1" ref="AN32" ca="1">IF(INDIRECT(_xlfn.CONCAT("'",$A32,"'!F30"))&gt;=AN$2,"d",IF(INDIRECT(_xlfn.CONCAT("'",$A32,"'!F31"))&gt;=AN$2,"i",""))</f>
        <v>d</v>
      </c>
      <c r="AO32" s="1" t="str" cm="1">
        <f t="array" aca="1" ref="AO32" ca="1">IF(INDIRECT(_xlfn.CONCAT("'",$A32,"'!F30"))&gt;=AO$2,"d",IF(INDIRECT(_xlfn.CONCAT("'",$A32,"'!F31"))&gt;=AO$2,"i",""))</f>
        <v>d</v>
      </c>
      <c r="AP32" s="1" t="str" cm="1">
        <f t="array" aca="1" ref="AP32" ca="1">IF(INDIRECT(_xlfn.CONCAT("'",$A32,"'!F30"))&gt;=AP$2,"d",IF(INDIRECT(_xlfn.CONCAT("'",$A32,"'!F31"))&gt;=AP$2,"i",""))</f>
        <v>d</v>
      </c>
      <c r="AQ32" s="1" t="str" cm="1">
        <f t="array" aca="1" ref="AQ32" ca="1">IF(INDIRECT(_xlfn.CONCAT("'",$A32,"'!F30"))&gt;=AQ$2,"d",IF(INDIRECT(_xlfn.CONCAT("'",$A32,"'!F31"))&gt;=AQ$2,"i",""))</f>
        <v>d</v>
      </c>
      <c r="AR32" s="1" t="str" cm="1">
        <f t="array" aca="1" ref="AR32" ca="1">IF(INDIRECT(_xlfn.CONCAT("'",$A32,"'!F30"))&gt;=AR$2,"d",IF(INDIRECT(_xlfn.CONCAT("'",$A32,"'!F31"))&gt;=AR$2,"i",""))</f>
        <v>d</v>
      </c>
      <c r="AS32" s="1" t="str" cm="1">
        <f t="array" aca="1" ref="AS32" ca="1">IF(INDIRECT(_xlfn.CONCAT("'",$A32,"'!F30"))&gt;=AS$2,"d",IF(INDIRECT(_xlfn.CONCAT("'",$A32,"'!F31"))&gt;=AS$2,"i",""))</f>
        <v>d</v>
      </c>
      <c r="AT32" s="1" t="str" cm="1">
        <f t="array" aca="1" ref="AT32" ca="1">IF(INDIRECT(_xlfn.CONCAT("'",$A32,"'!F30"))&gt;=AT$2,"d",IF(INDIRECT(_xlfn.CONCAT("'",$A32,"'!F31"))&gt;=AT$2,"i",""))</f>
        <v>d</v>
      </c>
      <c r="AU32" s="1" t="str" cm="1">
        <f t="array" aca="1" ref="AU32" ca="1">IF(INDIRECT(_xlfn.CONCAT("'",$A32,"'!F30"))&gt;=AU$2,"d",IF(INDIRECT(_xlfn.CONCAT("'",$A32,"'!F31"))&gt;=AU$2,"i",""))</f>
        <v>d</v>
      </c>
      <c r="AV32" s="4" t="str" cm="1">
        <f t="array" aca="1" ref="AV32" ca="1">IF(INDIRECT(_xlfn.CONCAT("'",$A32,"'!F30"))&gt;=AV$2,"d",IF(INDIRECT(_xlfn.CONCAT("'",$A32,"'!F31"))&gt;=AV$2,"i",""))</f>
        <v/>
      </c>
    </row>
    <row r="33" spans="1:48" x14ac:dyDescent="0.25">
      <c r="A33" s="101" t="str">
        <v>Xinyan</v>
      </c>
      <c r="B33" s="4" t="str">
        <f t="shared" si="0"/>
        <v>Pyro</v>
      </c>
      <c r="C33" s="38" t="str">
        <f t="shared" si="1"/>
        <v>Liyue 3</v>
      </c>
      <c r="D33" s="85" t="str">
        <f t="shared" si="2"/>
        <v>Childe 1</v>
      </c>
      <c r="E33" s="14" t="str" cm="1">
        <f t="array" aca="1" ref="E33" ca="1">IF(INDIRECT(_xlfn.CONCAT("'",$A33,"'!B4"))&gt;=E$2,"d",IF(INDIRECT(_xlfn.CONCAT("'",$A33,"'!B5"))&gt;=E$2,"i",""))</f>
        <v>d</v>
      </c>
      <c r="F33" s="1" t="str" cm="1">
        <f t="array" aca="1" ref="F33" ca="1">IF(INDIRECT(_xlfn.CONCAT("'",$A33,"'!B4"))&gt;=F$2,"d",IF(INDIRECT(_xlfn.CONCAT("'",$A33,"'!B5"))&gt;=F$2,"i",""))</f>
        <v>d</v>
      </c>
      <c r="G33" s="1" t="str" cm="1">
        <f t="array" aca="1" ref="G33" ca="1">IF(INDIRECT(_xlfn.CONCAT("'",$A33,"'!B4"))&gt;=G$2,"d",IF(INDIRECT(_xlfn.CONCAT("'",$A33,"'!B5"))&gt;=G$2,"i",""))</f>
        <v>d</v>
      </c>
      <c r="H33" s="1" t="str" cm="1">
        <f t="array" aca="1" ref="H33" ca="1">IF(INDIRECT(_xlfn.CONCAT("'",$A33,"'!B4"))&gt;=H$2,"d",IF(INDIRECT(_xlfn.CONCAT("'",$A33,"'!B5"))&gt;=H$2,"i",""))</f>
        <v>d</v>
      </c>
      <c r="I33" s="1" t="str" cm="1">
        <f t="array" aca="1" ref="I33" ca="1">IF(INDIRECT(_xlfn.CONCAT("'",$A33,"'!B4"))&gt;=I$2,"d",IF(INDIRECT(_xlfn.CONCAT("'",$A33,"'!B5"))&gt;=I$2,"i",""))</f>
        <v>d</v>
      </c>
      <c r="J33" s="1" t="str" cm="1">
        <f t="array" aca="1" ref="J33" ca="1">IF(INDIRECT(_xlfn.CONCAT("'",$A33,"'!B4"))&gt;=J$2,"d",IF(INDIRECT(_xlfn.CONCAT("'",$A33,"'!B5"))&gt;=J$2,"i",""))</f>
        <v>d</v>
      </c>
      <c r="K33" s="4" t="str" cm="1">
        <f t="array" aca="1" ref="K33" ca="1">IF(INDIRECT(_xlfn.CONCAT("'",$A33,"'!B4"))&gt;=K$2,"d",IF(INDIRECT(_xlfn.CONCAT("'",$A33,"'!B5"))&gt;=K$2,"i",""))</f>
        <v>d</v>
      </c>
      <c r="L33" s="39"/>
      <c r="M33" s="1" t="str" cm="1">
        <f t="array" aca="1" ref="M33" ca="1">IF(INDIRECT(_xlfn.CONCAT("'",$A33,"'!C10"))&gt;=M$2,"d",IF(INDIRECT(_xlfn.CONCAT("'",$A33,"'!C11"))&gt;=M$2,"i",""))</f>
        <v>d</v>
      </c>
      <c r="N33" s="1" t="str" cm="1">
        <f t="array" aca="1" ref="N33" ca="1">IF(INDIRECT(_xlfn.CONCAT("'",$A33,"'!C10"))&gt;=N$2,"d",IF(INDIRECT(_xlfn.CONCAT("'",$A33,"'!C11"))&gt;=N$2,"i",""))</f>
        <v>d</v>
      </c>
      <c r="O33" s="1" t="str" cm="1">
        <f t="array" aca="1" ref="O33" ca="1">IF(INDIRECT(_xlfn.CONCAT("'",$A33,"'!C10"))&gt;=O$2,"d",IF(INDIRECT(_xlfn.CONCAT("'",$A33,"'!C11"))&gt;=O$2,"i",""))</f>
        <v>d</v>
      </c>
      <c r="P33" s="1" t="str" cm="1">
        <f t="array" aca="1" ref="P33" ca="1">IF(INDIRECT(_xlfn.CONCAT("'",$A33,"'!C10"))&gt;=P$2,"d",IF(INDIRECT(_xlfn.CONCAT("'",$A33,"'!C11"))&gt;=P$2,"i",""))</f>
        <v>d</v>
      </c>
      <c r="Q33" s="1" t="str" cm="1">
        <f t="array" aca="1" ref="Q33" ca="1">IF(INDIRECT(_xlfn.CONCAT("'",$A33,"'!C10"))&gt;=Q$2,"d",IF(INDIRECT(_xlfn.CONCAT("'",$A33,"'!C11"))&gt;=Q$2,"i",""))</f>
        <v>d</v>
      </c>
      <c r="R33" s="1" t="str" cm="1">
        <f t="array" aca="1" ref="R33" ca="1">IF(INDIRECT(_xlfn.CONCAT("'",$A33,"'!C10"))&gt;=R$2,"d",IF(INDIRECT(_xlfn.CONCAT("'",$A33,"'!C11"))&gt;=R$2,"i",""))</f>
        <v>d</v>
      </c>
      <c r="S33" s="36"/>
      <c r="T33" s="1" t="str" cm="1">
        <f t="array" aca="1" ref="T33" ca="1">IF(INDIRECT(_xlfn.CONCAT("'",$A33,"'!F4"))&gt;=T$2,"d",IF(INDIRECT(_xlfn.CONCAT("'",$A33,"'!F5"))&gt;=T$2,"i",""))</f>
        <v>d</v>
      </c>
      <c r="U33" s="1" t="str" cm="1">
        <f t="array" aca="1" ref="U33" ca="1">IF(INDIRECT(_xlfn.CONCAT("'",$A33,"'!F4"))&gt;=U$2,"d",IF(INDIRECT(_xlfn.CONCAT("'",$A33,"'!F5"))&gt;=U$2,"i",""))</f>
        <v>d</v>
      </c>
      <c r="V33" s="1" t="str" cm="1">
        <f t="array" aca="1" ref="V33" ca="1">IF(INDIRECT(_xlfn.CONCAT("'",$A33,"'!F4"))&gt;=V$2,"d",IF(INDIRECT(_xlfn.CONCAT("'",$A33,"'!F5"))&gt;=V$2,"i",""))</f>
        <v>d</v>
      </c>
      <c r="W33" s="1" t="str" cm="1">
        <f t="array" aca="1" ref="W33" ca="1">IF(INDIRECT(_xlfn.CONCAT("'",$A33,"'!F4"))&gt;=W$2,"d",IF(INDIRECT(_xlfn.CONCAT("'",$A33,"'!F5"))&gt;=W$2,"i",""))</f>
        <v>d</v>
      </c>
      <c r="X33" s="1" t="str" cm="1">
        <f t="array" aca="1" ref="X33" ca="1">IF(INDIRECT(_xlfn.CONCAT("'",$A33,"'!F4"))&gt;=X$2,"d",IF(INDIRECT(_xlfn.CONCAT("'",$A33,"'!F5"))&gt;=X$2,"i",""))</f>
        <v>d</v>
      </c>
      <c r="Y33" s="1" t="str" cm="1">
        <f t="array" aca="1" ref="Y33" ca="1">IF(INDIRECT(_xlfn.CONCAT("'",$A33,"'!F4"))&gt;=Y$2,"d",IF(INDIRECT(_xlfn.CONCAT("'",$A33,"'!F5"))&gt;=Y$2,"i",""))</f>
        <v>d</v>
      </c>
      <c r="Z33" s="1" t="str" cm="1">
        <f t="array" aca="1" ref="Z33" ca="1">IF(INDIRECT(_xlfn.CONCAT("'",$A33,"'!F4"))&gt;=Z$2,"d",IF(INDIRECT(_xlfn.CONCAT("'",$A33,"'!F5"))&gt;=Z$2,"i",""))</f>
        <v>d</v>
      </c>
      <c r="AA33" s="1" t="str" cm="1">
        <f t="array" aca="1" ref="AA33" ca="1">IF(INDIRECT(_xlfn.CONCAT("'",$A33,"'!F4"))&gt;=AA$2,"d",IF(INDIRECT(_xlfn.CONCAT("'",$A33,"'!F5"))&gt;=AA$2,"i",""))</f>
        <v>d</v>
      </c>
      <c r="AB33" s="1" t="str" cm="1">
        <f t="array" aca="1" ref="AB33" ca="1">IF(INDIRECT(_xlfn.CONCAT("'",$A33,"'!F4"))&gt;=AB$2,"d",IF(INDIRECT(_xlfn.CONCAT("'",$A33,"'!F5"))&gt;=AB$2,"i",""))</f>
        <v/>
      </c>
      <c r="AC33" s="36"/>
      <c r="AD33" s="1" t="str" cm="1">
        <f t="array" aca="1" ref="AD33" ca="1">IF(INDIRECT(_xlfn.CONCAT("'",$A33,"'!F17"))&gt;=AD$2,"d",IF(INDIRECT(_xlfn.CONCAT("'",$A33,"'!F18"))&gt;=AD$2,"i",""))</f>
        <v>d</v>
      </c>
      <c r="AE33" s="1" t="str" cm="1">
        <f t="array" aca="1" ref="AE33" ca="1">IF(INDIRECT(_xlfn.CONCAT("'",$A33,"'!F17"))&gt;=AE$2,"d",IF(INDIRECT(_xlfn.CONCAT("'",$A33,"'!F18"))&gt;=AE$2,"i",""))</f>
        <v>d</v>
      </c>
      <c r="AF33" s="1" t="str" cm="1">
        <f t="array" aca="1" ref="AF33" ca="1">IF(INDIRECT(_xlfn.CONCAT("'",$A33,"'!F17"))&gt;=AF$2,"d",IF(INDIRECT(_xlfn.CONCAT("'",$A33,"'!F18"))&gt;=AF$2,"i",""))</f>
        <v>d</v>
      </c>
      <c r="AG33" s="1" t="str" cm="1">
        <f t="array" aca="1" ref="AG33" ca="1">IF(INDIRECT(_xlfn.CONCAT("'",$A33,"'!F17"))&gt;=AG$2,"d",IF(INDIRECT(_xlfn.CONCAT("'",$A33,"'!F18"))&gt;=AG$2,"i",""))</f>
        <v>d</v>
      </c>
      <c r="AH33" s="1" t="str" cm="1">
        <f t="array" aca="1" ref="AH33" ca="1">IF(INDIRECT(_xlfn.CONCAT("'",$A33,"'!F17"))&gt;=AH$2,"d",IF(INDIRECT(_xlfn.CONCAT("'",$A33,"'!F18"))&gt;=AH$2,"i",""))</f>
        <v>d</v>
      </c>
      <c r="AI33" s="1" t="str" cm="1">
        <f t="array" aca="1" ref="AI33" ca="1">IF(INDIRECT(_xlfn.CONCAT("'",$A33,"'!F17"))&gt;=AI$2,"d",IF(INDIRECT(_xlfn.CONCAT("'",$A33,"'!F18"))&gt;=AI$2,"i",""))</f>
        <v>d</v>
      </c>
      <c r="AJ33" s="1" t="str" cm="1">
        <f t="array" aca="1" ref="AJ33" ca="1">IF(INDIRECT(_xlfn.CONCAT("'",$A33,"'!F17"))&gt;=AJ$2,"d",IF(INDIRECT(_xlfn.CONCAT("'",$A33,"'!F18"))&gt;=AJ$2,"i",""))</f>
        <v>d</v>
      </c>
      <c r="AK33" s="1" t="str" cm="1">
        <f t="array" aca="1" ref="AK33" ca="1">IF(INDIRECT(_xlfn.CONCAT("'",$A33,"'!F17"))&gt;=AK$2,"d",IF(INDIRECT(_xlfn.CONCAT("'",$A33,"'!F18"))&gt;=AK$2,"i",""))</f>
        <v>d</v>
      </c>
      <c r="AL33" s="1" t="str" cm="1">
        <f t="array" aca="1" ref="AL33" ca="1">IF(INDIRECT(_xlfn.CONCAT("'",$A33,"'!F17"))&gt;=AL$2,"d",IF(INDIRECT(_xlfn.CONCAT("'",$A33,"'!F18"))&gt;=AL$2,"i",""))</f>
        <v/>
      </c>
      <c r="AM33" s="36"/>
      <c r="AN33" s="1" t="str" cm="1">
        <f t="array" aca="1" ref="AN33" ca="1">IF(INDIRECT(_xlfn.CONCAT("'",$A33,"'!F30"))&gt;=AN$2,"d",IF(INDIRECT(_xlfn.CONCAT("'",$A33,"'!F31"))&gt;=AN$2,"i",""))</f>
        <v>d</v>
      </c>
      <c r="AO33" s="1" t="str" cm="1">
        <f t="array" aca="1" ref="AO33" ca="1">IF(INDIRECT(_xlfn.CONCAT("'",$A33,"'!F30"))&gt;=AO$2,"d",IF(INDIRECT(_xlfn.CONCAT("'",$A33,"'!F31"))&gt;=AO$2,"i",""))</f>
        <v>d</v>
      </c>
      <c r="AP33" s="1" t="str" cm="1">
        <f t="array" aca="1" ref="AP33" ca="1">IF(INDIRECT(_xlfn.CONCAT("'",$A33,"'!F30"))&gt;=AP$2,"d",IF(INDIRECT(_xlfn.CONCAT("'",$A33,"'!F31"))&gt;=AP$2,"i",""))</f>
        <v>d</v>
      </c>
      <c r="AQ33" s="1" t="str" cm="1">
        <f t="array" aca="1" ref="AQ33" ca="1">IF(INDIRECT(_xlfn.CONCAT("'",$A33,"'!F30"))&gt;=AQ$2,"d",IF(INDIRECT(_xlfn.CONCAT("'",$A33,"'!F31"))&gt;=AQ$2,"i",""))</f>
        <v>d</v>
      </c>
      <c r="AR33" s="1" t="str" cm="1">
        <f t="array" aca="1" ref="AR33" ca="1">IF(INDIRECT(_xlfn.CONCAT("'",$A33,"'!F30"))&gt;=AR$2,"d",IF(INDIRECT(_xlfn.CONCAT("'",$A33,"'!F31"))&gt;=AR$2,"i",""))</f>
        <v>d</v>
      </c>
      <c r="AS33" s="1" t="str" cm="1">
        <f t="array" aca="1" ref="AS33" ca="1">IF(INDIRECT(_xlfn.CONCAT("'",$A33,"'!F30"))&gt;=AS$2,"d",IF(INDIRECT(_xlfn.CONCAT("'",$A33,"'!F31"))&gt;=AS$2,"i",""))</f>
        <v>d</v>
      </c>
      <c r="AT33" s="1" t="str" cm="1">
        <f t="array" aca="1" ref="AT33" ca="1">IF(INDIRECT(_xlfn.CONCAT("'",$A33,"'!F30"))&gt;=AT$2,"d",IF(INDIRECT(_xlfn.CONCAT("'",$A33,"'!F31"))&gt;=AT$2,"i",""))</f>
        <v>d</v>
      </c>
      <c r="AU33" s="1" t="str" cm="1">
        <f t="array" aca="1" ref="AU33" ca="1">IF(INDIRECT(_xlfn.CONCAT("'",$A33,"'!F30"))&gt;=AU$2,"d",IF(INDIRECT(_xlfn.CONCAT("'",$A33,"'!F31"))&gt;=AU$2,"i",""))</f>
        <v>d</v>
      </c>
      <c r="AV33" s="4" t="str" cm="1">
        <f t="array" aca="1" ref="AV33" ca="1">IF(INDIRECT(_xlfn.CONCAT("'",$A33,"'!F30"))&gt;=AV$2,"d",IF(INDIRECT(_xlfn.CONCAT("'",$A33,"'!F31"))&gt;=AV$2,"i",""))</f>
        <v/>
      </c>
    </row>
    <row r="34" spans="1:48" x14ac:dyDescent="0.25">
      <c r="A34" s="101" t="str">
        <v>Zhongli</v>
      </c>
      <c r="B34" s="4" t="str">
        <f t="shared" si="0"/>
        <v>Geo</v>
      </c>
      <c r="C34" s="38" t="str">
        <f t="shared" si="1"/>
        <v>Liyue 3</v>
      </c>
      <c r="D34" s="85" t="str">
        <f t="shared" si="2"/>
        <v>Childe 1</v>
      </c>
      <c r="E34" s="14" t="str" cm="1">
        <f t="array" aca="1" ref="E34" ca="1">IF(INDIRECT(_xlfn.CONCAT("'",$A34,"'!B4"))&gt;=E$2,"d",IF(INDIRECT(_xlfn.CONCAT("'",$A34,"'!B5"))&gt;=E$2,"i",""))</f>
        <v>d</v>
      </c>
      <c r="F34" s="1" t="str" cm="1">
        <f t="array" aca="1" ref="F34" ca="1">IF(INDIRECT(_xlfn.CONCAT("'",$A34,"'!B4"))&gt;=F$2,"d",IF(INDIRECT(_xlfn.CONCAT("'",$A34,"'!B5"))&gt;=F$2,"i",""))</f>
        <v>d</v>
      </c>
      <c r="G34" s="1" t="str" cm="1">
        <f t="array" aca="1" ref="G34" ca="1">IF(INDIRECT(_xlfn.CONCAT("'",$A34,"'!B4"))&gt;=G$2,"d",IF(INDIRECT(_xlfn.CONCAT("'",$A34,"'!B5"))&gt;=G$2,"i",""))</f>
        <v>d</v>
      </c>
      <c r="H34" s="1" t="str" cm="1">
        <f t="array" aca="1" ref="H34" ca="1">IF(INDIRECT(_xlfn.CONCAT("'",$A34,"'!B4"))&gt;=H$2,"d",IF(INDIRECT(_xlfn.CONCAT("'",$A34,"'!B5"))&gt;=H$2,"i",""))</f>
        <v>d</v>
      </c>
      <c r="I34" s="1" t="str" cm="1">
        <f t="array" aca="1" ref="I34" ca="1">IF(INDIRECT(_xlfn.CONCAT("'",$A34,"'!B4"))&gt;=I$2,"d",IF(INDIRECT(_xlfn.CONCAT("'",$A34,"'!B5"))&gt;=I$2,"i",""))</f>
        <v>d</v>
      </c>
      <c r="J34" s="1" t="str" cm="1">
        <f t="array" aca="1" ref="J34" ca="1">IF(INDIRECT(_xlfn.CONCAT("'",$A34,"'!B4"))&gt;=J$2,"d",IF(INDIRECT(_xlfn.CONCAT("'",$A34,"'!B5"))&gt;=J$2,"i",""))</f>
        <v>d</v>
      </c>
      <c r="K34" s="4" t="str" cm="1">
        <f t="array" aca="1" ref="K34" ca="1">IF(INDIRECT(_xlfn.CONCAT("'",$A34,"'!B4"))&gt;=K$2,"d",IF(INDIRECT(_xlfn.CONCAT("'",$A34,"'!B5"))&gt;=K$2,"i",""))</f>
        <v>d</v>
      </c>
      <c r="L34" s="39"/>
      <c r="M34" s="1" t="str" cm="1">
        <f t="array" aca="1" ref="M34" ca="1">IF(INDIRECT(_xlfn.CONCAT("'",$A34,"'!C10"))&gt;=M$2,"d",IF(INDIRECT(_xlfn.CONCAT("'",$A34,"'!C11"))&gt;=M$2,"i",""))</f>
        <v>d</v>
      </c>
      <c r="N34" s="1" t="str" cm="1">
        <f t="array" aca="1" ref="N34" ca="1">IF(INDIRECT(_xlfn.CONCAT("'",$A34,"'!C10"))&gt;=N$2,"d",IF(INDIRECT(_xlfn.CONCAT("'",$A34,"'!C11"))&gt;=N$2,"i",""))</f>
        <v>d</v>
      </c>
      <c r="O34" s="1" t="str" cm="1">
        <f t="array" aca="1" ref="O34" ca="1">IF(INDIRECT(_xlfn.CONCAT("'",$A34,"'!C10"))&gt;=O$2,"d",IF(INDIRECT(_xlfn.CONCAT("'",$A34,"'!C11"))&gt;=O$2,"i",""))</f>
        <v>d</v>
      </c>
      <c r="P34" s="1" t="str" cm="1">
        <f t="array" aca="1" ref="P34" ca="1">IF(INDIRECT(_xlfn.CONCAT("'",$A34,"'!C10"))&gt;=P$2,"d",IF(INDIRECT(_xlfn.CONCAT("'",$A34,"'!C11"))&gt;=P$2,"i",""))</f>
        <v>d</v>
      </c>
      <c r="Q34" s="1" t="str" cm="1">
        <f t="array" aca="1" ref="Q34" ca="1">IF(INDIRECT(_xlfn.CONCAT("'",$A34,"'!C10"))&gt;=Q$2,"d",IF(INDIRECT(_xlfn.CONCAT("'",$A34,"'!C11"))&gt;=Q$2,"i",""))</f>
        <v>d</v>
      </c>
      <c r="R34" s="1" t="str" cm="1">
        <f t="array" aca="1" ref="R34" ca="1">IF(INDIRECT(_xlfn.CONCAT("'",$A34,"'!C10"))&gt;=R$2,"d",IF(INDIRECT(_xlfn.CONCAT("'",$A34,"'!C11"))&gt;=R$2,"i",""))</f>
        <v>d</v>
      </c>
      <c r="S34" s="36"/>
      <c r="T34" s="1" t="str" cm="1">
        <f t="array" aca="1" ref="T34" ca="1">IF(INDIRECT(_xlfn.CONCAT("'",$A34,"'!F4"))&gt;=T$2,"d",IF(INDIRECT(_xlfn.CONCAT("'",$A34,"'!F5"))&gt;=T$2,"i",""))</f>
        <v>d</v>
      </c>
      <c r="U34" s="1" t="str" cm="1">
        <f t="array" aca="1" ref="U34" ca="1">IF(INDIRECT(_xlfn.CONCAT("'",$A34,"'!F4"))&gt;=U$2,"d",IF(INDIRECT(_xlfn.CONCAT("'",$A34,"'!F5"))&gt;=U$2,"i",""))</f>
        <v>d</v>
      </c>
      <c r="V34" s="1" t="str" cm="1">
        <f t="array" aca="1" ref="V34" ca="1">IF(INDIRECT(_xlfn.CONCAT("'",$A34,"'!F4"))&gt;=V$2,"d",IF(INDIRECT(_xlfn.CONCAT("'",$A34,"'!F5"))&gt;=V$2,"i",""))</f>
        <v>d</v>
      </c>
      <c r="W34" s="1" t="str" cm="1">
        <f t="array" aca="1" ref="W34" ca="1">IF(INDIRECT(_xlfn.CONCAT("'",$A34,"'!F4"))&gt;=W$2,"d",IF(INDIRECT(_xlfn.CONCAT("'",$A34,"'!F5"))&gt;=W$2,"i",""))</f>
        <v>d</v>
      </c>
      <c r="X34" s="1" t="str" cm="1">
        <f t="array" aca="1" ref="X34" ca="1">IF(INDIRECT(_xlfn.CONCAT("'",$A34,"'!F4"))&gt;=X$2,"d",IF(INDIRECT(_xlfn.CONCAT("'",$A34,"'!F5"))&gt;=X$2,"i",""))</f>
        <v>d</v>
      </c>
      <c r="Y34" s="1" t="str" cm="1">
        <f t="array" aca="1" ref="Y34" ca="1">IF(INDIRECT(_xlfn.CONCAT("'",$A34,"'!F4"))&gt;=Y$2,"d",IF(INDIRECT(_xlfn.CONCAT("'",$A34,"'!F5"))&gt;=Y$2,"i",""))</f>
        <v>d</v>
      </c>
      <c r="Z34" s="1" t="str" cm="1">
        <f t="array" aca="1" ref="Z34" ca="1">IF(INDIRECT(_xlfn.CONCAT("'",$A34,"'!F4"))&gt;=Z$2,"d",IF(INDIRECT(_xlfn.CONCAT("'",$A34,"'!F5"))&gt;=Z$2,"i",""))</f>
        <v>d</v>
      </c>
      <c r="AA34" s="1" t="str" cm="1">
        <f t="array" aca="1" ref="AA34" ca="1">IF(INDIRECT(_xlfn.CONCAT("'",$A34,"'!F4"))&gt;=AA$2,"d",IF(INDIRECT(_xlfn.CONCAT("'",$A34,"'!F5"))&gt;=AA$2,"i",""))</f>
        <v>d</v>
      </c>
      <c r="AB34" s="1" t="str" cm="1">
        <f t="array" aca="1" ref="AB34" ca="1">IF(INDIRECT(_xlfn.CONCAT("'",$A34,"'!F4"))&gt;=AB$2,"d",IF(INDIRECT(_xlfn.CONCAT("'",$A34,"'!F5"))&gt;=AB$2,"i",""))</f>
        <v/>
      </c>
      <c r="AC34" s="36"/>
      <c r="AD34" s="1" t="str" cm="1">
        <f t="array" aca="1" ref="AD34" ca="1">IF(INDIRECT(_xlfn.CONCAT("'",$A34,"'!F17"))&gt;=AD$2,"d",IF(INDIRECT(_xlfn.CONCAT("'",$A34,"'!F18"))&gt;=AD$2,"i",""))</f>
        <v>d</v>
      </c>
      <c r="AE34" s="1" t="str" cm="1">
        <f t="array" aca="1" ref="AE34" ca="1">IF(INDIRECT(_xlfn.CONCAT("'",$A34,"'!F17"))&gt;=AE$2,"d",IF(INDIRECT(_xlfn.CONCAT("'",$A34,"'!F18"))&gt;=AE$2,"i",""))</f>
        <v>d</v>
      </c>
      <c r="AF34" s="1" t="str" cm="1">
        <f t="array" aca="1" ref="AF34" ca="1">IF(INDIRECT(_xlfn.CONCAT("'",$A34,"'!F17"))&gt;=AF$2,"d",IF(INDIRECT(_xlfn.CONCAT("'",$A34,"'!F18"))&gt;=AF$2,"i",""))</f>
        <v>d</v>
      </c>
      <c r="AG34" s="1" t="str" cm="1">
        <f t="array" aca="1" ref="AG34" ca="1">IF(INDIRECT(_xlfn.CONCAT("'",$A34,"'!F17"))&gt;=AG$2,"d",IF(INDIRECT(_xlfn.CONCAT("'",$A34,"'!F18"))&gt;=AG$2,"i",""))</f>
        <v>d</v>
      </c>
      <c r="AH34" s="1" t="str" cm="1">
        <f t="array" aca="1" ref="AH34" ca="1">IF(INDIRECT(_xlfn.CONCAT("'",$A34,"'!F17"))&gt;=AH$2,"d",IF(INDIRECT(_xlfn.CONCAT("'",$A34,"'!F18"))&gt;=AH$2,"i",""))</f>
        <v>d</v>
      </c>
      <c r="AI34" s="1" t="str" cm="1">
        <f t="array" aca="1" ref="AI34" ca="1">IF(INDIRECT(_xlfn.CONCAT("'",$A34,"'!F17"))&gt;=AI$2,"d",IF(INDIRECT(_xlfn.CONCAT("'",$A34,"'!F18"))&gt;=AI$2,"i",""))</f>
        <v>d</v>
      </c>
      <c r="AJ34" s="1" t="str" cm="1">
        <f t="array" aca="1" ref="AJ34" ca="1">IF(INDIRECT(_xlfn.CONCAT("'",$A34,"'!F17"))&gt;=AJ$2,"d",IF(INDIRECT(_xlfn.CONCAT("'",$A34,"'!F18"))&gt;=AJ$2,"i",""))</f>
        <v>d</v>
      </c>
      <c r="AK34" s="1" t="str" cm="1">
        <f t="array" aca="1" ref="AK34" ca="1">IF(INDIRECT(_xlfn.CONCAT("'",$A34,"'!F17"))&gt;=AK$2,"d",IF(INDIRECT(_xlfn.CONCAT("'",$A34,"'!F18"))&gt;=AK$2,"i",""))</f>
        <v>d</v>
      </c>
      <c r="AL34" s="1" t="str" cm="1">
        <f t="array" aca="1" ref="AL34" ca="1">IF(INDIRECT(_xlfn.CONCAT("'",$A34,"'!F17"))&gt;=AL$2,"d",IF(INDIRECT(_xlfn.CONCAT("'",$A34,"'!F18"))&gt;=AL$2,"i",""))</f>
        <v/>
      </c>
      <c r="AM34" s="36"/>
      <c r="AN34" s="1" t="str" cm="1">
        <f t="array" aca="1" ref="AN34" ca="1">IF(INDIRECT(_xlfn.CONCAT("'",$A34,"'!F30"))&gt;=AN$2,"d",IF(INDIRECT(_xlfn.CONCAT("'",$A34,"'!F31"))&gt;=AN$2,"i",""))</f>
        <v>d</v>
      </c>
      <c r="AO34" s="1" t="str" cm="1">
        <f t="array" aca="1" ref="AO34" ca="1">IF(INDIRECT(_xlfn.CONCAT("'",$A34,"'!F30"))&gt;=AO$2,"d",IF(INDIRECT(_xlfn.CONCAT("'",$A34,"'!F31"))&gt;=AO$2,"i",""))</f>
        <v>d</v>
      </c>
      <c r="AP34" s="1" t="str" cm="1">
        <f t="array" aca="1" ref="AP34" ca="1">IF(INDIRECT(_xlfn.CONCAT("'",$A34,"'!F30"))&gt;=AP$2,"d",IF(INDIRECT(_xlfn.CONCAT("'",$A34,"'!F31"))&gt;=AP$2,"i",""))</f>
        <v>d</v>
      </c>
      <c r="AQ34" s="1" t="str" cm="1">
        <f t="array" aca="1" ref="AQ34" ca="1">IF(INDIRECT(_xlfn.CONCAT("'",$A34,"'!F30"))&gt;=AQ$2,"d",IF(INDIRECT(_xlfn.CONCAT("'",$A34,"'!F31"))&gt;=AQ$2,"i",""))</f>
        <v>d</v>
      </c>
      <c r="AR34" s="1" t="str" cm="1">
        <f t="array" aca="1" ref="AR34" ca="1">IF(INDIRECT(_xlfn.CONCAT("'",$A34,"'!F30"))&gt;=AR$2,"d",IF(INDIRECT(_xlfn.CONCAT("'",$A34,"'!F31"))&gt;=AR$2,"i",""))</f>
        <v>d</v>
      </c>
      <c r="AS34" s="1" t="str" cm="1">
        <f t="array" aca="1" ref="AS34" ca="1">IF(INDIRECT(_xlfn.CONCAT("'",$A34,"'!F30"))&gt;=AS$2,"d",IF(INDIRECT(_xlfn.CONCAT("'",$A34,"'!F31"))&gt;=AS$2,"i",""))</f>
        <v>d</v>
      </c>
      <c r="AT34" s="1" t="str" cm="1">
        <f t="array" aca="1" ref="AT34" ca="1">IF(INDIRECT(_xlfn.CONCAT("'",$A34,"'!F30"))&gt;=AT$2,"d",IF(INDIRECT(_xlfn.CONCAT("'",$A34,"'!F31"))&gt;=AT$2,"i",""))</f>
        <v>d</v>
      </c>
      <c r="AU34" s="1" t="str" cm="1">
        <f t="array" aca="1" ref="AU34" ca="1">IF(INDIRECT(_xlfn.CONCAT("'",$A34,"'!F30"))&gt;=AU$2,"d",IF(INDIRECT(_xlfn.CONCAT("'",$A34,"'!F31"))&gt;=AU$2,"i",""))</f>
        <v>d</v>
      </c>
      <c r="AV34" s="4" t="str" cm="1">
        <f t="array" aca="1" ref="AV34" ca="1">IF(INDIRECT(_xlfn.CONCAT("'",$A34,"'!F30"))&gt;=AV$2,"d",IF(INDIRECT(_xlfn.CONCAT("'",$A34,"'!F31"))&gt;=AV$2,"i",""))</f>
        <v/>
      </c>
    </row>
    <row r="35" spans="1:48" x14ac:dyDescent="0.25">
      <c r="A35" s="101" t="str">
        <v>Albedo</v>
      </c>
      <c r="B35" s="4" t="str">
        <f t="shared" si="0"/>
        <v>Geo</v>
      </c>
      <c r="C35" s="38" t="str">
        <f t="shared" si="1"/>
        <v>Mondstadt 3</v>
      </c>
      <c r="D35" s="85" t="str">
        <f t="shared" si="2"/>
        <v>Childe 1</v>
      </c>
      <c r="E35" s="14" t="str" cm="1">
        <f t="array" aca="1" ref="E35" ca="1">IF(INDIRECT(_xlfn.CONCAT("'",$A35,"'!B4"))&gt;=E$2,"d",IF(INDIRECT(_xlfn.CONCAT("'",$A35,"'!B5"))&gt;=E$2,"i",""))</f>
        <v>d</v>
      </c>
      <c r="F35" s="1" t="str" cm="1">
        <f t="array" aca="1" ref="F35" ca="1">IF(INDIRECT(_xlfn.CONCAT("'",$A35,"'!B4"))&gt;=F$2,"d",IF(INDIRECT(_xlfn.CONCAT("'",$A35,"'!B5"))&gt;=F$2,"i",""))</f>
        <v>d</v>
      </c>
      <c r="G35" s="1" t="str" cm="1">
        <f t="array" aca="1" ref="G35" ca="1">IF(INDIRECT(_xlfn.CONCAT("'",$A35,"'!B4"))&gt;=G$2,"d",IF(INDIRECT(_xlfn.CONCAT("'",$A35,"'!B5"))&gt;=G$2,"i",""))</f>
        <v>d</v>
      </c>
      <c r="H35" s="1" t="str" cm="1">
        <f t="array" aca="1" ref="H35" ca="1">IF(INDIRECT(_xlfn.CONCAT("'",$A35,"'!B4"))&gt;=H$2,"d",IF(INDIRECT(_xlfn.CONCAT("'",$A35,"'!B5"))&gt;=H$2,"i",""))</f>
        <v>d</v>
      </c>
      <c r="I35" s="1" t="str" cm="1">
        <f t="array" aca="1" ref="I35" ca="1">IF(INDIRECT(_xlfn.CONCAT("'",$A35,"'!B4"))&gt;=I$2,"d",IF(INDIRECT(_xlfn.CONCAT("'",$A35,"'!B5"))&gt;=I$2,"i",""))</f>
        <v>d</v>
      </c>
      <c r="J35" s="1" t="str" cm="1">
        <f t="array" aca="1" ref="J35" ca="1">IF(INDIRECT(_xlfn.CONCAT("'",$A35,"'!B4"))&gt;=J$2,"d",IF(INDIRECT(_xlfn.CONCAT("'",$A35,"'!B5"))&gt;=J$2,"i",""))</f>
        <v>d</v>
      </c>
      <c r="K35" s="4" t="str" cm="1">
        <f t="array" aca="1" ref="K35" ca="1">IF(INDIRECT(_xlfn.CONCAT("'",$A35,"'!B4"))&gt;=K$2,"d",IF(INDIRECT(_xlfn.CONCAT("'",$A35,"'!B5"))&gt;=K$2,"i",""))</f>
        <v>d</v>
      </c>
      <c r="L35" s="39"/>
      <c r="M35" s="1" t="str" cm="1">
        <f t="array" aca="1" ref="M35" ca="1">IF(INDIRECT(_xlfn.CONCAT("'",$A35,"'!C10"))&gt;=M$2,"d",IF(INDIRECT(_xlfn.CONCAT("'",$A35,"'!C11"))&gt;=M$2,"i",""))</f>
        <v>d</v>
      </c>
      <c r="N35" s="1" t="str" cm="1">
        <f t="array" aca="1" ref="N35" ca="1">IF(INDIRECT(_xlfn.CONCAT("'",$A35,"'!C10"))&gt;=N$2,"d",IF(INDIRECT(_xlfn.CONCAT("'",$A35,"'!C11"))&gt;=N$2,"i",""))</f>
        <v>d</v>
      </c>
      <c r="O35" s="1" t="str" cm="1">
        <f t="array" aca="1" ref="O35" ca="1">IF(INDIRECT(_xlfn.CONCAT("'",$A35,"'!C10"))&gt;=O$2,"d",IF(INDIRECT(_xlfn.CONCAT("'",$A35,"'!C11"))&gt;=O$2,"i",""))</f>
        <v>d</v>
      </c>
      <c r="P35" s="1" t="str" cm="1">
        <f t="array" aca="1" ref="P35" ca="1">IF(INDIRECT(_xlfn.CONCAT("'",$A35,"'!C10"))&gt;=P$2,"d",IF(INDIRECT(_xlfn.CONCAT("'",$A35,"'!C11"))&gt;=P$2,"i",""))</f>
        <v>d</v>
      </c>
      <c r="Q35" s="1" t="str" cm="1">
        <f t="array" aca="1" ref="Q35" ca="1">IF(INDIRECT(_xlfn.CONCAT("'",$A35,"'!C10"))&gt;=Q$2,"d",IF(INDIRECT(_xlfn.CONCAT("'",$A35,"'!C11"))&gt;=Q$2,"i",""))</f>
        <v>d</v>
      </c>
      <c r="R35" s="1" t="str" cm="1">
        <f t="array" aca="1" ref="R35" ca="1">IF(INDIRECT(_xlfn.CONCAT("'",$A35,"'!C10"))&gt;=R$2,"d",IF(INDIRECT(_xlfn.CONCAT("'",$A35,"'!C11"))&gt;=R$2,"i",""))</f>
        <v>d</v>
      </c>
      <c r="S35" s="36"/>
      <c r="T35" s="1" t="str" cm="1">
        <f t="array" aca="1" ref="T35" ca="1">IF(INDIRECT(_xlfn.CONCAT("'",$A35,"'!F4"))&gt;=T$2,"d",IF(INDIRECT(_xlfn.CONCAT("'",$A35,"'!F5"))&gt;=T$2,"i",""))</f>
        <v>d</v>
      </c>
      <c r="U35" s="1" t="str" cm="1">
        <f t="array" aca="1" ref="U35" ca="1">IF(INDIRECT(_xlfn.CONCAT("'",$A35,"'!F4"))&gt;=U$2,"d",IF(INDIRECT(_xlfn.CONCAT("'",$A35,"'!F5"))&gt;=U$2,"i",""))</f>
        <v>d</v>
      </c>
      <c r="V35" s="1" t="str" cm="1">
        <f t="array" aca="1" ref="V35" ca="1">IF(INDIRECT(_xlfn.CONCAT("'",$A35,"'!F4"))&gt;=V$2,"d",IF(INDIRECT(_xlfn.CONCAT("'",$A35,"'!F5"))&gt;=V$2,"i",""))</f>
        <v>d</v>
      </c>
      <c r="W35" s="1" t="str" cm="1">
        <f t="array" aca="1" ref="W35" ca="1">IF(INDIRECT(_xlfn.CONCAT("'",$A35,"'!F4"))&gt;=W$2,"d",IF(INDIRECT(_xlfn.CONCAT("'",$A35,"'!F5"))&gt;=W$2,"i",""))</f>
        <v>d</v>
      </c>
      <c r="X35" s="1" t="str" cm="1">
        <f t="array" aca="1" ref="X35" ca="1">IF(INDIRECT(_xlfn.CONCAT("'",$A35,"'!F4"))&gt;=X$2,"d",IF(INDIRECT(_xlfn.CONCAT("'",$A35,"'!F5"))&gt;=X$2,"i",""))</f>
        <v>d</v>
      </c>
      <c r="Y35" s="1" t="str" cm="1">
        <f t="array" aca="1" ref="Y35" ca="1">IF(INDIRECT(_xlfn.CONCAT("'",$A35,"'!F4"))&gt;=Y$2,"d",IF(INDIRECT(_xlfn.CONCAT("'",$A35,"'!F5"))&gt;=Y$2,"i",""))</f>
        <v>d</v>
      </c>
      <c r="Z35" s="1" t="str" cm="1">
        <f t="array" aca="1" ref="Z35" ca="1">IF(INDIRECT(_xlfn.CONCAT("'",$A35,"'!F4"))&gt;=Z$2,"d",IF(INDIRECT(_xlfn.CONCAT("'",$A35,"'!F5"))&gt;=Z$2,"i",""))</f>
        <v>d</v>
      </c>
      <c r="AA35" s="1" t="str" cm="1">
        <f t="array" aca="1" ref="AA35" ca="1">IF(INDIRECT(_xlfn.CONCAT("'",$A35,"'!F4"))&gt;=AA$2,"d",IF(INDIRECT(_xlfn.CONCAT("'",$A35,"'!F5"))&gt;=AA$2,"i",""))</f>
        <v>d</v>
      </c>
      <c r="AB35" s="1" t="str" cm="1">
        <f t="array" aca="1" ref="AB35" ca="1">IF(INDIRECT(_xlfn.CONCAT("'",$A35,"'!F4"))&gt;=AB$2,"d",IF(INDIRECT(_xlfn.CONCAT("'",$A35,"'!F5"))&gt;=AB$2,"i",""))</f>
        <v/>
      </c>
      <c r="AC35" s="36"/>
      <c r="AD35" s="1" t="str" cm="1">
        <f t="array" aca="1" ref="AD35" ca="1">IF(INDIRECT(_xlfn.CONCAT("'",$A35,"'!F17"))&gt;=AD$2,"d",IF(INDIRECT(_xlfn.CONCAT("'",$A35,"'!F18"))&gt;=AD$2,"i",""))</f>
        <v>d</v>
      </c>
      <c r="AE35" s="1" t="str" cm="1">
        <f t="array" aca="1" ref="AE35" ca="1">IF(INDIRECT(_xlfn.CONCAT("'",$A35,"'!F17"))&gt;=AE$2,"d",IF(INDIRECT(_xlfn.CONCAT("'",$A35,"'!F18"))&gt;=AE$2,"i",""))</f>
        <v>d</v>
      </c>
      <c r="AF35" s="1" t="str" cm="1">
        <f t="array" aca="1" ref="AF35" ca="1">IF(INDIRECT(_xlfn.CONCAT("'",$A35,"'!F17"))&gt;=AF$2,"d",IF(INDIRECT(_xlfn.CONCAT("'",$A35,"'!F18"))&gt;=AF$2,"i",""))</f>
        <v>d</v>
      </c>
      <c r="AG35" s="1" t="str" cm="1">
        <f t="array" aca="1" ref="AG35" ca="1">IF(INDIRECT(_xlfn.CONCAT("'",$A35,"'!F17"))&gt;=AG$2,"d",IF(INDIRECT(_xlfn.CONCAT("'",$A35,"'!F18"))&gt;=AG$2,"i",""))</f>
        <v>d</v>
      </c>
      <c r="AH35" s="1" t="str" cm="1">
        <f t="array" aca="1" ref="AH35" ca="1">IF(INDIRECT(_xlfn.CONCAT("'",$A35,"'!F17"))&gt;=AH$2,"d",IF(INDIRECT(_xlfn.CONCAT("'",$A35,"'!F18"))&gt;=AH$2,"i",""))</f>
        <v>d</v>
      </c>
      <c r="AI35" s="1" t="str" cm="1">
        <f t="array" aca="1" ref="AI35" ca="1">IF(INDIRECT(_xlfn.CONCAT("'",$A35,"'!F17"))&gt;=AI$2,"d",IF(INDIRECT(_xlfn.CONCAT("'",$A35,"'!F18"))&gt;=AI$2,"i",""))</f>
        <v>d</v>
      </c>
      <c r="AJ35" s="1" t="str" cm="1">
        <f t="array" aca="1" ref="AJ35" ca="1">IF(INDIRECT(_xlfn.CONCAT("'",$A35,"'!F17"))&gt;=AJ$2,"d",IF(INDIRECT(_xlfn.CONCAT("'",$A35,"'!F18"))&gt;=AJ$2,"i",""))</f>
        <v>d</v>
      </c>
      <c r="AK35" s="1" t="str" cm="1">
        <f t="array" aca="1" ref="AK35" ca="1">IF(INDIRECT(_xlfn.CONCAT("'",$A35,"'!F17"))&gt;=AK$2,"d",IF(INDIRECT(_xlfn.CONCAT("'",$A35,"'!F18"))&gt;=AK$2,"i",""))</f>
        <v>d</v>
      </c>
      <c r="AL35" s="1" t="str" cm="1">
        <f t="array" aca="1" ref="AL35" ca="1">IF(INDIRECT(_xlfn.CONCAT("'",$A35,"'!F17"))&gt;=AL$2,"d",IF(INDIRECT(_xlfn.CONCAT("'",$A35,"'!F18"))&gt;=AL$2,"i",""))</f>
        <v/>
      </c>
      <c r="AM35" s="36"/>
      <c r="AN35" s="1" t="str" cm="1">
        <f t="array" aca="1" ref="AN35" ca="1">IF(INDIRECT(_xlfn.CONCAT("'",$A35,"'!F30"))&gt;=AN$2,"d",IF(INDIRECT(_xlfn.CONCAT("'",$A35,"'!F31"))&gt;=AN$2,"i",""))</f>
        <v>d</v>
      </c>
      <c r="AO35" s="1" t="str" cm="1">
        <f t="array" aca="1" ref="AO35" ca="1">IF(INDIRECT(_xlfn.CONCAT("'",$A35,"'!F30"))&gt;=AO$2,"d",IF(INDIRECT(_xlfn.CONCAT("'",$A35,"'!F31"))&gt;=AO$2,"i",""))</f>
        <v>d</v>
      </c>
      <c r="AP35" s="1" t="str" cm="1">
        <f t="array" aca="1" ref="AP35" ca="1">IF(INDIRECT(_xlfn.CONCAT("'",$A35,"'!F30"))&gt;=AP$2,"d",IF(INDIRECT(_xlfn.CONCAT("'",$A35,"'!F31"))&gt;=AP$2,"i",""))</f>
        <v>d</v>
      </c>
      <c r="AQ35" s="1" t="str" cm="1">
        <f t="array" aca="1" ref="AQ35" ca="1">IF(INDIRECT(_xlfn.CONCAT("'",$A35,"'!F30"))&gt;=AQ$2,"d",IF(INDIRECT(_xlfn.CONCAT("'",$A35,"'!F31"))&gt;=AQ$2,"i",""))</f>
        <v>d</v>
      </c>
      <c r="AR35" s="1" t="str" cm="1">
        <f t="array" aca="1" ref="AR35" ca="1">IF(INDIRECT(_xlfn.CONCAT("'",$A35,"'!F30"))&gt;=AR$2,"d",IF(INDIRECT(_xlfn.CONCAT("'",$A35,"'!F31"))&gt;=AR$2,"i",""))</f>
        <v>d</v>
      </c>
      <c r="AS35" s="1" t="str" cm="1">
        <f t="array" aca="1" ref="AS35" ca="1">IF(INDIRECT(_xlfn.CONCAT("'",$A35,"'!F30"))&gt;=AS$2,"d",IF(INDIRECT(_xlfn.CONCAT("'",$A35,"'!F31"))&gt;=AS$2,"i",""))</f>
        <v>d</v>
      </c>
      <c r="AT35" s="1" t="str" cm="1">
        <f t="array" aca="1" ref="AT35" ca="1">IF(INDIRECT(_xlfn.CONCAT("'",$A35,"'!F30"))&gt;=AT$2,"d",IF(INDIRECT(_xlfn.CONCAT("'",$A35,"'!F31"))&gt;=AT$2,"i",""))</f>
        <v>d</v>
      </c>
      <c r="AU35" s="1" t="str" cm="1">
        <f t="array" aca="1" ref="AU35" ca="1">IF(INDIRECT(_xlfn.CONCAT("'",$A35,"'!F30"))&gt;=AU$2,"d",IF(INDIRECT(_xlfn.CONCAT("'",$A35,"'!F31"))&gt;=AU$2,"i",""))</f>
        <v>d</v>
      </c>
      <c r="AV35" s="4" t="str" cm="1">
        <f t="array" aca="1" ref="AV35" ca="1">IF(INDIRECT(_xlfn.CONCAT("'",$A35,"'!F30"))&gt;=AV$2,"d",IF(INDIRECT(_xlfn.CONCAT("'",$A35,"'!F31"))&gt;=AV$2,"i",""))</f>
        <v/>
      </c>
    </row>
    <row r="36" spans="1:48" x14ac:dyDescent="0.25">
      <c r="A36" s="101" t="str">
        <v>Ganyu</v>
      </c>
      <c r="B36" s="4" t="str">
        <f t="shared" si="0"/>
        <v>Cryo</v>
      </c>
      <c r="C36" s="38" t="str">
        <f t="shared" si="1"/>
        <v>Liyue 2</v>
      </c>
      <c r="D36" s="85" t="str">
        <f t="shared" si="2"/>
        <v>Childe 3</v>
      </c>
      <c r="E36" s="14" t="str" cm="1">
        <f t="array" aca="1" ref="E36" ca="1">IF(INDIRECT(_xlfn.CONCAT("'",$A36,"'!B4"))&gt;=E$2,"d",IF(INDIRECT(_xlfn.CONCAT("'",$A36,"'!B5"))&gt;=E$2,"i",""))</f>
        <v>d</v>
      </c>
      <c r="F36" s="1" t="str" cm="1">
        <f t="array" aca="1" ref="F36" ca="1">IF(INDIRECT(_xlfn.CONCAT("'",$A36,"'!B4"))&gt;=F$2,"d",IF(INDIRECT(_xlfn.CONCAT("'",$A36,"'!B5"))&gt;=F$2,"i",""))</f>
        <v>d</v>
      </c>
      <c r="G36" s="1" t="str" cm="1">
        <f t="array" aca="1" ref="G36" ca="1">IF(INDIRECT(_xlfn.CONCAT("'",$A36,"'!B4"))&gt;=G$2,"d",IF(INDIRECT(_xlfn.CONCAT("'",$A36,"'!B5"))&gt;=G$2,"i",""))</f>
        <v>d</v>
      </c>
      <c r="H36" s="1" t="str" cm="1">
        <f t="array" aca="1" ref="H36" ca="1">IF(INDIRECT(_xlfn.CONCAT("'",$A36,"'!B4"))&gt;=H$2,"d",IF(INDIRECT(_xlfn.CONCAT("'",$A36,"'!B5"))&gt;=H$2,"i",""))</f>
        <v>d</v>
      </c>
      <c r="I36" s="1" t="str" cm="1">
        <f t="array" aca="1" ref="I36" ca="1">IF(INDIRECT(_xlfn.CONCAT("'",$A36,"'!B4"))&gt;=I$2,"d",IF(INDIRECT(_xlfn.CONCAT("'",$A36,"'!B5"))&gt;=I$2,"i",""))</f>
        <v>d</v>
      </c>
      <c r="J36" s="1" t="str" cm="1">
        <f t="array" aca="1" ref="J36" ca="1">IF(INDIRECT(_xlfn.CONCAT("'",$A36,"'!B4"))&gt;=J$2,"d",IF(INDIRECT(_xlfn.CONCAT("'",$A36,"'!B5"))&gt;=J$2,"i",""))</f>
        <v>d</v>
      </c>
      <c r="K36" s="4" t="str" cm="1">
        <f t="array" aca="1" ref="K36" ca="1">IF(INDIRECT(_xlfn.CONCAT("'",$A36,"'!B4"))&gt;=K$2,"d",IF(INDIRECT(_xlfn.CONCAT("'",$A36,"'!B5"))&gt;=K$2,"i",""))</f>
        <v>d</v>
      </c>
      <c r="L36" s="39"/>
      <c r="M36" s="1" t="str" cm="1">
        <f t="array" aca="1" ref="M36" ca="1">IF(INDIRECT(_xlfn.CONCAT("'",$A36,"'!C10"))&gt;=M$2,"d",IF(INDIRECT(_xlfn.CONCAT("'",$A36,"'!C11"))&gt;=M$2,"i",""))</f>
        <v>d</v>
      </c>
      <c r="N36" s="1" t="str" cm="1">
        <f t="array" aca="1" ref="N36" ca="1">IF(INDIRECT(_xlfn.CONCAT("'",$A36,"'!C10"))&gt;=N$2,"d",IF(INDIRECT(_xlfn.CONCAT("'",$A36,"'!C11"))&gt;=N$2,"i",""))</f>
        <v>d</v>
      </c>
      <c r="O36" s="1" t="str" cm="1">
        <f t="array" aca="1" ref="O36" ca="1">IF(INDIRECT(_xlfn.CONCAT("'",$A36,"'!C10"))&gt;=O$2,"d",IF(INDIRECT(_xlfn.CONCAT("'",$A36,"'!C11"))&gt;=O$2,"i",""))</f>
        <v>d</v>
      </c>
      <c r="P36" s="1" t="str" cm="1">
        <f t="array" aca="1" ref="P36" ca="1">IF(INDIRECT(_xlfn.CONCAT("'",$A36,"'!C10"))&gt;=P$2,"d",IF(INDIRECT(_xlfn.CONCAT("'",$A36,"'!C11"))&gt;=P$2,"i",""))</f>
        <v>d</v>
      </c>
      <c r="Q36" s="1" t="str" cm="1">
        <f t="array" aca="1" ref="Q36" ca="1">IF(INDIRECT(_xlfn.CONCAT("'",$A36,"'!C10"))&gt;=Q$2,"d",IF(INDIRECT(_xlfn.CONCAT("'",$A36,"'!C11"))&gt;=Q$2,"i",""))</f>
        <v>d</v>
      </c>
      <c r="R36" s="1" t="str" cm="1">
        <f t="array" aca="1" ref="R36" ca="1">IF(INDIRECT(_xlfn.CONCAT("'",$A36,"'!C10"))&gt;=R$2,"d",IF(INDIRECT(_xlfn.CONCAT("'",$A36,"'!C11"))&gt;=R$2,"i",""))</f>
        <v>d</v>
      </c>
      <c r="S36" s="36"/>
      <c r="T36" s="1" t="str" cm="1">
        <f t="array" aca="1" ref="T36" ca="1">IF(INDIRECT(_xlfn.CONCAT("'",$A36,"'!F4"))&gt;=T$2,"d",IF(INDIRECT(_xlfn.CONCAT("'",$A36,"'!F5"))&gt;=T$2,"i",""))</f>
        <v>d</v>
      </c>
      <c r="U36" s="1" t="str" cm="1">
        <f t="array" aca="1" ref="U36" ca="1">IF(INDIRECT(_xlfn.CONCAT("'",$A36,"'!F4"))&gt;=U$2,"d",IF(INDIRECT(_xlfn.CONCAT("'",$A36,"'!F5"))&gt;=U$2,"i",""))</f>
        <v>d</v>
      </c>
      <c r="V36" s="1" t="str" cm="1">
        <f t="array" aca="1" ref="V36" ca="1">IF(INDIRECT(_xlfn.CONCAT("'",$A36,"'!F4"))&gt;=V$2,"d",IF(INDIRECT(_xlfn.CONCAT("'",$A36,"'!F5"))&gt;=V$2,"i",""))</f>
        <v>d</v>
      </c>
      <c r="W36" s="1" t="str" cm="1">
        <f t="array" aca="1" ref="W36" ca="1">IF(INDIRECT(_xlfn.CONCAT("'",$A36,"'!F4"))&gt;=W$2,"d",IF(INDIRECT(_xlfn.CONCAT("'",$A36,"'!F5"))&gt;=W$2,"i",""))</f>
        <v>d</v>
      </c>
      <c r="X36" s="1" t="str" cm="1">
        <f t="array" aca="1" ref="X36" ca="1">IF(INDIRECT(_xlfn.CONCAT("'",$A36,"'!F4"))&gt;=X$2,"d",IF(INDIRECT(_xlfn.CONCAT("'",$A36,"'!F5"))&gt;=X$2,"i",""))</f>
        <v>d</v>
      </c>
      <c r="Y36" s="1" t="str" cm="1">
        <f t="array" aca="1" ref="Y36" ca="1">IF(INDIRECT(_xlfn.CONCAT("'",$A36,"'!F4"))&gt;=Y$2,"d",IF(INDIRECT(_xlfn.CONCAT("'",$A36,"'!F5"))&gt;=Y$2,"i",""))</f>
        <v>d</v>
      </c>
      <c r="Z36" s="1" t="str" cm="1">
        <f t="array" aca="1" ref="Z36" ca="1">IF(INDIRECT(_xlfn.CONCAT("'",$A36,"'!F4"))&gt;=Z$2,"d",IF(INDIRECT(_xlfn.CONCAT("'",$A36,"'!F5"))&gt;=Z$2,"i",""))</f>
        <v>d</v>
      </c>
      <c r="AA36" s="1" t="str" cm="1">
        <f t="array" aca="1" ref="AA36" ca="1">IF(INDIRECT(_xlfn.CONCAT("'",$A36,"'!F4"))&gt;=AA$2,"d",IF(INDIRECT(_xlfn.CONCAT("'",$A36,"'!F5"))&gt;=AA$2,"i",""))</f>
        <v>d</v>
      </c>
      <c r="AB36" s="1" t="str" cm="1">
        <f t="array" aca="1" ref="AB36" ca="1">IF(INDIRECT(_xlfn.CONCAT("'",$A36,"'!F4"))&gt;=AB$2,"d",IF(INDIRECT(_xlfn.CONCAT("'",$A36,"'!F5"))&gt;=AB$2,"i",""))</f>
        <v/>
      </c>
      <c r="AC36" s="36"/>
      <c r="AD36" s="1" t="str" cm="1">
        <f t="array" aca="1" ref="AD36" ca="1">IF(INDIRECT(_xlfn.CONCAT("'",$A36,"'!F17"))&gt;=AD$2,"d",IF(INDIRECT(_xlfn.CONCAT("'",$A36,"'!F18"))&gt;=AD$2,"i",""))</f>
        <v>d</v>
      </c>
      <c r="AE36" s="1" t="str" cm="1">
        <f t="array" aca="1" ref="AE36" ca="1">IF(INDIRECT(_xlfn.CONCAT("'",$A36,"'!F17"))&gt;=AE$2,"d",IF(INDIRECT(_xlfn.CONCAT("'",$A36,"'!F18"))&gt;=AE$2,"i",""))</f>
        <v>d</v>
      </c>
      <c r="AF36" s="1" t="str" cm="1">
        <f t="array" aca="1" ref="AF36" ca="1">IF(INDIRECT(_xlfn.CONCAT("'",$A36,"'!F17"))&gt;=AF$2,"d",IF(INDIRECT(_xlfn.CONCAT("'",$A36,"'!F18"))&gt;=AF$2,"i",""))</f>
        <v>d</v>
      </c>
      <c r="AG36" s="1" t="str" cm="1">
        <f t="array" aca="1" ref="AG36" ca="1">IF(INDIRECT(_xlfn.CONCAT("'",$A36,"'!F17"))&gt;=AG$2,"d",IF(INDIRECT(_xlfn.CONCAT("'",$A36,"'!F18"))&gt;=AG$2,"i",""))</f>
        <v>d</v>
      </c>
      <c r="AH36" s="1" t="str" cm="1">
        <f t="array" aca="1" ref="AH36" ca="1">IF(INDIRECT(_xlfn.CONCAT("'",$A36,"'!F17"))&gt;=AH$2,"d",IF(INDIRECT(_xlfn.CONCAT("'",$A36,"'!F18"))&gt;=AH$2,"i",""))</f>
        <v>d</v>
      </c>
      <c r="AI36" s="1" t="str" cm="1">
        <f t="array" aca="1" ref="AI36" ca="1">IF(INDIRECT(_xlfn.CONCAT("'",$A36,"'!F17"))&gt;=AI$2,"d",IF(INDIRECT(_xlfn.CONCAT("'",$A36,"'!F18"))&gt;=AI$2,"i",""))</f>
        <v>d</v>
      </c>
      <c r="AJ36" s="1" t="str" cm="1">
        <f t="array" aca="1" ref="AJ36" ca="1">IF(INDIRECT(_xlfn.CONCAT("'",$A36,"'!F17"))&gt;=AJ$2,"d",IF(INDIRECT(_xlfn.CONCAT("'",$A36,"'!F18"))&gt;=AJ$2,"i",""))</f>
        <v>d</v>
      </c>
      <c r="AK36" s="1" t="str" cm="1">
        <f t="array" aca="1" ref="AK36" ca="1">IF(INDIRECT(_xlfn.CONCAT("'",$A36,"'!F17"))&gt;=AK$2,"d",IF(INDIRECT(_xlfn.CONCAT("'",$A36,"'!F18"))&gt;=AK$2,"i",""))</f>
        <v>d</v>
      </c>
      <c r="AL36" s="1" t="str" cm="1">
        <f t="array" aca="1" ref="AL36" ca="1">IF(INDIRECT(_xlfn.CONCAT("'",$A36,"'!F17"))&gt;=AL$2,"d",IF(INDIRECT(_xlfn.CONCAT("'",$A36,"'!F18"))&gt;=AL$2,"i",""))</f>
        <v/>
      </c>
      <c r="AM36" s="36"/>
      <c r="AN36" s="1" t="str" cm="1">
        <f t="array" aca="1" ref="AN36" ca="1">IF(INDIRECT(_xlfn.CONCAT("'",$A36,"'!F30"))&gt;=AN$2,"d",IF(INDIRECT(_xlfn.CONCAT("'",$A36,"'!F31"))&gt;=AN$2,"i",""))</f>
        <v>d</v>
      </c>
      <c r="AO36" s="1" t="str" cm="1">
        <f t="array" aca="1" ref="AO36" ca="1">IF(INDIRECT(_xlfn.CONCAT("'",$A36,"'!F30"))&gt;=AO$2,"d",IF(INDIRECT(_xlfn.CONCAT("'",$A36,"'!F31"))&gt;=AO$2,"i",""))</f>
        <v>d</v>
      </c>
      <c r="AP36" s="1" t="str" cm="1">
        <f t="array" aca="1" ref="AP36" ca="1">IF(INDIRECT(_xlfn.CONCAT("'",$A36,"'!F30"))&gt;=AP$2,"d",IF(INDIRECT(_xlfn.CONCAT("'",$A36,"'!F31"))&gt;=AP$2,"i",""))</f>
        <v>d</v>
      </c>
      <c r="AQ36" s="1" t="str" cm="1">
        <f t="array" aca="1" ref="AQ36" ca="1">IF(INDIRECT(_xlfn.CONCAT("'",$A36,"'!F30"))&gt;=AQ$2,"d",IF(INDIRECT(_xlfn.CONCAT("'",$A36,"'!F31"))&gt;=AQ$2,"i",""))</f>
        <v>d</v>
      </c>
      <c r="AR36" s="1" t="str" cm="1">
        <f t="array" aca="1" ref="AR36" ca="1">IF(INDIRECT(_xlfn.CONCAT("'",$A36,"'!F30"))&gt;=AR$2,"d",IF(INDIRECT(_xlfn.CONCAT("'",$A36,"'!F31"))&gt;=AR$2,"i",""))</f>
        <v>d</v>
      </c>
      <c r="AS36" s="1" t="str" cm="1">
        <f t="array" aca="1" ref="AS36" ca="1">IF(INDIRECT(_xlfn.CONCAT("'",$A36,"'!F30"))&gt;=AS$2,"d",IF(INDIRECT(_xlfn.CONCAT("'",$A36,"'!F31"))&gt;=AS$2,"i",""))</f>
        <v>d</v>
      </c>
      <c r="AT36" s="1" t="str" cm="1">
        <f t="array" aca="1" ref="AT36" ca="1">IF(INDIRECT(_xlfn.CONCAT("'",$A36,"'!F30"))&gt;=AT$2,"d",IF(INDIRECT(_xlfn.CONCAT("'",$A36,"'!F31"))&gt;=AT$2,"i",""))</f>
        <v>d</v>
      </c>
      <c r="AU36" s="1" t="str" cm="1">
        <f t="array" aca="1" ref="AU36" ca="1">IF(INDIRECT(_xlfn.CONCAT("'",$A36,"'!F30"))&gt;=AU$2,"d",IF(INDIRECT(_xlfn.CONCAT("'",$A36,"'!F31"))&gt;=AU$2,"i",""))</f>
        <v>d</v>
      </c>
      <c r="AV36" s="4" t="str" cm="1">
        <f t="array" aca="1" ref="AV36" ca="1">IF(INDIRECT(_xlfn.CONCAT("'",$A36,"'!F30"))&gt;=AV$2,"d",IF(INDIRECT(_xlfn.CONCAT("'",$A36,"'!F31"))&gt;=AV$2,"i",""))</f>
        <v/>
      </c>
    </row>
    <row r="37" spans="1:48" x14ac:dyDescent="0.25">
      <c r="A37" s="101" t="str">
        <v>Xiao</v>
      </c>
      <c r="B37" s="4" t="str">
        <f t="shared" si="0"/>
        <v>Anemo</v>
      </c>
      <c r="C37" s="38" t="str">
        <f t="shared" si="1"/>
        <v>Liyue 1</v>
      </c>
      <c r="D37" s="85" t="str">
        <f t="shared" si="2"/>
        <v>Childe 3</v>
      </c>
      <c r="E37" s="14" t="str" cm="1">
        <f t="array" aca="1" ref="E37" ca="1">IF(INDIRECT(_xlfn.CONCAT("'",$A37,"'!B4"))&gt;=E$2,"d",IF(INDIRECT(_xlfn.CONCAT("'",$A37,"'!B5"))&gt;=E$2,"i",""))</f>
        <v>d</v>
      </c>
      <c r="F37" s="1" t="str" cm="1">
        <f t="array" aca="1" ref="F37" ca="1">IF(INDIRECT(_xlfn.CONCAT("'",$A37,"'!B4"))&gt;=F$2,"d",IF(INDIRECT(_xlfn.CONCAT("'",$A37,"'!B5"))&gt;=F$2,"i",""))</f>
        <v>d</v>
      </c>
      <c r="G37" s="1" t="str" cm="1">
        <f t="array" aca="1" ref="G37" ca="1">IF(INDIRECT(_xlfn.CONCAT("'",$A37,"'!B4"))&gt;=G$2,"d",IF(INDIRECT(_xlfn.CONCAT("'",$A37,"'!B5"))&gt;=G$2,"i",""))</f>
        <v>d</v>
      </c>
      <c r="H37" s="1" t="str" cm="1">
        <f t="array" aca="1" ref="H37" ca="1">IF(INDIRECT(_xlfn.CONCAT("'",$A37,"'!B4"))&gt;=H$2,"d",IF(INDIRECT(_xlfn.CONCAT("'",$A37,"'!B5"))&gt;=H$2,"i",""))</f>
        <v>d</v>
      </c>
      <c r="I37" s="1" t="str" cm="1">
        <f t="array" aca="1" ref="I37" ca="1">IF(INDIRECT(_xlfn.CONCAT("'",$A37,"'!B4"))&gt;=I$2,"d",IF(INDIRECT(_xlfn.CONCAT("'",$A37,"'!B5"))&gt;=I$2,"i",""))</f>
        <v>d</v>
      </c>
      <c r="J37" s="1" t="str" cm="1">
        <f t="array" aca="1" ref="J37" ca="1">IF(INDIRECT(_xlfn.CONCAT("'",$A37,"'!B4"))&gt;=J$2,"d",IF(INDIRECT(_xlfn.CONCAT("'",$A37,"'!B5"))&gt;=J$2,"i",""))</f>
        <v>d</v>
      </c>
      <c r="K37" s="4" t="str" cm="1">
        <f t="array" aca="1" ref="K37" ca="1">IF(INDIRECT(_xlfn.CONCAT("'",$A37,"'!B4"))&gt;=K$2,"d",IF(INDIRECT(_xlfn.CONCAT("'",$A37,"'!B5"))&gt;=K$2,"i",""))</f>
        <v>d</v>
      </c>
      <c r="L37" s="39"/>
      <c r="M37" s="1" t="str" cm="1">
        <f t="array" aca="1" ref="M37" ca="1">IF(INDIRECT(_xlfn.CONCAT("'",$A37,"'!C10"))&gt;=M$2,"d",IF(INDIRECT(_xlfn.CONCAT("'",$A37,"'!C11"))&gt;=M$2,"i",""))</f>
        <v>d</v>
      </c>
      <c r="N37" s="1" t="str" cm="1">
        <f t="array" aca="1" ref="N37" ca="1">IF(INDIRECT(_xlfn.CONCAT("'",$A37,"'!C10"))&gt;=N$2,"d",IF(INDIRECT(_xlfn.CONCAT("'",$A37,"'!C11"))&gt;=N$2,"i",""))</f>
        <v>d</v>
      </c>
      <c r="O37" s="1" t="str" cm="1">
        <f t="array" aca="1" ref="O37" ca="1">IF(INDIRECT(_xlfn.CONCAT("'",$A37,"'!C10"))&gt;=O$2,"d",IF(INDIRECT(_xlfn.CONCAT("'",$A37,"'!C11"))&gt;=O$2,"i",""))</f>
        <v>d</v>
      </c>
      <c r="P37" s="1" t="str" cm="1">
        <f t="array" aca="1" ref="P37" ca="1">IF(INDIRECT(_xlfn.CONCAT("'",$A37,"'!C10"))&gt;=P$2,"d",IF(INDIRECT(_xlfn.CONCAT("'",$A37,"'!C11"))&gt;=P$2,"i",""))</f>
        <v>d</v>
      </c>
      <c r="Q37" s="1" t="str" cm="1">
        <f t="array" aca="1" ref="Q37" ca="1">IF(INDIRECT(_xlfn.CONCAT("'",$A37,"'!C10"))&gt;=Q$2,"d",IF(INDIRECT(_xlfn.CONCAT("'",$A37,"'!C11"))&gt;=Q$2,"i",""))</f>
        <v>d</v>
      </c>
      <c r="R37" s="1" t="str" cm="1">
        <f t="array" aca="1" ref="R37" ca="1">IF(INDIRECT(_xlfn.CONCAT("'",$A37,"'!C10"))&gt;=R$2,"d",IF(INDIRECT(_xlfn.CONCAT("'",$A37,"'!C11"))&gt;=R$2,"i",""))</f>
        <v>d</v>
      </c>
      <c r="S37" s="36"/>
      <c r="T37" s="1" t="str" cm="1">
        <f t="array" aca="1" ref="T37" ca="1">IF(INDIRECT(_xlfn.CONCAT("'",$A37,"'!F4"))&gt;=T$2,"d",IF(INDIRECT(_xlfn.CONCAT("'",$A37,"'!F5"))&gt;=T$2,"i",""))</f>
        <v>d</v>
      </c>
      <c r="U37" s="1" t="str" cm="1">
        <f t="array" aca="1" ref="U37" ca="1">IF(INDIRECT(_xlfn.CONCAT("'",$A37,"'!F4"))&gt;=U$2,"d",IF(INDIRECT(_xlfn.CONCAT("'",$A37,"'!F5"))&gt;=U$2,"i",""))</f>
        <v>d</v>
      </c>
      <c r="V37" s="1" t="str" cm="1">
        <f t="array" aca="1" ref="V37" ca="1">IF(INDIRECT(_xlfn.CONCAT("'",$A37,"'!F4"))&gt;=V$2,"d",IF(INDIRECT(_xlfn.CONCAT("'",$A37,"'!F5"))&gt;=V$2,"i",""))</f>
        <v>d</v>
      </c>
      <c r="W37" s="1" t="str" cm="1">
        <f t="array" aca="1" ref="W37" ca="1">IF(INDIRECT(_xlfn.CONCAT("'",$A37,"'!F4"))&gt;=W$2,"d",IF(INDIRECT(_xlfn.CONCAT("'",$A37,"'!F5"))&gt;=W$2,"i",""))</f>
        <v>d</v>
      </c>
      <c r="X37" s="1" t="str" cm="1">
        <f t="array" aca="1" ref="X37" ca="1">IF(INDIRECT(_xlfn.CONCAT("'",$A37,"'!F4"))&gt;=X$2,"d",IF(INDIRECT(_xlfn.CONCAT("'",$A37,"'!F5"))&gt;=X$2,"i",""))</f>
        <v>d</v>
      </c>
      <c r="Y37" s="1" t="str" cm="1">
        <f t="array" aca="1" ref="Y37" ca="1">IF(INDIRECT(_xlfn.CONCAT("'",$A37,"'!F4"))&gt;=Y$2,"d",IF(INDIRECT(_xlfn.CONCAT("'",$A37,"'!F5"))&gt;=Y$2,"i",""))</f>
        <v>d</v>
      </c>
      <c r="Z37" s="1" t="str" cm="1">
        <f t="array" aca="1" ref="Z37" ca="1">IF(INDIRECT(_xlfn.CONCAT("'",$A37,"'!F4"))&gt;=Z$2,"d",IF(INDIRECT(_xlfn.CONCAT("'",$A37,"'!F5"))&gt;=Z$2,"i",""))</f>
        <v>d</v>
      </c>
      <c r="AA37" s="1" t="str" cm="1">
        <f t="array" aca="1" ref="AA37" ca="1">IF(INDIRECT(_xlfn.CONCAT("'",$A37,"'!F4"))&gt;=AA$2,"d",IF(INDIRECT(_xlfn.CONCAT("'",$A37,"'!F5"))&gt;=AA$2,"i",""))</f>
        <v>d</v>
      </c>
      <c r="AB37" s="1" t="str" cm="1">
        <f t="array" aca="1" ref="AB37" ca="1">IF(INDIRECT(_xlfn.CONCAT("'",$A37,"'!F4"))&gt;=AB$2,"d",IF(INDIRECT(_xlfn.CONCAT("'",$A37,"'!F5"))&gt;=AB$2,"i",""))</f>
        <v/>
      </c>
      <c r="AC37" s="36"/>
      <c r="AD37" s="1" t="str" cm="1">
        <f t="array" aca="1" ref="AD37" ca="1">IF(INDIRECT(_xlfn.CONCAT("'",$A37,"'!F17"))&gt;=AD$2,"d",IF(INDIRECT(_xlfn.CONCAT("'",$A37,"'!F18"))&gt;=AD$2,"i",""))</f>
        <v>d</v>
      </c>
      <c r="AE37" s="1" t="str" cm="1">
        <f t="array" aca="1" ref="AE37" ca="1">IF(INDIRECT(_xlfn.CONCAT("'",$A37,"'!F17"))&gt;=AE$2,"d",IF(INDIRECT(_xlfn.CONCAT("'",$A37,"'!F18"))&gt;=AE$2,"i",""))</f>
        <v>d</v>
      </c>
      <c r="AF37" s="1" t="str" cm="1">
        <f t="array" aca="1" ref="AF37" ca="1">IF(INDIRECT(_xlfn.CONCAT("'",$A37,"'!F17"))&gt;=AF$2,"d",IF(INDIRECT(_xlfn.CONCAT("'",$A37,"'!F18"))&gt;=AF$2,"i",""))</f>
        <v>d</v>
      </c>
      <c r="AG37" s="1" t="str" cm="1">
        <f t="array" aca="1" ref="AG37" ca="1">IF(INDIRECT(_xlfn.CONCAT("'",$A37,"'!F17"))&gt;=AG$2,"d",IF(INDIRECT(_xlfn.CONCAT("'",$A37,"'!F18"))&gt;=AG$2,"i",""))</f>
        <v>d</v>
      </c>
      <c r="AH37" s="1" t="str" cm="1">
        <f t="array" aca="1" ref="AH37" ca="1">IF(INDIRECT(_xlfn.CONCAT("'",$A37,"'!F17"))&gt;=AH$2,"d",IF(INDIRECT(_xlfn.CONCAT("'",$A37,"'!F18"))&gt;=AH$2,"i",""))</f>
        <v>d</v>
      </c>
      <c r="AI37" s="1" t="str" cm="1">
        <f t="array" aca="1" ref="AI37" ca="1">IF(INDIRECT(_xlfn.CONCAT("'",$A37,"'!F17"))&gt;=AI$2,"d",IF(INDIRECT(_xlfn.CONCAT("'",$A37,"'!F18"))&gt;=AI$2,"i",""))</f>
        <v>d</v>
      </c>
      <c r="AJ37" s="1" t="str" cm="1">
        <f t="array" aca="1" ref="AJ37" ca="1">IF(INDIRECT(_xlfn.CONCAT("'",$A37,"'!F17"))&gt;=AJ$2,"d",IF(INDIRECT(_xlfn.CONCAT("'",$A37,"'!F18"))&gt;=AJ$2,"i",""))</f>
        <v>d</v>
      </c>
      <c r="AK37" s="1" t="str" cm="1">
        <f t="array" aca="1" ref="AK37" ca="1">IF(INDIRECT(_xlfn.CONCAT("'",$A37,"'!F17"))&gt;=AK$2,"d",IF(INDIRECT(_xlfn.CONCAT("'",$A37,"'!F18"))&gt;=AK$2,"i",""))</f>
        <v>d</v>
      </c>
      <c r="AL37" s="1" t="str" cm="1">
        <f t="array" aca="1" ref="AL37" ca="1">IF(INDIRECT(_xlfn.CONCAT("'",$A37,"'!F17"))&gt;=AL$2,"d",IF(INDIRECT(_xlfn.CONCAT("'",$A37,"'!F18"))&gt;=AL$2,"i",""))</f>
        <v/>
      </c>
      <c r="AM37" s="36"/>
      <c r="AN37" s="1" t="str" cm="1">
        <f t="array" aca="1" ref="AN37" ca="1">IF(INDIRECT(_xlfn.CONCAT("'",$A37,"'!F30"))&gt;=AN$2,"d",IF(INDIRECT(_xlfn.CONCAT("'",$A37,"'!F31"))&gt;=AN$2,"i",""))</f>
        <v>d</v>
      </c>
      <c r="AO37" s="1" t="str" cm="1">
        <f t="array" aca="1" ref="AO37" ca="1">IF(INDIRECT(_xlfn.CONCAT("'",$A37,"'!F30"))&gt;=AO$2,"d",IF(INDIRECT(_xlfn.CONCAT("'",$A37,"'!F31"))&gt;=AO$2,"i",""))</f>
        <v>d</v>
      </c>
      <c r="AP37" s="1" t="str" cm="1">
        <f t="array" aca="1" ref="AP37" ca="1">IF(INDIRECT(_xlfn.CONCAT("'",$A37,"'!F30"))&gt;=AP$2,"d",IF(INDIRECT(_xlfn.CONCAT("'",$A37,"'!F31"))&gt;=AP$2,"i",""))</f>
        <v>d</v>
      </c>
      <c r="AQ37" s="1" t="str" cm="1">
        <f t="array" aca="1" ref="AQ37" ca="1">IF(INDIRECT(_xlfn.CONCAT("'",$A37,"'!F30"))&gt;=AQ$2,"d",IF(INDIRECT(_xlfn.CONCAT("'",$A37,"'!F31"))&gt;=AQ$2,"i",""))</f>
        <v>d</v>
      </c>
      <c r="AR37" s="1" t="str" cm="1">
        <f t="array" aca="1" ref="AR37" ca="1">IF(INDIRECT(_xlfn.CONCAT("'",$A37,"'!F30"))&gt;=AR$2,"d",IF(INDIRECT(_xlfn.CONCAT("'",$A37,"'!F31"))&gt;=AR$2,"i",""))</f>
        <v>d</v>
      </c>
      <c r="AS37" s="1" t="str" cm="1">
        <f t="array" aca="1" ref="AS37" ca="1">IF(INDIRECT(_xlfn.CONCAT("'",$A37,"'!F30"))&gt;=AS$2,"d",IF(INDIRECT(_xlfn.CONCAT("'",$A37,"'!F31"))&gt;=AS$2,"i",""))</f>
        <v>d</v>
      </c>
      <c r="AT37" s="1" t="str" cm="1">
        <f t="array" aca="1" ref="AT37" ca="1">IF(INDIRECT(_xlfn.CONCAT("'",$A37,"'!F30"))&gt;=AT$2,"d",IF(INDIRECT(_xlfn.CONCAT("'",$A37,"'!F31"))&gt;=AT$2,"i",""))</f>
        <v>d</v>
      </c>
      <c r="AU37" s="1" t="str" cm="1">
        <f t="array" aca="1" ref="AU37" ca="1">IF(INDIRECT(_xlfn.CONCAT("'",$A37,"'!F30"))&gt;=AU$2,"d",IF(INDIRECT(_xlfn.CONCAT("'",$A37,"'!F31"))&gt;=AU$2,"i",""))</f>
        <v>d</v>
      </c>
      <c r="AV37" s="4" t="str" cm="1">
        <f t="array" aca="1" ref="AV37" ca="1">IF(INDIRECT(_xlfn.CONCAT("'",$A37,"'!F30"))&gt;=AV$2,"d",IF(INDIRECT(_xlfn.CONCAT("'",$A37,"'!F31"))&gt;=AV$2,"i",""))</f>
        <v/>
      </c>
    </row>
    <row r="38" spans="1:48" x14ac:dyDescent="0.25">
      <c r="A38" s="101" t="str">
        <v>Hutao</v>
      </c>
      <c r="B38" s="4" t="str">
        <f t="shared" si="0"/>
        <v>Pyro</v>
      </c>
      <c r="C38" s="38" t="str">
        <f t="shared" si="1"/>
        <v>Liyue 2</v>
      </c>
      <c r="D38" s="85" t="str">
        <f t="shared" si="2"/>
        <v>Childe 2</v>
      </c>
      <c r="E38" s="14" t="str" cm="1">
        <f t="array" aca="1" ref="E38" ca="1">IF(INDIRECT(_xlfn.CONCAT("'",$A38,"'!B4"))&gt;=E$2,"d",IF(INDIRECT(_xlfn.CONCAT("'",$A38,"'!B5"))&gt;=E$2,"i",""))</f>
        <v>d</v>
      </c>
      <c r="F38" s="1" t="str" cm="1">
        <f t="array" aca="1" ref="F38" ca="1">IF(INDIRECT(_xlfn.CONCAT("'",$A38,"'!B4"))&gt;=F$2,"d",IF(INDIRECT(_xlfn.CONCAT("'",$A38,"'!B5"))&gt;=F$2,"i",""))</f>
        <v>d</v>
      </c>
      <c r="G38" s="1" t="str" cm="1">
        <f t="array" aca="1" ref="G38" ca="1">IF(INDIRECT(_xlfn.CONCAT("'",$A38,"'!B4"))&gt;=G$2,"d",IF(INDIRECT(_xlfn.CONCAT("'",$A38,"'!B5"))&gt;=G$2,"i",""))</f>
        <v>d</v>
      </c>
      <c r="H38" s="1" t="str" cm="1">
        <f t="array" aca="1" ref="H38" ca="1">IF(INDIRECT(_xlfn.CONCAT("'",$A38,"'!B4"))&gt;=H$2,"d",IF(INDIRECT(_xlfn.CONCAT("'",$A38,"'!B5"))&gt;=H$2,"i",""))</f>
        <v>d</v>
      </c>
      <c r="I38" s="1" t="str" cm="1">
        <f t="array" aca="1" ref="I38" ca="1">IF(INDIRECT(_xlfn.CONCAT("'",$A38,"'!B4"))&gt;=I$2,"d",IF(INDIRECT(_xlfn.CONCAT("'",$A38,"'!B5"))&gt;=I$2,"i",""))</f>
        <v>d</v>
      </c>
      <c r="J38" s="1" t="str" cm="1">
        <f t="array" aca="1" ref="J38" ca="1">IF(INDIRECT(_xlfn.CONCAT("'",$A38,"'!B4"))&gt;=J$2,"d",IF(INDIRECT(_xlfn.CONCAT("'",$A38,"'!B5"))&gt;=J$2,"i",""))</f>
        <v>d</v>
      </c>
      <c r="K38" s="4" t="str" cm="1">
        <f t="array" aca="1" ref="K38" ca="1">IF(INDIRECT(_xlfn.CONCAT("'",$A38,"'!B4"))&gt;=K$2,"d",IF(INDIRECT(_xlfn.CONCAT("'",$A38,"'!B5"))&gt;=K$2,"i",""))</f>
        <v>d</v>
      </c>
      <c r="L38" s="39"/>
      <c r="M38" s="1" t="str" cm="1">
        <f t="array" aca="1" ref="M38" ca="1">IF(INDIRECT(_xlfn.CONCAT("'",$A38,"'!C10"))&gt;=M$2,"d",IF(INDIRECT(_xlfn.CONCAT("'",$A38,"'!C11"))&gt;=M$2,"i",""))</f>
        <v>d</v>
      </c>
      <c r="N38" s="1" t="str" cm="1">
        <f t="array" aca="1" ref="N38" ca="1">IF(INDIRECT(_xlfn.CONCAT("'",$A38,"'!C10"))&gt;=N$2,"d",IF(INDIRECT(_xlfn.CONCAT("'",$A38,"'!C11"))&gt;=N$2,"i",""))</f>
        <v>d</v>
      </c>
      <c r="O38" s="1" t="str" cm="1">
        <f t="array" aca="1" ref="O38" ca="1">IF(INDIRECT(_xlfn.CONCAT("'",$A38,"'!C10"))&gt;=O$2,"d",IF(INDIRECT(_xlfn.CONCAT("'",$A38,"'!C11"))&gt;=O$2,"i",""))</f>
        <v>d</v>
      </c>
      <c r="P38" s="1" t="str" cm="1">
        <f t="array" aca="1" ref="P38" ca="1">IF(INDIRECT(_xlfn.CONCAT("'",$A38,"'!C10"))&gt;=P$2,"d",IF(INDIRECT(_xlfn.CONCAT("'",$A38,"'!C11"))&gt;=P$2,"i",""))</f>
        <v>d</v>
      </c>
      <c r="Q38" s="1" t="str" cm="1">
        <f t="array" aca="1" ref="Q38" ca="1">IF(INDIRECT(_xlfn.CONCAT("'",$A38,"'!C10"))&gt;=Q$2,"d",IF(INDIRECT(_xlfn.CONCAT("'",$A38,"'!C11"))&gt;=Q$2,"i",""))</f>
        <v>d</v>
      </c>
      <c r="R38" s="1" t="str" cm="1">
        <f t="array" aca="1" ref="R38" ca="1">IF(INDIRECT(_xlfn.CONCAT("'",$A38,"'!C10"))&gt;=R$2,"d",IF(INDIRECT(_xlfn.CONCAT("'",$A38,"'!C11"))&gt;=R$2,"i",""))</f>
        <v>d</v>
      </c>
      <c r="S38" s="36"/>
      <c r="T38" s="1" t="str" cm="1">
        <f t="array" aca="1" ref="T38" ca="1">IF(INDIRECT(_xlfn.CONCAT("'",$A38,"'!F4"))&gt;=T$2,"d",IF(INDIRECT(_xlfn.CONCAT("'",$A38,"'!F5"))&gt;=T$2,"i",""))</f>
        <v>d</v>
      </c>
      <c r="U38" s="1" t="str" cm="1">
        <f t="array" aca="1" ref="U38" ca="1">IF(INDIRECT(_xlfn.CONCAT("'",$A38,"'!F4"))&gt;=U$2,"d",IF(INDIRECT(_xlfn.CONCAT("'",$A38,"'!F5"))&gt;=U$2,"i",""))</f>
        <v>d</v>
      </c>
      <c r="V38" s="1" t="str" cm="1">
        <f t="array" aca="1" ref="V38" ca="1">IF(INDIRECT(_xlfn.CONCAT("'",$A38,"'!F4"))&gt;=V$2,"d",IF(INDIRECT(_xlfn.CONCAT("'",$A38,"'!F5"))&gt;=V$2,"i",""))</f>
        <v>d</v>
      </c>
      <c r="W38" s="1" t="str" cm="1">
        <f t="array" aca="1" ref="W38" ca="1">IF(INDIRECT(_xlfn.CONCAT("'",$A38,"'!F4"))&gt;=W$2,"d",IF(INDIRECT(_xlfn.CONCAT("'",$A38,"'!F5"))&gt;=W$2,"i",""))</f>
        <v>d</v>
      </c>
      <c r="X38" s="1" t="str" cm="1">
        <f t="array" aca="1" ref="X38" ca="1">IF(INDIRECT(_xlfn.CONCAT("'",$A38,"'!F4"))&gt;=X$2,"d",IF(INDIRECT(_xlfn.CONCAT("'",$A38,"'!F5"))&gt;=X$2,"i",""))</f>
        <v>d</v>
      </c>
      <c r="Y38" s="1" t="str" cm="1">
        <f t="array" aca="1" ref="Y38" ca="1">IF(INDIRECT(_xlfn.CONCAT("'",$A38,"'!F4"))&gt;=Y$2,"d",IF(INDIRECT(_xlfn.CONCAT("'",$A38,"'!F5"))&gt;=Y$2,"i",""))</f>
        <v>d</v>
      </c>
      <c r="Z38" s="1" t="str" cm="1">
        <f t="array" aca="1" ref="Z38" ca="1">IF(INDIRECT(_xlfn.CONCAT("'",$A38,"'!F4"))&gt;=Z$2,"d",IF(INDIRECT(_xlfn.CONCAT("'",$A38,"'!F5"))&gt;=Z$2,"i",""))</f>
        <v>d</v>
      </c>
      <c r="AA38" s="1" t="str" cm="1">
        <f t="array" aca="1" ref="AA38" ca="1">IF(INDIRECT(_xlfn.CONCAT("'",$A38,"'!F4"))&gt;=AA$2,"d",IF(INDIRECT(_xlfn.CONCAT("'",$A38,"'!F5"))&gt;=AA$2,"i",""))</f>
        <v>d</v>
      </c>
      <c r="AB38" s="1" t="str" cm="1">
        <f t="array" aca="1" ref="AB38" ca="1">IF(INDIRECT(_xlfn.CONCAT("'",$A38,"'!F4"))&gt;=AB$2,"d",IF(INDIRECT(_xlfn.CONCAT("'",$A38,"'!F5"))&gt;=AB$2,"i",""))</f>
        <v/>
      </c>
      <c r="AC38" s="36"/>
      <c r="AD38" s="1" t="str" cm="1">
        <f t="array" aca="1" ref="AD38" ca="1">IF(INDIRECT(_xlfn.CONCAT("'",$A38,"'!F17"))&gt;=AD$2,"d",IF(INDIRECT(_xlfn.CONCAT("'",$A38,"'!F18"))&gt;=AD$2,"i",""))</f>
        <v>d</v>
      </c>
      <c r="AE38" s="1" t="str" cm="1">
        <f t="array" aca="1" ref="AE38" ca="1">IF(INDIRECT(_xlfn.CONCAT("'",$A38,"'!F17"))&gt;=AE$2,"d",IF(INDIRECT(_xlfn.CONCAT("'",$A38,"'!F18"))&gt;=AE$2,"i",""))</f>
        <v>d</v>
      </c>
      <c r="AF38" s="1" t="str" cm="1">
        <f t="array" aca="1" ref="AF38" ca="1">IF(INDIRECT(_xlfn.CONCAT("'",$A38,"'!F17"))&gt;=AF$2,"d",IF(INDIRECT(_xlfn.CONCAT("'",$A38,"'!F18"))&gt;=AF$2,"i",""))</f>
        <v>d</v>
      </c>
      <c r="AG38" s="1" t="str" cm="1">
        <f t="array" aca="1" ref="AG38" ca="1">IF(INDIRECT(_xlfn.CONCAT("'",$A38,"'!F17"))&gt;=AG$2,"d",IF(INDIRECT(_xlfn.CONCAT("'",$A38,"'!F18"))&gt;=AG$2,"i",""))</f>
        <v>d</v>
      </c>
      <c r="AH38" s="1" t="str" cm="1">
        <f t="array" aca="1" ref="AH38" ca="1">IF(INDIRECT(_xlfn.CONCAT("'",$A38,"'!F17"))&gt;=AH$2,"d",IF(INDIRECT(_xlfn.CONCAT("'",$A38,"'!F18"))&gt;=AH$2,"i",""))</f>
        <v>d</v>
      </c>
      <c r="AI38" s="1" t="str" cm="1">
        <f t="array" aca="1" ref="AI38" ca="1">IF(INDIRECT(_xlfn.CONCAT("'",$A38,"'!F17"))&gt;=AI$2,"d",IF(INDIRECT(_xlfn.CONCAT("'",$A38,"'!F18"))&gt;=AI$2,"i",""))</f>
        <v>d</v>
      </c>
      <c r="AJ38" s="1" t="str" cm="1">
        <f t="array" aca="1" ref="AJ38" ca="1">IF(INDIRECT(_xlfn.CONCAT("'",$A38,"'!F17"))&gt;=AJ$2,"d",IF(INDIRECT(_xlfn.CONCAT("'",$A38,"'!F18"))&gt;=AJ$2,"i",""))</f>
        <v>d</v>
      </c>
      <c r="AK38" s="1" t="str" cm="1">
        <f t="array" aca="1" ref="AK38" ca="1">IF(INDIRECT(_xlfn.CONCAT("'",$A38,"'!F17"))&gt;=AK$2,"d",IF(INDIRECT(_xlfn.CONCAT("'",$A38,"'!F18"))&gt;=AK$2,"i",""))</f>
        <v>d</v>
      </c>
      <c r="AL38" s="1" t="str" cm="1">
        <f t="array" aca="1" ref="AL38" ca="1">IF(INDIRECT(_xlfn.CONCAT("'",$A38,"'!F17"))&gt;=AL$2,"d",IF(INDIRECT(_xlfn.CONCAT("'",$A38,"'!F18"))&gt;=AL$2,"i",""))</f>
        <v/>
      </c>
      <c r="AM38" s="36"/>
      <c r="AN38" s="1" t="str" cm="1">
        <f t="array" aca="1" ref="AN38" ca="1">IF(INDIRECT(_xlfn.CONCAT("'",$A38,"'!F30"))&gt;=AN$2,"d",IF(INDIRECT(_xlfn.CONCAT("'",$A38,"'!F31"))&gt;=AN$2,"i",""))</f>
        <v>d</v>
      </c>
      <c r="AO38" s="1" t="str" cm="1">
        <f t="array" aca="1" ref="AO38" ca="1">IF(INDIRECT(_xlfn.CONCAT("'",$A38,"'!F30"))&gt;=AO$2,"d",IF(INDIRECT(_xlfn.CONCAT("'",$A38,"'!F31"))&gt;=AO$2,"i",""))</f>
        <v>d</v>
      </c>
      <c r="AP38" s="1" t="str" cm="1">
        <f t="array" aca="1" ref="AP38" ca="1">IF(INDIRECT(_xlfn.CONCAT("'",$A38,"'!F30"))&gt;=AP$2,"d",IF(INDIRECT(_xlfn.CONCAT("'",$A38,"'!F31"))&gt;=AP$2,"i",""))</f>
        <v>d</v>
      </c>
      <c r="AQ38" s="1" t="str" cm="1">
        <f t="array" aca="1" ref="AQ38" ca="1">IF(INDIRECT(_xlfn.CONCAT("'",$A38,"'!F30"))&gt;=AQ$2,"d",IF(INDIRECT(_xlfn.CONCAT("'",$A38,"'!F31"))&gt;=AQ$2,"i",""))</f>
        <v>d</v>
      </c>
      <c r="AR38" s="1" t="str" cm="1">
        <f t="array" aca="1" ref="AR38" ca="1">IF(INDIRECT(_xlfn.CONCAT("'",$A38,"'!F30"))&gt;=AR$2,"d",IF(INDIRECT(_xlfn.CONCAT("'",$A38,"'!F31"))&gt;=AR$2,"i",""))</f>
        <v>d</v>
      </c>
      <c r="AS38" s="1" t="str" cm="1">
        <f t="array" aca="1" ref="AS38" ca="1">IF(INDIRECT(_xlfn.CONCAT("'",$A38,"'!F30"))&gt;=AS$2,"d",IF(INDIRECT(_xlfn.CONCAT("'",$A38,"'!F31"))&gt;=AS$2,"i",""))</f>
        <v>d</v>
      </c>
      <c r="AT38" s="1" t="str" cm="1">
        <f t="array" aca="1" ref="AT38" ca="1">IF(INDIRECT(_xlfn.CONCAT("'",$A38,"'!F30"))&gt;=AT$2,"d",IF(INDIRECT(_xlfn.CONCAT("'",$A38,"'!F31"))&gt;=AT$2,"i",""))</f>
        <v>d</v>
      </c>
      <c r="AU38" s="1" t="str" cm="1">
        <f t="array" aca="1" ref="AU38" ca="1">IF(INDIRECT(_xlfn.CONCAT("'",$A38,"'!F30"))&gt;=AU$2,"d",IF(INDIRECT(_xlfn.CONCAT("'",$A38,"'!F31"))&gt;=AU$2,"i",""))</f>
        <v>d</v>
      </c>
      <c r="AV38" s="4" t="str" cm="1">
        <f t="array" aca="1" ref="AV38" ca="1">IF(INDIRECT(_xlfn.CONCAT("'",$A38,"'!F30"))&gt;=AV$2,"d",IF(INDIRECT(_xlfn.CONCAT("'",$A38,"'!F31"))&gt;=AV$2,"i",""))</f>
        <v/>
      </c>
    </row>
    <row r="39" spans="1:48" x14ac:dyDescent="0.25">
      <c r="A39" s="101" t="str">
        <v>Rosaria</v>
      </c>
      <c r="B39" s="4" t="str">
        <f t="shared" si="0"/>
        <v>Cryo</v>
      </c>
      <c r="C39" s="38" t="str">
        <f t="shared" si="1"/>
        <v>Mondstadt 3</v>
      </c>
      <c r="D39" s="85" t="str">
        <f t="shared" si="2"/>
        <v>Childe 3</v>
      </c>
      <c r="E39" s="14" t="str" cm="1">
        <f t="array" aca="1" ref="E39" ca="1">IF(INDIRECT(_xlfn.CONCAT("'",$A39,"'!B4"))&gt;=E$2,"d",IF(INDIRECT(_xlfn.CONCAT("'",$A39,"'!B5"))&gt;=E$2,"i",""))</f>
        <v>d</v>
      </c>
      <c r="F39" s="1" t="str" cm="1">
        <f t="array" aca="1" ref="F39" ca="1">IF(INDIRECT(_xlfn.CONCAT("'",$A39,"'!B4"))&gt;=F$2,"d",IF(INDIRECT(_xlfn.CONCAT("'",$A39,"'!B5"))&gt;=F$2,"i",""))</f>
        <v>d</v>
      </c>
      <c r="G39" s="1" t="str" cm="1">
        <f t="array" aca="1" ref="G39" ca="1">IF(INDIRECT(_xlfn.CONCAT("'",$A39,"'!B4"))&gt;=G$2,"d",IF(INDIRECT(_xlfn.CONCAT("'",$A39,"'!B5"))&gt;=G$2,"i",""))</f>
        <v>d</v>
      </c>
      <c r="H39" s="1" t="str" cm="1">
        <f t="array" aca="1" ref="H39" ca="1">IF(INDIRECT(_xlfn.CONCAT("'",$A39,"'!B4"))&gt;=H$2,"d",IF(INDIRECT(_xlfn.CONCAT("'",$A39,"'!B5"))&gt;=H$2,"i",""))</f>
        <v>d</v>
      </c>
      <c r="I39" s="1" t="str" cm="1">
        <f t="array" aca="1" ref="I39" ca="1">IF(INDIRECT(_xlfn.CONCAT("'",$A39,"'!B4"))&gt;=I$2,"d",IF(INDIRECT(_xlfn.CONCAT("'",$A39,"'!B5"))&gt;=I$2,"i",""))</f>
        <v>d</v>
      </c>
      <c r="J39" s="1" t="str" cm="1">
        <f t="array" aca="1" ref="J39" ca="1">IF(INDIRECT(_xlfn.CONCAT("'",$A39,"'!B4"))&gt;=J$2,"d",IF(INDIRECT(_xlfn.CONCAT("'",$A39,"'!B5"))&gt;=J$2,"i",""))</f>
        <v>d</v>
      </c>
      <c r="K39" s="4" t="str" cm="1">
        <f t="array" aca="1" ref="K39" ca="1">IF(INDIRECT(_xlfn.CONCAT("'",$A39,"'!B4"))&gt;=K$2,"d",IF(INDIRECT(_xlfn.CONCAT("'",$A39,"'!B5"))&gt;=K$2,"i",""))</f>
        <v>d</v>
      </c>
      <c r="L39" s="39"/>
      <c r="M39" s="1" t="str" cm="1">
        <f t="array" aca="1" ref="M39" ca="1">IF(INDIRECT(_xlfn.CONCAT("'",$A39,"'!C10"))&gt;=M$2,"d",IF(INDIRECT(_xlfn.CONCAT("'",$A39,"'!C11"))&gt;=M$2,"i",""))</f>
        <v>d</v>
      </c>
      <c r="N39" s="1" t="str" cm="1">
        <f t="array" aca="1" ref="N39" ca="1">IF(INDIRECT(_xlfn.CONCAT("'",$A39,"'!C10"))&gt;=N$2,"d",IF(INDIRECT(_xlfn.CONCAT("'",$A39,"'!C11"))&gt;=N$2,"i",""))</f>
        <v>d</v>
      </c>
      <c r="O39" s="1" t="str" cm="1">
        <f t="array" aca="1" ref="O39" ca="1">IF(INDIRECT(_xlfn.CONCAT("'",$A39,"'!C10"))&gt;=O$2,"d",IF(INDIRECT(_xlfn.CONCAT("'",$A39,"'!C11"))&gt;=O$2,"i",""))</f>
        <v>d</v>
      </c>
      <c r="P39" s="1" t="str" cm="1">
        <f t="array" aca="1" ref="P39" ca="1">IF(INDIRECT(_xlfn.CONCAT("'",$A39,"'!C10"))&gt;=P$2,"d",IF(INDIRECT(_xlfn.CONCAT("'",$A39,"'!C11"))&gt;=P$2,"i",""))</f>
        <v>d</v>
      </c>
      <c r="Q39" s="1" t="str" cm="1">
        <f t="array" aca="1" ref="Q39" ca="1">IF(INDIRECT(_xlfn.CONCAT("'",$A39,"'!C10"))&gt;=Q$2,"d",IF(INDIRECT(_xlfn.CONCAT("'",$A39,"'!C11"))&gt;=Q$2,"i",""))</f>
        <v>d</v>
      </c>
      <c r="R39" s="1" t="str" cm="1">
        <f t="array" aca="1" ref="R39" ca="1">IF(INDIRECT(_xlfn.CONCAT("'",$A39,"'!C10"))&gt;=R$2,"d",IF(INDIRECT(_xlfn.CONCAT("'",$A39,"'!C11"))&gt;=R$2,"i",""))</f>
        <v>d</v>
      </c>
      <c r="S39" s="36"/>
      <c r="T39" s="1" t="str" cm="1">
        <f t="array" aca="1" ref="T39" ca="1">IF(INDIRECT(_xlfn.CONCAT("'",$A39,"'!F4"))&gt;=T$2,"d",IF(INDIRECT(_xlfn.CONCAT("'",$A39,"'!F5"))&gt;=T$2,"i",""))</f>
        <v>d</v>
      </c>
      <c r="U39" s="1" t="str" cm="1">
        <f t="array" aca="1" ref="U39" ca="1">IF(INDIRECT(_xlfn.CONCAT("'",$A39,"'!F4"))&gt;=U$2,"d",IF(INDIRECT(_xlfn.CONCAT("'",$A39,"'!F5"))&gt;=U$2,"i",""))</f>
        <v>d</v>
      </c>
      <c r="V39" s="1" t="str" cm="1">
        <f t="array" aca="1" ref="V39" ca="1">IF(INDIRECT(_xlfn.CONCAT("'",$A39,"'!F4"))&gt;=V$2,"d",IF(INDIRECT(_xlfn.CONCAT("'",$A39,"'!F5"))&gt;=V$2,"i",""))</f>
        <v>d</v>
      </c>
      <c r="W39" s="1" t="str" cm="1">
        <f t="array" aca="1" ref="W39" ca="1">IF(INDIRECT(_xlfn.CONCAT("'",$A39,"'!F4"))&gt;=W$2,"d",IF(INDIRECT(_xlfn.CONCAT("'",$A39,"'!F5"))&gt;=W$2,"i",""))</f>
        <v>d</v>
      </c>
      <c r="X39" s="1" t="str" cm="1">
        <f t="array" aca="1" ref="X39" ca="1">IF(INDIRECT(_xlfn.CONCAT("'",$A39,"'!F4"))&gt;=X$2,"d",IF(INDIRECT(_xlfn.CONCAT("'",$A39,"'!F5"))&gt;=X$2,"i",""))</f>
        <v>d</v>
      </c>
      <c r="Y39" s="1" t="str" cm="1">
        <f t="array" aca="1" ref="Y39" ca="1">IF(INDIRECT(_xlfn.CONCAT("'",$A39,"'!F4"))&gt;=Y$2,"d",IF(INDIRECT(_xlfn.CONCAT("'",$A39,"'!F5"))&gt;=Y$2,"i",""))</f>
        <v>d</v>
      </c>
      <c r="Z39" s="1" t="str" cm="1">
        <f t="array" aca="1" ref="Z39" ca="1">IF(INDIRECT(_xlfn.CONCAT("'",$A39,"'!F4"))&gt;=Z$2,"d",IF(INDIRECT(_xlfn.CONCAT("'",$A39,"'!F5"))&gt;=Z$2,"i",""))</f>
        <v>d</v>
      </c>
      <c r="AA39" s="1" t="str" cm="1">
        <f t="array" aca="1" ref="AA39" ca="1">IF(INDIRECT(_xlfn.CONCAT("'",$A39,"'!F4"))&gt;=AA$2,"d",IF(INDIRECT(_xlfn.CONCAT("'",$A39,"'!F5"))&gt;=AA$2,"i",""))</f>
        <v>d</v>
      </c>
      <c r="AB39" s="1" t="str" cm="1">
        <f t="array" aca="1" ref="AB39" ca="1">IF(INDIRECT(_xlfn.CONCAT("'",$A39,"'!F4"))&gt;=AB$2,"d",IF(INDIRECT(_xlfn.CONCAT("'",$A39,"'!F5"))&gt;=AB$2,"i",""))</f>
        <v/>
      </c>
      <c r="AC39" s="36"/>
      <c r="AD39" s="1" t="str" cm="1">
        <f t="array" aca="1" ref="AD39" ca="1">IF(INDIRECT(_xlfn.CONCAT("'",$A39,"'!F17"))&gt;=AD$2,"d",IF(INDIRECT(_xlfn.CONCAT("'",$A39,"'!F18"))&gt;=AD$2,"i",""))</f>
        <v>d</v>
      </c>
      <c r="AE39" s="1" t="str" cm="1">
        <f t="array" aca="1" ref="AE39" ca="1">IF(INDIRECT(_xlfn.CONCAT("'",$A39,"'!F17"))&gt;=AE$2,"d",IF(INDIRECT(_xlfn.CONCAT("'",$A39,"'!F18"))&gt;=AE$2,"i",""))</f>
        <v>d</v>
      </c>
      <c r="AF39" s="1" t="str" cm="1">
        <f t="array" aca="1" ref="AF39" ca="1">IF(INDIRECT(_xlfn.CONCAT("'",$A39,"'!F17"))&gt;=AF$2,"d",IF(INDIRECT(_xlfn.CONCAT("'",$A39,"'!F18"))&gt;=AF$2,"i",""))</f>
        <v>d</v>
      </c>
      <c r="AG39" s="1" t="str" cm="1">
        <f t="array" aca="1" ref="AG39" ca="1">IF(INDIRECT(_xlfn.CONCAT("'",$A39,"'!F17"))&gt;=AG$2,"d",IF(INDIRECT(_xlfn.CONCAT("'",$A39,"'!F18"))&gt;=AG$2,"i",""))</f>
        <v>d</v>
      </c>
      <c r="AH39" s="1" t="str" cm="1">
        <f t="array" aca="1" ref="AH39" ca="1">IF(INDIRECT(_xlfn.CONCAT("'",$A39,"'!F17"))&gt;=AH$2,"d",IF(INDIRECT(_xlfn.CONCAT("'",$A39,"'!F18"))&gt;=AH$2,"i",""))</f>
        <v>d</v>
      </c>
      <c r="AI39" s="1" t="str" cm="1">
        <f t="array" aca="1" ref="AI39" ca="1">IF(INDIRECT(_xlfn.CONCAT("'",$A39,"'!F17"))&gt;=AI$2,"d",IF(INDIRECT(_xlfn.CONCAT("'",$A39,"'!F18"))&gt;=AI$2,"i",""))</f>
        <v>d</v>
      </c>
      <c r="AJ39" s="1" t="str" cm="1">
        <f t="array" aca="1" ref="AJ39" ca="1">IF(INDIRECT(_xlfn.CONCAT("'",$A39,"'!F17"))&gt;=AJ$2,"d",IF(INDIRECT(_xlfn.CONCAT("'",$A39,"'!F18"))&gt;=AJ$2,"i",""))</f>
        <v>d</v>
      </c>
      <c r="AK39" s="1" t="str" cm="1">
        <f t="array" aca="1" ref="AK39" ca="1">IF(INDIRECT(_xlfn.CONCAT("'",$A39,"'!F17"))&gt;=AK$2,"d",IF(INDIRECT(_xlfn.CONCAT("'",$A39,"'!F18"))&gt;=AK$2,"i",""))</f>
        <v>d</v>
      </c>
      <c r="AL39" s="1" t="str" cm="1">
        <f t="array" aca="1" ref="AL39" ca="1">IF(INDIRECT(_xlfn.CONCAT("'",$A39,"'!F17"))&gt;=AL$2,"d",IF(INDIRECT(_xlfn.CONCAT("'",$A39,"'!F18"))&gt;=AL$2,"i",""))</f>
        <v/>
      </c>
      <c r="AM39" s="36"/>
      <c r="AN39" s="1" t="str" cm="1">
        <f t="array" aca="1" ref="AN39" ca="1">IF(INDIRECT(_xlfn.CONCAT("'",$A39,"'!F30"))&gt;=AN$2,"d",IF(INDIRECT(_xlfn.CONCAT("'",$A39,"'!F31"))&gt;=AN$2,"i",""))</f>
        <v>d</v>
      </c>
      <c r="AO39" s="1" t="str" cm="1">
        <f t="array" aca="1" ref="AO39" ca="1">IF(INDIRECT(_xlfn.CONCAT("'",$A39,"'!F30"))&gt;=AO$2,"d",IF(INDIRECT(_xlfn.CONCAT("'",$A39,"'!F31"))&gt;=AO$2,"i",""))</f>
        <v>d</v>
      </c>
      <c r="AP39" s="1" t="str" cm="1">
        <f t="array" aca="1" ref="AP39" ca="1">IF(INDIRECT(_xlfn.CONCAT("'",$A39,"'!F30"))&gt;=AP$2,"d",IF(INDIRECT(_xlfn.CONCAT("'",$A39,"'!F31"))&gt;=AP$2,"i",""))</f>
        <v>d</v>
      </c>
      <c r="AQ39" s="1" t="str" cm="1">
        <f t="array" aca="1" ref="AQ39" ca="1">IF(INDIRECT(_xlfn.CONCAT("'",$A39,"'!F30"))&gt;=AQ$2,"d",IF(INDIRECT(_xlfn.CONCAT("'",$A39,"'!F31"))&gt;=AQ$2,"i",""))</f>
        <v>d</v>
      </c>
      <c r="AR39" s="1" t="str" cm="1">
        <f t="array" aca="1" ref="AR39" ca="1">IF(INDIRECT(_xlfn.CONCAT("'",$A39,"'!F30"))&gt;=AR$2,"d",IF(INDIRECT(_xlfn.CONCAT("'",$A39,"'!F31"))&gt;=AR$2,"i",""))</f>
        <v>d</v>
      </c>
      <c r="AS39" s="1" t="str" cm="1">
        <f t="array" aca="1" ref="AS39" ca="1">IF(INDIRECT(_xlfn.CONCAT("'",$A39,"'!F30"))&gt;=AS$2,"d",IF(INDIRECT(_xlfn.CONCAT("'",$A39,"'!F31"))&gt;=AS$2,"i",""))</f>
        <v>d</v>
      </c>
      <c r="AT39" s="1" t="str" cm="1">
        <f t="array" aca="1" ref="AT39" ca="1">IF(INDIRECT(_xlfn.CONCAT("'",$A39,"'!F30"))&gt;=AT$2,"d",IF(INDIRECT(_xlfn.CONCAT("'",$A39,"'!F31"))&gt;=AT$2,"i",""))</f>
        <v>d</v>
      </c>
      <c r="AU39" s="1" t="str" cm="1">
        <f t="array" aca="1" ref="AU39" ca="1">IF(INDIRECT(_xlfn.CONCAT("'",$A39,"'!F30"))&gt;=AU$2,"d",IF(INDIRECT(_xlfn.CONCAT("'",$A39,"'!F31"))&gt;=AU$2,"i",""))</f>
        <v>d</v>
      </c>
      <c r="AV39" s="4" t="str" cm="1">
        <f t="array" aca="1" ref="AV39" ca="1">IF(INDIRECT(_xlfn.CONCAT("'",$A39,"'!F30"))&gt;=AV$2,"d",IF(INDIRECT(_xlfn.CONCAT("'",$A39,"'!F31"))&gt;=AV$2,"i",""))</f>
        <v/>
      </c>
    </row>
    <row r="40" spans="1:48" x14ac:dyDescent="0.25">
      <c r="A40" s="101" t="str">
        <v>Yanfei</v>
      </c>
      <c r="B40" s="4" t="str">
        <f t="shared" si="0"/>
        <v>Pyro</v>
      </c>
      <c r="C40" s="38" t="str">
        <f t="shared" si="1"/>
        <v>Liyue 3</v>
      </c>
      <c r="D40" s="85" t="str">
        <f t="shared" si="2"/>
        <v>Azhdaha 2</v>
      </c>
      <c r="E40" s="14" t="str" cm="1">
        <f t="array" aca="1" ref="E40" ca="1">IF(INDIRECT(_xlfn.CONCAT("'",$A40,"'!B4"))&gt;=E$2,"d",IF(INDIRECT(_xlfn.CONCAT("'",$A40,"'!B5"))&gt;=E$2,"i",""))</f>
        <v>d</v>
      </c>
      <c r="F40" s="1" t="str" cm="1">
        <f t="array" aca="1" ref="F40" ca="1">IF(INDIRECT(_xlfn.CONCAT("'",$A40,"'!B4"))&gt;=F$2,"d",IF(INDIRECT(_xlfn.CONCAT("'",$A40,"'!B5"))&gt;=F$2,"i",""))</f>
        <v>d</v>
      </c>
      <c r="G40" s="1" t="str" cm="1">
        <f t="array" aca="1" ref="G40" ca="1">IF(INDIRECT(_xlfn.CONCAT("'",$A40,"'!B4"))&gt;=G$2,"d",IF(INDIRECT(_xlfn.CONCAT("'",$A40,"'!B5"))&gt;=G$2,"i",""))</f>
        <v>d</v>
      </c>
      <c r="H40" s="1" t="str" cm="1">
        <f t="array" aca="1" ref="H40" ca="1">IF(INDIRECT(_xlfn.CONCAT("'",$A40,"'!B4"))&gt;=H$2,"d",IF(INDIRECT(_xlfn.CONCAT("'",$A40,"'!B5"))&gt;=H$2,"i",""))</f>
        <v>d</v>
      </c>
      <c r="I40" s="1" t="str" cm="1">
        <f t="array" aca="1" ref="I40" ca="1">IF(INDIRECT(_xlfn.CONCAT("'",$A40,"'!B4"))&gt;=I$2,"d",IF(INDIRECT(_xlfn.CONCAT("'",$A40,"'!B5"))&gt;=I$2,"i",""))</f>
        <v>d</v>
      </c>
      <c r="J40" s="1" t="str" cm="1">
        <f t="array" aca="1" ref="J40" ca="1">IF(INDIRECT(_xlfn.CONCAT("'",$A40,"'!B4"))&gt;=J$2,"d",IF(INDIRECT(_xlfn.CONCAT("'",$A40,"'!B5"))&gt;=J$2,"i",""))</f>
        <v>d</v>
      </c>
      <c r="K40" s="4" t="str" cm="1">
        <f t="array" aca="1" ref="K40" ca="1">IF(INDIRECT(_xlfn.CONCAT("'",$A40,"'!B4"))&gt;=K$2,"d",IF(INDIRECT(_xlfn.CONCAT("'",$A40,"'!B5"))&gt;=K$2,"i",""))</f>
        <v>d</v>
      </c>
      <c r="L40" s="39"/>
      <c r="M40" s="1" t="str" cm="1">
        <f t="array" aca="1" ref="M40" ca="1">IF(INDIRECT(_xlfn.CONCAT("'",$A40,"'!C10"))&gt;=M$2,"d",IF(INDIRECT(_xlfn.CONCAT("'",$A40,"'!C11"))&gt;=M$2,"i",""))</f>
        <v>d</v>
      </c>
      <c r="N40" s="1" t="str" cm="1">
        <f t="array" aca="1" ref="N40" ca="1">IF(INDIRECT(_xlfn.CONCAT("'",$A40,"'!C10"))&gt;=N$2,"d",IF(INDIRECT(_xlfn.CONCAT("'",$A40,"'!C11"))&gt;=N$2,"i",""))</f>
        <v>d</v>
      </c>
      <c r="O40" s="1" t="str" cm="1">
        <f t="array" aca="1" ref="O40" ca="1">IF(INDIRECT(_xlfn.CONCAT("'",$A40,"'!C10"))&gt;=O$2,"d",IF(INDIRECT(_xlfn.CONCAT("'",$A40,"'!C11"))&gt;=O$2,"i",""))</f>
        <v>d</v>
      </c>
      <c r="P40" s="1" t="str" cm="1">
        <f t="array" aca="1" ref="P40" ca="1">IF(INDIRECT(_xlfn.CONCAT("'",$A40,"'!C10"))&gt;=P$2,"d",IF(INDIRECT(_xlfn.CONCAT("'",$A40,"'!C11"))&gt;=P$2,"i",""))</f>
        <v>d</v>
      </c>
      <c r="Q40" s="1" t="str" cm="1">
        <f t="array" aca="1" ref="Q40" ca="1">IF(INDIRECT(_xlfn.CONCAT("'",$A40,"'!C10"))&gt;=Q$2,"d",IF(INDIRECT(_xlfn.CONCAT("'",$A40,"'!C11"))&gt;=Q$2,"i",""))</f>
        <v>d</v>
      </c>
      <c r="R40" s="1" t="str" cm="1">
        <f t="array" aca="1" ref="R40" ca="1">IF(INDIRECT(_xlfn.CONCAT("'",$A40,"'!C10"))&gt;=R$2,"d",IF(INDIRECT(_xlfn.CONCAT("'",$A40,"'!C11"))&gt;=R$2,"i",""))</f>
        <v>d</v>
      </c>
      <c r="S40" s="36"/>
      <c r="T40" s="1" t="str" cm="1">
        <f t="array" aca="1" ref="T40" ca="1">IF(INDIRECT(_xlfn.CONCAT("'",$A40,"'!F4"))&gt;=T$2,"d",IF(INDIRECT(_xlfn.CONCAT("'",$A40,"'!F5"))&gt;=T$2,"i",""))</f>
        <v>d</v>
      </c>
      <c r="U40" s="1" t="str" cm="1">
        <f t="array" aca="1" ref="U40" ca="1">IF(INDIRECT(_xlfn.CONCAT("'",$A40,"'!F4"))&gt;=U$2,"d",IF(INDIRECT(_xlfn.CONCAT("'",$A40,"'!F5"))&gt;=U$2,"i",""))</f>
        <v>d</v>
      </c>
      <c r="V40" s="1" t="str" cm="1">
        <f t="array" aca="1" ref="V40" ca="1">IF(INDIRECT(_xlfn.CONCAT("'",$A40,"'!F4"))&gt;=V$2,"d",IF(INDIRECT(_xlfn.CONCAT("'",$A40,"'!F5"))&gt;=V$2,"i",""))</f>
        <v>d</v>
      </c>
      <c r="W40" s="1" t="str" cm="1">
        <f t="array" aca="1" ref="W40" ca="1">IF(INDIRECT(_xlfn.CONCAT("'",$A40,"'!F4"))&gt;=W$2,"d",IF(INDIRECT(_xlfn.CONCAT("'",$A40,"'!F5"))&gt;=W$2,"i",""))</f>
        <v>d</v>
      </c>
      <c r="X40" s="1" t="str" cm="1">
        <f t="array" aca="1" ref="X40" ca="1">IF(INDIRECT(_xlfn.CONCAT("'",$A40,"'!F4"))&gt;=X$2,"d",IF(INDIRECT(_xlfn.CONCAT("'",$A40,"'!F5"))&gt;=X$2,"i",""))</f>
        <v>d</v>
      </c>
      <c r="Y40" s="1" t="str" cm="1">
        <f t="array" aca="1" ref="Y40" ca="1">IF(INDIRECT(_xlfn.CONCAT("'",$A40,"'!F4"))&gt;=Y$2,"d",IF(INDIRECT(_xlfn.CONCAT("'",$A40,"'!F5"))&gt;=Y$2,"i",""))</f>
        <v>d</v>
      </c>
      <c r="Z40" s="1" t="str" cm="1">
        <f t="array" aca="1" ref="Z40" ca="1">IF(INDIRECT(_xlfn.CONCAT("'",$A40,"'!F4"))&gt;=Z$2,"d",IF(INDIRECT(_xlfn.CONCAT("'",$A40,"'!F5"))&gt;=Z$2,"i",""))</f>
        <v>d</v>
      </c>
      <c r="AA40" s="1" t="str" cm="1">
        <f t="array" aca="1" ref="AA40" ca="1">IF(INDIRECT(_xlfn.CONCAT("'",$A40,"'!F4"))&gt;=AA$2,"d",IF(INDIRECT(_xlfn.CONCAT("'",$A40,"'!F5"))&gt;=AA$2,"i",""))</f>
        <v>d</v>
      </c>
      <c r="AB40" s="1" t="str" cm="1">
        <f t="array" aca="1" ref="AB40" ca="1">IF(INDIRECT(_xlfn.CONCAT("'",$A40,"'!F4"))&gt;=AB$2,"d",IF(INDIRECT(_xlfn.CONCAT("'",$A40,"'!F5"))&gt;=AB$2,"i",""))</f>
        <v/>
      </c>
      <c r="AC40" s="36"/>
      <c r="AD40" s="1" t="str" cm="1">
        <f t="array" aca="1" ref="AD40" ca="1">IF(INDIRECT(_xlfn.CONCAT("'",$A40,"'!F17"))&gt;=AD$2,"d",IF(INDIRECT(_xlfn.CONCAT("'",$A40,"'!F18"))&gt;=AD$2,"i",""))</f>
        <v>d</v>
      </c>
      <c r="AE40" s="1" t="str" cm="1">
        <f t="array" aca="1" ref="AE40" ca="1">IF(INDIRECT(_xlfn.CONCAT("'",$A40,"'!F17"))&gt;=AE$2,"d",IF(INDIRECT(_xlfn.CONCAT("'",$A40,"'!F18"))&gt;=AE$2,"i",""))</f>
        <v>d</v>
      </c>
      <c r="AF40" s="1" t="str" cm="1">
        <f t="array" aca="1" ref="AF40" ca="1">IF(INDIRECT(_xlfn.CONCAT("'",$A40,"'!F17"))&gt;=AF$2,"d",IF(INDIRECT(_xlfn.CONCAT("'",$A40,"'!F18"))&gt;=AF$2,"i",""))</f>
        <v>d</v>
      </c>
      <c r="AG40" s="1" t="str" cm="1">
        <f t="array" aca="1" ref="AG40" ca="1">IF(INDIRECT(_xlfn.CONCAT("'",$A40,"'!F17"))&gt;=AG$2,"d",IF(INDIRECT(_xlfn.CONCAT("'",$A40,"'!F18"))&gt;=AG$2,"i",""))</f>
        <v>d</v>
      </c>
      <c r="AH40" s="1" t="str" cm="1">
        <f t="array" aca="1" ref="AH40" ca="1">IF(INDIRECT(_xlfn.CONCAT("'",$A40,"'!F17"))&gt;=AH$2,"d",IF(INDIRECT(_xlfn.CONCAT("'",$A40,"'!F18"))&gt;=AH$2,"i",""))</f>
        <v>d</v>
      </c>
      <c r="AI40" s="1" t="str" cm="1">
        <f t="array" aca="1" ref="AI40" ca="1">IF(INDIRECT(_xlfn.CONCAT("'",$A40,"'!F17"))&gt;=AI$2,"d",IF(INDIRECT(_xlfn.CONCAT("'",$A40,"'!F18"))&gt;=AI$2,"i",""))</f>
        <v>d</v>
      </c>
      <c r="AJ40" s="1" t="str" cm="1">
        <f t="array" aca="1" ref="AJ40" ca="1">IF(INDIRECT(_xlfn.CONCAT("'",$A40,"'!F17"))&gt;=AJ$2,"d",IF(INDIRECT(_xlfn.CONCAT("'",$A40,"'!F18"))&gt;=AJ$2,"i",""))</f>
        <v>d</v>
      </c>
      <c r="AK40" s="1" t="str" cm="1">
        <f t="array" aca="1" ref="AK40" ca="1">IF(INDIRECT(_xlfn.CONCAT("'",$A40,"'!F17"))&gt;=AK$2,"d",IF(INDIRECT(_xlfn.CONCAT("'",$A40,"'!F18"))&gt;=AK$2,"i",""))</f>
        <v>d</v>
      </c>
      <c r="AL40" s="1" t="str" cm="1">
        <f t="array" aca="1" ref="AL40" ca="1">IF(INDIRECT(_xlfn.CONCAT("'",$A40,"'!F17"))&gt;=AL$2,"d",IF(INDIRECT(_xlfn.CONCAT("'",$A40,"'!F18"))&gt;=AL$2,"i",""))</f>
        <v/>
      </c>
      <c r="AM40" s="36"/>
      <c r="AN40" s="1" t="str" cm="1">
        <f t="array" aca="1" ref="AN40" ca="1">IF(INDIRECT(_xlfn.CONCAT("'",$A40,"'!F30"))&gt;=AN$2,"d",IF(INDIRECT(_xlfn.CONCAT("'",$A40,"'!F31"))&gt;=AN$2,"i",""))</f>
        <v>d</v>
      </c>
      <c r="AO40" s="1" t="str" cm="1">
        <f t="array" aca="1" ref="AO40" ca="1">IF(INDIRECT(_xlfn.CONCAT("'",$A40,"'!F30"))&gt;=AO$2,"d",IF(INDIRECT(_xlfn.CONCAT("'",$A40,"'!F31"))&gt;=AO$2,"i",""))</f>
        <v>d</v>
      </c>
      <c r="AP40" s="1" t="str" cm="1">
        <f t="array" aca="1" ref="AP40" ca="1">IF(INDIRECT(_xlfn.CONCAT("'",$A40,"'!F30"))&gt;=AP$2,"d",IF(INDIRECT(_xlfn.CONCAT("'",$A40,"'!F31"))&gt;=AP$2,"i",""))</f>
        <v>d</v>
      </c>
      <c r="AQ40" s="1" t="str" cm="1">
        <f t="array" aca="1" ref="AQ40" ca="1">IF(INDIRECT(_xlfn.CONCAT("'",$A40,"'!F30"))&gt;=AQ$2,"d",IF(INDIRECT(_xlfn.CONCAT("'",$A40,"'!F31"))&gt;=AQ$2,"i",""))</f>
        <v>d</v>
      </c>
      <c r="AR40" s="1" t="str" cm="1">
        <f t="array" aca="1" ref="AR40" ca="1">IF(INDIRECT(_xlfn.CONCAT("'",$A40,"'!F30"))&gt;=AR$2,"d",IF(INDIRECT(_xlfn.CONCAT("'",$A40,"'!F31"))&gt;=AR$2,"i",""))</f>
        <v>d</v>
      </c>
      <c r="AS40" s="1" t="str" cm="1">
        <f t="array" aca="1" ref="AS40" ca="1">IF(INDIRECT(_xlfn.CONCAT("'",$A40,"'!F30"))&gt;=AS$2,"d",IF(INDIRECT(_xlfn.CONCAT("'",$A40,"'!F31"))&gt;=AS$2,"i",""))</f>
        <v>d</v>
      </c>
      <c r="AT40" s="1" t="str" cm="1">
        <f t="array" aca="1" ref="AT40" ca="1">IF(INDIRECT(_xlfn.CONCAT("'",$A40,"'!F30"))&gt;=AT$2,"d",IF(INDIRECT(_xlfn.CONCAT("'",$A40,"'!F31"))&gt;=AT$2,"i",""))</f>
        <v>d</v>
      </c>
      <c r="AU40" s="1" t="str" cm="1">
        <f t="array" aca="1" ref="AU40" ca="1">IF(INDIRECT(_xlfn.CONCAT("'",$A40,"'!F30"))&gt;=AU$2,"d",IF(INDIRECT(_xlfn.CONCAT("'",$A40,"'!F31"))&gt;=AU$2,"i",""))</f>
        <v>d</v>
      </c>
      <c r="AV40" s="4" t="str" cm="1">
        <f t="array" aca="1" ref="AV40" ca="1">IF(INDIRECT(_xlfn.CONCAT("'",$A40,"'!F30"))&gt;=AV$2,"d",IF(INDIRECT(_xlfn.CONCAT("'",$A40,"'!F31"))&gt;=AV$2,"i",""))</f>
        <v/>
      </c>
    </row>
    <row r="41" spans="1:48" x14ac:dyDescent="0.25">
      <c r="A41" s="101" t="str">
        <v>Eula</v>
      </c>
      <c r="B41" s="4" t="str">
        <f t="shared" si="0"/>
        <v>Cryo</v>
      </c>
      <c r="C41" s="38" t="str">
        <f t="shared" si="1"/>
        <v>Mondstadt 2</v>
      </c>
      <c r="D41" s="85" t="str">
        <f t="shared" si="2"/>
        <v>Azhdaha 1</v>
      </c>
      <c r="E41" s="14" t="str" cm="1">
        <f t="array" aca="1" ref="E41" ca="1">IF(INDIRECT(_xlfn.CONCAT("'",$A41,"'!B4"))&gt;=E$2,"d",IF(INDIRECT(_xlfn.CONCAT("'",$A41,"'!B5"))&gt;=E$2,"i",""))</f>
        <v>d</v>
      </c>
      <c r="F41" s="1" t="str" cm="1">
        <f t="array" aca="1" ref="F41" ca="1">IF(INDIRECT(_xlfn.CONCAT("'",$A41,"'!B4"))&gt;=F$2,"d",IF(INDIRECT(_xlfn.CONCAT("'",$A41,"'!B5"))&gt;=F$2,"i",""))</f>
        <v>d</v>
      </c>
      <c r="G41" s="1" t="str" cm="1">
        <f t="array" aca="1" ref="G41" ca="1">IF(INDIRECT(_xlfn.CONCAT("'",$A41,"'!B4"))&gt;=G$2,"d",IF(INDIRECT(_xlfn.CONCAT("'",$A41,"'!B5"))&gt;=G$2,"i",""))</f>
        <v>d</v>
      </c>
      <c r="H41" s="1" t="str" cm="1">
        <f t="array" aca="1" ref="H41" ca="1">IF(INDIRECT(_xlfn.CONCAT("'",$A41,"'!B4"))&gt;=H$2,"d",IF(INDIRECT(_xlfn.CONCAT("'",$A41,"'!B5"))&gt;=H$2,"i",""))</f>
        <v>d</v>
      </c>
      <c r="I41" s="1" t="str" cm="1">
        <f t="array" aca="1" ref="I41" ca="1">IF(INDIRECT(_xlfn.CONCAT("'",$A41,"'!B4"))&gt;=I$2,"d",IF(INDIRECT(_xlfn.CONCAT("'",$A41,"'!B5"))&gt;=I$2,"i",""))</f>
        <v>d</v>
      </c>
      <c r="J41" s="1" t="str" cm="1">
        <f t="array" aca="1" ref="J41" ca="1">IF(INDIRECT(_xlfn.CONCAT("'",$A41,"'!B4"))&gt;=J$2,"d",IF(INDIRECT(_xlfn.CONCAT("'",$A41,"'!B5"))&gt;=J$2,"i",""))</f>
        <v>d</v>
      </c>
      <c r="K41" s="4" t="str" cm="1">
        <f t="array" aca="1" ref="K41" ca="1">IF(INDIRECT(_xlfn.CONCAT("'",$A41,"'!B4"))&gt;=K$2,"d",IF(INDIRECT(_xlfn.CONCAT("'",$A41,"'!B5"))&gt;=K$2,"i",""))</f>
        <v>d</v>
      </c>
      <c r="L41" s="39"/>
      <c r="M41" s="1" t="str" cm="1">
        <f t="array" aca="1" ref="M41" ca="1">IF(INDIRECT(_xlfn.CONCAT("'",$A41,"'!C10"))&gt;=M$2,"d",IF(INDIRECT(_xlfn.CONCAT("'",$A41,"'!C11"))&gt;=M$2,"i",""))</f>
        <v>d</v>
      </c>
      <c r="N41" s="1" t="str" cm="1">
        <f t="array" aca="1" ref="N41" ca="1">IF(INDIRECT(_xlfn.CONCAT("'",$A41,"'!C10"))&gt;=N$2,"d",IF(INDIRECT(_xlfn.CONCAT("'",$A41,"'!C11"))&gt;=N$2,"i",""))</f>
        <v>d</v>
      </c>
      <c r="O41" s="1" t="str" cm="1">
        <f t="array" aca="1" ref="O41" ca="1">IF(INDIRECT(_xlfn.CONCAT("'",$A41,"'!C10"))&gt;=O$2,"d",IF(INDIRECT(_xlfn.CONCAT("'",$A41,"'!C11"))&gt;=O$2,"i",""))</f>
        <v>d</v>
      </c>
      <c r="P41" s="1" t="str" cm="1">
        <f t="array" aca="1" ref="P41" ca="1">IF(INDIRECT(_xlfn.CONCAT("'",$A41,"'!C10"))&gt;=P$2,"d",IF(INDIRECT(_xlfn.CONCAT("'",$A41,"'!C11"))&gt;=P$2,"i",""))</f>
        <v>d</v>
      </c>
      <c r="Q41" s="1" t="str" cm="1">
        <f t="array" aca="1" ref="Q41" ca="1">IF(INDIRECT(_xlfn.CONCAT("'",$A41,"'!C10"))&gt;=Q$2,"d",IF(INDIRECT(_xlfn.CONCAT("'",$A41,"'!C11"))&gt;=Q$2,"i",""))</f>
        <v>d</v>
      </c>
      <c r="R41" s="1" t="str" cm="1">
        <f t="array" aca="1" ref="R41" ca="1">IF(INDIRECT(_xlfn.CONCAT("'",$A41,"'!C10"))&gt;=R$2,"d",IF(INDIRECT(_xlfn.CONCAT("'",$A41,"'!C11"))&gt;=R$2,"i",""))</f>
        <v>d</v>
      </c>
      <c r="S41" s="36"/>
      <c r="T41" s="1" t="str" cm="1">
        <f t="array" aca="1" ref="T41" ca="1">IF(INDIRECT(_xlfn.CONCAT("'",$A41,"'!F4"))&gt;=T$2,"d",IF(INDIRECT(_xlfn.CONCAT("'",$A41,"'!F5"))&gt;=T$2,"i",""))</f>
        <v>d</v>
      </c>
      <c r="U41" s="1" t="str" cm="1">
        <f t="array" aca="1" ref="U41" ca="1">IF(INDIRECT(_xlfn.CONCAT("'",$A41,"'!F4"))&gt;=U$2,"d",IF(INDIRECT(_xlfn.CONCAT("'",$A41,"'!F5"))&gt;=U$2,"i",""))</f>
        <v>d</v>
      </c>
      <c r="V41" s="1" t="str" cm="1">
        <f t="array" aca="1" ref="V41" ca="1">IF(INDIRECT(_xlfn.CONCAT("'",$A41,"'!F4"))&gt;=V$2,"d",IF(INDIRECT(_xlfn.CONCAT("'",$A41,"'!F5"))&gt;=V$2,"i",""))</f>
        <v>d</v>
      </c>
      <c r="W41" s="1" t="str" cm="1">
        <f t="array" aca="1" ref="W41" ca="1">IF(INDIRECT(_xlfn.CONCAT("'",$A41,"'!F4"))&gt;=W$2,"d",IF(INDIRECT(_xlfn.CONCAT("'",$A41,"'!F5"))&gt;=W$2,"i",""))</f>
        <v>d</v>
      </c>
      <c r="X41" s="1" t="str" cm="1">
        <f t="array" aca="1" ref="X41" ca="1">IF(INDIRECT(_xlfn.CONCAT("'",$A41,"'!F4"))&gt;=X$2,"d",IF(INDIRECT(_xlfn.CONCAT("'",$A41,"'!F5"))&gt;=X$2,"i",""))</f>
        <v>d</v>
      </c>
      <c r="Y41" s="1" t="str" cm="1">
        <f t="array" aca="1" ref="Y41" ca="1">IF(INDIRECT(_xlfn.CONCAT("'",$A41,"'!F4"))&gt;=Y$2,"d",IF(INDIRECT(_xlfn.CONCAT("'",$A41,"'!F5"))&gt;=Y$2,"i",""))</f>
        <v>d</v>
      </c>
      <c r="Z41" s="1" t="str" cm="1">
        <f t="array" aca="1" ref="Z41" ca="1">IF(INDIRECT(_xlfn.CONCAT("'",$A41,"'!F4"))&gt;=Z$2,"d",IF(INDIRECT(_xlfn.CONCAT("'",$A41,"'!F5"))&gt;=Z$2,"i",""))</f>
        <v>d</v>
      </c>
      <c r="AA41" s="1" t="str" cm="1">
        <f t="array" aca="1" ref="AA41" ca="1">IF(INDIRECT(_xlfn.CONCAT("'",$A41,"'!F4"))&gt;=AA$2,"d",IF(INDIRECT(_xlfn.CONCAT("'",$A41,"'!F5"))&gt;=AA$2,"i",""))</f>
        <v>d</v>
      </c>
      <c r="AB41" s="1" t="str" cm="1">
        <f t="array" aca="1" ref="AB41" ca="1">IF(INDIRECT(_xlfn.CONCAT("'",$A41,"'!F4"))&gt;=AB$2,"d",IF(INDIRECT(_xlfn.CONCAT("'",$A41,"'!F5"))&gt;=AB$2,"i",""))</f>
        <v/>
      </c>
      <c r="AC41" s="36"/>
      <c r="AD41" s="1" t="str" cm="1">
        <f t="array" aca="1" ref="AD41" ca="1">IF(INDIRECT(_xlfn.CONCAT("'",$A41,"'!F17"))&gt;=AD$2,"d",IF(INDIRECT(_xlfn.CONCAT("'",$A41,"'!F18"))&gt;=AD$2,"i",""))</f>
        <v>d</v>
      </c>
      <c r="AE41" s="1" t="str" cm="1">
        <f t="array" aca="1" ref="AE41" ca="1">IF(INDIRECT(_xlfn.CONCAT("'",$A41,"'!F17"))&gt;=AE$2,"d",IF(INDIRECT(_xlfn.CONCAT("'",$A41,"'!F18"))&gt;=AE$2,"i",""))</f>
        <v>d</v>
      </c>
      <c r="AF41" s="1" t="str" cm="1">
        <f t="array" aca="1" ref="AF41" ca="1">IF(INDIRECT(_xlfn.CONCAT("'",$A41,"'!F17"))&gt;=AF$2,"d",IF(INDIRECT(_xlfn.CONCAT("'",$A41,"'!F18"))&gt;=AF$2,"i",""))</f>
        <v>d</v>
      </c>
      <c r="AG41" s="1" t="str" cm="1">
        <f t="array" aca="1" ref="AG41" ca="1">IF(INDIRECT(_xlfn.CONCAT("'",$A41,"'!F17"))&gt;=AG$2,"d",IF(INDIRECT(_xlfn.CONCAT("'",$A41,"'!F18"))&gt;=AG$2,"i",""))</f>
        <v>d</v>
      </c>
      <c r="AH41" s="1" t="str" cm="1">
        <f t="array" aca="1" ref="AH41" ca="1">IF(INDIRECT(_xlfn.CONCAT("'",$A41,"'!F17"))&gt;=AH$2,"d",IF(INDIRECT(_xlfn.CONCAT("'",$A41,"'!F18"))&gt;=AH$2,"i",""))</f>
        <v>d</v>
      </c>
      <c r="AI41" s="1" t="str" cm="1">
        <f t="array" aca="1" ref="AI41" ca="1">IF(INDIRECT(_xlfn.CONCAT("'",$A41,"'!F17"))&gt;=AI$2,"d",IF(INDIRECT(_xlfn.CONCAT("'",$A41,"'!F18"))&gt;=AI$2,"i",""))</f>
        <v>d</v>
      </c>
      <c r="AJ41" s="1" t="str" cm="1">
        <f t="array" aca="1" ref="AJ41" ca="1">IF(INDIRECT(_xlfn.CONCAT("'",$A41,"'!F17"))&gt;=AJ$2,"d",IF(INDIRECT(_xlfn.CONCAT("'",$A41,"'!F18"))&gt;=AJ$2,"i",""))</f>
        <v>d</v>
      </c>
      <c r="AK41" s="1" t="str" cm="1">
        <f t="array" aca="1" ref="AK41" ca="1">IF(INDIRECT(_xlfn.CONCAT("'",$A41,"'!F17"))&gt;=AK$2,"d",IF(INDIRECT(_xlfn.CONCAT("'",$A41,"'!F18"))&gt;=AK$2,"i",""))</f>
        <v>d</v>
      </c>
      <c r="AL41" s="1" t="str" cm="1">
        <f t="array" aca="1" ref="AL41" ca="1">IF(INDIRECT(_xlfn.CONCAT("'",$A41,"'!F17"))&gt;=AL$2,"d",IF(INDIRECT(_xlfn.CONCAT("'",$A41,"'!F18"))&gt;=AL$2,"i",""))</f>
        <v/>
      </c>
      <c r="AM41" s="36"/>
      <c r="AN41" s="1" t="str" cm="1">
        <f t="array" aca="1" ref="AN41" ca="1">IF(INDIRECT(_xlfn.CONCAT("'",$A41,"'!F30"))&gt;=AN$2,"d",IF(INDIRECT(_xlfn.CONCAT("'",$A41,"'!F31"))&gt;=AN$2,"i",""))</f>
        <v>d</v>
      </c>
      <c r="AO41" s="1" t="str" cm="1">
        <f t="array" aca="1" ref="AO41" ca="1">IF(INDIRECT(_xlfn.CONCAT("'",$A41,"'!F30"))&gt;=AO$2,"d",IF(INDIRECT(_xlfn.CONCAT("'",$A41,"'!F31"))&gt;=AO$2,"i",""))</f>
        <v>d</v>
      </c>
      <c r="AP41" s="1" t="str" cm="1">
        <f t="array" aca="1" ref="AP41" ca="1">IF(INDIRECT(_xlfn.CONCAT("'",$A41,"'!F30"))&gt;=AP$2,"d",IF(INDIRECT(_xlfn.CONCAT("'",$A41,"'!F31"))&gt;=AP$2,"i",""))</f>
        <v>d</v>
      </c>
      <c r="AQ41" s="1" t="str" cm="1">
        <f t="array" aca="1" ref="AQ41" ca="1">IF(INDIRECT(_xlfn.CONCAT("'",$A41,"'!F30"))&gt;=AQ$2,"d",IF(INDIRECT(_xlfn.CONCAT("'",$A41,"'!F31"))&gt;=AQ$2,"i",""))</f>
        <v>d</v>
      </c>
      <c r="AR41" s="1" t="str" cm="1">
        <f t="array" aca="1" ref="AR41" ca="1">IF(INDIRECT(_xlfn.CONCAT("'",$A41,"'!F30"))&gt;=AR$2,"d",IF(INDIRECT(_xlfn.CONCAT("'",$A41,"'!F31"))&gt;=AR$2,"i",""))</f>
        <v>d</v>
      </c>
      <c r="AS41" s="1" t="str" cm="1">
        <f t="array" aca="1" ref="AS41" ca="1">IF(INDIRECT(_xlfn.CONCAT("'",$A41,"'!F30"))&gt;=AS$2,"d",IF(INDIRECT(_xlfn.CONCAT("'",$A41,"'!F31"))&gt;=AS$2,"i",""))</f>
        <v>d</v>
      </c>
      <c r="AT41" s="1" t="str" cm="1">
        <f t="array" aca="1" ref="AT41" ca="1">IF(INDIRECT(_xlfn.CONCAT("'",$A41,"'!F30"))&gt;=AT$2,"d",IF(INDIRECT(_xlfn.CONCAT("'",$A41,"'!F31"))&gt;=AT$2,"i",""))</f>
        <v>d</v>
      </c>
      <c r="AU41" s="1" t="str" cm="1">
        <f t="array" aca="1" ref="AU41" ca="1">IF(INDIRECT(_xlfn.CONCAT("'",$A41,"'!F30"))&gt;=AU$2,"d",IF(INDIRECT(_xlfn.CONCAT("'",$A41,"'!F31"))&gt;=AU$2,"i",""))</f>
        <v>d</v>
      </c>
      <c r="AV41" s="4" t="str" cm="1">
        <f t="array" aca="1" ref="AV41" ca="1">IF(INDIRECT(_xlfn.CONCAT("'",$A41,"'!F30"))&gt;=AV$2,"d",IF(INDIRECT(_xlfn.CONCAT("'",$A41,"'!F31"))&gt;=AV$2,"i",""))</f>
        <v/>
      </c>
    </row>
    <row r="42" spans="1:48" x14ac:dyDescent="0.25">
      <c r="A42" s="101" t="str">
        <v>Kaedehara Kazuha</v>
      </c>
      <c r="B42" s="4" t="str">
        <f t="shared" ref="B42:B59" si="3">VLOOKUP(A42,Character_List,2,FALSE)</f>
        <v>Anemo</v>
      </c>
      <c r="C42" s="38" t="str">
        <f t="shared" ref="C42:C59" si="4">VLOOKUP(A42,Character_List,7,FALSE)</f>
        <v>Liyue 2</v>
      </c>
      <c r="D42" s="85" t="str">
        <f t="shared" ref="D42:D59" si="5">VLOOKUP(A42,Character_List,8,FALSE)</f>
        <v>Azhdaha 3</v>
      </c>
      <c r="E42" s="14" t="str" cm="1">
        <f t="array" aca="1" ref="E42" ca="1">IF(INDIRECT(_xlfn.CONCAT("'",$A42,"'!B4"))&gt;=E$2,"d",IF(INDIRECT(_xlfn.CONCAT("'",$A42,"'!B5"))&gt;=E$2,"i",""))</f>
        <v>d</v>
      </c>
      <c r="F42" s="1" t="str" cm="1">
        <f t="array" aca="1" ref="F42" ca="1">IF(INDIRECT(_xlfn.CONCAT("'",$A42,"'!B4"))&gt;=F$2,"d",IF(INDIRECT(_xlfn.CONCAT("'",$A42,"'!B5"))&gt;=F$2,"i",""))</f>
        <v>d</v>
      </c>
      <c r="G42" s="1" t="str" cm="1">
        <f t="array" aca="1" ref="G42" ca="1">IF(INDIRECT(_xlfn.CONCAT("'",$A42,"'!B4"))&gt;=G$2,"d",IF(INDIRECT(_xlfn.CONCAT("'",$A42,"'!B5"))&gt;=G$2,"i",""))</f>
        <v>d</v>
      </c>
      <c r="H42" s="1" t="str" cm="1">
        <f t="array" aca="1" ref="H42" ca="1">IF(INDIRECT(_xlfn.CONCAT("'",$A42,"'!B4"))&gt;=H$2,"d",IF(INDIRECT(_xlfn.CONCAT("'",$A42,"'!B5"))&gt;=H$2,"i",""))</f>
        <v>d</v>
      </c>
      <c r="I42" s="1" t="str" cm="1">
        <f t="array" aca="1" ref="I42" ca="1">IF(INDIRECT(_xlfn.CONCAT("'",$A42,"'!B4"))&gt;=I$2,"d",IF(INDIRECT(_xlfn.CONCAT("'",$A42,"'!B5"))&gt;=I$2,"i",""))</f>
        <v>d</v>
      </c>
      <c r="J42" s="1" t="str" cm="1">
        <f t="array" aca="1" ref="J42" ca="1">IF(INDIRECT(_xlfn.CONCAT("'",$A42,"'!B4"))&gt;=J$2,"d",IF(INDIRECT(_xlfn.CONCAT("'",$A42,"'!B5"))&gt;=J$2,"i",""))</f>
        <v>d</v>
      </c>
      <c r="K42" s="4" t="str" cm="1">
        <f t="array" aca="1" ref="K42" ca="1">IF(INDIRECT(_xlfn.CONCAT("'",$A42,"'!B4"))&gt;=K$2,"d",IF(INDIRECT(_xlfn.CONCAT("'",$A42,"'!B5"))&gt;=K$2,"i",""))</f>
        <v>d</v>
      </c>
      <c r="L42" s="39"/>
      <c r="M42" s="1" t="str" cm="1">
        <f t="array" aca="1" ref="M42" ca="1">IF(INDIRECT(_xlfn.CONCAT("'",$A42,"'!C10"))&gt;=M$2,"d",IF(INDIRECT(_xlfn.CONCAT("'",$A42,"'!C11"))&gt;=M$2,"i",""))</f>
        <v>d</v>
      </c>
      <c r="N42" s="1" t="str" cm="1">
        <f t="array" aca="1" ref="N42" ca="1">IF(INDIRECT(_xlfn.CONCAT("'",$A42,"'!C10"))&gt;=N$2,"d",IF(INDIRECT(_xlfn.CONCAT("'",$A42,"'!C11"))&gt;=N$2,"i",""))</f>
        <v>d</v>
      </c>
      <c r="O42" s="1" t="str" cm="1">
        <f t="array" aca="1" ref="O42" ca="1">IF(INDIRECT(_xlfn.CONCAT("'",$A42,"'!C10"))&gt;=O$2,"d",IF(INDIRECT(_xlfn.CONCAT("'",$A42,"'!C11"))&gt;=O$2,"i",""))</f>
        <v>d</v>
      </c>
      <c r="P42" s="1" t="str" cm="1">
        <f t="array" aca="1" ref="P42" ca="1">IF(INDIRECT(_xlfn.CONCAT("'",$A42,"'!C10"))&gt;=P$2,"d",IF(INDIRECT(_xlfn.CONCAT("'",$A42,"'!C11"))&gt;=P$2,"i",""))</f>
        <v>d</v>
      </c>
      <c r="Q42" s="1" t="str" cm="1">
        <f t="array" aca="1" ref="Q42" ca="1">IF(INDIRECT(_xlfn.CONCAT("'",$A42,"'!C10"))&gt;=Q$2,"d",IF(INDIRECT(_xlfn.CONCAT("'",$A42,"'!C11"))&gt;=Q$2,"i",""))</f>
        <v>d</v>
      </c>
      <c r="R42" s="1" t="str" cm="1">
        <f t="array" aca="1" ref="R42" ca="1">IF(INDIRECT(_xlfn.CONCAT("'",$A42,"'!C10"))&gt;=R$2,"d",IF(INDIRECT(_xlfn.CONCAT("'",$A42,"'!C11"))&gt;=R$2,"i",""))</f>
        <v>d</v>
      </c>
      <c r="S42" s="36"/>
      <c r="T42" s="1" t="str" cm="1">
        <f t="array" aca="1" ref="T42" ca="1">IF(INDIRECT(_xlfn.CONCAT("'",$A42,"'!F4"))&gt;=T$2,"d",IF(INDIRECT(_xlfn.CONCAT("'",$A42,"'!F5"))&gt;=T$2,"i",""))</f>
        <v>d</v>
      </c>
      <c r="U42" s="1" t="str" cm="1">
        <f t="array" aca="1" ref="U42" ca="1">IF(INDIRECT(_xlfn.CONCAT("'",$A42,"'!F4"))&gt;=U$2,"d",IF(INDIRECT(_xlfn.CONCAT("'",$A42,"'!F5"))&gt;=U$2,"i",""))</f>
        <v>d</v>
      </c>
      <c r="V42" s="1" t="str" cm="1">
        <f t="array" aca="1" ref="V42" ca="1">IF(INDIRECT(_xlfn.CONCAT("'",$A42,"'!F4"))&gt;=V$2,"d",IF(INDIRECT(_xlfn.CONCAT("'",$A42,"'!F5"))&gt;=V$2,"i",""))</f>
        <v>d</v>
      </c>
      <c r="W42" s="1" t="str" cm="1">
        <f t="array" aca="1" ref="W42" ca="1">IF(INDIRECT(_xlfn.CONCAT("'",$A42,"'!F4"))&gt;=W$2,"d",IF(INDIRECT(_xlfn.CONCAT("'",$A42,"'!F5"))&gt;=W$2,"i",""))</f>
        <v>d</v>
      </c>
      <c r="X42" s="1" t="str" cm="1">
        <f t="array" aca="1" ref="X42" ca="1">IF(INDIRECT(_xlfn.CONCAT("'",$A42,"'!F4"))&gt;=X$2,"d",IF(INDIRECT(_xlfn.CONCAT("'",$A42,"'!F5"))&gt;=X$2,"i",""))</f>
        <v>d</v>
      </c>
      <c r="Y42" s="1" t="str" cm="1">
        <f t="array" aca="1" ref="Y42" ca="1">IF(INDIRECT(_xlfn.CONCAT("'",$A42,"'!F4"))&gt;=Y$2,"d",IF(INDIRECT(_xlfn.CONCAT("'",$A42,"'!F5"))&gt;=Y$2,"i",""))</f>
        <v>d</v>
      </c>
      <c r="Z42" s="1" t="str" cm="1">
        <f t="array" aca="1" ref="Z42" ca="1">IF(INDIRECT(_xlfn.CONCAT("'",$A42,"'!F4"))&gt;=Z$2,"d",IF(INDIRECT(_xlfn.CONCAT("'",$A42,"'!F5"))&gt;=Z$2,"i",""))</f>
        <v>d</v>
      </c>
      <c r="AA42" s="1" t="str" cm="1">
        <f t="array" aca="1" ref="AA42" ca="1">IF(INDIRECT(_xlfn.CONCAT("'",$A42,"'!F4"))&gt;=AA$2,"d",IF(INDIRECT(_xlfn.CONCAT("'",$A42,"'!F5"))&gt;=AA$2,"i",""))</f>
        <v>d</v>
      </c>
      <c r="AB42" s="1" t="str" cm="1">
        <f t="array" aca="1" ref="AB42" ca="1">IF(INDIRECT(_xlfn.CONCAT("'",$A42,"'!F4"))&gt;=AB$2,"d",IF(INDIRECT(_xlfn.CONCAT("'",$A42,"'!F5"))&gt;=AB$2,"i",""))</f>
        <v/>
      </c>
      <c r="AC42" s="36"/>
      <c r="AD42" s="1" t="str" cm="1">
        <f t="array" aca="1" ref="AD42" ca="1">IF(INDIRECT(_xlfn.CONCAT("'",$A42,"'!F17"))&gt;=AD$2,"d",IF(INDIRECT(_xlfn.CONCAT("'",$A42,"'!F18"))&gt;=AD$2,"i",""))</f>
        <v>d</v>
      </c>
      <c r="AE42" s="1" t="str" cm="1">
        <f t="array" aca="1" ref="AE42" ca="1">IF(INDIRECT(_xlfn.CONCAT("'",$A42,"'!F17"))&gt;=AE$2,"d",IF(INDIRECT(_xlfn.CONCAT("'",$A42,"'!F18"))&gt;=AE$2,"i",""))</f>
        <v>d</v>
      </c>
      <c r="AF42" s="1" t="str" cm="1">
        <f t="array" aca="1" ref="AF42" ca="1">IF(INDIRECT(_xlfn.CONCAT("'",$A42,"'!F17"))&gt;=AF$2,"d",IF(INDIRECT(_xlfn.CONCAT("'",$A42,"'!F18"))&gt;=AF$2,"i",""))</f>
        <v>d</v>
      </c>
      <c r="AG42" s="1" t="str" cm="1">
        <f t="array" aca="1" ref="AG42" ca="1">IF(INDIRECT(_xlfn.CONCAT("'",$A42,"'!F17"))&gt;=AG$2,"d",IF(INDIRECT(_xlfn.CONCAT("'",$A42,"'!F18"))&gt;=AG$2,"i",""))</f>
        <v>d</v>
      </c>
      <c r="AH42" s="1" t="str" cm="1">
        <f t="array" aca="1" ref="AH42" ca="1">IF(INDIRECT(_xlfn.CONCAT("'",$A42,"'!F17"))&gt;=AH$2,"d",IF(INDIRECT(_xlfn.CONCAT("'",$A42,"'!F18"))&gt;=AH$2,"i",""))</f>
        <v>d</v>
      </c>
      <c r="AI42" s="1" t="str" cm="1">
        <f t="array" aca="1" ref="AI42" ca="1">IF(INDIRECT(_xlfn.CONCAT("'",$A42,"'!F17"))&gt;=AI$2,"d",IF(INDIRECT(_xlfn.CONCAT("'",$A42,"'!F18"))&gt;=AI$2,"i",""))</f>
        <v>d</v>
      </c>
      <c r="AJ42" s="1" t="str" cm="1">
        <f t="array" aca="1" ref="AJ42" ca="1">IF(INDIRECT(_xlfn.CONCAT("'",$A42,"'!F17"))&gt;=AJ$2,"d",IF(INDIRECT(_xlfn.CONCAT("'",$A42,"'!F18"))&gt;=AJ$2,"i",""))</f>
        <v>d</v>
      </c>
      <c r="AK42" s="1" t="str" cm="1">
        <f t="array" aca="1" ref="AK42" ca="1">IF(INDIRECT(_xlfn.CONCAT("'",$A42,"'!F17"))&gt;=AK$2,"d",IF(INDIRECT(_xlfn.CONCAT("'",$A42,"'!F18"))&gt;=AK$2,"i",""))</f>
        <v>d</v>
      </c>
      <c r="AL42" s="1" t="str" cm="1">
        <f t="array" aca="1" ref="AL42" ca="1">IF(INDIRECT(_xlfn.CONCAT("'",$A42,"'!F17"))&gt;=AL$2,"d",IF(INDIRECT(_xlfn.CONCAT("'",$A42,"'!F18"))&gt;=AL$2,"i",""))</f>
        <v/>
      </c>
      <c r="AM42" s="36"/>
      <c r="AN42" s="1" t="str" cm="1">
        <f t="array" aca="1" ref="AN42" ca="1">IF(INDIRECT(_xlfn.CONCAT("'",$A42,"'!F30"))&gt;=AN$2,"d",IF(INDIRECT(_xlfn.CONCAT("'",$A42,"'!F31"))&gt;=AN$2,"i",""))</f>
        <v>d</v>
      </c>
      <c r="AO42" s="1" t="str" cm="1">
        <f t="array" aca="1" ref="AO42" ca="1">IF(INDIRECT(_xlfn.CONCAT("'",$A42,"'!F30"))&gt;=AO$2,"d",IF(INDIRECT(_xlfn.CONCAT("'",$A42,"'!F31"))&gt;=AO$2,"i",""))</f>
        <v>d</v>
      </c>
      <c r="AP42" s="1" t="str" cm="1">
        <f t="array" aca="1" ref="AP42" ca="1">IF(INDIRECT(_xlfn.CONCAT("'",$A42,"'!F30"))&gt;=AP$2,"d",IF(INDIRECT(_xlfn.CONCAT("'",$A42,"'!F31"))&gt;=AP$2,"i",""))</f>
        <v>d</v>
      </c>
      <c r="AQ42" s="1" t="str" cm="1">
        <f t="array" aca="1" ref="AQ42" ca="1">IF(INDIRECT(_xlfn.CONCAT("'",$A42,"'!F30"))&gt;=AQ$2,"d",IF(INDIRECT(_xlfn.CONCAT("'",$A42,"'!F31"))&gt;=AQ$2,"i",""))</f>
        <v>d</v>
      </c>
      <c r="AR42" s="1" t="str" cm="1">
        <f t="array" aca="1" ref="AR42" ca="1">IF(INDIRECT(_xlfn.CONCAT("'",$A42,"'!F30"))&gt;=AR$2,"d",IF(INDIRECT(_xlfn.CONCAT("'",$A42,"'!F31"))&gt;=AR$2,"i",""))</f>
        <v>d</v>
      </c>
      <c r="AS42" s="1" t="str" cm="1">
        <f t="array" aca="1" ref="AS42" ca="1">IF(INDIRECT(_xlfn.CONCAT("'",$A42,"'!F30"))&gt;=AS$2,"d",IF(INDIRECT(_xlfn.CONCAT("'",$A42,"'!F31"))&gt;=AS$2,"i",""))</f>
        <v>d</v>
      </c>
      <c r="AT42" s="1" t="str" cm="1">
        <f t="array" aca="1" ref="AT42" ca="1">IF(INDIRECT(_xlfn.CONCAT("'",$A42,"'!F30"))&gt;=AT$2,"d",IF(INDIRECT(_xlfn.CONCAT("'",$A42,"'!F31"))&gt;=AT$2,"i",""))</f>
        <v>d</v>
      </c>
      <c r="AU42" s="1" t="str" cm="1">
        <f t="array" aca="1" ref="AU42" ca="1">IF(INDIRECT(_xlfn.CONCAT("'",$A42,"'!F30"))&gt;=AU$2,"d",IF(INDIRECT(_xlfn.CONCAT("'",$A42,"'!F31"))&gt;=AU$2,"i",""))</f>
        <v>d</v>
      </c>
      <c r="AV42" s="4" t="str" cm="1">
        <f t="array" aca="1" ref="AV42" ca="1">IF(INDIRECT(_xlfn.CONCAT("'",$A42,"'!F30"))&gt;=AV$2,"d",IF(INDIRECT(_xlfn.CONCAT("'",$A42,"'!F31"))&gt;=AV$2,"i",""))</f>
        <v/>
      </c>
    </row>
    <row r="43" spans="1:48" x14ac:dyDescent="0.25">
      <c r="A43" s="101" t="str">
        <v>Kamisato Ayaka</v>
      </c>
      <c r="B43" s="4" t="str">
        <f t="shared" si="3"/>
        <v>Cryo</v>
      </c>
      <c r="C43" s="38" t="str">
        <f t="shared" si="4"/>
        <v>Inazuma 2</v>
      </c>
      <c r="D43" s="85" t="str">
        <f t="shared" si="5"/>
        <v>Azhdaha 2</v>
      </c>
      <c r="E43" s="14" t="str" cm="1">
        <f t="array" aca="1" ref="E43" ca="1">IF(INDIRECT(_xlfn.CONCAT("'",$A43,"'!B4"))&gt;=E$2,"d",IF(INDIRECT(_xlfn.CONCAT("'",$A43,"'!B5"))&gt;=E$2,"i",""))</f>
        <v>d</v>
      </c>
      <c r="F43" s="1" t="str" cm="1">
        <f t="array" aca="1" ref="F43" ca="1">IF(INDIRECT(_xlfn.CONCAT("'",$A43,"'!B4"))&gt;=F$2,"d",IF(INDIRECT(_xlfn.CONCAT("'",$A43,"'!B5"))&gt;=F$2,"i",""))</f>
        <v>d</v>
      </c>
      <c r="G43" s="1" t="str" cm="1">
        <f t="array" aca="1" ref="G43" ca="1">IF(INDIRECT(_xlfn.CONCAT("'",$A43,"'!B4"))&gt;=G$2,"d",IF(INDIRECT(_xlfn.CONCAT("'",$A43,"'!B5"))&gt;=G$2,"i",""))</f>
        <v>d</v>
      </c>
      <c r="H43" s="1" t="str" cm="1">
        <f t="array" aca="1" ref="H43" ca="1">IF(INDIRECT(_xlfn.CONCAT("'",$A43,"'!B4"))&gt;=H$2,"d",IF(INDIRECT(_xlfn.CONCAT("'",$A43,"'!B5"))&gt;=H$2,"i",""))</f>
        <v>d</v>
      </c>
      <c r="I43" s="1" t="str" cm="1">
        <f t="array" aca="1" ref="I43" ca="1">IF(INDIRECT(_xlfn.CONCAT("'",$A43,"'!B4"))&gt;=I$2,"d",IF(INDIRECT(_xlfn.CONCAT("'",$A43,"'!B5"))&gt;=I$2,"i",""))</f>
        <v>d</v>
      </c>
      <c r="J43" s="1" t="str" cm="1">
        <f t="array" aca="1" ref="J43" ca="1">IF(INDIRECT(_xlfn.CONCAT("'",$A43,"'!B4"))&gt;=J$2,"d",IF(INDIRECT(_xlfn.CONCAT("'",$A43,"'!B5"))&gt;=J$2,"i",""))</f>
        <v>d</v>
      </c>
      <c r="K43" s="4" t="str" cm="1">
        <f t="array" aca="1" ref="K43" ca="1">IF(INDIRECT(_xlfn.CONCAT("'",$A43,"'!B4"))&gt;=K$2,"d",IF(INDIRECT(_xlfn.CONCAT("'",$A43,"'!B5"))&gt;=K$2,"i",""))</f>
        <v>d</v>
      </c>
      <c r="L43" s="39"/>
      <c r="M43" s="1" t="str" cm="1">
        <f t="array" aca="1" ref="M43" ca="1">IF(INDIRECT(_xlfn.CONCAT("'",$A43,"'!C10"))&gt;=M$2,"d",IF(INDIRECT(_xlfn.CONCAT("'",$A43,"'!C11"))&gt;=M$2,"i",""))</f>
        <v>d</v>
      </c>
      <c r="N43" s="1" t="str" cm="1">
        <f t="array" aca="1" ref="N43" ca="1">IF(INDIRECT(_xlfn.CONCAT("'",$A43,"'!C10"))&gt;=N$2,"d",IF(INDIRECT(_xlfn.CONCAT("'",$A43,"'!C11"))&gt;=N$2,"i",""))</f>
        <v>d</v>
      </c>
      <c r="O43" s="1" t="str" cm="1">
        <f t="array" aca="1" ref="O43" ca="1">IF(INDIRECT(_xlfn.CONCAT("'",$A43,"'!C10"))&gt;=O$2,"d",IF(INDIRECT(_xlfn.CONCAT("'",$A43,"'!C11"))&gt;=O$2,"i",""))</f>
        <v>d</v>
      </c>
      <c r="P43" s="1" t="str" cm="1">
        <f t="array" aca="1" ref="P43" ca="1">IF(INDIRECT(_xlfn.CONCAT("'",$A43,"'!C10"))&gt;=P$2,"d",IF(INDIRECT(_xlfn.CONCAT("'",$A43,"'!C11"))&gt;=P$2,"i",""))</f>
        <v>d</v>
      </c>
      <c r="Q43" s="1" t="str" cm="1">
        <f t="array" aca="1" ref="Q43" ca="1">IF(INDIRECT(_xlfn.CONCAT("'",$A43,"'!C10"))&gt;=Q$2,"d",IF(INDIRECT(_xlfn.CONCAT("'",$A43,"'!C11"))&gt;=Q$2,"i",""))</f>
        <v>d</v>
      </c>
      <c r="R43" s="1" t="str" cm="1">
        <f t="array" aca="1" ref="R43" ca="1">IF(INDIRECT(_xlfn.CONCAT("'",$A43,"'!C10"))&gt;=R$2,"d",IF(INDIRECT(_xlfn.CONCAT("'",$A43,"'!C11"))&gt;=R$2,"i",""))</f>
        <v>d</v>
      </c>
      <c r="S43" s="36"/>
      <c r="T43" s="1" t="str" cm="1">
        <f t="array" aca="1" ref="T43" ca="1">IF(INDIRECT(_xlfn.CONCAT("'",$A43,"'!F4"))&gt;=T$2,"d",IF(INDIRECT(_xlfn.CONCAT("'",$A43,"'!F5"))&gt;=T$2,"i",""))</f>
        <v>d</v>
      </c>
      <c r="U43" s="1" t="str" cm="1">
        <f t="array" aca="1" ref="U43" ca="1">IF(INDIRECT(_xlfn.CONCAT("'",$A43,"'!F4"))&gt;=U$2,"d",IF(INDIRECT(_xlfn.CONCAT("'",$A43,"'!F5"))&gt;=U$2,"i",""))</f>
        <v>d</v>
      </c>
      <c r="V43" s="1" t="str" cm="1">
        <f t="array" aca="1" ref="V43" ca="1">IF(INDIRECT(_xlfn.CONCAT("'",$A43,"'!F4"))&gt;=V$2,"d",IF(INDIRECT(_xlfn.CONCAT("'",$A43,"'!F5"))&gt;=V$2,"i",""))</f>
        <v>d</v>
      </c>
      <c r="W43" s="1" t="str" cm="1">
        <f t="array" aca="1" ref="W43" ca="1">IF(INDIRECT(_xlfn.CONCAT("'",$A43,"'!F4"))&gt;=W$2,"d",IF(INDIRECT(_xlfn.CONCAT("'",$A43,"'!F5"))&gt;=W$2,"i",""))</f>
        <v>d</v>
      </c>
      <c r="X43" s="1" t="str" cm="1">
        <f t="array" aca="1" ref="X43" ca="1">IF(INDIRECT(_xlfn.CONCAT("'",$A43,"'!F4"))&gt;=X$2,"d",IF(INDIRECT(_xlfn.CONCAT("'",$A43,"'!F5"))&gt;=X$2,"i",""))</f>
        <v>d</v>
      </c>
      <c r="Y43" s="1" t="str" cm="1">
        <f t="array" aca="1" ref="Y43" ca="1">IF(INDIRECT(_xlfn.CONCAT("'",$A43,"'!F4"))&gt;=Y$2,"d",IF(INDIRECT(_xlfn.CONCAT("'",$A43,"'!F5"))&gt;=Y$2,"i",""))</f>
        <v>d</v>
      </c>
      <c r="Z43" s="1" t="str" cm="1">
        <f t="array" aca="1" ref="Z43" ca="1">IF(INDIRECT(_xlfn.CONCAT("'",$A43,"'!F4"))&gt;=Z$2,"d",IF(INDIRECT(_xlfn.CONCAT("'",$A43,"'!F5"))&gt;=Z$2,"i",""))</f>
        <v>d</v>
      </c>
      <c r="AA43" s="1" t="str" cm="1">
        <f t="array" aca="1" ref="AA43" ca="1">IF(INDIRECT(_xlfn.CONCAT("'",$A43,"'!F4"))&gt;=AA$2,"d",IF(INDIRECT(_xlfn.CONCAT("'",$A43,"'!F5"))&gt;=AA$2,"i",""))</f>
        <v>d</v>
      </c>
      <c r="AB43" s="1" t="str" cm="1">
        <f t="array" aca="1" ref="AB43" ca="1">IF(INDIRECT(_xlfn.CONCAT("'",$A43,"'!F4"))&gt;=AB$2,"d",IF(INDIRECT(_xlfn.CONCAT("'",$A43,"'!F5"))&gt;=AB$2,"i",""))</f>
        <v/>
      </c>
      <c r="AC43" s="36"/>
      <c r="AD43" s="1" t="str" cm="1">
        <f t="array" aca="1" ref="AD43" ca="1">IF(INDIRECT(_xlfn.CONCAT("'",$A43,"'!F17"))&gt;=AD$2,"d",IF(INDIRECT(_xlfn.CONCAT("'",$A43,"'!F18"))&gt;=AD$2,"i",""))</f>
        <v>d</v>
      </c>
      <c r="AE43" s="1" t="str" cm="1">
        <f t="array" aca="1" ref="AE43" ca="1">IF(INDIRECT(_xlfn.CONCAT("'",$A43,"'!F17"))&gt;=AE$2,"d",IF(INDIRECT(_xlfn.CONCAT("'",$A43,"'!F18"))&gt;=AE$2,"i",""))</f>
        <v>d</v>
      </c>
      <c r="AF43" s="1" t="str" cm="1">
        <f t="array" aca="1" ref="AF43" ca="1">IF(INDIRECT(_xlfn.CONCAT("'",$A43,"'!F17"))&gt;=AF$2,"d",IF(INDIRECT(_xlfn.CONCAT("'",$A43,"'!F18"))&gt;=AF$2,"i",""))</f>
        <v>d</v>
      </c>
      <c r="AG43" s="1" t="str" cm="1">
        <f t="array" aca="1" ref="AG43" ca="1">IF(INDIRECT(_xlfn.CONCAT("'",$A43,"'!F17"))&gt;=AG$2,"d",IF(INDIRECT(_xlfn.CONCAT("'",$A43,"'!F18"))&gt;=AG$2,"i",""))</f>
        <v>d</v>
      </c>
      <c r="AH43" s="1" t="str" cm="1">
        <f t="array" aca="1" ref="AH43" ca="1">IF(INDIRECT(_xlfn.CONCAT("'",$A43,"'!F17"))&gt;=AH$2,"d",IF(INDIRECT(_xlfn.CONCAT("'",$A43,"'!F18"))&gt;=AH$2,"i",""))</f>
        <v>d</v>
      </c>
      <c r="AI43" s="1" t="str" cm="1">
        <f t="array" aca="1" ref="AI43" ca="1">IF(INDIRECT(_xlfn.CONCAT("'",$A43,"'!F17"))&gt;=AI$2,"d",IF(INDIRECT(_xlfn.CONCAT("'",$A43,"'!F18"))&gt;=AI$2,"i",""))</f>
        <v>d</v>
      </c>
      <c r="AJ43" s="1" t="str" cm="1">
        <f t="array" aca="1" ref="AJ43" ca="1">IF(INDIRECT(_xlfn.CONCAT("'",$A43,"'!F17"))&gt;=AJ$2,"d",IF(INDIRECT(_xlfn.CONCAT("'",$A43,"'!F18"))&gt;=AJ$2,"i",""))</f>
        <v>d</v>
      </c>
      <c r="AK43" s="1" t="str" cm="1">
        <f t="array" aca="1" ref="AK43" ca="1">IF(INDIRECT(_xlfn.CONCAT("'",$A43,"'!F17"))&gt;=AK$2,"d",IF(INDIRECT(_xlfn.CONCAT("'",$A43,"'!F18"))&gt;=AK$2,"i",""))</f>
        <v>d</v>
      </c>
      <c r="AL43" s="1" t="str" cm="1">
        <f t="array" aca="1" ref="AL43" ca="1">IF(INDIRECT(_xlfn.CONCAT("'",$A43,"'!F17"))&gt;=AL$2,"d",IF(INDIRECT(_xlfn.CONCAT("'",$A43,"'!F18"))&gt;=AL$2,"i",""))</f>
        <v/>
      </c>
      <c r="AM43" s="36"/>
      <c r="AN43" s="1" t="str" cm="1">
        <f t="array" aca="1" ref="AN43" ca="1">IF(INDIRECT(_xlfn.CONCAT("'",$A43,"'!F30"))&gt;=AN$2,"d",IF(INDIRECT(_xlfn.CONCAT("'",$A43,"'!F31"))&gt;=AN$2,"i",""))</f>
        <v>d</v>
      </c>
      <c r="AO43" s="1" t="str" cm="1">
        <f t="array" aca="1" ref="AO43" ca="1">IF(INDIRECT(_xlfn.CONCAT("'",$A43,"'!F30"))&gt;=AO$2,"d",IF(INDIRECT(_xlfn.CONCAT("'",$A43,"'!F31"))&gt;=AO$2,"i",""))</f>
        <v>d</v>
      </c>
      <c r="AP43" s="1" t="str" cm="1">
        <f t="array" aca="1" ref="AP43" ca="1">IF(INDIRECT(_xlfn.CONCAT("'",$A43,"'!F30"))&gt;=AP$2,"d",IF(INDIRECT(_xlfn.CONCAT("'",$A43,"'!F31"))&gt;=AP$2,"i",""))</f>
        <v>d</v>
      </c>
      <c r="AQ43" s="1" t="str" cm="1">
        <f t="array" aca="1" ref="AQ43" ca="1">IF(INDIRECT(_xlfn.CONCAT("'",$A43,"'!F30"))&gt;=AQ$2,"d",IF(INDIRECT(_xlfn.CONCAT("'",$A43,"'!F31"))&gt;=AQ$2,"i",""))</f>
        <v>d</v>
      </c>
      <c r="AR43" s="1" t="str" cm="1">
        <f t="array" aca="1" ref="AR43" ca="1">IF(INDIRECT(_xlfn.CONCAT("'",$A43,"'!F30"))&gt;=AR$2,"d",IF(INDIRECT(_xlfn.CONCAT("'",$A43,"'!F31"))&gt;=AR$2,"i",""))</f>
        <v>d</v>
      </c>
      <c r="AS43" s="1" t="str" cm="1">
        <f t="array" aca="1" ref="AS43" ca="1">IF(INDIRECT(_xlfn.CONCAT("'",$A43,"'!F30"))&gt;=AS$2,"d",IF(INDIRECT(_xlfn.CONCAT("'",$A43,"'!F31"))&gt;=AS$2,"i",""))</f>
        <v>d</v>
      </c>
      <c r="AT43" s="1" t="str" cm="1">
        <f t="array" aca="1" ref="AT43" ca="1">IF(INDIRECT(_xlfn.CONCAT("'",$A43,"'!F30"))&gt;=AT$2,"d",IF(INDIRECT(_xlfn.CONCAT("'",$A43,"'!F31"))&gt;=AT$2,"i",""))</f>
        <v>d</v>
      </c>
      <c r="AU43" s="1" t="str" cm="1">
        <f t="array" aca="1" ref="AU43" ca="1">IF(INDIRECT(_xlfn.CONCAT("'",$A43,"'!F30"))&gt;=AU$2,"d",IF(INDIRECT(_xlfn.CONCAT("'",$A43,"'!F31"))&gt;=AU$2,"i",""))</f>
        <v>d</v>
      </c>
      <c r="AV43" s="4" t="str" cm="1">
        <f t="array" aca="1" ref="AV43" ca="1">IF(INDIRECT(_xlfn.CONCAT("'",$A43,"'!F30"))&gt;=AV$2,"d",IF(INDIRECT(_xlfn.CONCAT("'",$A43,"'!F31"))&gt;=AV$2,"i",""))</f>
        <v/>
      </c>
    </row>
    <row r="44" spans="1:48" x14ac:dyDescent="0.25">
      <c r="A44" s="101" t="str">
        <v>Yoimiya</v>
      </c>
      <c r="B44" s="4" t="str">
        <f t="shared" si="3"/>
        <v>Pyro</v>
      </c>
      <c r="C44" s="38" t="str">
        <f t="shared" si="4"/>
        <v>Inazuma 1</v>
      </c>
      <c r="D44" s="85" t="str">
        <f t="shared" si="5"/>
        <v>Azhdaha 1</v>
      </c>
      <c r="E44" s="14" t="str" cm="1">
        <f t="array" aca="1" ref="E44" ca="1">IF(INDIRECT(_xlfn.CONCAT("'",$A44,"'!B4"))&gt;=E$2,"d",IF(INDIRECT(_xlfn.CONCAT("'",$A44,"'!B5"))&gt;=E$2,"i",""))</f>
        <v>d</v>
      </c>
      <c r="F44" s="1" t="str" cm="1">
        <f t="array" aca="1" ref="F44" ca="1">IF(INDIRECT(_xlfn.CONCAT("'",$A44,"'!B4"))&gt;=F$2,"d",IF(INDIRECT(_xlfn.CONCAT("'",$A44,"'!B5"))&gt;=F$2,"i",""))</f>
        <v>d</v>
      </c>
      <c r="G44" s="1" t="str" cm="1">
        <f t="array" aca="1" ref="G44" ca="1">IF(INDIRECT(_xlfn.CONCAT("'",$A44,"'!B4"))&gt;=G$2,"d",IF(INDIRECT(_xlfn.CONCAT("'",$A44,"'!B5"))&gt;=G$2,"i",""))</f>
        <v>d</v>
      </c>
      <c r="H44" s="1" t="str" cm="1">
        <f t="array" aca="1" ref="H44" ca="1">IF(INDIRECT(_xlfn.CONCAT("'",$A44,"'!B4"))&gt;=H$2,"d",IF(INDIRECT(_xlfn.CONCAT("'",$A44,"'!B5"))&gt;=H$2,"i",""))</f>
        <v>d</v>
      </c>
      <c r="I44" s="1" t="str" cm="1">
        <f t="array" aca="1" ref="I44" ca="1">IF(INDIRECT(_xlfn.CONCAT("'",$A44,"'!B4"))&gt;=I$2,"d",IF(INDIRECT(_xlfn.CONCAT("'",$A44,"'!B5"))&gt;=I$2,"i",""))</f>
        <v>d</v>
      </c>
      <c r="J44" s="1" t="str" cm="1">
        <f t="array" aca="1" ref="J44" ca="1">IF(INDIRECT(_xlfn.CONCAT("'",$A44,"'!B4"))&gt;=J$2,"d",IF(INDIRECT(_xlfn.CONCAT("'",$A44,"'!B5"))&gt;=J$2,"i",""))</f>
        <v>d</v>
      </c>
      <c r="K44" s="4" t="str" cm="1">
        <f t="array" aca="1" ref="K44" ca="1">IF(INDIRECT(_xlfn.CONCAT("'",$A44,"'!B4"))&gt;=K$2,"d",IF(INDIRECT(_xlfn.CONCAT("'",$A44,"'!B5"))&gt;=K$2,"i",""))</f>
        <v>d</v>
      </c>
      <c r="L44" s="39"/>
      <c r="M44" s="1" t="str" cm="1">
        <f t="array" aca="1" ref="M44" ca="1">IF(INDIRECT(_xlfn.CONCAT("'",$A44,"'!C10"))&gt;=M$2,"d",IF(INDIRECT(_xlfn.CONCAT("'",$A44,"'!C11"))&gt;=M$2,"i",""))</f>
        <v>d</v>
      </c>
      <c r="N44" s="1" t="str" cm="1">
        <f t="array" aca="1" ref="N44" ca="1">IF(INDIRECT(_xlfn.CONCAT("'",$A44,"'!C10"))&gt;=N$2,"d",IF(INDIRECT(_xlfn.CONCAT("'",$A44,"'!C11"))&gt;=N$2,"i",""))</f>
        <v>d</v>
      </c>
      <c r="O44" s="1" t="str" cm="1">
        <f t="array" aca="1" ref="O44" ca="1">IF(INDIRECT(_xlfn.CONCAT("'",$A44,"'!C10"))&gt;=O$2,"d",IF(INDIRECT(_xlfn.CONCAT("'",$A44,"'!C11"))&gt;=O$2,"i",""))</f>
        <v>d</v>
      </c>
      <c r="P44" s="1" t="str" cm="1">
        <f t="array" aca="1" ref="P44" ca="1">IF(INDIRECT(_xlfn.CONCAT("'",$A44,"'!C10"))&gt;=P$2,"d",IF(INDIRECT(_xlfn.CONCAT("'",$A44,"'!C11"))&gt;=P$2,"i",""))</f>
        <v>d</v>
      </c>
      <c r="Q44" s="1" t="str" cm="1">
        <f t="array" aca="1" ref="Q44" ca="1">IF(INDIRECT(_xlfn.CONCAT("'",$A44,"'!C10"))&gt;=Q$2,"d",IF(INDIRECT(_xlfn.CONCAT("'",$A44,"'!C11"))&gt;=Q$2,"i",""))</f>
        <v>d</v>
      </c>
      <c r="R44" s="1" t="str" cm="1">
        <f t="array" aca="1" ref="R44" ca="1">IF(INDIRECT(_xlfn.CONCAT("'",$A44,"'!C10"))&gt;=R$2,"d",IF(INDIRECT(_xlfn.CONCAT("'",$A44,"'!C11"))&gt;=R$2,"i",""))</f>
        <v>d</v>
      </c>
      <c r="S44" s="36"/>
      <c r="T44" s="1" t="str" cm="1">
        <f t="array" aca="1" ref="T44" ca="1">IF(INDIRECT(_xlfn.CONCAT("'",$A44,"'!F4"))&gt;=T$2,"d",IF(INDIRECT(_xlfn.CONCAT("'",$A44,"'!F5"))&gt;=T$2,"i",""))</f>
        <v>d</v>
      </c>
      <c r="U44" s="1" t="str" cm="1">
        <f t="array" aca="1" ref="U44" ca="1">IF(INDIRECT(_xlfn.CONCAT("'",$A44,"'!F4"))&gt;=U$2,"d",IF(INDIRECT(_xlfn.CONCAT("'",$A44,"'!F5"))&gt;=U$2,"i",""))</f>
        <v>d</v>
      </c>
      <c r="V44" s="1" t="str" cm="1">
        <f t="array" aca="1" ref="V44" ca="1">IF(INDIRECT(_xlfn.CONCAT("'",$A44,"'!F4"))&gt;=V$2,"d",IF(INDIRECT(_xlfn.CONCAT("'",$A44,"'!F5"))&gt;=V$2,"i",""))</f>
        <v>d</v>
      </c>
      <c r="W44" s="1" t="str" cm="1">
        <f t="array" aca="1" ref="W44" ca="1">IF(INDIRECT(_xlfn.CONCAT("'",$A44,"'!F4"))&gt;=W$2,"d",IF(INDIRECT(_xlfn.CONCAT("'",$A44,"'!F5"))&gt;=W$2,"i",""))</f>
        <v>d</v>
      </c>
      <c r="X44" s="1" t="str" cm="1">
        <f t="array" aca="1" ref="X44" ca="1">IF(INDIRECT(_xlfn.CONCAT("'",$A44,"'!F4"))&gt;=X$2,"d",IF(INDIRECT(_xlfn.CONCAT("'",$A44,"'!F5"))&gt;=X$2,"i",""))</f>
        <v>d</v>
      </c>
      <c r="Y44" s="1" t="str" cm="1">
        <f t="array" aca="1" ref="Y44" ca="1">IF(INDIRECT(_xlfn.CONCAT("'",$A44,"'!F4"))&gt;=Y$2,"d",IF(INDIRECT(_xlfn.CONCAT("'",$A44,"'!F5"))&gt;=Y$2,"i",""))</f>
        <v>d</v>
      </c>
      <c r="Z44" s="1" t="str" cm="1">
        <f t="array" aca="1" ref="Z44" ca="1">IF(INDIRECT(_xlfn.CONCAT("'",$A44,"'!F4"))&gt;=Z$2,"d",IF(INDIRECT(_xlfn.CONCAT("'",$A44,"'!F5"))&gt;=Z$2,"i",""))</f>
        <v>d</v>
      </c>
      <c r="AA44" s="1" t="str" cm="1">
        <f t="array" aca="1" ref="AA44" ca="1">IF(INDIRECT(_xlfn.CONCAT("'",$A44,"'!F4"))&gt;=AA$2,"d",IF(INDIRECT(_xlfn.CONCAT("'",$A44,"'!F5"))&gt;=AA$2,"i",""))</f>
        <v>d</v>
      </c>
      <c r="AB44" s="1" t="str" cm="1">
        <f t="array" aca="1" ref="AB44" ca="1">IF(INDIRECT(_xlfn.CONCAT("'",$A44,"'!F4"))&gt;=AB$2,"d",IF(INDIRECT(_xlfn.CONCAT("'",$A44,"'!F5"))&gt;=AB$2,"i",""))</f>
        <v/>
      </c>
      <c r="AC44" s="36"/>
      <c r="AD44" s="1" t="str" cm="1">
        <f t="array" aca="1" ref="AD44" ca="1">IF(INDIRECT(_xlfn.CONCAT("'",$A44,"'!F17"))&gt;=AD$2,"d",IF(INDIRECT(_xlfn.CONCAT("'",$A44,"'!F18"))&gt;=AD$2,"i",""))</f>
        <v>d</v>
      </c>
      <c r="AE44" s="1" t="str" cm="1">
        <f t="array" aca="1" ref="AE44" ca="1">IF(INDIRECT(_xlfn.CONCAT("'",$A44,"'!F17"))&gt;=AE$2,"d",IF(INDIRECT(_xlfn.CONCAT("'",$A44,"'!F18"))&gt;=AE$2,"i",""))</f>
        <v>d</v>
      </c>
      <c r="AF44" s="1" t="str" cm="1">
        <f t="array" aca="1" ref="AF44" ca="1">IF(INDIRECT(_xlfn.CONCAT("'",$A44,"'!F17"))&gt;=AF$2,"d",IF(INDIRECT(_xlfn.CONCAT("'",$A44,"'!F18"))&gt;=AF$2,"i",""))</f>
        <v>d</v>
      </c>
      <c r="AG44" s="1" t="str" cm="1">
        <f t="array" aca="1" ref="AG44" ca="1">IF(INDIRECT(_xlfn.CONCAT("'",$A44,"'!F17"))&gt;=AG$2,"d",IF(INDIRECT(_xlfn.CONCAT("'",$A44,"'!F18"))&gt;=AG$2,"i",""))</f>
        <v>d</v>
      </c>
      <c r="AH44" s="1" t="str" cm="1">
        <f t="array" aca="1" ref="AH44" ca="1">IF(INDIRECT(_xlfn.CONCAT("'",$A44,"'!F17"))&gt;=AH$2,"d",IF(INDIRECT(_xlfn.CONCAT("'",$A44,"'!F18"))&gt;=AH$2,"i",""))</f>
        <v>d</v>
      </c>
      <c r="AI44" s="1" t="str" cm="1">
        <f t="array" aca="1" ref="AI44" ca="1">IF(INDIRECT(_xlfn.CONCAT("'",$A44,"'!F17"))&gt;=AI$2,"d",IF(INDIRECT(_xlfn.CONCAT("'",$A44,"'!F18"))&gt;=AI$2,"i",""))</f>
        <v>d</v>
      </c>
      <c r="AJ44" s="1" t="str" cm="1">
        <f t="array" aca="1" ref="AJ44" ca="1">IF(INDIRECT(_xlfn.CONCAT("'",$A44,"'!F17"))&gt;=AJ$2,"d",IF(INDIRECT(_xlfn.CONCAT("'",$A44,"'!F18"))&gt;=AJ$2,"i",""))</f>
        <v>d</v>
      </c>
      <c r="AK44" s="1" t="str" cm="1">
        <f t="array" aca="1" ref="AK44" ca="1">IF(INDIRECT(_xlfn.CONCAT("'",$A44,"'!F17"))&gt;=AK$2,"d",IF(INDIRECT(_xlfn.CONCAT("'",$A44,"'!F18"))&gt;=AK$2,"i",""))</f>
        <v>d</v>
      </c>
      <c r="AL44" s="1" t="str" cm="1">
        <f t="array" aca="1" ref="AL44" ca="1">IF(INDIRECT(_xlfn.CONCAT("'",$A44,"'!F17"))&gt;=AL$2,"d",IF(INDIRECT(_xlfn.CONCAT("'",$A44,"'!F18"))&gt;=AL$2,"i",""))</f>
        <v/>
      </c>
      <c r="AM44" s="36"/>
      <c r="AN44" s="1" t="str" cm="1">
        <f t="array" aca="1" ref="AN44" ca="1">IF(INDIRECT(_xlfn.CONCAT("'",$A44,"'!F30"))&gt;=AN$2,"d",IF(INDIRECT(_xlfn.CONCAT("'",$A44,"'!F31"))&gt;=AN$2,"i",""))</f>
        <v>d</v>
      </c>
      <c r="AO44" s="1" t="str" cm="1">
        <f t="array" aca="1" ref="AO44" ca="1">IF(INDIRECT(_xlfn.CONCAT("'",$A44,"'!F30"))&gt;=AO$2,"d",IF(INDIRECT(_xlfn.CONCAT("'",$A44,"'!F31"))&gt;=AO$2,"i",""))</f>
        <v>d</v>
      </c>
      <c r="AP44" s="1" t="str" cm="1">
        <f t="array" aca="1" ref="AP44" ca="1">IF(INDIRECT(_xlfn.CONCAT("'",$A44,"'!F30"))&gt;=AP$2,"d",IF(INDIRECT(_xlfn.CONCAT("'",$A44,"'!F31"))&gt;=AP$2,"i",""))</f>
        <v>d</v>
      </c>
      <c r="AQ44" s="1" t="str" cm="1">
        <f t="array" aca="1" ref="AQ44" ca="1">IF(INDIRECT(_xlfn.CONCAT("'",$A44,"'!F30"))&gt;=AQ$2,"d",IF(INDIRECT(_xlfn.CONCAT("'",$A44,"'!F31"))&gt;=AQ$2,"i",""))</f>
        <v>d</v>
      </c>
      <c r="AR44" s="1" t="str" cm="1">
        <f t="array" aca="1" ref="AR44" ca="1">IF(INDIRECT(_xlfn.CONCAT("'",$A44,"'!F30"))&gt;=AR$2,"d",IF(INDIRECT(_xlfn.CONCAT("'",$A44,"'!F31"))&gt;=AR$2,"i",""))</f>
        <v>d</v>
      </c>
      <c r="AS44" s="1" t="str" cm="1">
        <f t="array" aca="1" ref="AS44" ca="1">IF(INDIRECT(_xlfn.CONCAT("'",$A44,"'!F30"))&gt;=AS$2,"d",IF(INDIRECT(_xlfn.CONCAT("'",$A44,"'!F31"))&gt;=AS$2,"i",""))</f>
        <v>d</v>
      </c>
      <c r="AT44" s="1" t="str" cm="1">
        <f t="array" aca="1" ref="AT44" ca="1">IF(INDIRECT(_xlfn.CONCAT("'",$A44,"'!F30"))&gt;=AT$2,"d",IF(INDIRECT(_xlfn.CONCAT("'",$A44,"'!F31"))&gt;=AT$2,"i",""))</f>
        <v>d</v>
      </c>
      <c r="AU44" s="1" t="str" cm="1">
        <f t="array" aca="1" ref="AU44" ca="1">IF(INDIRECT(_xlfn.CONCAT("'",$A44,"'!F30"))&gt;=AU$2,"d",IF(INDIRECT(_xlfn.CONCAT("'",$A44,"'!F31"))&gt;=AU$2,"i",""))</f>
        <v>d</v>
      </c>
      <c r="AV44" s="4" t="str" cm="1">
        <f t="array" aca="1" ref="AV44" ca="1">IF(INDIRECT(_xlfn.CONCAT("'",$A44,"'!F30"))&gt;=AV$2,"d",IF(INDIRECT(_xlfn.CONCAT("'",$A44,"'!F31"))&gt;=AV$2,"i",""))</f>
        <v/>
      </c>
    </row>
    <row r="45" spans="1:48" x14ac:dyDescent="0.25">
      <c r="A45" s="101" t="str">
        <v>Sayu</v>
      </c>
      <c r="B45" s="4" t="str">
        <f t="shared" si="3"/>
        <v>Anemo</v>
      </c>
      <c r="C45" s="38" t="str">
        <f t="shared" si="4"/>
        <v>Inazuma 3</v>
      </c>
      <c r="D45" s="85" t="str">
        <f t="shared" si="5"/>
        <v>Azhdaha 3</v>
      </c>
      <c r="E45" s="14" t="str" cm="1">
        <f t="array" aca="1" ref="E45" ca="1">IF(INDIRECT(_xlfn.CONCAT("'",$A45,"'!B4"))&gt;=E$2,"d",IF(INDIRECT(_xlfn.CONCAT("'",$A45,"'!B5"))&gt;=E$2,"i",""))</f>
        <v>d</v>
      </c>
      <c r="F45" s="1" t="str" cm="1">
        <f t="array" aca="1" ref="F45" ca="1">IF(INDIRECT(_xlfn.CONCAT("'",$A45,"'!B4"))&gt;=F$2,"d",IF(INDIRECT(_xlfn.CONCAT("'",$A45,"'!B5"))&gt;=F$2,"i",""))</f>
        <v>d</v>
      </c>
      <c r="G45" s="1" t="str" cm="1">
        <f t="array" aca="1" ref="G45" ca="1">IF(INDIRECT(_xlfn.CONCAT("'",$A45,"'!B4"))&gt;=G$2,"d",IF(INDIRECT(_xlfn.CONCAT("'",$A45,"'!B5"))&gt;=G$2,"i",""))</f>
        <v>d</v>
      </c>
      <c r="H45" s="1" t="str" cm="1">
        <f t="array" aca="1" ref="H45" ca="1">IF(INDIRECT(_xlfn.CONCAT("'",$A45,"'!B4"))&gt;=H$2,"d",IF(INDIRECT(_xlfn.CONCAT("'",$A45,"'!B5"))&gt;=H$2,"i",""))</f>
        <v>d</v>
      </c>
      <c r="I45" s="1" t="str" cm="1">
        <f t="array" aca="1" ref="I45" ca="1">IF(INDIRECT(_xlfn.CONCAT("'",$A45,"'!B4"))&gt;=I$2,"d",IF(INDIRECT(_xlfn.CONCAT("'",$A45,"'!B5"))&gt;=I$2,"i",""))</f>
        <v>d</v>
      </c>
      <c r="J45" s="1" t="str" cm="1">
        <f t="array" aca="1" ref="J45" ca="1">IF(INDIRECT(_xlfn.CONCAT("'",$A45,"'!B4"))&gt;=J$2,"d",IF(INDIRECT(_xlfn.CONCAT("'",$A45,"'!B5"))&gt;=J$2,"i",""))</f>
        <v>d</v>
      </c>
      <c r="K45" s="4" t="str" cm="1">
        <f t="array" aca="1" ref="K45" ca="1">IF(INDIRECT(_xlfn.CONCAT("'",$A45,"'!B4"))&gt;=K$2,"d",IF(INDIRECT(_xlfn.CONCAT("'",$A45,"'!B5"))&gt;=K$2,"i",""))</f>
        <v>d</v>
      </c>
      <c r="L45" s="39"/>
      <c r="M45" s="1" t="str" cm="1">
        <f t="array" aca="1" ref="M45" ca="1">IF(INDIRECT(_xlfn.CONCAT("'",$A45,"'!C10"))&gt;=M$2,"d",IF(INDIRECT(_xlfn.CONCAT("'",$A45,"'!C11"))&gt;=M$2,"i",""))</f>
        <v>d</v>
      </c>
      <c r="N45" s="1" t="str" cm="1">
        <f t="array" aca="1" ref="N45" ca="1">IF(INDIRECT(_xlfn.CONCAT("'",$A45,"'!C10"))&gt;=N$2,"d",IF(INDIRECT(_xlfn.CONCAT("'",$A45,"'!C11"))&gt;=N$2,"i",""))</f>
        <v>d</v>
      </c>
      <c r="O45" s="1" t="str" cm="1">
        <f t="array" aca="1" ref="O45" ca="1">IF(INDIRECT(_xlfn.CONCAT("'",$A45,"'!C10"))&gt;=O$2,"d",IF(INDIRECT(_xlfn.CONCAT("'",$A45,"'!C11"))&gt;=O$2,"i",""))</f>
        <v>d</v>
      </c>
      <c r="P45" s="1" t="str" cm="1">
        <f t="array" aca="1" ref="P45" ca="1">IF(INDIRECT(_xlfn.CONCAT("'",$A45,"'!C10"))&gt;=P$2,"d",IF(INDIRECT(_xlfn.CONCAT("'",$A45,"'!C11"))&gt;=P$2,"i",""))</f>
        <v>d</v>
      </c>
      <c r="Q45" s="1" t="str" cm="1">
        <f t="array" aca="1" ref="Q45" ca="1">IF(INDIRECT(_xlfn.CONCAT("'",$A45,"'!C10"))&gt;=Q$2,"d",IF(INDIRECT(_xlfn.CONCAT("'",$A45,"'!C11"))&gt;=Q$2,"i",""))</f>
        <v>d</v>
      </c>
      <c r="R45" s="1" t="str" cm="1">
        <f t="array" aca="1" ref="R45" ca="1">IF(INDIRECT(_xlfn.CONCAT("'",$A45,"'!C10"))&gt;=R$2,"d",IF(INDIRECT(_xlfn.CONCAT("'",$A45,"'!C11"))&gt;=R$2,"i",""))</f>
        <v>d</v>
      </c>
      <c r="S45" s="36"/>
      <c r="T45" s="1" t="str" cm="1">
        <f t="array" aca="1" ref="T45" ca="1">IF(INDIRECT(_xlfn.CONCAT("'",$A45,"'!F4"))&gt;=T$2,"d",IF(INDIRECT(_xlfn.CONCAT("'",$A45,"'!F5"))&gt;=T$2,"i",""))</f>
        <v>d</v>
      </c>
      <c r="U45" s="1" t="str" cm="1">
        <f t="array" aca="1" ref="U45" ca="1">IF(INDIRECT(_xlfn.CONCAT("'",$A45,"'!F4"))&gt;=U$2,"d",IF(INDIRECT(_xlfn.CONCAT("'",$A45,"'!F5"))&gt;=U$2,"i",""))</f>
        <v>d</v>
      </c>
      <c r="V45" s="1" t="str" cm="1">
        <f t="array" aca="1" ref="V45" ca="1">IF(INDIRECT(_xlfn.CONCAT("'",$A45,"'!F4"))&gt;=V$2,"d",IF(INDIRECT(_xlfn.CONCAT("'",$A45,"'!F5"))&gt;=V$2,"i",""))</f>
        <v>d</v>
      </c>
      <c r="W45" s="1" t="str" cm="1">
        <f t="array" aca="1" ref="W45" ca="1">IF(INDIRECT(_xlfn.CONCAT("'",$A45,"'!F4"))&gt;=W$2,"d",IF(INDIRECT(_xlfn.CONCAT("'",$A45,"'!F5"))&gt;=W$2,"i",""))</f>
        <v>d</v>
      </c>
      <c r="X45" s="1" t="str" cm="1">
        <f t="array" aca="1" ref="X45" ca="1">IF(INDIRECT(_xlfn.CONCAT("'",$A45,"'!F4"))&gt;=X$2,"d",IF(INDIRECT(_xlfn.CONCAT("'",$A45,"'!F5"))&gt;=X$2,"i",""))</f>
        <v>d</v>
      </c>
      <c r="Y45" s="1" t="str" cm="1">
        <f t="array" aca="1" ref="Y45" ca="1">IF(INDIRECT(_xlfn.CONCAT("'",$A45,"'!F4"))&gt;=Y$2,"d",IF(INDIRECT(_xlfn.CONCAT("'",$A45,"'!F5"))&gt;=Y$2,"i",""))</f>
        <v>d</v>
      </c>
      <c r="Z45" s="1" t="str" cm="1">
        <f t="array" aca="1" ref="Z45" ca="1">IF(INDIRECT(_xlfn.CONCAT("'",$A45,"'!F4"))&gt;=Z$2,"d",IF(INDIRECT(_xlfn.CONCAT("'",$A45,"'!F5"))&gt;=Z$2,"i",""))</f>
        <v>d</v>
      </c>
      <c r="AA45" s="1" t="str" cm="1">
        <f t="array" aca="1" ref="AA45" ca="1">IF(INDIRECT(_xlfn.CONCAT("'",$A45,"'!F4"))&gt;=AA$2,"d",IF(INDIRECT(_xlfn.CONCAT("'",$A45,"'!F5"))&gt;=AA$2,"i",""))</f>
        <v>d</v>
      </c>
      <c r="AB45" s="1" t="str" cm="1">
        <f t="array" aca="1" ref="AB45" ca="1">IF(INDIRECT(_xlfn.CONCAT("'",$A45,"'!F4"))&gt;=AB$2,"d",IF(INDIRECT(_xlfn.CONCAT("'",$A45,"'!F5"))&gt;=AB$2,"i",""))</f>
        <v/>
      </c>
      <c r="AC45" s="36"/>
      <c r="AD45" s="1" t="str" cm="1">
        <f t="array" aca="1" ref="AD45" ca="1">IF(INDIRECT(_xlfn.CONCAT("'",$A45,"'!F17"))&gt;=AD$2,"d",IF(INDIRECT(_xlfn.CONCAT("'",$A45,"'!F18"))&gt;=AD$2,"i",""))</f>
        <v>d</v>
      </c>
      <c r="AE45" s="1" t="str" cm="1">
        <f t="array" aca="1" ref="AE45" ca="1">IF(INDIRECT(_xlfn.CONCAT("'",$A45,"'!F17"))&gt;=AE$2,"d",IF(INDIRECT(_xlfn.CONCAT("'",$A45,"'!F18"))&gt;=AE$2,"i",""))</f>
        <v>d</v>
      </c>
      <c r="AF45" s="1" t="str" cm="1">
        <f t="array" aca="1" ref="AF45" ca="1">IF(INDIRECT(_xlfn.CONCAT("'",$A45,"'!F17"))&gt;=AF$2,"d",IF(INDIRECT(_xlfn.CONCAT("'",$A45,"'!F18"))&gt;=AF$2,"i",""))</f>
        <v>d</v>
      </c>
      <c r="AG45" s="1" t="str" cm="1">
        <f t="array" aca="1" ref="AG45" ca="1">IF(INDIRECT(_xlfn.CONCAT("'",$A45,"'!F17"))&gt;=AG$2,"d",IF(INDIRECT(_xlfn.CONCAT("'",$A45,"'!F18"))&gt;=AG$2,"i",""))</f>
        <v>d</v>
      </c>
      <c r="AH45" s="1" t="str" cm="1">
        <f t="array" aca="1" ref="AH45" ca="1">IF(INDIRECT(_xlfn.CONCAT("'",$A45,"'!F17"))&gt;=AH$2,"d",IF(INDIRECT(_xlfn.CONCAT("'",$A45,"'!F18"))&gt;=AH$2,"i",""))</f>
        <v>d</v>
      </c>
      <c r="AI45" s="1" t="str" cm="1">
        <f t="array" aca="1" ref="AI45" ca="1">IF(INDIRECT(_xlfn.CONCAT("'",$A45,"'!F17"))&gt;=AI$2,"d",IF(INDIRECT(_xlfn.CONCAT("'",$A45,"'!F18"))&gt;=AI$2,"i",""))</f>
        <v>d</v>
      </c>
      <c r="AJ45" s="1" t="str" cm="1">
        <f t="array" aca="1" ref="AJ45" ca="1">IF(INDIRECT(_xlfn.CONCAT("'",$A45,"'!F17"))&gt;=AJ$2,"d",IF(INDIRECT(_xlfn.CONCAT("'",$A45,"'!F18"))&gt;=AJ$2,"i",""))</f>
        <v>d</v>
      </c>
      <c r="AK45" s="1" t="str" cm="1">
        <f t="array" aca="1" ref="AK45" ca="1">IF(INDIRECT(_xlfn.CONCAT("'",$A45,"'!F17"))&gt;=AK$2,"d",IF(INDIRECT(_xlfn.CONCAT("'",$A45,"'!F18"))&gt;=AK$2,"i",""))</f>
        <v>d</v>
      </c>
      <c r="AL45" s="1" t="str" cm="1">
        <f t="array" aca="1" ref="AL45" ca="1">IF(INDIRECT(_xlfn.CONCAT("'",$A45,"'!F17"))&gt;=AL$2,"d",IF(INDIRECT(_xlfn.CONCAT("'",$A45,"'!F18"))&gt;=AL$2,"i",""))</f>
        <v/>
      </c>
      <c r="AM45" s="36"/>
      <c r="AN45" s="1" t="str" cm="1">
        <f t="array" aca="1" ref="AN45" ca="1">IF(INDIRECT(_xlfn.CONCAT("'",$A45,"'!F30"))&gt;=AN$2,"d",IF(INDIRECT(_xlfn.CONCAT("'",$A45,"'!F31"))&gt;=AN$2,"i",""))</f>
        <v>d</v>
      </c>
      <c r="AO45" s="1" t="str" cm="1">
        <f t="array" aca="1" ref="AO45" ca="1">IF(INDIRECT(_xlfn.CONCAT("'",$A45,"'!F30"))&gt;=AO$2,"d",IF(INDIRECT(_xlfn.CONCAT("'",$A45,"'!F31"))&gt;=AO$2,"i",""))</f>
        <v>d</v>
      </c>
      <c r="AP45" s="1" t="str" cm="1">
        <f t="array" aca="1" ref="AP45" ca="1">IF(INDIRECT(_xlfn.CONCAT("'",$A45,"'!F30"))&gt;=AP$2,"d",IF(INDIRECT(_xlfn.CONCAT("'",$A45,"'!F31"))&gt;=AP$2,"i",""))</f>
        <v>d</v>
      </c>
      <c r="AQ45" s="1" t="str" cm="1">
        <f t="array" aca="1" ref="AQ45" ca="1">IF(INDIRECT(_xlfn.CONCAT("'",$A45,"'!F30"))&gt;=AQ$2,"d",IF(INDIRECT(_xlfn.CONCAT("'",$A45,"'!F31"))&gt;=AQ$2,"i",""))</f>
        <v>d</v>
      </c>
      <c r="AR45" s="1" t="str" cm="1">
        <f t="array" aca="1" ref="AR45" ca="1">IF(INDIRECT(_xlfn.CONCAT("'",$A45,"'!F30"))&gt;=AR$2,"d",IF(INDIRECT(_xlfn.CONCAT("'",$A45,"'!F31"))&gt;=AR$2,"i",""))</f>
        <v>d</v>
      </c>
      <c r="AS45" s="1" t="str" cm="1">
        <f t="array" aca="1" ref="AS45" ca="1">IF(INDIRECT(_xlfn.CONCAT("'",$A45,"'!F30"))&gt;=AS$2,"d",IF(INDIRECT(_xlfn.CONCAT("'",$A45,"'!F31"))&gt;=AS$2,"i",""))</f>
        <v>d</v>
      </c>
      <c r="AT45" s="1" t="str" cm="1">
        <f t="array" aca="1" ref="AT45" ca="1">IF(INDIRECT(_xlfn.CONCAT("'",$A45,"'!F30"))&gt;=AT$2,"d",IF(INDIRECT(_xlfn.CONCAT("'",$A45,"'!F31"))&gt;=AT$2,"i",""))</f>
        <v>d</v>
      </c>
      <c r="AU45" s="1" t="str" cm="1">
        <f t="array" aca="1" ref="AU45" ca="1">IF(INDIRECT(_xlfn.CONCAT("'",$A45,"'!F30"))&gt;=AU$2,"d",IF(INDIRECT(_xlfn.CONCAT("'",$A45,"'!F31"))&gt;=AU$2,"i",""))</f>
        <v>d</v>
      </c>
      <c r="AV45" s="4" t="str" cm="1">
        <f t="array" aca="1" ref="AV45" ca="1">IF(INDIRECT(_xlfn.CONCAT("'",$A45,"'!F30"))&gt;=AV$2,"d",IF(INDIRECT(_xlfn.CONCAT("'",$A45,"'!F31"))&gt;=AV$2,"i",""))</f>
        <v/>
      </c>
    </row>
    <row r="46" spans="1:48" x14ac:dyDescent="0.25">
      <c r="A46" s="101" t="str">
        <v>Raiden Shogun</v>
      </c>
      <c r="B46" s="4" t="str">
        <f t="shared" si="3"/>
        <v>Electro</v>
      </c>
      <c r="C46" s="38" t="str">
        <f t="shared" si="4"/>
        <v>Inazuma 3</v>
      </c>
      <c r="D46" s="85" t="str">
        <f t="shared" si="5"/>
        <v>Signora 1</v>
      </c>
      <c r="E46" s="14" t="str" cm="1">
        <f t="array" aca="1" ref="E46" ca="1">IF(INDIRECT(_xlfn.CONCAT("'",$A46,"'!B4"))&gt;=E$2,"d",IF(INDIRECT(_xlfn.CONCAT("'",$A46,"'!B5"))&gt;=E$2,"i",""))</f>
        <v>d</v>
      </c>
      <c r="F46" s="1" t="str" cm="1">
        <f t="array" aca="1" ref="F46" ca="1">IF(INDIRECT(_xlfn.CONCAT("'",$A46,"'!B4"))&gt;=F$2,"d",IF(INDIRECT(_xlfn.CONCAT("'",$A46,"'!B5"))&gt;=F$2,"i",""))</f>
        <v>d</v>
      </c>
      <c r="G46" s="1" t="str" cm="1">
        <f t="array" aca="1" ref="G46" ca="1">IF(INDIRECT(_xlfn.CONCAT("'",$A46,"'!B4"))&gt;=G$2,"d",IF(INDIRECT(_xlfn.CONCAT("'",$A46,"'!B5"))&gt;=G$2,"i",""))</f>
        <v>d</v>
      </c>
      <c r="H46" s="1" t="str" cm="1">
        <f t="array" aca="1" ref="H46" ca="1">IF(INDIRECT(_xlfn.CONCAT("'",$A46,"'!B4"))&gt;=H$2,"d",IF(INDIRECT(_xlfn.CONCAT("'",$A46,"'!B5"))&gt;=H$2,"i",""))</f>
        <v>d</v>
      </c>
      <c r="I46" s="1" t="str" cm="1">
        <f t="array" aca="1" ref="I46" ca="1">IF(INDIRECT(_xlfn.CONCAT("'",$A46,"'!B4"))&gt;=I$2,"d",IF(INDIRECT(_xlfn.CONCAT("'",$A46,"'!B5"))&gt;=I$2,"i",""))</f>
        <v>d</v>
      </c>
      <c r="J46" s="1" t="str" cm="1">
        <f t="array" aca="1" ref="J46" ca="1">IF(INDIRECT(_xlfn.CONCAT("'",$A46,"'!B4"))&gt;=J$2,"d",IF(INDIRECT(_xlfn.CONCAT("'",$A46,"'!B5"))&gt;=J$2,"i",""))</f>
        <v>d</v>
      </c>
      <c r="K46" s="4" t="str" cm="1">
        <f t="array" aca="1" ref="K46" ca="1">IF(INDIRECT(_xlfn.CONCAT("'",$A46,"'!B4"))&gt;=K$2,"d",IF(INDIRECT(_xlfn.CONCAT("'",$A46,"'!B5"))&gt;=K$2,"i",""))</f>
        <v>d</v>
      </c>
      <c r="L46" s="39"/>
      <c r="M46" s="1" t="str" cm="1">
        <f t="array" aca="1" ref="M46" ca="1">IF(INDIRECT(_xlfn.CONCAT("'",$A46,"'!C10"))&gt;=M$2,"d",IF(INDIRECT(_xlfn.CONCAT("'",$A46,"'!C11"))&gt;=M$2,"i",""))</f>
        <v>d</v>
      </c>
      <c r="N46" s="1" t="str" cm="1">
        <f t="array" aca="1" ref="N46" ca="1">IF(INDIRECT(_xlfn.CONCAT("'",$A46,"'!C10"))&gt;=N$2,"d",IF(INDIRECT(_xlfn.CONCAT("'",$A46,"'!C11"))&gt;=N$2,"i",""))</f>
        <v>d</v>
      </c>
      <c r="O46" s="1" t="str" cm="1">
        <f t="array" aca="1" ref="O46" ca="1">IF(INDIRECT(_xlfn.CONCAT("'",$A46,"'!C10"))&gt;=O$2,"d",IF(INDIRECT(_xlfn.CONCAT("'",$A46,"'!C11"))&gt;=O$2,"i",""))</f>
        <v>d</v>
      </c>
      <c r="P46" s="1" t="str" cm="1">
        <f t="array" aca="1" ref="P46" ca="1">IF(INDIRECT(_xlfn.CONCAT("'",$A46,"'!C10"))&gt;=P$2,"d",IF(INDIRECT(_xlfn.CONCAT("'",$A46,"'!C11"))&gt;=P$2,"i",""))</f>
        <v>d</v>
      </c>
      <c r="Q46" s="1" t="str" cm="1">
        <f t="array" aca="1" ref="Q46" ca="1">IF(INDIRECT(_xlfn.CONCAT("'",$A46,"'!C10"))&gt;=Q$2,"d",IF(INDIRECT(_xlfn.CONCAT("'",$A46,"'!C11"))&gt;=Q$2,"i",""))</f>
        <v>d</v>
      </c>
      <c r="R46" s="1" t="str" cm="1">
        <f t="array" aca="1" ref="R46" ca="1">IF(INDIRECT(_xlfn.CONCAT("'",$A46,"'!C10"))&gt;=R$2,"d",IF(INDIRECT(_xlfn.CONCAT("'",$A46,"'!C11"))&gt;=R$2,"i",""))</f>
        <v>d</v>
      </c>
      <c r="S46" s="36"/>
      <c r="T46" s="1" t="str" cm="1">
        <f t="array" aca="1" ref="T46" ca="1">IF(INDIRECT(_xlfn.CONCAT("'",$A46,"'!F4"))&gt;=T$2,"d",IF(INDIRECT(_xlfn.CONCAT("'",$A46,"'!F5"))&gt;=T$2,"i",""))</f>
        <v>d</v>
      </c>
      <c r="U46" s="1" t="str" cm="1">
        <f t="array" aca="1" ref="U46" ca="1">IF(INDIRECT(_xlfn.CONCAT("'",$A46,"'!F4"))&gt;=U$2,"d",IF(INDIRECT(_xlfn.CONCAT("'",$A46,"'!F5"))&gt;=U$2,"i",""))</f>
        <v>d</v>
      </c>
      <c r="V46" s="1" t="str" cm="1">
        <f t="array" aca="1" ref="V46" ca="1">IF(INDIRECT(_xlfn.CONCAT("'",$A46,"'!F4"))&gt;=V$2,"d",IF(INDIRECT(_xlfn.CONCAT("'",$A46,"'!F5"))&gt;=V$2,"i",""))</f>
        <v>d</v>
      </c>
      <c r="W46" s="1" t="str" cm="1">
        <f t="array" aca="1" ref="W46" ca="1">IF(INDIRECT(_xlfn.CONCAT("'",$A46,"'!F4"))&gt;=W$2,"d",IF(INDIRECT(_xlfn.CONCAT("'",$A46,"'!F5"))&gt;=W$2,"i",""))</f>
        <v>d</v>
      </c>
      <c r="X46" s="1" t="str" cm="1">
        <f t="array" aca="1" ref="X46" ca="1">IF(INDIRECT(_xlfn.CONCAT("'",$A46,"'!F4"))&gt;=X$2,"d",IF(INDIRECT(_xlfn.CONCAT("'",$A46,"'!F5"))&gt;=X$2,"i",""))</f>
        <v>d</v>
      </c>
      <c r="Y46" s="1" t="str" cm="1">
        <f t="array" aca="1" ref="Y46" ca="1">IF(INDIRECT(_xlfn.CONCAT("'",$A46,"'!F4"))&gt;=Y$2,"d",IF(INDIRECT(_xlfn.CONCAT("'",$A46,"'!F5"))&gt;=Y$2,"i",""))</f>
        <v>d</v>
      </c>
      <c r="Z46" s="1" t="str" cm="1">
        <f t="array" aca="1" ref="Z46" ca="1">IF(INDIRECT(_xlfn.CONCAT("'",$A46,"'!F4"))&gt;=Z$2,"d",IF(INDIRECT(_xlfn.CONCAT("'",$A46,"'!F5"))&gt;=Z$2,"i",""))</f>
        <v>d</v>
      </c>
      <c r="AA46" s="1" t="str" cm="1">
        <f t="array" aca="1" ref="AA46" ca="1">IF(INDIRECT(_xlfn.CONCAT("'",$A46,"'!F4"))&gt;=AA$2,"d",IF(INDIRECT(_xlfn.CONCAT("'",$A46,"'!F5"))&gt;=AA$2,"i",""))</f>
        <v>d</v>
      </c>
      <c r="AB46" s="1" t="str" cm="1">
        <f t="array" aca="1" ref="AB46" ca="1">IF(INDIRECT(_xlfn.CONCAT("'",$A46,"'!F4"))&gt;=AB$2,"d",IF(INDIRECT(_xlfn.CONCAT("'",$A46,"'!F5"))&gt;=AB$2,"i",""))</f>
        <v/>
      </c>
      <c r="AC46" s="36"/>
      <c r="AD46" s="1" t="str" cm="1">
        <f t="array" aca="1" ref="AD46" ca="1">IF(INDIRECT(_xlfn.CONCAT("'",$A46,"'!F17"))&gt;=AD$2,"d",IF(INDIRECT(_xlfn.CONCAT("'",$A46,"'!F18"))&gt;=AD$2,"i",""))</f>
        <v>d</v>
      </c>
      <c r="AE46" s="1" t="str" cm="1">
        <f t="array" aca="1" ref="AE46" ca="1">IF(INDIRECT(_xlfn.CONCAT("'",$A46,"'!F17"))&gt;=AE$2,"d",IF(INDIRECT(_xlfn.CONCAT("'",$A46,"'!F18"))&gt;=AE$2,"i",""))</f>
        <v>d</v>
      </c>
      <c r="AF46" s="1" t="str" cm="1">
        <f t="array" aca="1" ref="AF46" ca="1">IF(INDIRECT(_xlfn.CONCAT("'",$A46,"'!F17"))&gt;=AF$2,"d",IF(INDIRECT(_xlfn.CONCAT("'",$A46,"'!F18"))&gt;=AF$2,"i",""))</f>
        <v>d</v>
      </c>
      <c r="AG46" s="1" t="str" cm="1">
        <f t="array" aca="1" ref="AG46" ca="1">IF(INDIRECT(_xlfn.CONCAT("'",$A46,"'!F17"))&gt;=AG$2,"d",IF(INDIRECT(_xlfn.CONCAT("'",$A46,"'!F18"))&gt;=AG$2,"i",""))</f>
        <v>d</v>
      </c>
      <c r="AH46" s="1" t="str" cm="1">
        <f t="array" aca="1" ref="AH46" ca="1">IF(INDIRECT(_xlfn.CONCAT("'",$A46,"'!F17"))&gt;=AH$2,"d",IF(INDIRECT(_xlfn.CONCAT("'",$A46,"'!F18"))&gt;=AH$2,"i",""))</f>
        <v>d</v>
      </c>
      <c r="AI46" s="1" t="str" cm="1">
        <f t="array" aca="1" ref="AI46" ca="1">IF(INDIRECT(_xlfn.CONCAT("'",$A46,"'!F17"))&gt;=AI$2,"d",IF(INDIRECT(_xlfn.CONCAT("'",$A46,"'!F18"))&gt;=AI$2,"i",""))</f>
        <v>d</v>
      </c>
      <c r="AJ46" s="1" t="str" cm="1">
        <f t="array" aca="1" ref="AJ46" ca="1">IF(INDIRECT(_xlfn.CONCAT("'",$A46,"'!F17"))&gt;=AJ$2,"d",IF(INDIRECT(_xlfn.CONCAT("'",$A46,"'!F18"))&gt;=AJ$2,"i",""))</f>
        <v>d</v>
      </c>
      <c r="AK46" s="1" t="str" cm="1">
        <f t="array" aca="1" ref="AK46" ca="1">IF(INDIRECT(_xlfn.CONCAT("'",$A46,"'!F17"))&gt;=AK$2,"d",IF(INDIRECT(_xlfn.CONCAT("'",$A46,"'!F18"))&gt;=AK$2,"i",""))</f>
        <v>d</v>
      </c>
      <c r="AL46" s="1" t="str" cm="1">
        <f t="array" aca="1" ref="AL46" ca="1">IF(INDIRECT(_xlfn.CONCAT("'",$A46,"'!F17"))&gt;=AL$2,"d",IF(INDIRECT(_xlfn.CONCAT("'",$A46,"'!F18"))&gt;=AL$2,"i",""))</f>
        <v/>
      </c>
      <c r="AM46" s="36"/>
      <c r="AN46" s="1" t="str" cm="1">
        <f t="array" aca="1" ref="AN46" ca="1">IF(INDIRECT(_xlfn.CONCAT("'",$A46,"'!F30"))&gt;=AN$2,"d",IF(INDIRECT(_xlfn.CONCAT("'",$A46,"'!F31"))&gt;=AN$2,"i",""))</f>
        <v>d</v>
      </c>
      <c r="AO46" s="1" t="str" cm="1">
        <f t="array" aca="1" ref="AO46" ca="1">IF(INDIRECT(_xlfn.CONCAT("'",$A46,"'!F30"))&gt;=AO$2,"d",IF(INDIRECT(_xlfn.CONCAT("'",$A46,"'!F31"))&gt;=AO$2,"i",""))</f>
        <v>d</v>
      </c>
      <c r="AP46" s="1" t="str" cm="1">
        <f t="array" aca="1" ref="AP46" ca="1">IF(INDIRECT(_xlfn.CONCAT("'",$A46,"'!F30"))&gt;=AP$2,"d",IF(INDIRECT(_xlfn.CONCAT("'",$A46,"'!F31"))&gt;=AP$2,"i",""))</f>
        <v>d</v>
      </c>
      <c r="AQ46" s="1" t="str" cm="1">
        <f t="array" aca="1" ref="AQ46" ca="1">IF(INDIRECT(_xlfn.CONCAT("'",$A46,"'!F30"))&gt;=AQ$2,"d",IF(INDIRECT(_xlfn.CONCAT("'",$A46,"'!F31"))&gt;=AQ$2,"i",""))</f>
        <v>d</v>
      </c>
      <c r="AR46" s="1" t="str" cm="1">
        <f t="array" aca="1" ref="AR46" ca="1">IF(INDIRECT(_xlfn.CONCAT("'",$A46,"'!F30"))&gt;=AR$2,"d",IF(INDIRECT(_xlfn.CONCAT("'",$A46,"'!F31"))&gt;=AR$2,"i",""))</f>
        <v>d</v>
      </c>
      <c r="AS46" s="1" t="str" cm="1">
        <f t="array" aca="1" ref="AS46" ca="1">IF(INDIRECT(_xlfn.CONCAT("'",$A46,"'!F30"))&gt;=AS$2,"d",IF(INDIRECT(_xlfn.CONCAT("'",$A46,"'!F31"))&gt;=AS$2,"i",""))</f>
        <v>d</v>
      </c>
      <c r="AT46" s="1" t="str" cm="1">
        <f t="array" aca="1" ref="AT46" ca="1">IF(INDIRECT(_xlfn.CONCAT("'",$A46,"'!F30"))&gt;=AT$2,"d",IF(INDIRECT(_xlfn.CONCAT("'",$A46,"'!F31"))&gt;=AT$2,"i",""))</f>
        <v>d</v>
      </c>
      <c r="AU46" s="1" t="str" cm="1">
        <f t="array" aca="1" ref="AU46" ca="1">IF(INDIRECT(_xlfn.CONCAT("'",$A46,"'!F30"))&gt;=AU$2,"d",IF(INDIRECT(_xlfn.CONCAT("'",$A46,"'!F31"))&gt;=AU$2,"i",""))</f>
        <v>d</v>
      </c>
      <c r="AV46" s="4" t="str" cm="1">
        <f t="array" aca="1" ref="AV46" ca="1">IF(INDIRECT(_xlfn.CONCAT("'",$A46,"'!F30"))&gt;=AV$2,"d",IF(INDIRECT(_xlfn.CONCAT("'",$A46,"'!F31"))&gt;=AV$2,"i",""))</f>
        <v/>
      </c>
    </row>
    <row r="47" spans="1:48" x14ac:dyDescent="0.25">
      <c r="A47" s="101" t="str">
        <v>Kujou Sara</v>
      </c>
      <c r="B47" s="4" t="str">
        <f t="shared" si="3"/>
        <v>Electro</v>
      </c>
      <c r="C47" s="38" t="str">
        <f t="shared" si="4"/>
        <v>Inazuma 2</v>
      </c>
      <c r="D47" s="85" t="str">
        <f t="shared" si="5"/>
        <v>Signora 3</v>
      </c>
      <c r="E47" s="14" t="str" cm="1">
        <f t="array" aca="1" ref="E47" ca="1">IF(INDIRECT(_xlfn.CONCAT("'",$A47,"'!B4"))&gt;=E$2,"d",IF(INDIRECT(_xlfn.CONCAT("'",$A47,"'!B5"))&gt;=E$2,"i",""))</f>
        <v>d</v>
      </c>
      <c r="F47" s="1" t="str" cm="1">
        <f t="array" aca="1" ref="F47" ca="1">IF(INDIRECT(_xlfn.CONCAT("'",$A47,"'!B4"))&gt;=F$2,"d",IF(INDIRECT(_xlfn.CONCAT("'",$A47,"'!B5"))&gt;=F$2,"i",""))</f>
        <v>d</v>
      </c>
      <c r="G47" s="1" t="str" cm="1">
        <f t="array" aca="1" ref="G47" ca="1">IF(INDIRECT(_xlfn.CONCAT("'",$A47,"'!B4"))&gt;=G$2,"d",IF(INDIRECT(_xlfn.CONCAT("'",$A47,"'!B5"))&gt;=G$2,"i",""))</f>
        <v>d</v>
      </c>
      <c r="H47" s="1" t="str" cm="1">
        <f t="array" aca="1" ref="H47" ca="1">IF(INDIRECT(_xlfn.CONCAT("'",$A47,"'!B4"))&gt;=H$2,"d",IF(INDIRECT(_xlfn.CONCAT("'",$A47,"'!B5"))&gt;=H$2,"i",""))</f>
        <v>d</v>
      </c>
      <c r="I47" s="1" t="str" cm="1">
        <f t="array" aca="1" ref="I47" ca="1">IF(INDIRECT(_xlfn.CONCAT("'",$A47,"'!B4"))&gt;=I$2,"d",IF(INDIRECT(_xlfn.CONCAT("'",$A47,"'!B5"))&gt;=I$2,"i",""))</f>
        <v>d</v>
      </c>
      <c r="J47" s="1" t="str" cm="1">
        <f t="array" aca="1" ref="J47" ca="1">IF(INDIRECT(_xlfn.CONCAT("'",$A47,"'!B4"))&gt;=J$2,"d",IF(INDIRECT(_xlfn.CONCAT("'",$A47,"'!B5"))&gt;=J$2,"i",""))</f>
        <v>d</v>
      </c>
      <c r="K47" s="4" t="str" cm="1">
        <f t="array" aca="1" ref="K47" ca="1">IF(INDIRECT(_xlfn.CONCAT("'",$A47,"'!B4"))&gt;=K$2,"d",IF(INDIRECT(_xlfn.CONCAT("'",$A47,"'!B5"))&gt;=K$2,"i",""))</f>
        <v>d</v>
      </c>
      <c r="L47" s="39"/>
      <c r="M47" s="1" t="str" cm="1">
        <f t="array" aca="1" ref="M47" ca="1">IF(INDIRECT(_xlfn.CONCAT("'",$A47,"'!C10"))&gt;=M$2,"d",IF(INDIRECT(_xlfn.CONCAT("'",$A47,"'!C11"))&gt;=M$2,"i",""))</f>
        <v>d</v>
      </c>
      <c r="N47" s="1" t="str" cm="1">
        <f t="array" aca="1" ref="N47" ca="1">IF(INDIRECT(_xlfn.CONCAT("'",$A47,"'!C10"))&gt;=N$2,"d",IF(INDIRECT(_xlfn.CONCAT("'",$A47,"'!C11"))&gt;=N$2,"i",""))</f>
        <v>d</v>
      </c>
      <c r="O47" s="1" t="str" cm="1">
        <f t="array" aca="1" ref="O47" ca="1">IF(INDIRECT(_xlfn.CONCAT("'",$A47,"'!C10"))&gt;=O$2,"d",IF(INDIRECT(_xlfn.CONCAT("'",$A47,"'!C11"))&gt;=O$2,"i",""))</f>
        <v>d</v>
      </c>
      <c r="P47" s="1" t="str" cm="1">
        <f t="array" aca="1" ref="P47" ca="1">IF(INDIRECT(_xlfn.CONCAT("'",$A47,"'!C10"))&gt;=P$2,"d",IF(INDIRECT(_xlfn.CONCAT("'",$A47,"'!C11"))&gt;=P$2,"i",""))</f>
        <v>d</v>
      </c>
      <c r="Q47" s="1" t="str" cm="1">
        <f t="array" aca="1" ref="Q47" ca="1">IF(INDIRECT(_xlfn.CONCAT("'",$A47,"'!C10"))&gt;=Q$2,"d",IF(INDIRECT(_xlfn.CONCAT("'",$A47,"'!C11"))&gt;=Q$2,"i",""))</f>
        <v>d</v>
      </c>
      <c r="R47" s="1" t="str" cm="1">
        <f t="array" aca="1" ref="R47" ca="1">IF(INDIRECT(_xlfn.CONCAT("'",$A47,"'!C10"))&gt;=R$2,"d",IF(INDIRECT(_xlfn.CONCAT("'",$A47,"'!C11"))&gt;=R$2,"i",""))</f>
        <v>d</v>
      </c>
      <c r="S47" s="36"/>
      <c r="T47" s="1" t="str" cm="1">
        <f t="array" aca="1" ref="T47" ca="1">IF(INDIRECT(_xlfn.CONCAT("'",$A47,"'!F4"))&gt;=T$2,"d",IF(INDIRECT(_xlfn.CONCAT("'",$A47,"'!F5"))&gt;=T$2,"i",""))</f>
        <v>d</v>
      </c>
      <c r="U47" s="1" t="str" cm="1">
        <f t="array" aca="1" ref="U47" ca="1">IF(INDIRECT(_xlfn.CONCAT("'",$A47,"'!F4"))&gt;=U$2,"d",IF(INDIRECT(_xlfn.CONCAT("'",$A47,"'!F5"))&gt;=U$2,"i",""))</f>
        <v>d</v>
      </c>
      <c r="V47" s="1" t="str" cm="1">
        <f t="array" aca="1" ref="V47" ca="1">IF(INDIRECT(_xlfn.CONCAT("'",$A47,"'!F4"))&gt;=V$2,"d",IF(INDIRECT(_xlfn.CONCAT("'",$A47,"'!F5"))&gt;=V$2,"i",""))</f>
        <v>d</v>
      </c>
      <c r="W47" s="1" t="str" cm="1">
        <f t="array" aca="1" ref="W47" ca="1">IF(INDIRECT(_xlfn.CONCAT("'",$A47,"'!F4"))&gt;=W$2,"d",IF(INDIRECT(_xlfn.CONCAT("'",$A47,"'!F5"))&gt;=W$2,"i",""))</f>
        <v>d</v>
      </c>
      <c r="X47" s="1" t="str" cm="1">
        <f t="array" aca="1" ref="X47" ca="1">IF(INDIRECT(_xlfn.CONCAT("'",$A47,"'!F4"))&gt;=X$2,"d",IF(INDIRECT(_xlfn.CONCAT("'",$A47,"'!F5"))&gt;=X$2,"i",""))</f>
        <v>d</v>
      </c>
      <c r="Y47" s="1" t="str" cm="1">
        <f t="array" aca="1" ref="Y47" ca="1">IF(INDIRECT(_xlfn.CONCAT("'",$A47,"'!F4"))&gt;=Y$2,"d",IF(INDIRECT(_xlfn.CONCAT("'",$A47,"'!F5"))&gt;=Y$2,"i",""))</f>
        <v>d</v>
      </c>
      <c r="Z47" s="1" t="str" cm="1">
        <f t="array" aca="1" ref="Z47" ca="1">IF(INDIRECT(_xlfn.CONCAT("'",$A47,"'!F4"))&gt;=Z$2,"d",IF(INDIRECT(_xlfn.CONCAT("'",$A47,"'!F5"))&gt;=Z$2,"i",""))</f>
        <v>d</v>
      </c>
      <c r="AA47" s="1" t="str" cm="1">
        <f t="array" aca="1" ref="AA47" ca="1">IF(INDIRECT(_xlfn.CONCAT("'",$A47,"'!F4"))&gt;=AA$2,"d",IF(INDIRECT(_xlfn.CONCAT("'",$A47,"'!F5"))&gt;=AA$2,"i",""))</f>
        <v>d</v>
      </c>
      <c r="AB47" s="1" t="str" cm="1">
        <f t="array" aca="1" ref="AB47" ca="1">IF(INDIRECT(_xlfn.CONCAT("'",$A47,"'!F4"))&gt;=AB$2,"d",IF(INDIRECT(_xlfn.CONCAT("'",$A47,"'!F5"))&gt;=AB$2,"i",""))</f>
        <v/>
      </c>
      <c r="AC47" s="36"/>
      <c r="AD47" s="1" t="str" cm="1">
        <f t="array" aca="1" ref="AD47" ca="1">IF(INDIRECT(_xlfn.CONCAT("'",$A47,"'!F17"))&gt;=AD$2,"d",IF(INDIRECT(_xlfn.CONCAT("'",$A47,"'!F18"))&gt;=AD$2,"i",""))</f>
        <v>d</v>
      </c>
      <c r="AE47" s="1" t="str" cm="1">
        <f t="array" aca="1" ref="AE47" ca="1">IF(INDIRECT(_xlfn.CONCAT("'",$A47,"'!F17"))&gt;=AE$2,"d",IF(INDIRECT(_xlfn.CONCAT("'",$A47,"'!F18"))&gt;=AE$2,"i",""))</f>
        <v>d</v>
      </c>
      <c r="AF47" s="1" t="str" cm="1">
        <f t="array" aca="1" ref="AF47" ca="1">IF(INDIRECT(_xlfn.CONCAT("'",$A47,"'!F17"))&gt;=AF$2,"d",IF(INDIRECT(_xlfn.CONCAT("'",$A47,"'!F18"))&gt;=AF$2,"i",""))</f>
        <v>d</v>
      </c>
      <c r="AG47" s="1" t="str" cm="1">
        <f t="array" aca="1" ref="AG47" ca="1">IF(INDIRECT(_xlfn.CONCAT("'",$A47,"'!F17"))&gt;=AG$2,"d",IF(INDIRECT(_xlfn.CONCAT("'",$A47,"'!F18"))&gt;=AG$2,"i",""))</f>
        <v>d</v>
      </c>
      <c r="AH47" s="1" t="str" cm="1">
        <f t="array" aca="1" ref="AH47" ca="1">IF(INDIRECT(_xlfn.CONCAT("'",$A47,"'!F17"))&gt;=AH$2,"d",IF(INDIRECT(_xlfn.CONCAT("'",$A47,"'!F18"))&gt;=AH$2,"i",""))</f>
        <v>d</v>
      </c>
      <c r="AI47" s="1" t="str" cm="1">
        <f t="array" aca="1" ref="AI47" ca="1">IF(INDIRECT(_xlfn.CONCAT("'",$A47,"'!F17"))&gt;=AI$2,"d",IF(INDIRECT(_xlfn.CONCAT("'",$A47,"'!F18"))&gt;=AI$2,"i",""))</f>
        <v>d</v>
      </c>
      <c r="AJ47" s="1" t="str" cm="1">
        <f t="array" aca="1" ref="AJ47" ca="1">IF(INDIRECT(_xlfn.CONCAT("'",$A47,"'!F17"))&gt;=AJ$2,"d",IF(INDIRECT(_xlfn.CONCAT("'",$A47,"'!F18"))&gt;=AJ$2,"i",""))</f>
        <v>d</v>
      </c>
      <c r="AK47" s="1" t="str" cm="1">
        <f t="array" aca="1" ref="AK47" ca="1">IF(INDIRECT(_xlfn.CONCAT("'",$A47,"'!F17"))&gt;=AK$2,"d",IF(INDIRECT(_xlfn.CONCAT("'",$A47,"'!F18"))&gt;=AK$2,"i",""))</f>
        <v>d</v>
      </c>
      <c r="AL47" s="1" t="str" cm="1">
        <f t="array" aca="1" ref="AL47" ca="1">IF(INDIRECT(_xlfn.CONCAT("'",$A47,"'!F17"))&gt;=AL$2,"d",IF(INDIRECT(_xlfn.CONCAT("'",$A47,"'!F18"))&gt;=AL$2,"i",""))</f>
        <v/>
      </c>
      <c r="AM47" s="36"/>
      <c r="AN47" s="1" t="str" cm="1">
        <f t="array" aca="1" ref="AN47" ca="1">IF(INDIRECT(_xlfn.CONCAT("'",$A47,"'!F30"))&gt;=AN$2,"d",IF(INDIRECT(_xlfn.CONCAT("'",$A47,"'!F31"))&gt;=AN$2,"i",""))</f>
        <v>d</v>
      </c>
      <c r="AO47" s="1" t="str" cm="1">
        <f t="array" aca="1" ref="AO47" ca="1">IF(INDIRECT(_xlfn.CONCAT("'",$A47,"'!F30"))&gt;=AO$2,"d",IF(INDIRECT(_xlfn.CONCAT("'",$A47,"'!F31"))&gt;=AO$2,"i",""))</f>
        <v>d</v>
      </c>
      <c r="AP47" s="1" t="str" cm="1">
        <f t="array" aca="1" ref="AP47" ca="1">IF(INDIRECT(_xlfn.CONCAT("'",$A47,"'!F30"))&gt;=AP$2,"d",IF(INDIRECT(_xlfn.CONCAT("'",$A47,"'!F31"))&gt;=AP$2,"i",""))</f>
        <v>d</v>
      </c>
      <c r="AQ47" s="1" t="str" cm="1">
        <f t="array" aca="1" ref="AQ47" ca="1">IF(INDIRECT(_xlfn.CONCAT("'",$A47,"'!F30"))&gt;=AQ$2,"d",IF(INDIRECT(_xlfn.CONCAT("'",$A47,"'!F31"))&gt;=AQ$2,"i",""))</f>
        <v>d</v>
      </c>
      <c r="AR47" s="1" t="str" cm="1">
        <f t="array" aca="1" ref="AR47" ca="1">IF(INDIRECT(_xlfn.CONCAT("'",$A47,"'!F30"))&gt;=AR$2,"d",IF(INDIRECT(_xlfn.CONCAT("'",$A47,"'!F31"))&gt;=AR$2,"i",""))</f>
        <v>d</v>
      </c>
      <c r="AS47" s="1" t="str" cm="1">
        <f t="array" aca="1" ref="AS47" ca="1">IF(INDIRECT(_xlfn.CONCAT("'",$A47,"'!F30"))&gt;=AS$2,"d",IF(INDIRECT(_xlfn.CONCAT("'",$A47,"'!F31"))&gt;=AS$2,"i",""))</f>
        <v>d</v>
      </c>
      <c r="AT47" s="1" t="str" cm="1">
        <f t="array" aca="1" ref="AT47" ca="1">IF(INDIRECT(_xlfn.CONCAT("'",$A47,"'!F30"))&gt;=AT$2,"d",IF(INDIRECT(_xlfn.CONCAT("'",$A47,"'!F31"))&gt;=AT$2,"i",""))</f>
        <v>d</v>
      </c>
      <c r="AU47" s="1" t="str" cm="1">
        <f t="array" aca="1" ref="AU47" ca="1">IF(INDIRECT(_xlfn.CONCAT("'",$A47,"'!F30"))&gt;=AU$2,"d",IF(INDIRECT(_xlfn.CONCAT("'",$A47,"'!F31"))&gt;=AU$2,"i",""))</f>
        <v>d</v>
      </c>
      <c r="AV47" s="4" t="str" cm="1">
        <f t="array" aca="1" ref="AV47" ca="1">IF(INDIRECT(_xlfn.CONCAT("'",$A47,"'!F30"))&gt;=AV$2,"d",IF(INDIRECT(_xlfn.CONCAT("'",$A47,"'!F31"))&gt;=AV$2,"i",""))</f>
        <v/>
      </c>
    </row>
    <row r="48" spans="1:48" x14ac:dyDescent="0.25">
      <c r="A48" s="101" t="str">
        <v>Sangonomiya Kokomi</v>
      </c>
      <c r="B48" s="4" t="str">
        <f t="shared" si="3"/>
        <v>Hydro</v>
      </c>
      <c r="C48" s="38" t="str">
        <f t="shared" si="4"/>
        <v>Inazuma 1</v>
      </c>
      <c r="D48" s="85" t="str">
        <f t="shared" si="5"/>
        <v>Signora 2</v>
      </c>
      <c r="E48" s="14" t="str" cm="1">
        <f t="array" aca="1" ref="E48" ca="1">IF(INDIRECT(_xlfn.CONCAT("'",$A48,"'!B4"))&gt;=E$2,"d",IF(INDIRECT(_xlfn.CONCAT("'",$A48,"'!B5"))&gt;=E$2,"i",""))</f>
        <v>d</v>
      </c>
      <c r="F48" s="1" t="str" cm="1">
        <f t="array" aca="1" ref="F48" ca="1">IF(INDIRECT(_xlfn.CONCAT("'",$A48,"'!B4"))&gt;=F$2,"d",IF(INDIRECT(_xlfn.CONCAT("'",$A48,"'!B5"))&gt;=F$2,"i",""))</f>
        <v>d</v>
      </c>
      <c r="G48" s="1" t="str" cm="1">
        <f t="array" aca="1" ref="G48" ca="1">IF(INDIRECT(_xlfn.CONCAT("'",$A48,"'!B4"))&gt;=G$2,"d",IF(INDIRECT(_xlfn.CONCAT("'",$A48,"'!B5"))&gt;=G$2,"i",""))</f>
        <v>d</v>
      </c>
      <c r="H48" s="1" t="str" cm="1">
        <f t="array" aca="1" ref="H48" ca="1">IF(INDIRECT(_xlfn.CONCAT("'",$A48,"'!B4"))&gt;=H$2,"d",IF(INDIRECT(_xlfn.CONCAT("'",$A48,"'!B5"))&gt;=H$2,"i",""))</f>
        <v>d</v>
      </c>
      <c r="I48" s="1" t="str" cm="1">
        <f t="array" aca="1" ref="I48" ca="1">IF(INDIRECT(_xlfn.CONCAT("'",$A48,"'!B4"))&gt;=I$2,"d",IF(INDIRECT(_xlfn.CONCAT("'",$A48,"'!B5"))&gt;=I$2,"i",""))</f>
        <v>d</v>
      </c>
      <c r="J48" s="1" t="str" cm="1">
        <f t="array" aca="1" ref="J48" ca="1">IF(INDIRECT(_xlfn.CONCAT("'",$A48,"'!B4"))&gt;=J$2,"d",IF(INDIRECT(_xlfn.CONCAT("'",$A48,"'!B5"))&gt;=J$2,"i",""))</f>
        <v>d</v>
      </c>
      <c r="K48" s="4" t="str" cm="1">
        <f t="array" aca="1" ref="K48" ca="1">IF(INDIRECT(_xlfn.CONCAT("'",$A48,"'!B4"))&gt;=K$2,"d",IF(INDIRECT(_xlfn.CONCAT("'",$A48,"'!B5"))&gt;=K$2,"i",""))</f>
        <v>d</v>
      </c>
      <c r="L48" s="39"/>
      <c r="M48" s="1" t="str" cm="1">
        <f t="array" aca="1" ref="M48" ca="1">IF(INDIRECT(_xlfn.CONCAT("'",$A48,"'!C10"))&gt;=M$2,"d",IF(INDIRECT(_xlfn.CONCAT("'",$A48,"'!C11"))&gt;=M$2,"i",""))</f>
        <v>d</v>
      </c>
      <c r="N48" s="1" t="str" cm="1">
        <f t="array" aca="1" ref="N48" ca="1">IF(INDIRECT(_xlfn.CONCAT("'",$A48,"'!C10"))&gt;=N$2,"d",IF(INDIRECT(_xlfn.CONCAT("'",$A48,"'!C11"))&gt;=N$2,"i",""))</f>
        <v>d</v>
      </c>
      <c r="O48" s="1" t="str" cm="1">
        <f t="array" aca="1" ref="O48" ca="1">IF(INDIRECT(_xlfn.CONCAT("'",$A48,"'!C10"))&gt;=O$2,"d",IF(INDIRECT(_xlfn.CONCAT("'",$A48,"'!C11"))&gt;=O$2,"i",""))</f>
        <v>d</v>
      </c>
      <c r="P48" s="1" t="str" cm="1">
        <f t="array" aca="1" ref="P48" ca="1">IF(INDIRECT(_xlfn.CONCAT("'",$A48,"'!C10"))&gt;=P$2,"d",IF(INDIRECT(_xlfn.CONCAT("'",$A48,"'!C11"))&gt;=P$2,"i",""))</f>
        <v>d</v>
      </c>
      <c r="Q48" s="1" t="str" cm="1">
        <f t="array" aca="1" ref="Q48" ca="1">IF(INDIRECT(_xlfn.CONCAT("'",$A48,"'!C10"))&gt;=Q$2,"d",IF(INDIRECT(_xlfn.CONCAT("'",$A48,"'!C11"))&gt;=Q$2,"i",""))</f>
        <v>d</v>
      </c>
      <c r="R48" s="1" t="str" cm="1">
        <f t="array" aca="1" ref="R48" ca="1">IF(INDIRECT(_xlfn.CONCAT("'",$A48,"'!C10"))&gt;=R$2,"d",IF(INDIRECT(_xlfn.CONCAT("'",$A48,"'!C11"))&gt;=R$2,"i",""))</f>
        <v>d</v>
      </c>
      <c r="S48" s="36"/>
      <c r="T48" s="1" t="str" cm="1">
        <f t="array" aca="1" ref="T48" ca="1">IF(INDIRECT(_xlfn.CONCAT("'",$A48,"'!F4"))&gt;=T$2,"d",IF(INDIRECT(_xlfn.CONCAT("'",$A48,"'!F5"))&gt;=T$2,"i",""))</f>
        <v>d</v>
      </c>
      <c r="U48" s="1" t="str" cm="1">
        <f t="array" aca="1" ref="U48" ca="1">IF(INDIRECT(_xlfn.CONCAT("'",$A48,"'!F4"))&gt;=U$2,"d",IF(INDIRECT(_xlfn.CONCAT("'",$A48,"'!F5"))&gt;=U$2,"i",""))</f>
        <v>d</v>
      </c>
      <c r="V48" s="1" t="str" cm="1">
        <f t="array" aca="1" ref="V48" ca="1">IF(INDIRECT(_xlfn.CONCAT("'",$A48,"'!F4"))&gt;=V$2,"d",IF(INDIRECT(_xlfn.CONCAT("'",$A48,"'!F5"))&gt;=V$2,"i",""))</f>
        <v>d</v>
      </c>
      <c r="W48" s="1" t="str" cm="1">
        <f t="array" aca="1" ref="W48" ca="1">IF(INDIRECT(_xlfn.CONCAT("'",$A48,"'!F4"))&gt;=W$2,"d",IF(INDIRECT(_xlfn.CONCAT("'",$A48,"'!F5"))&gt;=W$2,"i",""))</f>
        <v>d</v>
      </c>
      <c r="X48" s="1" t="str" cm="1">
        <f t="array" aca="1" ref="X48" ca="1">IF(INDIRECT(_xlfn.CONCAT("'",$A48,"'!F4"))&gt;=X$2,"d",IF(INDIRECT(_xlfn.CONCAT("'",$A48,"'!F5"))&gt;=X$2,"i",""))</f>
        <v>d</v>
      </c>
      <c r="Y48" s="1" t="str" cm="1">
        <f t="array" aca="1" ref="Y48" ca="1">IF(INDIRECT(_xlfn.CONCAT("'",$A48,"'!F4"))&gt;=Y$2,"d",IF(INDIRECT(_xlfn.CONCAT("'",$A48,"'!F5"))&gt;=Y$2,"i",""))</f>
        <v>d</v>
      </c>
      <c r="Z48" s="1" t="str" cm="1">
        <f t="array" aca="1" ref="Z48" ca="1">IF(INDIRECT(_xlfn.CONCAT("'",$A48,"'!F4"))&gt;=Z$2,"d",IF(INDIRECT(_xlfn.CONCAT("'",$A48,"'!F5"))&gt;=Z$2,"i",""))</f>
        <v>d</v>
      </c>
      <c r="AA48" s="1" t="str" cm="1">
        <f t="array" aca="1" ref="AA48" ca="1">IF(INDIRECT(_xlfn.CONCAT("'",$A48,"'!F4"))&gt;=AA$2,"d",IF(INDIRECT(_xlfn.CONCAT("'",$A48,"'!F5"))&gt;=AA$2,"i",""))</f>
        <v>d</v>
      </c>
      <c r="AB48" s="1" t="str" cm="1">
        <f t="array" aca="1" ref="AB48" ca="1">IF(INDIRECT(_xlfn.CONCAT("'",$A48,"'!F4"))&gt;=AB$2,"d",IF(INDIRECT(_xlfn.CONCAT("'",$A48,"'!F5"))&gt;=AB$2,"i",""))</f>
        <v/>
      </c>
      <c r="AC48" s="36"/>
      <c r="AD48" s="1" t="str" cm="1">
        <f t="array" aca="1" ref="AD48" ca="1">IF(INDIRECT(_xlfn.CONCAT("'",$A48,"'!F17"))&gt;=AD$2,"d",IF(INDIRECT(_xlfn.CONCAT("'",$A48,"'!F18"))&gt;=AD$2,"i",""))</f>
        <v>d</v>
      </c>
      <c r="AE48" s="1" t="str" cm="1">
        <f t="array" aca="1" ref="AE48" ca="1">IF(INDIRECT(_xlfn.CONCAT("'",$A48,"'!F17"))&gt;=AE$2,"d",IF(INDIRECT(_xlfn.CONCAT("'",$A48,"'!F18"))&gt;=AE$2,"i",""))</f>
        <v>d</v>
      </c>
      <c r="AF48" s="1" t="str" cm="1">
        <f t="array" aca="1" ref="AF48" ca="1">IF(INDIRECT(_xlfn.CONCAT("'",$A48,"'!F17"))&gt;=AF$2,"d",IF(INDIRECT(_xlfn.CONCAT("'",$A48,"'!F18"))&gt;=AF$2,"i",""))</f>
        <v>d</v>
      </c>
      <c r="AG48" s="1" t="str" cm="1">
        <f t="array" aca="1" ref="AG48" ca="1">IF(INDIRECT(_xlfn.CONCAT("'",$A48,"'!F17"))&gt;=AG$2,"d",IF(INDIRECT(_xlfn.CONCAT("'",$A48,"'!F18"))&gt;=AG$2,"i",""))</f>
        <v>d</v>
      </c>
      <c r="AH48" s="1" t="str" cm="1">
        <f t="array" aca="1" ref="AH48" ca="1">IF(INDIRECT(_xlfn.CONCAT("'",$A48,"'!F17"))&gt;=AH$2,"d",IF(INDIRECT(_xlfn.CONCAT("'",$A48,"'!F18"))&gt;=AH$2,"i",""))</f>
        <v>d</v>
      </c>
      <c r="AI48" s="1" t="str" cm="1">
        <f t="array" aca="1" ref="AI48" ca="1">IF(INDIRECT(_xlfn.CONCAT("'",$A48,"'!F17"))&gt;=AI$2,"d",IF(INDIRECT(_xlfn.CONCAT("'",$A48,"'!F18"))&gt;=AI$2,"i",""))</f>
        <v>d</v>
      </c>
      <c r="AJ48" s="1" t="str" cm="1">
        <f t="array" aca="1" ref="AJ48" ca="1">IF(INDIRECT(_xlfn.CONCAT("'",$A48,"'!F17"))&gt;=AJ$2,"d",IF(INDIRECT(_xlfn.CONCAT("'",$A48,"'!F18"))&gt;=AJ$2,"i",""))</f>
        <v>d</v>
      </c>
      <c r="AK48" s="1" t="str" cm="1">
        <f t="array" aca="1" ref="AK48" ca="1">IF(INDIRECT(_xlfn.CONCAT("'",$A48,"'!F17"))&gt;=AK$2,"d",IF(INDIRECT(_xlfn.CONCAT("'",$A48,"'!F18"))&gt;=AK$2,"i",""))</f>
        <v>d</v>
      </c>
      <c r="AL48" s="1" t="str" cm="1">
        <f t="array" aca="1" ref="AL48" ca="1">IF(INDIRECT(_xlfn.CONCAT("'",$A48,"'!F17"))&gt;=AL$2,"d",IF(INDIRECT(_xlfn.CONCAT("'",$A48,"'!F18"))&gt;=AL$2,"i",""))</f>
        <v/>
      </c>
      <c r="AM48" s="36"/>
      <c r="AN48" s="1" t="str" cm="1">
        <f t="array" aca="1" ref="AN48" ca="1">IF(INDIRECT(_xlfn.CONCAT("'",$A48,"'!F30"))&gt;=AN$2,"d",IF(INDIRECT(_xlfn.CONCAT("'",$A48,"'!F31"))&gt;=AN$2,"i",""))</f>
        <v>d</v>
      </c>
      <c r="AO48" s="1" t="str" cm="1">
        <f t="array" aca="1" ref="AO48" ca="1">IF(INDIRECT(_xlfn.CONCAT("'",$A48,"'!F30"))&gt;=AO$2,"d",IF(INDIRECT(_xlfn.CONCAT("'",$A48,"'!F31"))&gt;=AO$2,"i",""))</f>
        <v>d</v>
      </c>
      <c r="AP48" s="1" t="str" cm="1">
        <f t="array" aca="1" ref="AP48" ca="1">IF(INDIRECT(_xlfn.CONCAT("'",$A48,"'!F30"))&gt;=AP$2,"d",IF(INDIRECT(_xlfn.CONCAT("'",$A48,"'!F31"))&gt;=AP$2,"i",""))</f>
        <v>d</v>
      </c>
      <c r="AQ48" s="1" t="str" cm="1">
        <f t="array" aca="1" ref="AQ48" ca="1">IF(INDIRECT(_xlfn.CONCAT("'",$A48,"'!F30"))&gt;=AQ$2,"d",IF(INDIRECT(_xlfn.CONCAT("'",$A48,"'!F31"))&gt;=AQ$2,"i",""))</f>
        <v>d</v>
      </c>
      <c r="AR48" s="1" t="str" cm="1">
        <f t="array" aca="1" ref="AR48" ca="1">IF(INDIRECT(_xlfn.CONCAT("'",$A48,"'!F30"))&gt;=AR$2,"d",IF(INDIRECT(_xlfn.CONCAT("'",$A48,"'!F31"))&gt;=AR$2,"i",""))</f>
        <v>d</v>
      </c>
      <c r="AS48" s="1" t="str" cm="1">
        <f t="array" aca="1" ref="AS48" ca="1">IF(INDIRECT(_xlfn.CONCAT("'",$A48,"'!F30"))&gt;=AS$2,"d",IF(INDIRECT(_xlfn.CONCAT("'",$A48,"'!F31"))&gt;=AS$2,"i",""))</f>
        <v>d</v>
      </c>
      <c r="AT48" s="1" t="str" cm="1">
        <f t="array" aca="1" ref="AT48" ca="1">IF(INDIRECT(_xlfn.CONCAT("'",$A48,"'!F30"))&gt;=AT$2,"d",IF(INDIRECT(_xlfn.CONCAT("'",$A48,"'!F31"))&gt;=AT$2,"i",""))</f>
        <v>d</v>
      </c>
      <c r="AU48" s="1" t="str" cm="1">
        <f t="array" aca="1" ref="AU48" ca="1">IF(INDIRECT(_xlfn.CONCAT("'",$A48,"'!F30"))&gt;=AU$2,"d",IF(INDIRECT(_xlfn.CONCAT("'",$A48,"'!F31"))&gt;=AU$2,"i",""))</f>
        <v>d</v>
      </c>
      <c r="AV48" s="4" t="str" cm="1">
        <f t="array" aca="1" ref="AV48" ca="1">IF(INDIRECT(_xlfn.CONCAT("'",$A48,"'!F30"))&gt;=AV$2,"d",IF(INDIRECT(_xlfn.CONCAT("'",$A48,"'!F31"))&gt;=AV$2,"i",""))</f>
        <v/>
      </c>
    </row>
    <row r="49" spans="1:48" x14ac:dyDescent="0.25">
      <c r="A49" s="101" t="str">
        <v>Aloy</v>
      </c>
      <c r="B49" s="4" t="str">
        <f t="shared" si="3"/>
        <v>Cryo</v>
      </c>
      <c r="C49" s="38" t="str">
        <f t="shared" si="4"/>
        <v>Mondstadt 1</v>
      </c>
      <c r="D49" s="85" t="str">
        <f t="shared" si="5"/>
        <v>Signora 1</v>
      </c>
      <c r="E49" s="14" t="str" cm="1">
        <f t="array" aca="1" ref="E49" ca="1">IF(INDIRECT(_xlfn.CONCAT("'",$A49,"'!B4"))&gt;=E$2,"d",IF(INDIRECT(_xlfn.CONCAT("'",$A49,"'!B5"))&gt;=E$2,"i",""))</f>
        <v>d</v>
      </c>
      <c r="F49" s="1" t="str" cm="1">
        <f t="array" aca="1" ref="F49" ca="1">IF(INDIRECT(_xlfn.CONCAT("'",$A49,"'!B4"))&gt;=F$2,"d",IF(INDIRECT(_xlfn.CONCAT("'",$A49,"'!B5"))&gt;=F$2,"i",""))</f>
        <v>d</v>
      </c>
      <c r="G49" s="1" t="str" cm="1">
        <f t="array" aca="1" ref="G49" ca="1">IF(INDIRECT(_xlfn.CONCAT("'",$A49,"'!B4"))&gt;=G$2,"d",IF(INDIRECT(_xlfn.CONCAT("'",$A49,"'!B5"))&gt;=G$2,"i",""))</f>
        <v>d</v>
      </c>
      <c r="H49" s="1" t="str" cm="1">
        <f t="array" aca="1" ref="H49" ca="1">IF(INDIRECT(_xlfn.CONCAT("'",$A49,"'!B4"))&gt;=H$2,"d",IF(INDIRECT(_xlfn.CONCAT("'",$A49,"'!B5"))&gt;=H$2,"i",""))</f>
        <v>d</v>
      </c>
      <c r="I49" s="1" t="str" cm="1">
        <f t="array" aca="1" ref="I49" ca="1">IF(INDIRECT(_xlfn.CONCAT("'",$A49,"'!B4"))&gt;=I$2,"d",IF(INDIRECT(_xlfn.CONCAT("'",$A49,"'!B5"))&gt;=I$2,"i",""))</f>
        <v>d</v>
      </c>
      <c r="J49" s="1" t="str" cm="1">
        <f t="array" aca="1" ref="J49" ca="1">IF(INDIRECT(_xlfn.CONCAT("'",$A49,"'!B4"))&gt;=J$2,"d",IF(INDIRECT(_xlfn.CONCAT("'",$A49,"'!B5"))&gt;=J$2,"i",""))</f>
        <v>d</v>
      </c>
      <c r="K49" s="4" t="str" cm="1">
        <f t="array" aca="1" ref="K49" ca="1">IF(INDIRECT(_xlfn.CONCAT("'",$A49,"'!B4"))&gt;=K$2,"d",IF(INDIRECT(_xlfn.CONCAT("'",$A49,"'!B5"))&gt;=K$2,"i",""))</f>
        <v>d</v>
      </c>
      <c r="L49" s="39"/>
      <c r="M49" s="1" t="str" cm="1">
        <f t="array" aca="1" ref="M49" ca="1">IF(INDIRECT(_xlfn.CONCAT("'",$A49,"'!C10"))&gt;=M$2,"d",IF(INDIRECT(_xlfn.CONCAT("'",$A49,"'!C11"))&gt;=M$2,"i",""))</f>
        <v>d</v>
      </c>
      <c r="N49" s="1" t="str" cm="1">
        <f t="array" aca="1" ref="N49" ca="1">IF(INDIRECT(_xlfn.CONCAT("'",$A49,"'!C10"))&gt;=N$2,"d",IF(INDIRECT(_xlfn.CONCAT("'",$A49,"'!C11"))&gt;=N$2,"i",""))</f>
        <v>d</v>
      </c>
      <c r="O49" s="1" t="str" cm="1">
        <f t="array" aca="1" ref="O49" ca="1">IF(INDIRECT(_xlfn.CONCAT("'",$A49,"'!C10"))&gt;=O$2,"d",IF(INDIRECT(_xlfn.CONCAT("'",$A49,"'!C11"))&gt;=O$2,"i",""))</f>
        <v>d</v>
      </c>
      <c r="P49" s="1" t="str" cm="1">
        <f t="array" aca="1" ref="P49" ca="1">IF(INDIRECT(_xlfn.CONCAT("'",$A49,"'!C10"))&gt;=P$2,"d",IF(INDIRECT(_xlfn.CONCAT("'",$A49,"'!C11"))&gt;=P$2,"i",""))</f>
        <v>d</v>
      </c>
      <c r="Q49" s="1" t="str" cm="1">
        <f t="array" aca="1" ref="Q49" ca="1">IF(INDIRECT(_xlfn.CONCAT("'",$A49,"'!C10"))&gt;=Q$2,"d",IF(INDIRECT(_xlfn.CONCAT("'",$A49,"'!C11"))&gt;=Q$2,"i",""))</f>
        <v>d</v>
      </c>
      <c r="R49" s="1" t="str" cm="1">
        <f t="array" aca="1" ref="R49" ca="1">IF(INDIRECT(_xlfn.CONCAT("'",$A49,"'!C10"))&gt;=R$2,"d",IF(INDIRECT(_xlfn.CONCAT("'",$A49,"'!C11"))&gt;=R$2,"i",""))</f>
        <v>d</v>
      </c>
      <c r="S49" s="36"/>
      <c r="T49" s="1" t="str" cm="1">
        <f t="array" aca="1" ref="T49" ca="1">IF(INDIRECT(_xlfn.CONCAT("'",$A49,"'!F4"))&gt;=T$2,"d",IF(INDIRECT(_xlfn.CONCAT("'",$A49,"'!F5"))&gt;=T$2,"i",""))</f>
        <v>d</v>
      </c>
      <c r="U49" s="1" t="str" cm="1">
        <f t="array" aca="1" ref="U49" ca="1">IF(INDIRECT(_xlfn.CONCAT("'",$A49,"'!F4"))&gt;=U$2,"d",IF(INDIRECT(_xlfn.CONCAT("'",$A49,"'!F5"))&gt;=U$2,"i",""))</f>
        <v>d</v>
      </c>
      <c r="V49" s="1" t="str" cm="1">
        <f t="array" aca="1" ref="V49" ca="1">IF(INDIRECT(_xlfn.CONCAT("'",$A49,"'!F4"))&gt;=V$2,"d",IF(INDIRECT(_xlfn.CONCAT("'",$A49,"'!F5"))&gt;=V$2,"i",""))</f>
        <v>d</v>
      </c>
      <c r="W49" s="1" t="str" cm="1">
        <f t="array" aca="1" ref="W49" ca="1">IF(INDIRECT(_xlfn.CONCAT("'",$A49,"'!F4"))&gt;=W$2,"d",IF(INDIRECT(_xlfn.CONCAT("'",$A49,"'!F5"))&gt;=W$2,"i",""))</f>
        <v>d</v>
      </c>
      <c r="X49" s="1" t="str" cm="1">
        <f t="array" aca="1" ref="X49" ca="1">IF(INDIRECT(_xlfn.CONCAT("'",$A49,"'!F4"))&gt;=X$2,"d",IF(INDIRECT(_xlfn.CONCAT("'",$A49,"'!F5"))&gt;=X$2,"i",""))</f>
        <v>d</v>
      </c>
      <c r="Y49" s="1" t="str" cm="1">
        <f t="array" aca="1" ref="Y49" ca="1">IF(INDIRECT(_xlfn.CONCAT("'",$A49,"'!F4"))&gt;=Y$2,"d",IF(INDIRECT(_xlfn.CONCAT("'",$A49,"'!F5"))&gt;=Y$2,"i",""))</f>
        <v>d</v>
      </c>
      <c r="Z49" s="1" t="str" cm="1">
        <f t="array" aca="1" ref="Z49" ca="1">IF(INDIRECT(_xlfn.CONCAT("'",$A49,"'!F4"))&gt;=Z$2,"d",IF(INDIRECT(_xlfn.CONCAT("'",$A49,"'!F5"))&gt;=Z$2,"i",""))</f>
        <v>d</v>
      </c>
      <c r="AA49" s="1" t="str" cm="1">
        <f t="array" aca="1" ref="AA49" ca="1">IF(INDIRECT(_xlfn.CONCAT("'",$A49,"'!F4"))&gt;=AA$2,"d",IF(INDIRECT(_xlfn.CONCAT("'",$A49,"'!F5"))&gt;=AA$2,"i",""))</f>
        <v>d</v>
      </c>
      <c r="AB49" s="1" t="str" cm="1">
        <f t="array" aca="1" ref="AB49" ca="1">IF(INDIRECT(_xlfn.CONCAT("'",$A49,"'!F4"))&gt;=AB$2,"d",IF(INDIRECT(_xlfn.CONCAT("'",$A49,"'!F5"))&gt;=AB$2,"i",""))</f>
        <v/>
      </c>
      <c r="AC49" s="36"/>
      <c r="AD49" s="1" t="str" cm="1">
        <f t="array" aca="1" ref="AD49" ca="1">IF(INDIRECT(_xlfn.CONCAT("'",$A49,"'!F17"))&gt;=AD$2,"d",IF(INDIRECT(_xlfn.CONCAT("'",$A49,"'!F18"))&gt;=AD$2,"i",""))</f>
        <v>d</v>
      </c>
      <c r="AE49" s="1" t="str" cm="1">
        <f t="array" aca="1" ref="AE49" ca="1">IF(INDIRECT(_xlfn.CONCAT("'",$A49,"'!F17"))&gt;=AE$2,"d",IF(INDIRECT(_xlfn.CONCAT("'",$A49,"'!F18"))&gt;=AE$2,"i",""))</f>
        <v>d</v>
      </c>
      <c r="AF49" s="1" t="str" cm="1">
        <f t="array" aca="1" ref="AF49" ca="1">IF(INDIRECT(_xlfn.CONCAT("'",$A49,"'!F17"))&gt;=AF$2,"d",IF(INDIRECT(_xlfn.CONCAT("'",$A49,"'!F18"))&gt;=AF$2,"i",""))</f>
        <v>d</v>
      </c>
      <c r="AG49" s="1" t="str" cm="1">
        <f t="array" aca="1" ref="AG49" ca="1">IF(INDIRECT(_xlfn.CONCAT("'",$A49,"'!F17"))&gt;=AG$2,"d",IF(INDIRECT(_xlfn.CONCAT("'",$A49,"'!F18"))&gt;=AG$2,"i",""))</f>
        <v>d</v>
      </c>
      <c r="AH49" s="1" t="str" cm="1">
        <f t="array" aca="1" ref="AH49" ca="1">IF(INDIRECT(_xlfn.CONCAT("'",$A49,"'!F17"))&gt;=AH$2,"d",IF(INDIRECT(_xlfn.CONCAT("'",$A49,"'!F18"))&gt;=AH$2,"i",""))</f>
        <v>d</v>
      </c>
      <c r="AI49" s="1" t="str" cm="1">
        <f t="array" aca="1" ref="AI49" ca="1">IF(INDIRECT(_xlfn.CONCAT("'",$A49,"'!F17"))&gt;=AI$2,"d",IF(INDIRECT(_xlfn.CONCAT("'",$A49,"'!F18"))&gt;=AI$2,"i",""))</f>
        <v>d</v>
      </c>
      <c r="AJ49" s="1" t="str" cm="1">
        <f t="array" aca="1" ref="AJ49" ca="1">IF(INDIRECT(_xlfn.CONCAT("'",$A49,"'!F17"))&gt;=AJ$2,"d",IF(INDIRECT(_xlfn.CONCAT("'",$A49,"'!F18"))&gt;=AJ$2,"i",""))</f>
        <v>d</v>
      </c>
      <c r="AK49" s="1" t="str" cm="1">
        <f t="array" aca="1" ref="AK49" ca="1">IF(INDIRECT(_xlfn.CONCAT("'",$A49,"'!F17"))&gt;=AK$2,"d",IF(INDIRECT(_xlfn.CONCAT("'",$A49,"'!F18"))&gt;=AK$2,"i",""))</f>
        <v>d</v>
      </c>
      <c r="AL49" s="1" t="str" cm="1">
        <f t="array" aca="1" ref="AL49" ca="1">IF(INDIRECT(_xlfn.CONCAT("'",$A49,"'!F17"))&gt;=AL$2,"d",IF(INDIRECT(_xlfn.CONCAT("'",$A49,"'!F18"))&gt;=AL$2,"i",""))</f>
        <v/>
      </c>
      <c r="AM49" s="36"/>
      <c r="AN49" s="1" t="str" cm="1">
        <f t="array" aca="1" ref="AN49" ca="1">IF(INDIRECT(_xlfn.CONCAT("'",$A49,"'!F30"))&gt;=AN$2,"d",IF(INDIRECT(_xlfn.CONCAT("'",$A49,"'!F31"))&gt;=AN$2,"i",""))</f>
        <v>d</v>
      </c>
      <c r="AO49" s="1" t="str" cm="1">
        <f t="array" aca="1" ref="AO49" ca="1">IF(INDIRECT(_xlfn.CONCAT("'",$A49,"'!F30"))&gt;=AO$2,"d",IF(INDIRECT(_xlfn.CONCAT("'",$A49,"'!F31"))&gt;=AO$2,"i",""))</f>
        <v>d</v>
      </c>
      <c r="AP49" s="1" t="str" cm="1">
        <f t="array" aca="1" ref="AP49" ca="1">IF(INDIRECT(_xlfn.CONCAT("'",$A49,"'!F30"))&gt;=AP$2,"d",IF(INDIRECT(_xlfn.CONCAT("'",$A49,"'!F31"))&gt;=AP$2,"i",""))</f>
        <v>d</v>
      </c>
      <c r="AQ49" s="1" t="str" cm="1">
        <f t="array" aca="1" ref="AQ49" ca="1">IF(INDIRECT(_xlfn.CONCAT("'",$A49,"'!F30"))&gt;=AQ$2,"d",IF(INDIRECT(_xlfn.CONCAT("'",$A49,"'!F31"))&gt;=AQ$2,"i",""))</f>
        <v>d</v>
      </c>
      <c r="AR49" s="1" t="str" cm="1">
        <f t="array" aca="1" ref="AR49" ca="1">IF(INDIRECT(_xlfn.CONCAT("'",$A49,"'!F30"))&gt;=AR$2,"d",IF(INDIRECT(_xlfn.CONCAT("'",$A49,"'!F31"))&gt;=AR$2,"i",""))</f>
        <v>d</v>
      </c>
      <c r="AS49" s="1" t="str" cm="1">
        <f t="array" aca="1" ref="AS49" ca="1">IF(INDIRECT(_xlfn.CONCAT("'",$A49,"'!F30"))&gt;=AS$2,"d",IF(INDIRECT(_xlfn.CONCAT("'",$A49,"'!F31"))&gt;=AS$2,"i",""))</f>
        <v>d</v>
      </c>
      <c r="AT49" s="1" t="str" cm="1">
        <f t="array" aca="1" ref="AT49" ca="1">IF(INDIRECT(_xlfn.CONCAT("'",$A49,"'!F30"))&gt;=AT$2,"d",IF(INDIRECT(_xlfn.CONCAT("'",$A49,"'!F31"))&gt;=AT$2,"i",""))</f>
        <v>d</v>
      </c>
      <c r="AU49" s="1" t="str" cm="1">
        <f t="array" aca="1" ref="AU49" ca="1">IF(INDIRECT(_xlfn.CONCAT("'",$A49,"'!F30"))&gt;=AU$2,"d",IF(INDIRECT(_xlfn.CONCAT("'",$A49,"'!F31"))&gt;=AU$2,"i",""))</f>
        <v>d</v>
      </c>
      <c r="AV49" s="4" t="str" cm="1">
        <f t="array" aca="1" ref="AV49" ca="1">IF(INDIRECT(_xlfn.CONCAT("'",$A49,"'!F30"))&gt;=AV$2,"d",IF(INDIRECT(_xlfn.CONCAT("'",$A49,"'!F31"))&gt;=AV$2,"i",""))</f>
        <v/>
      </c>
    </row>
    <row r="50" spans="1:48" x14ac:dyDescent="0.25">
      <c r="A50" s="101" t="str">
        <v>Thoma</v>
      </c>
      <c r="B50" s="4" t="str">
        <f t="shared" si="3"/>
        <v>Pyro</v>
      </c>
      <c r="C50" s="38" t="str">
        <f t="shared" si="4"/>
        <v>Inazuma 1</v>
      </c>
      <c r="D50" s="85" t="str">
        <f t="shared" si="5"/>
        <v>Signora 2</v>
      </c>
      <c r="E50" s="14" t="str" cm="1">
        <f t="array" aca="1" ref="E50" ca="1">IF(INDIRECT(_xlfn.CONCAT("'",$A50,"'!B4"))&gt;=E$2,"d",IF(INDIRECT(_xlfn.CONCAT("'",$A50,"'!B5"))&gt;=E$2,"i",""))</f>
        <v>d</v>
      </c>
      <c r="F50" s="1" t="str" cm="1">
        <f t="array" aca="1" ref="F50" ca="1">IF(INDIRECT(_xlfn.CONCAT("'",$A50,"'!B4"))&gt;=F$2,"d",IF(INDIRECT(_xlfn.CONCAT("'",$A50,"'!B5"))&gt;=F$2,"i",""))</f>
        <v>d</v>
      </c>
      <c r="G50" s="1" t="str" cm="1">
        <f t="array" aca="1" ref="G50" ca="1">IF(INDIRECT(_xlfn.CONCAT("'",$A50,"'!B4"))&gt;=G$2,"d",IF(INDIRECT(_xlfn.CONCAT("'",$A50,"'!B5"))&gt;=G$2,"i",""))</f>
        <v>d</v>
      </c>
      <c r="H50" s="1" t="str" cm="1">
        <f t="array" aca="1" ref="H50" ca="1">IF(INDIRECT(_xlfn.CONCAT("'",$A50,"'!B4"))&gt;=H$2,"d",IF(INDIRECT(_xlfn.CONCAT("'",$A50,"'!B5"))&gt;=H$2,"i",""))</f>
        <v>d</v>
      </c>
      <c r="I50" s="1" t="str" cm="1">
        <f t="array" aca="1" ref="I50" ca="1">IF(INDIRECT(_xlfn.CONCAT("'",$A50,"'!B4"))&gt;=I$2,"d",IF(INDIRECT(_xlfn.CONCAT("'",$A50,"'!B5"))&gt;=I$2,"i",""))</f>
        <v>d</v>
      </c>
      <c r="J50" s="1" t="str" cm="1">
        <f t="array" aca="1" ref="J50" ca="1">IF(INDIRECT(_xlfn.CONCAT("'",$A50,"'!B4"))&gt;=J$2,"d",IF(INDIRECT(_xlfn.CONCAT("'",$A50,"'!B5"))&gt;=J$2,"i",""))</f>
        <v>d</v>
      </c>
      <c r="K50" s="4" t="str" cm="1">
        <f t="array" aca="1" ref="K50" ca="1">IF(INDIRECT(_xlfn.CONCAT("'",$A50,"'!B4"))&gt;=K$2,"d",IF(INDIRECT(_xlfn.CONCAT("'",$A50,"'!B5"))&gt;=K$2,"i",""))</f>
        <v>d</v>
      </c>
      <c r="L50" s="39"/>
      <c r="M50" s="1" t="str" cm="1">
        <f t="array" aca="1" ref="M50" ca="1">IF(INDIRECT(_xlfn.CONCAT("'",$A50,"'!C10"))&gt;=M$2,"d",IF(INDIRECT(_xlfn.CONCAT("'",$A50,"'!C11"))&gt;=M$2,"i",""))</f>
        <v>d</v>
      </c>
      <c r="N50" s="1" t="str" cm="1">
        <f t="array" aca="1" ref="N50" ca="1">IF(INDIRECT(_xlfn.CONCAT("'",$A50,"'!C10"))&gt;=N$2,"d",IF(INDIRECT(_xlfn.CONCAT("'",$A50,"'!C11"))&gt;=N$2,"i",""))</f>
        <v>d</v>
      </c>
      <c r="O50" s="1" t="str" cm="1">
        <f t="array" aca="1" ref="O50" ca="1">IF(INDIRECT(_xlfn.CONCAT("'",$A50,"'!C10"))&gt;=O$2,"d",IF(INDIRECT(_xlfn.CONCAT("'",$A50,"'!C11"))&gt;=O$2,"i",""))</f>
        <v>d</v>
      </c>
      <c r="P50" s="1" t="str" cm="1">
        <f t="array" aca="1" ref="P50" ca="1">IF(INDIRECT(_xlfn.CONCAT("'",$A50,"'!C10"))&gt;=P$2,"d",IF(INDIRECT(_xlfn.CONCAT("'",$A50,"'!C11"))&gt;=P$2,"i",""))</f>
        <v>d</v>
      </c>
      <c r="Q50" s="1" t="str" cm="1">
        <f t="array" aca="1" ref="Q50" ca="1">IF(INDIRECT(_xlfn.CONCAT("'",$A50,"'!C10"))&gt;=Q$2,"d",IF(INDIRECT(_xlfn.CONCAT("'",$A50,"'!C11"))&gt;=Q$2,"i",""))</f>
        <v>d</v>
      </c>
      <c r="R50" s="1" t="str" cm="1">
        <f t="array" aca="1" ref="R50" ca="1">IF(INDIRECT(_xlfn.CONCAT("'",$A50,"'!C10"))&gt;=R$2,"d",IF(INDIRECT(_xlfn.CONCAT("'",$A50,"'!C11"))&gt;=R$2,"i",""))</f>
        <v>d</v>
      </c>
      <c r="S50" s="36"/>
      <c r="T50" s="1" t="str" cm="1">
        <f t="array" aca="1" ref="T50" ca="1">IF(INDIRECT(_xlfn.CONCAT("'",$A50,"'!F4"))&gt;=T$2,"d",IF(INDIRECT(_xlfn.CONCAT("'",$A50,"'!F5"))&gt;=T$2,"i",""))</f>
        <v>d</v>
      </c>
      <c r="U50" s="1" t="str" cm="1">
        <f t="array" aca="1" ref="U50" ca="1">IF(INDIRECT(_xlfn.CONCAT("'",$A50,"'!F4"))&gt;=U$2,"d",IF(INDIRECT(_xlfn.CONCAT("'",$A50,"'!F5"))&gt;=U$2,"i",""))</f>
        <v>d</v>
      </c>
      <c r="V50" s="1" t="str" cm="1">
        <f t="array" aca="1" ref="V50" ca="1">IF(INDIRECT(_xlfn.CONCAT("'",$A50,"'!F4"))&gt;=V$2,"d",IF(INDIRECT(_xlfn.CONCAT("'",$A50,"'!F5"))&gt;=V$2,"i",""))</f>
        <v>d</v>
      </c>
      <c r="W50" s="1" t="str" cm="1">
        <f t="array" aca="1" ref="W50" ca="1">IF(INDIRECT(_xlfn.CONCAT("'",$A50,"'!F4"))&gt;=W$2,"d",IF(INDIRECT(_xlfn.CONCAT("'",$A50,"'!F5"))&gt;=W$2,"i",""))</f>
        <v>d</v>
      </c>
      <c r="X50" s="1" t="str" cm="1">
        <f t="array" aca="1" ref="X50" ca="1">IF(INDIRECT(_xlfn.CONCAT("'",$A50,"'!F4"))&gt;=X$2,"d",IF(INDIRECT(_xlfn.CONCAT("'",$A50,"'!F5"))&gt;=X$2,"i",""))</f>
        <v>d</v>
      </c>
      <c r="Y50" s="1" t="str" cm="1">
        <f t="array" aca="1" ref="Y50" ca="1">IF(INDIRECT(_xlfn.CONCAT("'",$A50,"'!F4"))&gt;=Y$2,"d",IF(INDIRECT(_xlfn.CONCAT("'",$A50,"'!F5"))&gt;=Y$2,"i",""))</f>
        <v>d</v>
      </c>
      <c r="Z50" s="1" t="str" cm="1">
        <f t="array" aca="1" ref="Z50" ca="1">IF(INDIRECT(_xlfn.CONCAT("'",$A50,"'!F4"))&gt;=Z$2,"d",IF(INDIRECT(_xlfn.CONCAT("'",$A50,"'!F5"))&gt;=Z$2,"i",""))</f>
        <v>d</v>
      </c>
      <c r="AA50" s="1" t="str" cm="1">
        <f t="array" aca="1" ref="AA50" ca="1">IF(INDIRECT(_xlfn.CONCAT("'",$A50,"'!F4"))&gt;=AA$2,"d",IF(INDIRECT(_xlfn.CONCAT("'",$A50,"'!F5"))&gt;=AA$2,"i",""))</f>
        <v>d</v>
      </c>
      <c r="AB50" s="1" t="str" cm="1">
        <f t="array" aca="1" ref="AB50" ca="1">IF(INDIRECT(_xlfn.CONCAT("'",$A50,"'!F4"))&gt;=AB$2,"d",IF(INDIRECT(_xlfn.CONCAT("'",$A50,"'!F5"))&gt;=AB$2,"i",""))</f>
        <v/>
      </c>
      <c r="AC50" s="36"/>
      <c r="AD50" s="1" t="str" cm="1">
        <f t="array" aca="1" ref="AD50" ca="1">IF(INDIRECT(_xlfn.CONCAT("'",$A50,"'!F17"))&gt;=AD$2,"d",IF(INDIRECT(_xlfn.CONCAT("'",$A50,"'!F18"))&gt;=AD$2,"i",""))</f>
        <v>d</v>
      </c>
      <c r="AE50" s="1" t="str" cm="1">
        <f t="array" aca="1" ref="AE50" ca="1">IF(INDIRECT(_xlfn.CONCAT("'",$A50,"'!F17"))&gt;=AE$2,"d",IF(INDIRECT(_xlfn.CONCAT("'",$A50,"'!F18"))&gt;=AE$2,"i",""))</f>
        <v>d</v>
      </c>
      <c r="AF50" s="1" t="str" cm="1">
        <f t="array" aca="1" ref="AF50" ca="1">IF(INDIRECT(_xlfn.CONCAT("'",$A50,"'!F17"))&gt;=AF$2,"d",IF(INDIRECT(_xlfn.CONCAT("'",$A50,"'!F18"))&gt;=AF$2,"i",""))</f>
        <v>d</v>
      </c>
      <c r="AG50" s="1" t="str" cm="1">
        <f t="array" aca="1" ref="AG50" ca="1">IF(INDIRECT(_xlfn.CONCAT("'",$A50,"'!F17"))&gt;=AG$2,"d",IF(INDIRECT(_xlfn.CONCAT("'",$A50,"'!F18"))&gt;=AG$2,"i",""))</f>
        <v>d</v>
      </c>
      <c r="AH50" s="1" t="str" cm="1">
        <f t="array" aca="1" ref="AH50" ca="1">IF(INDIRECT(_xlfn.CONCAT("'",$A50,"'!F17"))&gt;=AH$2,"d",IF(INDIRECT(_xlfn.CONCAT("'",$A50,"'!F18"))&gt;=AH$2,"i",""))</f>
        <v>d</v>
      </c>
      <c r="AI50" s="1" t="str" cm="1">
        <f t="array" aca="1" ref="AI50" ca="1">IF(INDIRECT(_xlfn.CONCAT("'",$A50,"'!F17"))&gt;=AI$2,"d",IF(INDIRECT(_xlfn.CONCAT("'",$A50,"'!F18"))&gt;=AI$2,"i",""))</f>
        <v>d</v>
      </c>
      <c r="AJ50" s="1" t="str" cm="1">
        <f t="array" aca="1" ref="AJ50" ca="1">IF(INDIRECT(_xlfn.CONCAT("'",$A50,"'!F17"))&gt;=AJ$2,"d",IF(INDIRECT(_xlfn.CONCAT("'",$A50,"'!F18"))&gt;=AJ$2,"i",""))</f>
        <v>d</v>
      </c>
      <c r="AK50" s="1" t="str" cm="1">
        <f t="array" aca="1" ref="AK50" ca="1">IF(INDIRECT(_xlfn.CONCAT("'",$A50,"'!F17"))&gt;=AK$2,"d",IF(INDIRECT(_xlfn.CONCAT("'",$A50,"'!F18"))&gt;=AK$2,"i",""))</f>
        <v>d</v>
      </c>
      <c r="AL50" s="1" t="str" cm="1">
        <f t="array" aca="1" ref="AL50" ca="1">IF(INDIRECT(_xlfn.CONCAT("'",$A50,"'!F17"))&gt;=AL$2,"d",IF(INDIRECT(_xlfn.CONCAT("'",$A50,"'!F18"))&gt;=AL$2,"i",""))</f>
        <v/>
      </c>
      <c r="AM50" s="36"/>
      <c r="AN50" s="1" t="str" cm="1">
        <f t="array" aca="1" ref="AN50" ca="1">IF(INDIRECT(_xlfn.CONCAT("'",$A50,"'!F30"))&gt;=AN$2,"d",IF(INDIRECT(_xlfn.CONCAT("'",$A50,"'!F31"))&gt;=AN$2,"i",""))</f>
        <v>d</v>
      </c>
      <c r="AO50" s="1" t="str" cm="1">
        <f t="array" aca="1" ref="AO50" ca="1">IF(INDIRECT(_xlfn.CONCAT("'",$A50,"'!F30"))&gt;=AO$2,"d",IF(INDIRECT(_xlfn.CONCAT("'",$A50,"'!F31"))&gt;=AO$2,"i",""))</f>
        <v>d</v>
      </c>
      <c r="AP50" s="1" t="str" cm="1">
        <f t="array" aca="1" ref="AP50" ca="1">IF(INDIRECT(_xlfn.CONCAT("'",$A50,"'!F30"))&gt;=AP$2,"d",IF(INDIRECT(_xlfn.CONCAT("'",$A50,"'!F31"))&gt;=AP$2,"i",""))</f>
        <v>d</v>
      </c>
      <c r="AQ50" s="1" t="str" cm="1">
        <f t="array" aca="1" ref="AQ50" ca="1">IF(INDIRECT(_xlfn.CONCAT("'",$A50,"'!F30"))&gt;=AQ$2,"d",IF(INDIRECT(_xlfn.CONCAT("'",$A50,"'!F31"))&gt;=AQ$2,"i",""))</f>
        <v>d</v>
      </c>
      <c r="AR50" s="1" t="str" cm="1">
        <f t="array" aca="1" ref="AR50" ca="1">IF(INDIRECT(_xlfn.CONCAT("'",$A50,"'!F30"))&gt;=AR$2,"d",IF(INDIRECT(_xlfn.CONCAT("'",$A50,"'!F31"))&gt;=AR$2,"i",""))</f>
        <v>d</v>
      </c>
      <c r="AS50" s="1" t="str" cm="1">
        <f t="array" aca="1" ref="AS50" ca="1">IF(INDIRECT(_xlfn.CONCAT("'",$A50,"'!F30"))&gt;=AS$2,"d",IF(INDIRECT(_xlfn.CONCAT("'",$A50,"'!F31"))&gt;=AS$2,"i",""))</f>
        <v>d</v>
      </c>
      <c r="AT50" s="1" t="str" cm="1">
        <f t="array" aca="1" ref="AT50" ca="1">IF(INDIRECT(_xlfn.CONCAT("'",$A50,"'!F30"))&gt;=AT$2,"d",IF(INDIRECT(_xlfn.CONCAT("'",$A50,"'!F31"))&gt;=AT$2,"i",""))</f>
        <v>d</v>
      </c>
      <c r="AU50" s="1" t="str" cm="1">
        <f t="array" aca="1" ref="AU50" ca="1">IF(INDIRECT(_xlfn.CONCAT("'",$A50,"'!F30"))&gt;=AU$2,"d",IF(INDIRECT(_xlfn.CONCAT("'",$A50,"'!F31"))&gt;=AU$2,"i",""))</f>
        <v>d</v>
      </c>
      <c r="AV50" s="4" t="str" cm="1">
        <f t="array" aca="1" ref="AV50" ca="1">IF(INDIRECT(_xlfn.CONCAT("'",$A50,"'!F30"))&gt;=AV$2,"d",IF(INDIRECT(_xlfn.CONCAT("'",$A50,"'!F31"))&gt;=AV$2,"i",""))</f>
        <v/>
      </c>
    </row>
    <row r="51" spans="1:48" x14ac:dyDescent="0.25">
      <c r="A51" s="101" t="str">
        <v>Arataki Itto</v>
      </c>
      <c r="B51" s="4" t="str">
        <f t="shared" si="3"/>
        <v>Geo</v>
      </c>
      <c r="C51" s="38" t="str">
        <f t="shared" si="4"/>
        <v>Inazuma 2</v>
      </c>
      <c r="D51" s="85" t="str">
        <f t="shared" si="5"/>
        <v>Signora 3</v>
      </c>
      <c r="E51" s="14" t="str" cm="1">
        <f t="array" aca="1" ref="E51" ca="1">IF(INDIRECT(_xlfn.CONCAT("'",$A51,"'!B4"))&gt;=E$2,"d",IF(INDIRECT(_xlfn.CONCAT("'",$A51,"'!B5"))&gt;=E$2,"i",""))</f>
        <v>d</v>
      </c>
      <c r="F51" s="1" t="str" cm="1">
        <f t="array" aca="1" ref="F51" ca="1">IF(INDIRECT(_xlfn.CONCAT("'",$A51,"'!B4"))&gt;=F$2,"d",IF(INDIRECT(_xlfn.CONCAT("'",$A51,"'!B5"))&gt;=F$2,"i",""))</f>
        <v>d</v>
      </c>
      <c r="G51" s="1" t="str" cm="1">
        <f t="array" aca="1" ref="G51" ca="1">IF(INDIRECT(_xlfn.CONCAT("'",$A51,"'!B4"))&gt;=G$2,"d",IF(INDIRECT(_xlfn.CONCAT("'",$A51,"'!B5"))&gt;=G$2,"i",""))</f>
        <v>d</v>
      </c>
      <c r="H51" s="1" t="str" cm="1">
        <f t="array" aca="1" ref="H51" ca="1">IF(INDIRECT(_xlfn.CONCAT("'",$A51,"'!B4"))&gt;=H$2,"d",IF(INDIRECT(_xlfn.CONCAT("'",$A51,"'!B5"))&gt;=H$2,"i",""))</f>
        <v>d</v>
      </c>
      <c r="I51" s="1" t="str" cm="1">
        <f t="array" aca="1" ref="I51" ca="1">IF(INDIRECT(_xlfn.CONCAT("'",$A51,"'!B4"))&gt;=I$2,"d",IF(INDIRECT(_xlfn.CONCAT("'",$A51,"'!B5"))&gt;=I$2,"i",""))</f>
        <v>d</v>
      </c>
      <c r="J51" s="1" t="str" cm="1">
        <f t="array" aca="1" ref="J51" ca="1">IF(INDIRECT(_xlfn.CONCAT("'",$A51,"'!B4"))&gt;=J$2,"d",IF(INDIRECT(_xlfn.CONCAT("'",$A51,"'!B5"))&gt;=J$2,"i",""))</f>
        <v>d</v>
      </c>
      <c r="K51" s="4" t="str" cm="1">
        <f t="array" aca="1" ref="K51" ca="1">IF(INDIRECT(_xlfn.CONCAT("'",$A51,"'!B4"))&gt;=K$2,"d",IF(INDIRECT(_xlfn.CONCAT("'",$A51,"'!B5"))&gt;=K$2,"i",""))</f>
        <v>d</v>
      </c>
      <c r="L51" s="39"/>
      <c r="M51" s="1" t="str" cm="1">
        <f t="array" aca="1" ref="M51" ca="1">IF(INDIRECT(_xlfn.CONCAT("'",$A51,"'!C10"))&gt;=M$2,"d",IF(INDIRECT(_xlfn.CONCAT("'",$A51,"'!C11"))&gt;=M$2,"i",""))</f>
        <v>d</v>
      </c>
      <c r="N51" s="1" t="str" cm="1">
        <f t="array" aca="1" ref="N51" ca="1">IF(INDIRECT(_xlfn.CONCAT("'",$A51,"'!C10"))&gt;=N$2,"d",IF(INDIRECT(_xlfn.CONCAT("'",$A51,"'!C11"))&gt;=N$2,"i",""))</f>
        <v>d</v>
      </c>
      <c r="O51" s="1" t="str" cm="1">
        <f t="array" aca="1" ref="O51" ca="1">IF(INDIRECT(_xlfn.CONCAT("'",$A51,"'!C10"))&gt;=O$2,"d",IF(INDIRECT(_xlfn.CONCAT("'",$A51,"'!C11"))&gt;=O$2,"i",""))</f>
        <v>d</v>
      </c>
      <c r="P51" s="1" t="str" cm="1">
        <f t="array" aca="1" ref="P51" ca="1">IF(INDIRECT(_xlfn.CONCAT("'",$A51,"'!C10"))&gt;=P$2,"d",IF(INDIRECT(_xlfn.CONCAT("'",$A51,"'!C11"))&gt;=P$2,"i",""))</f>
        <v>d</v>
      </c>
      <c r="Q51" s="1" t="str" cm="1">
        <f t="array" aca="1" ref="Q51" ca="1">IF(INDIRECT(_xlfn.CONCAT("'",$A51,"'!C10"))&gt;=Q$2,"d",IF(INDIRECT(_xlfn.CONCAT("'",$A51,"'!C11"))&gt;=Q$2,"i",""))</f>
        <v>d</v>
      </c>
      <c r="R51" s="1" t="str" cm="1">
        <f t="array" aca="1" ref="R51" ca="1">IF(INDIRECT(_xlfn.CONCAT("'",$A51,"'!C10"))&gt;=R$2,"d",IF(INDIRECT(_xlfn.CONCAT("'",$A51,"'!C11"))&gt;=R$2,"i",""))</f>
        <v>d</v>
      </c>
      <c r="S51" s="36"/>
      <c r="T51" s="1" t="str" cm="1">
        <f t="array" aca="1" ref="T51" ca="1">IF(INDIRECT(_xlfn.CONCAT("'",$A51,"'!F4"))&gt;=T$2,"d",IF(INDIRECT(_xlfn.CONCAT("'",$A51,"'!F5"))&gt;=T$2,"i",""))</f>
        <v>d</v>
      </c>
      <c r="U51" s="1" t="str" cm="1">
        <f t="array" aca="1" ref="U51" ca="1">IF(INDIRECT(_xlfn.CONCAT("'",$A51,"'!F4"))&gt;=U$2,"d",IF(INDIRECT(_xlfn.CONCAT("'",$A51,"'!F5"))&gt;=U$2,"i",""))</f>
        <v>d</v>
      </c>
      <c r="V51" s="1" t="str" cm="1">
        <f t="array" aca="1" ref="V51" ca="1">IF(INDIRECT(_xlfn.CONCAT("'",$A51,"'!F4"))&gt;=V$2,"d",IF(INDIRECT(_xlfn.CONCAT("'",$A51,"'!F5"))&gt;=V$2,"i",""))</f>
        <v>d</v>
      </c>
      <c r="W51" s="1" t="str" cm="1">
        <f t="array" aca="1" ref="W51" ca="1">IF(INDIRECT(_xlfn.CONCAT("'",$A51,"'!F4"))&gt;=W$2,"d",IF(INDIRECT(_xlfn.CONCAT("'",$A51,"'!F5"))&gt;=W$2,"i",""))</f>
        <v>d</v>
      </c>
      <c r="X51" s="1" t="str" cm="1">
        <f t="array" aca="1" ref="X51" ca="1">IF(INDIRECT(_xlfn.CONCAT("'",$A51,"'!F4"))&gt;=X$2,"d",IF(INDIRECT(_xlfn.CONCAT("'",$A51,"'!F5"))&gt;=X$2,"i",""))</f>
        <v>d</v>
      </c>
      <c r="Y51" s="1" t="str" cm="1">
        <f t="array" aca="1" ref="Y51" ca="1">IF(INDIRECT(_xlfn.CONCAT("'",$A51,"'!F4"))&gt;=Y$2,"d",IF(INDIRECT(_xlfn.CONCAT("'",$A51,"'!F5"))&gt;=Y$2,"i",""))</f>
        <v>d</v>
      </c>
      <c r="Z51" s="1" t="str" cm="1">
        <f t="array" aca="1" ref="Z51" ca="1">IF(INDIRECT(_xlfn.CONCAT("'",$A51,"'!F4"))&gt;=Z$2,"d",IF(INDIRECT(_xlfn.CONCAT("'",$A51,"'!F5"))&gt;=Z$2,"i",""))</f>
        <v>d</v>
      </c>
      <c r="AA51" s="1" t="str" cm="1">
        <f t="array" aca="1" ref="AA51" ca="1">IF(INDIRECT(_xlfn.CONCAT("'",$A51,"'!F4"))&gt;=AA$2,"d",IF(INDIRECT(_xlfn.CONCAT("'",$A51,"'!F5"))&gt;=AA$2,"i",""))</f>
        <v>d</v>
      </c>
      <c r="AB51" s="1" t="str" cm="1">
        <f t="array" aca="1" ref="AB51" ca="1">IF(INDIRECT(_xlfn.CONCAT("'",$A51,"'!F4"))&gt;=AB$2,"d",IF(INDIRECT(_xlfn.CONCAT("'",$A51,"'!F5"))&gt;=AB$2,"i",""))</f>
        <v/>
      </c>
      <c r="AC51" s="36"/>
      <c r="AD51" s="1" t="str" cm="1">
        <f t="array" aca="1" ref="AD51" ca="1">IF(INDIRECT(_xlfn.CONCAT("'",$A51,"'!F17"))&gt;=AD$2,"d",IF(INDIRECT(_xlfn.CONCAT("'",$A51,"'!F18"))&gt;=AD$2,"i",""))</f>
        <v>d</v>
      </c>
      <c r="AE51" s="1" t="str" cm="1">
        <f t="array" aca="1" ref="AE51" ca="1">IF(INDIRECT(_xlfn.CONCAT("'",$A51,"'!F17"))&gt;=AE$2,"d",IF(INDIRECT(_xlfn.CONCAT("'",$A51,"'!F18"))&gt;=AE$2,"i",""))</f>
        <v>d</v>
      </c>
      <c r="AF51" s="1" t="str" cm="1">
        <f t="array" aca="1" ref="AF51" ca="1">IF(INDIRECT(_xlfn.CONCAT("'",$A51,"'!F17"))&gt;=AF$2,"d",IF(INDIRECT(_xlfn.CONCAT("'",$A51,"'!F18"))&gt;=AF$2,"i",""))</f>
        <v>d</v>
      </c>
      <c r="AG51" s="1" t="str" cm="1">
        <f t="array" aca="1" ref="AG51" ca="1">IF(INDIRECT(_xlfn.CONCAT("'",$A51,"'!F17"))&gt;=AG$2,"d",IF(INDIRECT(_xlfn.CONCAT("'",$A51,"'!F18"))&gt;=AG$2,"i",""))</f>
        <v>d</v>
      </c>
      <c r="AH51" s="1" t="str" cm="1">
        <f t="array" aca="1" ref="AH51" ca="1">IF(INDIRECT(_xlfn.CONCAT("'",$A51,"'!F17"))&gt;=AH$2,"d",IF(INDIRECT(_xlfn.CONCAT("'",$A51,"'!F18"))&gt;=AH$2,"i",""))</f>
        <v>d</v>
      </c>
      <c r="AI51" s="1" t="str" cm="1">
        <f t="array" aca="1" ref="AI51" ca="1">IF(INDIRECT(_xlfn.CONCAT("'",$A51,"'!F17"))&gt;=AI$2,"d",IF(INDIRECT(_xlfn.CONCAT("'",$A51,"'!F18"))&gt;=AI$2,"i",""))</f>
        <v>d</v>
      </c>
      <c r="AJ51" s="1" t="str" cm="1">
        <f t="array" aca="1" ref="AJ51" ca="1">IF(INDIRECT(_xlfn.CONCAT("'",$A51,"'!F17"))&gt;=AJ$2,"d",IF(INDIRECT(_xlfn.CONCAT("'",$A51,"'!F18"))&gt;=AJ$2,"i",""))</f>
        <v>d</v>
      </c>
      <c r="AK51" s="1" t="str" cm="1">
        <f t="array" aca="1" ref="AK51" ca="1">IF(INDIRECT(_xlfn.CONCAT("'",$A51,"'!F17"))&gt;=AK$2,"d",IF(INDIRECT(_xlfn.CONCAT("'",$A51,"'!F18"))&gt;=AK$2,"i",""))</f>
        <v>d</v>
      </c>
      <c r="AL51" s="1" t="str" cm="1">
        <f t="array" aca="1" ref="AL51" ca="1">IF(INDIRECT(_xlfn.CONCAT("'",$A51,"'!F17"))&gt;=AL$2,"d",IF(INDIRECT(_xlfn.CONCAT("'",$A51,"'!F18"))&gt;=AL$2,"i",""))</f>
        <v/>
      </c>
      <c r="AM51" s="36"/>
      <c r="AN51" s="1" t="str" cm="1">
        <f t="array" aca="1" ref="AN51" ca="1">IF(INDIRECT(_xlfn.CONCAT("'",$A51,"'!F30"))&gt;=AN$2,"d",IF(INDIRECT(_xlfn.CONCAT("'",$A51,"'!F31"))&gt;=AN$2,"i",""))</f>
        <v>d</v>
      </c>
      <c r="AO51" s="1" t="str" cm="1">
        <f t="array" aca="1" ref="AO51" ca="1">IF(INDIRECT(_xlfn.CONCAT("'",$A51,"'!F30"))&gt;=AO$2,"d",IF(INDIRECT(_xlfn.CONCAT("'",$A51,"'!F31"))&gt;=AO$2,"i",""))</f>
        <v>d</v>
      </c>
      <c r="AP51" s="1" t="str" cm="1">
        <f t="array" aca="1" ref="AP51" ca="1">IF(INDIRECT(_xlfn.CONCAT("'",$A51,"'!F30"))&gt;=AP$2,"d",IF(INDIRECT(_xlfn.CONCAT("'",$A51,"'!F31"))&gt;=AP$2,"i",""))</f>
        <v>d</v>
      </c>
      <c r="AQ51" s="1" t="str" cm="1">
        <f t="array" aca="1" ref="AQ51" ca="1">IF(INDIRECT(_xlfn.CONCAT("'",$A51,"'!F30"))&gt;=AQ$2,"d",IF(INDIRECT(_xlfn.CONCAT("'",$A51,"'!F31"))&gt;=AQ$2,"i",""))</f>
        <v>d</v>
      </c>
      <c r="AR51" s="1" t="str" cm="1">
        <f t="array" aca="1" ref="AR51" ca="1">IF(INDIRECT(_xlfn.CONCAT("'",$A51,"'!F30"))&gt;=AR$2,"d",IF(INDIRECT(_xlfn.CONCAT("'",$A51,"'!F31"))&gt;=AR$2,"i",""))</f>
        <v>d</v>
      </c>
      <c r="AS51" s="1" t="str" cm="1">
        <f t="array" aca="1" ref="AS51" ca="1">IF(INDIRECT(_xlfn.CONCAT("'",$A51,"'!F30"))&gt;=AS$2,"d",IF(INDIRECT(_xlfn.CONCAT("'",$A51,"'!F31"))&gt;=AS$2,"i",""))</f>
        <v>d</v>
      </c>
      <c r="AT51" s="1" t="str" cm="1">
        <f t="array" aca="1" ref="AT51" ca="1">IF(INDIRECT(_xlfn.CONCAT("'",$A51,"'!F30"))&gt;=AT$2,"d",IF(INDIRECT(_xlfn.CONCAT("'",$A51,"'!F31"))&gt;=AT$2,"i",""))</f>
        <v>d</v>
      </c>
      <c r="AU51" s="1" t="str" cm="1">
        <f t="array" aca="1" ref="AU51" ca="1">IF(INDIRECT(_xlfn.CONCAT("'",$A51,"'!F30"))&gt;=AU$2,"d",IF(INDIRECT(_xlfn.CONCAT("'",$A51,"'!F31"))&gt;=AU$2,"i",""))</f>
        <v>d</v>
      </c>
      <c r="AV51" s="4" t="str" cm="1">
        <f t="array" aca="1" ref="AV51" ca="1">IF(INDIRECT(_xlfn.CONCAT("'",$A51,"'!F30"))&gt;=AV$2,"d",IF(INDIRECT(_xlfn.CONCAT("'",$A51,"'!F31"))&gt;=AV$2,"i",""))</f>
        <v/>
      </c>
    </row>
    <row r="52" spans="1:48" x14ac:dyDescent="0.25">
      <c r="A52" s="101" t="str">
        <v>Gorou</v>
      </c>
      <c r="B52" s="4" t="str">
        <f t="shared" si="3"/>
        <v>Geo</v>
      </c>
      <c r="C52" s="38" t="str">
        <f t="shared" si="4"/>
        <v>Inazuma 3</v>
      </c>
      <c r="D52" s="85" t="str">
        <f t="shared" si="5"/>
        <v>Signora 1</v>
      </c>
      <c r="E52" s="14" t="str" cm="1">
        <f t="array" aca="1" ref="E52" ca="1">IF(INDIRECT(_xlfn.CONCAT("'",$A52,"'!B4"))&gt;=E$2,"d",IF(INDIRECT(_xlfn.CONCAT("'",$A52,"'!B5"))&gt;=E$2,"i",""))</f>
        <v>d</v>
      </c>
      <c r="F52" s="1" t="str" cm="1">
        <f t="array" aca="1" ref="F52" ca="1">IF(INDIRECT(_xlfn.CONCAT("'",$A52,"'!B4"))&gt;=F$2,"d",IF(INDIRECT(_xlfn.CONCAT("'",$A52,"'!B5"))&gt;=F$2,"i",""))</f>
        <v>d</v>
      </c>
      <c r="G52" s="1" t="str" cm="1">
        <f t="array" aca="1" ref="G52" ca="1">IF(INDIRECT(_xlfn.CONCAT("'",$A52,"'!B4"))&gt;=G$2,"d",IF(INDIRECT(_xlfn.CONCAT("'",$A52,"'!B5"))&gt;=G$2,"i",""))</f>
        <v>d</v>
      </c>
      <c r="H52" s="1" t="str" cm="1">
        <f t="array" aca="1" ref="H52" ca="1">IF(INDIRECT(_xlfn.CONCAT("'",$A52,"'!B4"))&gt;=H$2,"d",IF(INDIRECT(_xlfn.CONCAT("'",$A52,"'!B5"))&gt;=H$2,"i",""))</f>
        <v>d</v>
      </c>
      <c r="I52" s="1" t="str" cm="1">
        <f t="array" aca="1" ref="I52" ca="1">IF(INDIRECT(_xlfn.CONCAT("'",$A52,"'!B4"))&gt;=I$2,"d",IF(INDIRECT(_xlfn.CONCAT("'",$A52,"'!B5"))&gt;=I$2,"i",""))</f>
        <v>d</v>
      </c>
      <c r="J52" s="1" t="str" cm="1">
        <f t="array" aca="1" ref="J52" ca="1">IF(INDIRECT(_xlfn.CONCAT("'",$A52,"'!B4"))&gt;=J$2,"d",IF(INDIRECT(_xlfn.CONCAT("'",$A52,"'!B5"))&gt;=J$2,"i",""))</f>
        <v>d</v>
      </c>
      <c r="K52" s="4" t="str" cm="1">
        <f t="array" aca="1" ref="K52" ca="1">IF(INDIRECT(_xlfn.CONCAT("'",$A52,"'!B4"))&gt;=K$2,"d",IF(INDIRECT(_xlfn.CONCAT("'",$A52,"'!B5"))&gt;=K$2,"i",""))</f>
        <v>d</v>
      </c>
      <c r="L52" s="39"/>
      <c r="M52" s="1" t="str" cm="1">
        <f t="array" aca="1" ref="M52" ca="1">IF(INDIRECT(_xlfn.CONCAT("'",$A52,"'!C10"))&gt;=M$2,"d",IF(INDIRECT(_xlfn.CONCAT("'",$A52,"'!C11"))&gt;=M$2,"i",""))</f>
        <v>d</v>
      </c>
      <c r="N52" s="1" t="str" cm="1">
        <f t="array" aca="1" ref="N52" ca="1">IF(INDIRECT(_xlfn.CONCAT("'",$A52,"'!C10"))&gt;=N$2,"d",IF(INDIRECT(_xlfn.CONCAT("'",$A52,"'!C11"))&gt;=N$2,"i",""))</f>
        <v>d</v>
      </c>
      <c r="O52" s="1" t="str" cm="1">
        <f t="array" aca="1" ref="O52" ca="1">IF(INDIRECT(_xlfn.CONCAT("'",$A52,"'!C10"))&gt;=O$2,"d",IF(INDIRECT(_xlfn.CONCAT("'",$A52,"'!C11"))&gt;=O$2,"i",""))</f>
        <v>d</v>
      </c>
      <c r="P52" s="1" t="str" cm="1">
        <f t="array" aca="1" ref="P52" ca="1">IF(INDIRECT(_xlfn.CONCAT("'",$A52,"'!C10"))&gt;=P$2,"d",IF(INDIRECT(_xlfn.CONCAT("'",$A52,"'!C11"))&gt;=P$2,"i",""))</f>
        <v>d</v>
      </c>
      <c r="Q52" s="1" t="str" cm="1">
        <f t="array" aca="1" ref="Q52" ca="1">IF(INDIRECT(_xlfn.CONCAT("'",$A52,"'!C10"))&gt;=Q$2,"d",IF(INDIRECT(_xlfn.CONCAT("'",$A52,"'!C11"))&gt;=Q$2,"i",""))</f>
        <v>d</v>
      </c>
      <c r="R52" s="1" t="str" cm="1">
        <f t="array" aca="1" ref="R52" ca="1">IF(INDIRECT(_xlfn.CONCAT("'",$A52,"'!C10"))&gt;=R$2,"d",IF(INDIRECT(_xlfn.CONCAT("'",$A52,"'!C11"))&gt;=R$2,"i",""))</f>
        <v>d</v>
      </c>
      <c r="S52" s="36"/>
      <c r="T52" s="1" t="str" cm="1">
        <f t="array" aca="1" ref="T52" ca="1">IF(INDIRECT(_xlfn.CONCAT("'",$A52,"'!F4"))&gt;=T$2,"d",IF(INDIRECT(_xlfn.CONCAT("'",$A52,"'!F5"))&gt;=T$2,"i",""))</f>
        <v>d</v>
      </c>
      <c r="U52" s="1" t="str" cm="1">
        <f t="array" aca="1" ref="U52" ca="1">IF(INDIRECT(_xlfn.CONCAT("'",$A52,"'!F4"))&gt;=U$2,"d",IF(INDIRECT(_xlfn.CONCAT("'",$A52,"'!F5"))&gt;=U$2,"i",""))</f>
        <v>d</v>
      </c>
      <c r="V52" s="1" t="str" cm="1">
        <f t="array" aca="1" ref="V52" ca="1">IF(INDIRECT(_xlfn.CONCAT("'",$A52,"'!F4"))&gt;=V$2,"d",IF(INDIRECT(_xlfn.CONCAT("'",$A52,"'!F5"))&gt;=V$2,"i",""))</f>
        <v>d</v>
      </c>
      <c r="W52" s="1" t="str" cm="1">
        <f t="array" aca="1" ref="W52" ca="1">IF(INDIRECT(_xlfn.CONCAT("'",$A52,"'!F4"))&gt;=W$2,"d",IF(INDIRECT(_xlfn.CONCAT("'",$A52,"'!F5"))&gt;=W$2,"i",""))</f>
        <v>d</v>
      </c>
      <c r="X52" s="1" t="str" cm="1">
        <f t="array" aca="1" ref="X52" ca="1">IF(INDIRECT(_xlfn.CONCAT("'",$A52,"'!F4"))&gt;=X$2,"d",IF(INDIRECT(_xlfn.CONCAT("'",$A52,"'!F5"))&gt;=X$2,"i",""))</f>
        <v>d</v>
      </c>
      <c r="Y52" s="1" t="str" cm="1">
        <f t="array" aca="1" ref="Y52" ca="1">IF(INDIRECT(_xlfn.CONCAT("'",$A52,"'!F4"))&gt;=Y$2,"d",IF(INDIRECT(_xlfn.CONCAT("'",$A52,"'!F5"))&gt;=Y$2,"i",""))</f>
        <v>d</v>
      </c>
      <c r="Z52" s="1" t="str" cm="1">
        <f t="array" aca="1" ref="Z52" ca="1">IF(INDIRECT(_xlfn.CONCAT("'",$A52,"'!F4"))&gt;=Z$2,"d",IF(INDIRECT(_xlfn.CONCAT("'",$A52,"'!F5"))&gt;=Z$2,"i",""))</f>
        <v>d</v>
      </c>
      <c r="AA52" s="1" t="str" cm="1">
        <f t="array" aca="1" ref="AA52" ca="1">IF(INDIRECT(_xlfn.CONCAT("'",$A52,"'!F4"))&gt;=AA$2,"d",IF(INDIRECT(_xlfn.CONCAT("'",$A52,"'!F5"))&gt;=AA$2,"i",""))</f>
        <v>d</v>
      </c>
      <c r="AB52" s="1" t="str" cm="1">
        <f t="array" aca="1" ref="AB52" ca="1">IF(INDIRECT(_xlfn.CONCAT("'",$A52,"'!F4"))&gt;=AB$2,"d",IF(INDIRECT(_xlfn.CONCAT("'",$A52,"'!F5"))&gt;=AB$2,"i",""))</f>
        <v/>
      </c>
      <c r="AC52" s="36"/>
      <c r="AD52" s="1" t="str" cm="1">
        <f t="array" aca="1" ref="AD52" ca="1">IF(INDIRECT(_xlfn.CONCAT("'",$A52,"'!F17"))&gt;=AD$2,"d",IF(INDIRECT(_xlfn.CONCAT("'",$A52,"'!F18"))&gt;=AD$2,"i",""))</f>
        <v>d</v>
      </c>
      <c r="AE52" s="1" t="str" cm="1">
        <f t="array" aca="1" ref="AE52" ca="1">IF(INDIRECT(_xlfn.CONCAT("'",$A52,"'!F17"))&gt;=AE$2,"d",IF(INDIRECT(_xlfn.CONCAT("'",$A52,"'!F18"))&gt;=AE$2,"i",""))</f>
        <v>d</v>
      </c>
      <c r="AF52" s="1" t="str" cm="1">
        <f t="array" aca="1" ref="AF52" ca="1">IF(INDIRECT(_xlfn.CONCAT("'",$A52,"'!F17"))&gt;=AF$2,"d",IF(INDIRECT(_xlfn.CONCAT("'",$A52,"'!F18"))&gt;=AF$2,"i",""))</f>
        <v>d</v>
      </c>
      <c r="AG52" s="1" t="str" cm="1">
        <f t="array" aca="1" ref="AG52" ca="1">IF(INDIRECT(_xlfn.CONCAT("'",$A52,"'!F17"))&gt;=AG$2,"d",IF(INDIRECT(_xlfn.CONCAT("'",$A52,"'!F18"))&gt;=AG$2,"i",""))</f>
        <v>d</v>
      </c>
      <c r="AH52" s="1" t="str" cm="1">
        <f t="array" aca="1" ref="AH52" ca="1">IF(INDIRECT(_xlfn.CONCAT("'",$A52,"'!F17"))&gt;=AH$2,"d",IF(INDIRECT(_xlfn.CONCAT("'",$A52,"'!F18"))&gt;=AH$2,"i",""))</f>
        <v>d</v>
      </c>
      <c r="AI52" s="1" t="str" cm="1">
        <f t="array" aca="1" ref="AI52" ca="1">IF(INDIRECT(_xlfn.CONCAT("'",$A52,"'!F17"))&gt;=AI$2,"d",IF(INDIRECT(_xlfn.CONCAT("'",$A52,"'!F18"))&gt;=AI$2,"i",""))</f>
        <v>d</v>
      </c>
      <c r="AJ52" s="1" t="str" cm="1">
        <f t="array" aca="1" ref="AJ52" ca="1">IF(INDIRECT(_xlfn.CONCAT("'",$A52,"'!F17"))&gt;=AJ$2,"d",IF(INDIRECT(_xlfn.CONCAT("'",$A52,"'!F18"))&gt;=AJ$2,"i",""))</f>
        <v>d</v>
      </c>
      <c r="AK52" s="1" t="str" cm="1">
        <f t="array" aca="1" ref="AK52" ca="1">IF(INDIRECT(_xlfn.CONCAT("'",$A52,"'!F17"))&gt;=AK$2,"d",IF(INDIRECT(_xlfn.CONCAT("'",$A52,"'!F18"))&gt;=AK$2,"i",""))</f>
        <v>d</v>
      </c>
      <c r="AL52" s="1" t="str" cm="1">
        <f t="array" aca="1" ref="AL52" ca="1">IF(INDIRECT(_xlfn.CONCAT("'",$A52,"'!F17"))&gt;=AL$2,"d",IF(INDIRECT(_xlfn.CONCAT("'",$A52,"'!F18"))&gt;=AL$2,"i",""))</f>
        <v/>
      </c>
      <c r="AM52" s="36"/>
      <c r="AN52" s="1" t="str" cm="1">
        <f t="array" aca="1" ref="AN52" ca="1">IF(INDIRECT(_xlfn.CONCAT("'",$A52,"'!F30"))&gt;=AN$2,"d",IF(INDIRECT(_xlfn.CONCAT("'",$A52,"'!F31"))&gt;=AN$2,"i",""))</f>
        <v>d</v>
      </c>
      <c r="AO52" s="1" t="str" cm="1">
        <f t="array" aca="1" ref="AO52" ca="1">IF(INDIRECT(_xlfn.CONCAT("'",$A52,"'!F30"))&gt;=AO$2,"d",IF(INDIRECT(_xlfn.CONCAT("'",$A52,"'!F31"))&gt;=AO$2,"i",""))</f>
        <v>d</v>
      </c>
      <c r="AP52" s="1" t="str" cm="1">
        <f t="array" aca="1" ref="AP52" ca="1">IF(INDIRECT(_xlfn.CONCAT("'",$A52,"'!F30"))&gt;=AP$2,"d",IF(INDIRECT(_xlfn.CONCAT("'",$A52,"'!F31"))&gt;=AP$2,"i",""))</f>
        <v>d</v>
      </c>
      <c r="AQ52" s="1" t="str" cm="1">
        <f t="array" aca="1" ref="AQ52" ca="1">IF(INDIRECT(_xlfn.CONCAT("'",$A52,"'!F30"))&gt;=AQ$2,"d",IF(INDIRECT(_xlfn.CONCAT("'",$A52,"'!F31"))&gt;=AQ$2,"i",""))</f>
        <v>d</v>
      </c>
      <c r="AR52" s="1" t="str" cm="1">
        <f t="array" aca="1" ref="AR52" ca="1">IF(INDIRECT(_xlfn.CONCAT("'",$A52,"'!F30"))&gt;=AR$2,"d",IF(INDIRECT(_xlfn.CONCAT("'",$A52,"'!F31"))&gt;=AR$2,"i",""))</f>
        <v>d</v>
      </c>
      <c r="AS52" s="1" t="str" cm="1">
        <f t="array" aca="1" ref="AS52" ca="1">IF(INDIRECT(_xlfn.CONCAT("'",$A52,"'!F30"))&gt;=AS$2,"d",IF(INDIRECT(_xlfn.CONCAT("'",$A52,"'!F31"))&gt;=AS$2,"i",""))</f>
        <v>d</v>
      </c>
      <c r="AT52" s="1" t="str" cm="1">
        <f t="array" aca="1" ref="AT52" ca="1">IF(INDIRECT(_xlfn.CONCAT("'",$A52,"'!F30"))&gt;=AT$2,"d",IF(INDIRECT(_xlfn.CONCAT("'",$A52,"'!F31"))&gt;=AT$2,"i",""))</f>
        <v>d</v>
      </c>
      <c r="AU52" s="1" t="str" cm="1">
        <f t="array" aca="1" ref="AU52" ca="1">IF(INDIRECT(_xlfn.CONCAT("'",$A52,"'!F30"))&gt;=AU$2,"d",IF(INDIRECT(_xlfn.CONCAT("'",$A52,"'!F31"))&gt;=AU$2,"i",""))</f>
        <v>d</v>
      </c>
      <c r="AV52" s="4" t="str" cm="1">
        <f t="array" aca="1" ref="AV52" ca="1">IF(INDIRECT(_xlfn.CONCAT("'",$A52,"'!F30"))&gt;=AV$2,"d",IF(INDIRECT(_xlfn.CONCAT("'",$A52,"'!F31"))&gt;=AV$2,"i",""))</f>
        <v/>
      </c>
    </row>
    <row r="53" spans="1:48" x14ac:dyDescent="0.25">
      <c r="A53" s="101" t="str">
        <v>Shenhe</v>
      </c>
      <c r="B53" s="4" t="str">
        <f t="shared" si="3"/>
        <v>Cryo</v>
      </c>
      <c r="C53" s="38" t="str">
        <f t="shared" si="4"/>
        <v>Liyue 1</v>
      </c>
      <c r="D53" s="85" t="str">
        <f t="shared" si="5"/>
        <v>Signora 2</v>
      </c>
      <c r="E53" s="14" t="str" cm="1">
        <f t="array" aca="1" ref="E53" ca="1">IF(INDIRECT(_xlfn.CONCAT("'",$A53,"'!B4"))&gt;=E$2,"d",IF(INDIRECT(_xlfn.CONCAT("'",$A53,"'!B5"))&gt;=E$2,"i",""))</f>
        <v>d</v>
      </c>
      <c r="F53" s="1" t="str" cm="1">
        <f t="array" aca="1" ref="F53" ca="1">IF(INDIRECT(_xlfn.CONCAT("'",$A53,"'!B4"))&gt;=F$2,"d",IF(INDIRECT(_xlfn.CONCAT("'",$A53,"'!B5"))&gt;=F$2,"i",""))</f>
        <v>d</v>
      </c>
      <c r="G53" s="1" t="str" cm="1">
        <f t="array" aca="1" ref="G53" ca="1">IF(INDIRECT(_xlfn.CONCAT("'",$A53,"'!B4"))&gt;=G$2,"d",IF(INDIRECT(_xlfn.CONCAT("'",$A53,"'!B5"))&gt;=G$2,"i",""))</f>
        <v>d</v>
      </c>
      <c r="H53" s="1" t="str" cm="1">
        <f t="array" aca="1" ref="H53" ca="1">IF(INDIRECT(_xlfn.CONCAT("'",$A53,"'!B4"))&gt;=H$2,"d",IF(INDIRECT(_xlfn.CONCAT("'",$A53,"'!B5"))&gt;=H$2,"i",""))</f>
        <v>d</v>
      </c>
      <c r="I53" s="1" t="str" cm="1">
        <f t="array" aca="1" ref="I53" ca="1">IF(INDIRECT(_xlfn.CONCAT("'",$A53,"'!B4"))&gt;=I$2,"d",IF(INDIRECT(_xlfn.CONCAT("'",$A53,"'!B5"))&gt;=I$2,"i",""))</f>
        <v>d</v>
      </c>
      <c r="J53" s="1" t="str" cm="1">
        <f t="array" aca="1" ref="J53" ca="1">IF(INDIRECT(_xlfn.CONCAT("'",$A53,"'!B4"))&gt;=J$2,"d",IF(INDIRECT(_xlfn.CONCAT("'",$A53,"'!B5"))&gt;=J$2,"i",""))</f>
        <v>d</v>
      </c>
      <c r="K53" s="4" t="str" cm="1">
        <f t="array" aca="1" ref="K53" ca="1">IF(INDIRECT(_xlfn.CONCAT("'",$A53,"'!B4"))&gt;=K$2,"d",IF(INDIRECT(_xlfn.CONCAT("'",$A53,"'!B5"))&gt;=K$2,"i",""))</f>
        <v>d</v>
      </c>
      <c r="L53" s="39"/>
      <c r="M53" s="1" t="str" cm="1">
        <f t="array" aca="1" ref="M53" ca="1">IF(INDIRECT(_xlfn.CONCAT("'",$A53,"'!C10"))&gt;=M$2,"d",IF(INDIRECT(_xlfn.CONCAT("'",$A53,"'!C11"))&gt;=M$2,"i",""))</f>
        <v>d</v>
      </c>
      <c r="N53" s="1" t="str" cm="1">
        <f t="array" aca="1" ref="N53" ca="1">IF(INDIRECT(_xlfn.CONCAT("'",$A53,"'!C10"))&gt;=N$2,"d",IF(INDIRECT(_xlfn.CONCAT("'",$A53,"'!C11"))&gt;=N$2,"i",""))</f>
        <v>d</v>
      </c>
      <c r="O53" s="1" t="str" cm="1">
        <f t="array" aca="1" ref="O53" ca="1">IF(INDIRECT(_xlfn.CONCAT("'",$A53,"'!C10"))&gt;=O$2,"d",IF(INDIRECT(_xlfn.CONCAT("'",$A53,"'!C11"))&gt;=O$2,"i",""))</f>
        <v>d</v>
      </c>
      <c r="P53" s="1" t="str" cm="1">
        <f t="array" aca="1" ref="P53" ca="1">IF(INDIRECT(_xlfn.CONCAT("'",$A53,"'!C10"))&gt;=P$2,"d",IF(INDIRECT(_xlfn.CONCAT("'",$A53,"'!C11"))&gt;=P$2,"i",""))</f>
        <v>d</v>
      </c>
      <c r="Q53" s="1" t="str" cm="1">
        <f t="array" aca="1" ref="Q53" ca="1">IF(INDIRECT(_xlfn.CONCAT("'",$A53,"'!C10"))&gt;=Q$2,"d",IF(INDIRECT(_xlfn.CONCAT("'",$A53,"'!C11"))&gt;=Q$2,"i",""))</f>
        <v>d</v>
      </c>
      <c r="R53" s="1" t="str" cm="1">
        <f t="array" aca="1" ref="R53" ca="1">IF(INDIRECT(_xlfn.CONCAT("'",$A53,"'!C10"))&gt;=R$2,"d",IF(INDIRECT(_xlfn.CONCAT("'",$A53,"'!C11"))&gt;=R$2,"i",""))</f>
        <v>d</v>
      </c>
      <c r="S53" s="36"/>
      <c r="T53" s="1" t="str" cm="1">
        <f t="array" aca="1" ref="T53" ca="1">IF(INDIRECT(_xlfn.CONCAT("'",$A53,"'!F4"))&gt;=T$2,"d",IF(INDIRECT(_xlfn.CONCAT("'",$A53,"'!F5"))&gt;=T$2,"i",""))</f>
        <v>d</v>
      </c>
      <c r="U53" s="1" t="str" cm="1">
        <f t="array" aca="1" ref="U53" ca="1">IF(INDIRECT(_xlfn.CONCAT("'",$A53,"'!F4"))&gt;=U$2,"d",IF(INDIRECT(_xlfn.CONCAT("'",$A53,"'!F5"))&gt;=U$2,"i",""))</f>
        <v>d</v>
      </c>
      <c r="V53" s="1" t="str" cm="1">
        <f t="array" aca="1" ref="V53" ca="1">IF(INDIRECT(_xlfn.CONCAT("'",$A53,"'!F4"))&gt;=V$2,"d",IF(INDIRECT(_xlfn.CONCAT("'",$A53,"'!F5"))&gt;=V$2,"i",""))</f>
        <v>d</v>
      </c>
      <c r="W53" s="1" t="str" cm="1">
        <f t="array" aca="1" ref="W53" ca="1">IF(INDIRECT(_xlfn.CONCAT("'",$A53,"'!F4"))&gt;=W$2,"d",IF(INDIRECT(_xlfn.CONCAT("'",$A53,"'!F5"))&gt;=W$2,"i",""))</f>
        <v>d</v>
      </c>
      <c r="X53" s="1" t="str" cm="1">
        <f t="array" aca="1" ref="X53" ca="1">IF(INDIRECT(_xlfn.CONCAT("'",$A53,"'!F4"))&gt;=X$2,"d",IF(INDIRECT(_xlfn.CONCAT("'",$A53,"'!F5"))&gt;=X$2,"i",""))</f>
        <v>d</v>
      </c>
      <c r="Y53" s="1" t="str" cm="1">
        <f t="array" aca="1" ref="Y53" ca="1">IF(INDIRECT(_xlfn.CONCAT("'",$A53,"'!F4"))&gt;=Y$2,"d",IF(INDIRECT(_xlfn.CONCAT("'",$A53,"'!F5"))&gt;=Y$2,"i",""))</f>
        <v>d</v>
      </c>
      <c r="Z53" s="1" t="str" cm="1">
        <f t="array" aca="1" ref="Z53" ca="1">IF(INDIRECT(_xlfn.CONCAT("'",$A53,"'!F4"))&gt;=Z$2,"d",IF(INDIRECT(_xlfn.CONCAT("'",$A53,"'!F5"))&gt;=Z$2,"i",""))</f>
        <v>d</v>
      </c>
      <c r="AA53" s="1" t="str" cm="1">
        <f t="array" aca="1" ref="AA53" ca="1">IF(INDIRECT(_xlfn.CONCAT("'",$A53,"'!F4"))&gt;=AA$2,"d",IF(INDIRECT(_xlfn.CONCAT("'",$A53,"'!F5"))&gt;=AA$2,"i",""))</f>
        <v>d</v>
      </c>
      <c r="AB53" s="1" t="str" cm="1">
        <f t="array" aca="1" ref="AB53" ca="1">IF(INDIRECT(_xlfn.CONCAT("'",$A53,"'!F4"))&gt;=AB$2,"d",IF(INDIRECT(_xlfn.CONCAT("'",$A53,"'!F5"))&gt;=AB$2,"i",""))</f>
        <v/>
      </c>
      <c r="AC53" s="36"/>
      <c r="AD53" s="1" t="str" cm="1">
        <f t="array" aca="1" ref="AD53" ca="1">IF(INDIRECT(_xlfn.CONCAT("'",$A53,"'!F17"))&gt;=AD$2,"d",IF(INDIRECT(_xlfn.CONCAT("'",$A53,"'!F18"))&gt;=AD$2,"i",""))</f>
        <v>d</v>
      </c>
      <c r="AE53" s="1" t="str" cm="1">
        <f t="array" aca="1" ref="AE53" ca="1">IF(INDIRECT(_xlfn.CONCAT("'",$A53,"'!F17"))&gt;=AE$2,"d",IF(INDIRECT(_xlfn.CONCAT("'",$A53,"'!F18"))&gt;=AE$2,"i",""))</f>
        <v>d</v>
      </c>
      <c r="AF53" s="1" t="str" cm="1">
        <f t="array" aca="1" ref="AF53" ca="1">IF(INDIRECT(_xlfn.CONCAT("'",$A53,"'!F17"))&gt;=AF$2,"d",IF(INDIRECT(_xlfn.CONCAT("'",$A53,"'!F18"))&gt;=AF$2,"i",""))</f>
        <v>d</v>
      </c>
      <c r="AG53" s="1" t="str" cm="1">
        <f t="array" aca="1" ref="AG53" ca="1">IF(INDIRECT(_xlfn.CONCAT("'",$A53,"'!F17"))&gt;=AG$2,"d",IF(INDIRECT(_xlfn.CONCAT("'",$A53,"'!F18"))&gt;=AG$2,"i",""))</f>
        <v>d</v>
      </c>
      <c r="AH53" s="1" t="str" cm="1">
        <f t="array" aca="1" ref="AH53" ca="1">IF(INDIRECT(_xlfn.CONCAT("'",$A53,"'!F17"))&gt;=AH$2,"d",IF(INDIRECT(_xlfn.CONCAT("'",$A53,"'!F18"))&gt;=AH$2,"i",""))</f>
        <v>d</v>
      </c>
      <c r="AI53" s="1" t="str" cm="1">
        <f t="array" aca="1" ref="AI53" ca="1">IF(INDIRECT(_xlfn.CONCAT("'",$A53,"'!F17"))&gt;=AI$2,"d",IF(INDIRECT(_xlfn.CONCAT("'",$A53,"'!F18"))&gt;=AI$2,"i",""))</f>
        <v>d</v>
      </c>
      <c r="AJ53" s="1" t="str" cm="1">
        <f t="array" aca="1" ref="AJ53" ca="1">IF(INDIRECT(_xlfn.CONCAT("'",$A53,"'!F17"))&gt;=AJ$2,"d",IF(INDIRECT(_xlfn.CONCAT("'",$A53,"'!F18"))&gt;=AJ$2,"i",""))</f>
        <v>d</v>
      </c>
      <c r="AK53" s="1" t="str" cm="1">
        <f t="array" aca="1" ref="AK53" ca="1">IF(INDIRECT(_xlfn.CONCAT("'",$A53,"'!F17"))&gt;=AK$2,"d",IF(INDIRECT(_xlfn.CONCAT("'",$A53,"'!F18"))&gt;=AK$2,"i",""))</f>
        <v>d</v>
      </c>
      <c r="AL53" s="1" t="str" cm="1">
        <f t="array" aca="1" ref="AL53" ca="1">IF(INDIRECT(_xlfn.CONCAT("'",$A53,"'!F17"))&gt;=AL$2,"d",IF(INDIRECT(_xlfn.CONCAT("'",$A53,"'!F18"))&gt;=AL$2,"i",""))</f>
        <v/>
      </c>
      <c r="AM53" s="36"/>
      <c r="AN53" s="1" t="str" cm="1">
        <f t="array" aca="1" ref="AN53" ca="1">IF(INDIRECT(_xlfn.CONCAT("'",$A53,"'!F30"))&gt;=AN$2,"d",IF(INDIRECT(_xlfn.CONCAT("'",$A53,"'!F31"))&gt;=AN$2,"i",""))</f>
        <v>d</v>
      </c>
      <c r="AO53" s="1" t="str" cm="1">
        <f t="array" aca="1" ref="AO53" ca="1">IF(INDIRECT(_xlfn.CONCAT("'",$A53,"'!F30"))&gt;=AO$2,"d",IF(INDIRECT(_xlfn.CONCAT("'",$A53,"'!F31"))&gt;=AO$2,"i",""))</f>
        <v>d</v>
      </c>
      <c r="AP53" s="1" t="str" cm="1">
        <f t="array" aca="1" ref="AP53" ca="1">IF(INDIRECT(_xlfn.CONCAT("'",$A53,"'!F30"))&gt;=AP$2,"d",IF(INDIRECT(_xlfn.CONCAT("'",$A53,"'!F31"))&gt;=AP$2,"i",""))</f>
        <v>d</v>
      </c>
      <c r="AQ53" s="1" t="str" cm="1">
        <f t="array" aca="1" ref="AQ53" ca="1">IF(INDIRECT(_xlfn.CONCAT("'",$A53,"'!F30"))&gt;=AQ$2,"d",IF(INDIRECT(_xlfn.CONCAT("'",$A53,"'!F31"))&gt;=AQ$2,"i",""))</f>
        <v>d</v>
      </c>
      <c r="AR53" s="1" t="str" cm="1">
        <f t="array" aca="1" ref="AR53" ca="1">IF(INDIRECT(_xlfn.CONCAT("'",$A53,"'!F30"))&gt;=AR$2,"d",IF(INDIRECT(_xlfn.CONCAT("'",$A53,"'!F31"))&gt;=AR$2,"i",""))</f>
        <v>d</v>
      </c>
      <c r="AS53" s="1" t="str" cm="1">
        <f t="array" aca="1" ref="AS53" ca="1">IF(INDIRECT(_xlfn.CONCAT("'",$A53,"'!F30"))&gt;=AS$2,"d",IF(INDIRECT(_xlfn.CONCAT("'",$A53,"'!F31"))&gt;=AS$2,"i",""))</f>
        <v>d</v>
      </c>
      <c r="AT53" s="1" t="str" cm="1">
        <f t="array" aca="1" ref="AT53" ca="1">IF(INDIRECT(_xlfn.CONCAT("'",$A53,"'!F30"))&gt;=AT$2,"d",IF(INDIRECT(_xlfn.CONCAT("'",$A53,"'!F31"))&gt;=AT$2,"i",""))</f>
        <v>d</v>
      </c>
      <c r="AU53" s="1" t="str" cm="1">
        <f t="array" aca="1" ref="AU53" ca="1">IF(INDIRECT(_xlfn.CONCAT("'",$A53,"'!F30"))&gt;=AU$2,"d",IF(INDIRECT(_xlfn.CONCAT("'",$A53,"'!F31"))&gt;=AU$2,"i",""))</f>
        <v>d</v>
      </c>
      <c r="AV53" s="4" t="str" cm="1">
        <f t="array" aca="1" ref="AV53" ca="1">IF(INDIRECT(_xlfn.CONCAT("'",$A53,"'!F30"))&gt;=AV$2,"d",IF(INDIRECT(_xlfn.CONCAT("'",$A53,"'!F31"))&gt;=AV$2,"i",""))</f>
        <v/>
      </c>
    </row>
    <row r="54" spans="1:48" x14ac:dyDescent="0.25">
      <c r="A54" s="101" t="str">
        <v>Yunjin</v>
      </c>
      <c r="B54" s="4" t="str">
        <f t="shared" si="3"/>
        <v>Geo</v>
      </c>
      <c r="C54" s="38" t="str">
        <f t="shared" si="4"/>
        <v>Liyue 2</v>
      </c>
      <c r="D54" s="85" t="str">
        <f t="shared" si="5"/>
        <v>Signora 3</v>
      </c>
      <c r="E54" s="14" t="str" cm="1">
        <f t="array" aca="1" ref="E54" ca="1">IF(INDIRECT(_xlfn.CONCAT("'",$A54,"'!B4"))&gt;=E$2,"d",IF(INDIRECT(_xlfn.CONCAT("'",$A54,"'!B5"))&gt;=E$2,"i",""))</f>
        <v>d</v>
      </c>
      <c r="F54" s="1" t="str" cm="1">
        <f t="array" aca="1" ref="F54" ca="1">IF(INDIRECT(_xlfn.CONCAT("'",$A54,"'!B4"))&gt;=F$2,"d",IF(INDIRECT(_xlfn.CONCAT("'",$A54,"'!B5"))&gt;=F$2,"i",""))</f>
        <v>d</v>
      </c>
      <c r="G54" s="1" t="str" cm="1">
        <f t="array" aca="1" ref="G54" ca="1">IF(INDIRECT(_xlfn.CONCAT("'",$A54,"'!B4"))&gt;=G$2,"d",IF(INDIRECT(_xlfn.CONCAT("'",$A54,"'!B5"))&gt;=G$2,"i",""))</f>
        <v>d</v>
      </c>
      <c r="H54" s="1" t="str" cm="1">
        <f t="array" aca="1" ref="H54" ca="1">IF(INDIRECT(_xlfn.CONCAT("'",$A54,"'!B4"))&gt;=H$2,"d",IF(INDIRECT(_xlfn.CONCAT("'",$A54,"'!B5"))&gt;=H$2,"i",""))</f>
        <v>d</v>
      </c>
      <c r="I54" s="1" t="str" cm="1">
        <f t="array" aca="1" ref="I54" ca="1">IF(INDIRECT(_xlfn.CONCAT("'",$A54,"'!B4"))&gt;=I$2,"d",IF(INDIRECT(_xlfn.CONCAT("'",$A54,"'!B5"))&gt;=I$2,"i",""))</f>
        <v>d</v>
      </c>
      <c r="J54" s="1" t="str" cm="1">
        <f t="array" aca="1" ref="J54" ca="1">IF(INDIRECT(_xlfn.CONCAT("'",$A54,"'!B4"))&gt;=J$2,"d",IF(INDIRECT(_xlfn.CONCAT("'",$A54,"'!B5"))&gt;=J$2,"i",""))</f>
        <v>d</v>
      </c>
      <c r="K54" s="4" t="str" cm="1">
        <f t="array" aca="1" ref="K54" ca="1">IF(INDIRECT(_xlfn.CONCAT("'",$A54,"'!B4"))&gt;=K$2,"d",IF(INDIRECT(_xlfn.CONCAT("'",$A54,"'!B5"))&gt;=K$2,"i",""))</f>
        <v>d</v>
      </c>
      <c r="L54" s="39"/>
      <c r="M54" s="1" t="str" cm="1">
        <f t="array" aca="1" ref="M54" ca="1">IF(INDIRECT(_xlfn.CONCAT("'",$A54,"'!C10"))&gt;=M$2,"d",IF(INDIRECT(_xlfn.CONCAT("'",$A54,"'!C11"))&gt;=M$2,"i",""))</f>
        <v>d</v>
      </c>
      <c r="N54" s="1" t="str" cm="1">
        <f t="array" aca="1" ref="N54" ca="1">IF(INDIRECT(_xlfn.CONCAT("'",$A54,"'!C10"))&gt;=N$2,"d",IF(INDIRECT(_xlfn.CONCAT("'",$A54,"'!C11"))&gt;=N$2,"i",""))</f>
        <v>d</v>
      </c>
      <c r="O54" s="1" t="str" cm="1">
        <f t="array" aca="1" ref="O54" ca="1">IF(INDIRECT(_xlfn.CONCAT("'",$A54,"'!C10"))&gt;=O$2,"d",IF(INDIRECT(_xlfn.CONCAT("'",$A54,"'!C11"))&gt;=O$2,"i",""))</f>
        <v>d</v>
      </c>
      <c r="P54" s="1" t="str" cm="1">
        <f t="array" aca="1" ref="P54" ca="1">IF(INDIRECT(_xlfn.CONCAT("'",$A54,"'!C10"))&gt;=P$2,"d",IF(INDIRECT(_xlfn.CONCAT("'",$A54,"'!C11"))&gt;=P$2,"i",""))</f>
        <v>d</v>
      </c>
      <c r="Q54" s="1" t="str" cm="1">
        <f t="array" aca="1" ref="Q54" ca="1">IF(INDIRECT(_xlfn.CONCAT("'",$A54,"'!C10"))&gt;=Q$2,"d",IF(INDIRECT(_xlfn.CONCAT("'",$A54,"'!C11"))&gt;=Q$2,"i",""))</f>
        <v>d</v>
      </c>
      <c r="R54" s="1" t="str" cm="1">
        <f t="array" aca="1" ref="R54" ca="1">IF(INDIRECT(_xlfn.CONCAT("'",$A54,"'!C10"))&gt;=R$2,"d",IF(INDIRECT(_xlfn.CONCAT("'",$A54,"'!C11"))&gt;=R$2,"i",""))</f>
        <v>d</v>
      </c>
      <c r="S54" s="36"/>
      <c r="T54" s="1" t="str" cm="1">
        <f t="array" aca="1" ref="T54" ca="1">IF(INDIRECT(_xlfn.CONCAT("'",$A54,"'!F4"))&gt;=T$2,"d",IF(INDIRECT(_xlfn.CONCAT("'",$A54,"'!F5"))&gt;=T$2,"i",""))</f>
        <v>d</v>
      </c>
      <c r="U54" s="1" t="str" cm="1">
        <f t="array" aca="1" ref="U54" ca="1">IF(INDIRECT(_xlfn.CONCAT("'",$A54,"'!F4"))&gt;=U$2,"d",IF(INDIRECT(_xlfn.CONCAT("'",$A54,"'!F5"))&gt;=U$2,"i",""))</f>
        <v>d</v>
      </c>
      <c r="V54" s="1" t="str" cm="1">
        <f t="array" aca="1" ref="V54" ca="1">IF(INDIRECT(_xlfn.CONCAT("'",$A54,"'!F4"))&gt;=V$2,"d",IF(INDIRECT(_xlfn.CONCAT("'",$A54,"'!F5"))&gt;=V$2,"i",""))</f>
        <v>d</v>
      </c>
      <c r="W54" s="1" t="str" cm="1">
        <f t="array" aca="1" ref="W54" ca="1">IF(INDIRECT(_xlfn.CONCAT("'",$A54,"'!F4"))&gt;=W$2,"d",IF(INDIRECT(_xlfn.CONCAT("'",$A54,"'!F5"))&gt;=W$2,"i",""))</f>
        <v>d</v>
      </c>
      <c r="X54" s="1" t="str" cm="1">
        <f t="array" aca="1" ref="X54" ca="1">IF(INDIRECT(_xlfn.CONCAT("'",$A54,"'!F4"))&gt;=X$2,"d",IF(INDIRECT(_xlfn.CONCAT("'",$A54,"'!F5"))&gt;=X$2,"i",""))</f>
        <v>d</v>
      </c>
      <c r="Y54" s="1" t="str" cm="1">
        <f t="array" aca="1" ref="Y54" ca="1">IF(INDIRECT(_xlfn.CONCAT("'",$A54,"'!F4"))&gt;=Y$2,"d",IF(INDIRECT(_xlfn.CONCAT("'",$A54,"'!F5"))&gt;=Y$2,"i",""))</f>
        <v>d</v>
      </c>
      <c r="Z54" s="1" t="str" cm="1">
        <f t="array" aca="1" ref="Z54" ca="1">IF(INDIRECT(_xlfn.CONCAT("'",$A54,"'!F4"))&gt;=Z$2,"d",IF(INDIRECT(_xlfn.CONCAT("'",$A54,"'!F5"))&gt;=Z$2,"i",""))</f>
        <v>d</v>
      </c>
      <c r="AA54" s="1" t="str" cm="1">
        <f t="array" aca="1" ref="AA54" ca="1">IF(INDIRECT(_xlfn.CONCAT("'",$A54,"'!F4"))&gt;=AA$2,"d",IF(INDIRECT(_xlfn.CONCAT("'",$A54,"'!F5"))&gt;=AA$2,"i",""))</f>
        <v>d</v>
      </c>
      <c r="AB54" s="1" t="str" cm="1">
        <f t="array" aca="1" ref="AB54" ca="1">IF(INDIRECT(_xlfn.CONCAT("'",$A54,"'!F4"))&gt;=AB$2,"d",IF(INDIRECT(_xlfn.CONCAT("'",$A54,"'!F5"))&gt;=AB$2,"i",""))</f>
        <v/>
      </c>
      <c r="AC54" s="36"/>
      <c r="AD54" s="1" t="str" cm="1">
        <f t="array" aca="1" ref="AD54" ca="1">IF(INDIRECT(_xlfn.CONCAT("'",$A54,"'!F17"))&gt;=AD$2,"d",IF(INDIRECT(_xlfn.CONCAT("'",$A54,"'!F18"))&gt;=AD$2,"i",""))</f>
        <v>d</v>
      </c>
      <c r="AE54" s="1" t="str" cm="1">
        <f t="array" aca="1" ref="AE54" ca="1">IF(INDIRECT(_xlfn.CONCAT("'",$A54,"'!F17"))&gt;=AE$2,"d",IF(INDIRECT(_xlfn.CONCAT("'",$A54,"'!F18"))&gt;=AE$2,"i",""))</f>
        <v>d</v>
      </c>
      <c r="AF54" s="1" t="str" cm="1">
        <f t="array" aca="1" ref="AF54" ca="1">IF(INDIRECT(_xlfn.CONCAT("'",$A54,"'!F17"))&gt;=AF$2,"d",IF(INDIRECT(_xlfn.CONCAT("'",$A54,"'!F18"))&gt;=AF$2,"i",""))</f>
        <v>d</v>
      </c>
      <c r="AG54" s="1" t="str" cm="1">
        <f t="array" aca="1" ref="AG54" ca="1">IF(INDIRECT(_xlfn.CONCAT("'",$A54,"'!F17"))&gt;=AG$2,"d",IF(INDIRECT(_xlfn.CONCAT("'",$A54,"'!F18"))&gt;=AG$2,"i",""))</f>
        <v>d</v>
      </c>
      <c r="AH54" s="1" t="str" cm="1">
        <f t="array" aca="1" ref="AH54" ca="1">IF(INDIRECT(_xlfn.CONCAT("'",$A54,"'!F17"))&gt;=AH$2,"d",IF(INDIRECT(_xlfn.CONCAT("'",$A54,"'!F18"))&gt;=AH$2,"i",""))</f>
        <v>d</v>
      </c>
      <c r="AI54" s="1" t="str" cm="1">
        <f t="array" aca="1" ref="AI54" ca="1">IF(INDIRECT(_xlfn.CONCAT("'",$A54,"'!F17"))&gt;=AI$2,"d",IF(INDIRECT(_xlfn.CONCAT("'",$A54,"'!F18"))&gt;=AI$2,"i",""))</f>
        <v>d</v>
      </c>
      <c r="AJ54" s="1" t="str" cm="1">
        <f t="array" aca="1" ref="AJ54" ca="1">IF(INDIRECT(_xlfn.CONCAT("'",$A54,"'!F17"))&gt;=AJ$2,"d",IF(INDIRECT(_xlfn.CONCAT("'",$A54,"'!F18"))&gt;=AJ$2,"i",""))</f>
        <v>d</v>
      </c>
      <c r="AK54" s="1" t="str" cm="1">
        <f t="array" aca="1" ref="AK54" ca="1">IF(INDIRECT(_xlfn.CONCAT("'",$A54,"'!F17"))&gt;=AK$2,"d",IF(INDIRECT(_xlfn.CONCAT("'",$A54,"'!F18"))&gt;=AK$2,"i",""))</f>
        <v>d</v>
      </c>
      <c r="AL54" s="1" t="str" cm="1">
        <f t="array" aca="1" ref="AL54" ca="1">IF(INDIRECT(_xlfn.CONCAT("'",$A54,"'!F17"))&gt;=AL$2,"d",IF(INDIRECT(_xlfn.CONCAT("'",$A54,"'!F18"))&gt;=AL$2,"i",""))</f>
        <v/>
      </c>
      <c r="AM54" s="36"/>
      <c r="AN54" s="1" t="str" cm="1">
        <f t="array" aca="1" ref="AN54" ca="1">IF(INDIRECT(_xlfn.CONCAT("'",$A54,"'!F30"))&gt;=AN$2,"d",IF(INDIRECT(_xlfn.CONCAT("'",$A54,"'!F31"))&gt;=AN$2,"i",""))</f>
        <v>d</v>
      </c>
      <c r="AO54" s="1" t="str" cm="1">
        <f t="array" aca="1" ref="AO54" ca="1">IF(INDIRECT(_xlfn.CONCAT("'",$A54,"'!F30"))&gt;=AO$2,"d",IF(INDIRECT(_xlfn.CONCAT("'",$A54,"'!F31"))&gt;=AO$2,"i",""))</f>
        <v>d</v>
      </c>
      <c r="AP54" s="1" t="str" cm="1">
        <f t="array" aca="1" ref="AP54" ca="1">IF(INDIRECT(_xlfn.CONCAT("'",$A54,"'!F30"))&gt;=AP$2,"d",IF(INDIRECT(_xlfn.CONCAT("'",$A54,"'!F31"))&gt;=AP$2,"i",""))</f>
        <v>d</v>
      </c>
      <c r="AQ54" s="1" t="str" cm="1">
        <f t="array" aca="1" ref="AQ54" ca="1">IF(INDIRECT(_xlfn.CONCAT("'",$A54,"'!F30"))&gt;=AQ$2,"d",IF(INDIRECT(_xlfn.CONCAT("'",$A54,"'!F31"))&gt;=AQ$2,"i",""))</f>
        <v>d</v>
      </c>
      <c r="AR54" s="1" t="str" cm="1">
        <f t="array" aca="1" ref="AR54" ca="1">IF(INDIRECT(_xlfn.CONCAT("'",$A54,"'!F30"))&gt;=AR$2,"d",IF(INDIRECT(_xlfn.CONCAT("'",$A54,"'!F31"))&gt;=AR$2,"i",""))</f>
        <v>d</v>
      </c>
      <c r="AS54" s="1" t="str" cm="1">
        <f t="array" aca="1" ref="AS54" ca="1">IF(INDIRECT(_xlfn.CONCAT("'",$A54,"'!F30"))&gt;=AS$2,"d",IF(INDIRECT(_xlfn.CONCAT("'",$A54,"'!F31"))&gt;=AS$2,"i",""))</f>
        <v>d</v>
      </c>
      <c r="AT54" s="1" t="str" cm="1">
        <f t="array" aca="1" ref="AT54" ca="1">IF(INDIRECT(_xlfn.CONCAT("'",$A54,"'!F30"))&gt;=AT$2,"d",IF(INDIRECT(_xlfn.CONCAT("'",$A54,"'!F31"))&gt;=AT$2,"i",""))</f>
        <v>d</v>
      </c>
      <c r="AU54" s="1" t="str" cm="1">
        <f t="array" aca="1" ref="AU54" ca="1">IF(INDIRECT(_xlfn.CONCAT("'",$A54,"'!F30"))&gt;=AU$2,"d",IF(INDIRECT(_xlfn.CONCAT("'",$A54,"'!F31"))&gt;=AU$2,"i",""))</f>
        <v>d</v>
      </c>
      <c r="AV54" s="4" t="str" cm="1">
        <f t="array" aca="1" ref="AV54" ca="1">IF(INDIRECT(_xlfn.CONCAT("'",$A54,"'!F30"))&gt;=AV$2,"d",IF(INDIRECT(_xlfn.CONCAT("'",$A54,"'!F31"))&gt;=AV$2,"i",""))</f>
        <v/>
      </c>
    </row>
    <row r="55" spans="1:48" x14ac:dyDescent="0.25">
      <c r="A55" s="101" t="str">
        <v>Yae Miko</v>
      </c>
      <c r="B55" s="4" t="str">
        <f t="shared" si="3"/>
        <v>Electro</v>
      </c>
      <c r="C55" s="38" t="str">
        <f t="shared" si="4"/>
        <v>Inazuma 3</v>
      </c>
      <c r="D55" s="85" t="str">
        <f t="shared" si="5"/>
        <v>Raiden 3</v>
      </c>
      <c r="E55" s="14" t="str" cm="1">
        <f t="array" aca="1" ref="E55" ca="1">IF(INDIRECT(_xlfn.CONCAT("'",$A55,"'!B4"))&gt;=E$2,"d",IF(INDIRECT(_xlfn.CONCAT("'",$A55,"'!B5"))&gt;=E$2,"i",""))</f>
        <v>d</v>
      </c>
      <c r="F55" s="1" t="str" cm="1">
        <f t="array" aca="1" ref="F55" ca="1">IF(INDIRECT(_xlfn.CONCAT("'",$A55,"'!B4"))&gt;=F$2,"d",IF(INDIRECT(_xlfn.CONCAT("'",$A55,"'!B5"))&gt;=F$2,"i",""))</f>
        <v>d</v>
      </c>
      <c r="G55" s="1" t="str" cm="1">
        <f t="array" aca="1" ref="G55" ca="1">IF(INDIRECT(_xlfn.CONCAT("'",$A55,"'!B4"))&gt;=G$2,"d",IF(INDIRECT(_xlfn.CONCAT("'",$A55,"'!B5"))&gt;=G$2,"i",""))</f>
        <v>d</v>
      </c>
      <c r="H55" s="1" t="str" cm="1">
        <f t="array" aca="1" ref="H55" ca="1">IF(INDIRECT(_xlfn.CONCAT("'",$A55,"'!B4"))&gt;=H$2,"d",IF(INDIRECT(_xlfn.CONCAT("'",$A55,"'!B5"))&gt;=H$2,"i",""))</f>
        <v>d</v>
      </c>
      <c r="I55" s="1" t="str" cm="1">
        <f t="array" aca="1" ref="I55" ca="1">IF(INDIRECT(_xlfn.CONCAT("'",$A55,"'!B4"))&gt;=I$2,"d",IF(INDIRECT(_xlfn.CONCAT("'",$A55,"'!B5"))&gt;=I$2,"i",""))</f>
        <v>d</v>
      </c>
      <c r="J55" s="1" t="str" cm="1">
        <f t="array" aca="1" ref="J55" ca="1">IF(INDIRECT(_xlfn.CONCAT("'",$A55,"'!B4"))&gt;=J$2,"d",IF(INDIRECT(_xlfn.CONCAT("'",$A55,"'!B5"))&gt;=J$2,"i",""))</f>
        <v>d</v>
      </c>
      <c r="K55" s="4" t="str" cm="1">
        <f t="array" aca="1" ref="K55" ca="1">IF(INDIRECT(_xlfn.CONCAT("'",$A55,"'!B4"))&gt;=K$2,"d",IF(INDIRECT(_xlfn.CONCAT("'",$A55,"'!B5"))&gt;=K$2,"i",""))</f>
        <v>d</v>
      </c>
      <c r="L55" s="39"/>
      <c r="M55" s="1" t="str" cm="1">
        <f t="array" aca="1" ref="M55" ca="1">IF(INDIRECT(_xlfn.CONCAT("'",$A55,"'!C10"))&gt;=M$2,"d",IF(INDIRECT(_xlfn.CONCAT("'",$A55,"'!C11"))&gt;=M$2,"i",""))</f>
        <v>d</v>
      </c>
      <c r="N55" s="1" t="str" cm="1">
        <f t="array" aca="1" ref="N55" ca="1">IF(INDIRECT(_xlfn.CONCAT("'",$A55,"'!C10"))&gt;=N$2,"d",IF(INDIRECT(_xlfn.CONCAT("'",$A55,"'!C11"))&gt;=N$2,"i",""))</f>
        <v>d</v>
      </c>
      <c r="O55" s="1" t="str" cm="1">
        <f t="array" aca="1" ref="O55" ca="1">IF(INDIRECT(_xlfn.CONCAT("'",$A55,"'!C10"))&gt;=O$2,"d",IF(INDIRECT(_xlfn.CONCAT("'",$A55,"'!C11"))&gt;=O$2,"i",""))</f>
        <v>d</v>
      </c>
      <c r="P55" s="1" t="str" cm="1">
        <f t="array" aca="1" ref="P55" ca="1">IF(INDIRECT(_xlfn.CONCAT("'",$A55,"'!C10"))&gt;=P$2,"d",IF(INDIRECT(_xlfn.CONCAT("'",$A55,"'!C11"))&gt;=P$2,"i",""))</f>
        <v>d</v>
      </c>
      <c r="Q55" s="1" t="str" cm="1">
        <f t="array" aca="1" ref="Q55" ca="1">IF(INDIRECT(_xlfn.CONCAT("'",$A55,"'!C10"))&gt;=Q$2,"d",IF(INDIRECT(_xlfn.CONCAT("'",$A55,"'!C11"))&gt;=Q$2,"i",""))</f>
        <v>d</v>
      </c>
      <c r="R55" s="1" t="str" cm="1">
        <f t="array" aca="1" ref="R55" ca="1">IF(INDIRECT(_xlfn.CONCAT("'",$A55,"'!C10"))&gt;=R$2,"d",IF(INDIRECT(_xlfn.CONCAT("'",$A55,"'!C11"))&gt;=R$2,"i",""))</f>
        <v>d</v>
      </c>
      <c r="S55" s="36"/>
      <c r="T55" s="1" t="str" cm="1">
        <f t="array" aca="1" ref="T55" ca="1">IF(INDIRECT(_xlfn.CONCAT("'",$A55,"'!F4"))&gt;=T$2,"d",IF(INDIRECT(_xlfn.CONCAT("'",$A55,"'!F5"))&gt;=T$2,"i",""))</f>
        <v>d</v>
      </c>
      <c r="U55" s="1" t="str" cm="1">
        <f t="array" aca="1" ref="U55" ca="1">IF(INDIRECT(_xlfn.CONCAT("'",$A55,"'!F4"))&gt;=U$2,"d",IF(INDIRECT(_xlfn.CONCAT("'",$A55,"'!F5"))&gt;=U$2,"i",""))</f>
        <v>d</v>
      </c>
      <c r="V55" s="1" t="str" cm="1">
        <f t="array" aca="1" ref="V55" ca="1">IF(INDIRECT(_xlfn.CONCAT("'",$A55,"'!F4"))&gt;=V$2,"d",IF(INDIRECT(_xlfn.CONCAT("'",$A55,"'!F5"))&gt;=V$2,"i",""))</f>
        <v>d</v>
      </c>
      <c r="W55" s="1" t="str" cm="1">
        <f t="array" aca="1" ref="W55" ca="1">IF(INDIRECT(_xlfn.CONCAT("'",$A55,"'!F4"))&gt;=W$2,"d",IF(INDIRECT(_xlfn.CONCAT("'",$A55,"'!F5"))&gt;=W$2,"i",""))</f>
        <v>d</v>
      </c>
      <c r="X55" s="1" t="str" cm="1">
        <f t="array" aca="1" ref="X55" ca="1">IF(INDIRECT(_xlfn.CONCAT("'",$A55,"'!F4"))&gt;=X$2,"d",IF(INDIRECT(_xlfn.CONCAT("'",$A55,"'!F5"))&gt;=X$2,"i",""))</f>
        <v>d</v>
      </c>
      <c r="Y55" s="1" t="str" cm="1">
        <f t="array" aca="1" ref="Y55" ca="1">IF(INDIRECT(_xlfn.CONCAT("'",$A55,"'!F4"))&gt;=Y$2,"d",IF(INDIRECT(_xlfn.CONCAT("'",$A55,"'!F5"))&gt;=Y$2,"i",""))</f>
        <v>d</v>
      </c>
      <c r="Z55" s="1" t="str" cm="1">
        <f t="array" aca="1" ref="Z55" ca="1">IF(INDIRECT(_xlfn.CONCAT("'",$A55,"'!F4"))&gt;=Z$2,"d",IF(INDIRECT(_xlfn.CONCAT("'",$A55,"'!F5"))&gt;=Z$2,"i",""))</f>
        <v>d</v>
      </c>
      <c r="AA55" s="1" t="str" cm="1">
        <f t="array" aca="1" ref="AA55" ca="1">IF(INDIRECT(_xlfn.CONCAT("'",$A55,"'!F4"))&gt;=AA$2,"d",IF(INDIRECT(_xlfn.CONCAT("'",$A55,"'!F5"))&gt;=AA$2,"i",""))</f>
        <v>d</v>
      </c>
      <c r="AB55" s="1" t="str" cm="1">
        <f t="array" aca="1" ref="AB55" ca="1">IF(INDIRECT(_xlfn.CONCAT("'",$A55,"'!F4"))&gt;=AB$2,"d",IF(INDIRECT(_xlfn.CONCAT("'",$A55,"'!F5"))&gt;=AB$2,"i",""))</f>
        <v/>
      </c>
      <c r="AC55" s="36"/>
      <c r="AD55" s="1" t="str" cm="1">
        <f t="array" aca="1" ref="AD55" ca="1">IF(INDIRECT(_xlfn.CONCAT("'",$A55,"'!F17"))&gt;=AD$2,"d",IF(INDIRECT(_xlfn.CONCAT("'",$A55,"'!F18"))&gt;=AD$2,"i",""))</f>
        <v>d</v>
      </c>
      <c r="AE55" s="1" t="str" cm="1">
        <f t="array" aca="1" ref="AE55" ca="1">IF(INDIRECT(_xlfn.CONCAT("'",$A55,"'!F17"))&gt;=AE$2,"d",IF(INDIRECT(_xlfn.CONCAT("'",$A55,"'!F18"))&gt;=AE$2,"i",""))</f>
        <v>d</v>
      </c>
      <c r="AF55" s="1" t="str" cm="1">
        <f t="array" aca="1" ref="AF55" ca="1">IF(INDIRECT(_xlfn.CONCAT("'",$A55,"'!F17"))&gt;=AF$2,"d",IF(INDIRECT(_xlfn.CONCAT("'",$A55,"'!F18"))&gt;=AF$2,"i",""))</f>
        <v>d</v>
      </c>
      <c r="AG55" s="1" t="str" cm="1">
        <f t="array" aca="1" ref="AG55" ca="1">IF(INDIRECT(_xlfn.CONCAT("'",$A55,"'!F17"))&gt;=AG$2,"d",IF(INDIRECT(_xlfn.CONCAT("'",$A55,"'!F18"))&gt;=AG$2,"i",""))</f>
        <v>d</v>
      </c>
      <c r="AH55" s="1" t="str" cm="1">
        <f t="array" aca="1" ref="AH55" ca="1">IF(INDIRECT(_xlfn.CONCAT("'",$A55,"'!F17"))&gt;=AH$2,"d",IF(INDIRECT(_xlfn.CONCAT("'",$A55,"'!F18"))&gt;=AH$2,"i",""))</f>
        <v>d</v>
      </c>
      <c r="AI55" s="1" t="str" cm="1">
        <f t="array" aca="1" ref="AI55" ca="1">IF(INDIRECT(_xlfn.CONCAT("'",$A55,"'!F17"))&gt;=AI$2,"d",IF(INDIRECT(_xlfn.CONCAT("'",$A55,"'!F18"))&gt;=AI$2,"i",""))</f>
        <v>d</v>
      </c>
      <c r="AJ55" s="1" t="str" cm="1">
        <f t="array" aca="1" ref="AJ55" ca="1">IF(INDIRECT(_xlfn.CONCAT("'",$A55,"'!F17"))&gt;=AJ$2,"d",IF(INDIRECT(_xlfn.CONCAT("'",$A55,"'!F18"))&gt;=AJ$2,"i",""))</f>
        <v>d</v>
      </c>
      <c r="AK55" s="1" t="str" cm="1">
        <f t="array" aca="1" ref="AK55" ca="1">IF(INDIRECT(_xlfn.CONCAT("'",$A55,"'!F17"))&gt;=AK$2,"d",IF(INDIRECT(_xlfn.CONCAT("'",$A55,"'!F18"))&gt;=AK$2,"i",""))</f>
        <v>d</v>
      </c>
      <c r="AL55" s="1" t="str" cm="1">
        <f t="array" aca="1" ref="AL55" ca="1">IF(INDIRECT(_xlfn.CONCAT("'",$A55,"'!F17"))&gt;=AL$2,"d",IF(INDIRECT(_xlfn.CONCAT("'",$A55,"'!F18"))&gt;=AL$2,"i",""))</f>
        <v/>
      </c>
      <c r="AM55" s="36"/>
      <c r="AN55" s="1" t="str" cm="1">
        <f t="array" aca="1" ref="AN55" ca="1">IF(INDIRECT(_xlfn.CONCAT("'",$A55,"'!F30"))&gt;=AN$2,"d",IF(INDIRECT(_xlfn.CONCAT("'",$A55,"'!F31"))&gt;=AN$2,"i",""))</f>
        <v>d</v>
      </c>
      <c r="AO55" s="1" t="str" cm="1">
        <f t="array" aca="1" ref="AO55" ca="1">IF(INDIRECT(_xlfn.CONCAT("'",$A55,"'!F30"))&gt;=AO$2,"d",IF(INDIRECT(_xlfn.CONCAT("'",$A55,"'!F31"))&gt;=AO$2,"i",""))</f>
        <v>d</v>
      </c>
      <c r="AP55" s="1" t="str" cm="1">
        <f t="array" aca="1" ref="AP55" ca="1">IF(INDIRECT(_xlfn.CONCAT("'",$A55,"'!F30"))&gt;=AP$2,"d",IF(INDIRECT(_xlfn.CONCAT("'",$A55,"'!F31"))&gt;=AP$2,"i",""))</f>
        <v>d</v>
      </c>
      <c r="AQ55" s="1" t="str" cm="1">
        <f t="array" aca="1" ref="AQ55" ca="1">IF(INDIRECT(_xlfn.CONCAT("'",$A55,"'!F30"))&gt;=AQ$2,"d",IF(INDIRECT(_xlfn.CONCAT("'",$A55,"'!F31"))&gt;=AQ$2,"i",""))</f>
        <v>d</v>
      </c>
      <c r="AR55" s="1" t="str" cm="1">
        <f t="array" aca="1" ref="AR55" ca="1">IF(INDIRECT(_xlfn.CONCAT("'",$A55,"'!F30"))&gt;=AR$2,"d",IF(INDIRECT(_xlfn.CONCAT("'",$A55,"'!F31"))&gt;=AR$2,"i",""))</f>
        <v>d</v>
      </c>
      <c r="AS55" s="1" t="str" cm="1">
        <f t="array" aca="1" ref="AS55" ca="1">IF(INDIRECT(_xlfn.CONCAT("'",$A55,"'!F30"))&gt;=AS$2,"d",IF(INDIRECT(_xlfn.CONCAT("'",$A55,"'!F31"))&gt;=AS$2,"i",""))</f>
        <v>d</v>
      </c>
      <c r="AT55" s="1" t="str" cm="1">
        <f t="array" aca="1" ref="AT55" ca="1">IF(INDIRECT(_xlfn.CONCAT("'",$A55,"'!F30"))&gt;=AT$2,"d",IF(INDIRECT(_xlfn.CONCAT("'",$A55,"'!F31"))&gt;=AT$2,"i",""))</f>
        <v>d</v>
      </c>
      <c r="AU55" s="1" t="str" cm="1">
        <f t="array" aca="1" ref="AU55" ca="1">IF(INDIRECT(_xlfn.CONCAT("'",$A55,"'!F30"))&gt;=AU$2,"d",IF(INDIRECT(_xlfn.CONCAT("'",$A55,"'!F31"))&gt;=AU$2,"i",""))</f>
        <v>d</v>
      </c>
      <c r="AV55" s="4" t="str" cm="1">
        <f t="array" aca="1" ref="AV55" ca="1">IF(INDIRECT(_xlfn.CONCAT("'",$A55,"'!F30"))&gt;=AV$2,"d",IF(INDIRECT(_xlfn.CONCAT("'",$A55,"'!F31"))&gt;=AV$2,"i",""))</f>
        <v/>
      </c>
    </row>
    <row r="56" spans="1:48" x14ac:dyDescent="0.25">
      <c r="A56" s="101" t="str">
        <v>Kamisato Ayato</v>
      </c>
      <c r="B56" s="4" t="str">
        <f t="shared" si="3"/>
        <v>Hydro</v>
      </c>
      <c r="C56" s="38" t="str">
        <f t="shared" si="4"/>
        <v>Inazuma 2</v>
      </c>
      <c r="D56" s="85" t="str">
        <f t="shared" si="5"/>
        <v>Raiden 1</v>
      </c>
      <c r="E56" s="14" t="str" cm="1">
        <f t="array" aca="1" ref="E56" ca="1">IF(INDIRECT(_xlfn.CONCAT("'",$A56,"'!B4"))&gt;=E$2,"d",IF(INDIRECT(_xlfn.CONCAT("'",$A56,"'!B5"))&gt;=E$2,"i",""))</f>
        <v>d</v>
      </c>
      <c r="F56" s="1" t="str" cm="1">
        <f t="array" aca="1" ref="F56" ca="1">IF(INDIRECT(_xlfn.CONCAT("'",$A56,"'!B4"))&gt;=F$2,"d",IF(INDIRECT(_xlfn.CONCAT("'",$A56,"'!B5"))&gt;=F$2,"i",""))</f>
        <v>d</v>
      </c>
      <c r="G56" s="1" t="str" cm="1">
        <f t="array" aca="1" ref="G56" ca="1">IF(INDIRECT(_xlfn.CONCAT("'",$A56,"'!B4"))&gt;=G$2,"d",IF(INDIRECT(_xlfn.CONCAT("'",$A56,"'!B5"))&gt;=G$2,"i",""))</f>
        <v>d</v>
      </c>
      <c r="H56" s="1" t="str" cm="1">
        <f t="array" aca="1" ref="H56" ca="1">IF(INDIRECT(_xlfn.CONCAT("'",$A56,"'!B4"))&gt;=H$2,"d",IF(INDIRECT(_xlfn.CONCAT("'",$A56,"'!B5"))&gt;=H$2,"i",""))</f>
        <v>d</v>
      </c>
      <c r="I56" s="1" t="str" cm="1">
        <f t="array" aca="1" ref="I56" ca="1">IF(INDIRECT(_xlfn.CONCAT("'",$A56,"'!B4"))&gt;=I$2,"d",IF(INDIRECT(_xlfn.CONCAT("'",$A56,"'!B5"))&gt;=I$2,"i",""))</f>
        <v>d</v>
      </c>
      <c r="J56" s="1" t="str" cm="1">
        <f t="array" aca="1" ref="J56" ca="1">IF(INDIRECT(_xlfn.CONCAT("'",$A56,"'!B4"))&gt;=J$2,"d",IF(INDIRECT(_xlfn.CONCAT("'",$A56,"'!B5"))&gt;=J$2,"i",""))</f>
        <v>d</v>
      </c>
      <c r="K56" s="4" t="str" cm="1">
        <f t="array" aca="1" ref="K56" ca="1">IF(INDIRECT(_xlfn.CONCAT("'",$A56,"'!B4"))&gt;=K$2,"d",IF(INDIRECT(_xlfn.CONCAT("'",$A56,"'!B5"))&gt;=K$2,"i",""))</f>
        <v>d</v>
      </c>
      <c r="L56" s="39"/>
      <c r="M56" s="1" t="str" cm="1">
        <f t="array" aca="1" ref="M56" ca="1">IF(INDIRECT(_xlfn.CONCAT("'",$A56,"'!C10"))&gt;=M$2,"d",IF(INDIRECT(_xlfn.CONCAT("'",$A56,"'!C11"))&gt;=M$2,"i",""))</f>
        <v>d</v>
      </c>
      <c r="N56" s="1" t="str" cm="1">
        <f t="array" aca="1" ref="N56" ca="1">IF(INDIRECT(_xlfn.CONCAT("'",$A56,"'!C10"))&gt;=N$2,"d",IF(INDIRECT(_xlfn.CONCAT("'",$A56,"'!C11"))&gt;=N$2,"i",""))</f>
        <v>d</v>
      </c>
      <c r="O56" s="1" t="str" cm="1">
        <f t="array" aca="1" ref="O56" ca="1">IF(INDIRECT(_xlfn.CONCAT("'",$A56,"'!C10"))&gt;=O$2,"d",IF(INDIRECT(_xlfn.CONCAT("'",$A56,"'!C11"))&gt;=O$2,"i",""))</f>
        <v>d</v>
      </c>
      <c r="P56" s="1" t="str" cm="1">
        <f t="array" aca="1" ref="P56" ca="1">IF(INDIRECT(_xlfn.CONCAT("'",$A56,"'!C10"))&gt;=P$2,"d",IF(INDIRECT(_xlfn.CONCAT("'",$A56,"'!C11"))&gt;=P$2,"i",""))</f>
        <v>d</v>
      </c>
      <c r="Q56" s="1" t="str" cm="1">
        <f t="array" aca="1" ref="Q56" ca="1">IF(INDIRECT(_xlfn.CONCAT("'",$A56,"'!C10"))&gt;=Q$2,"d",IF(INDIRECT(_xlfn.CONCAT("'",$A56,"'!C11"))&gt;=Q$2,"i",""))</f>
        <v>d</v>
      </c>
      <c r="R56" s="1" t="str" cm="1">
        <f t="array" aca="1" ref="R56" ca="1">IF(INDIRECT(_xlfn.CONCAT("'",$A56,"'!C10"))&gt;=R$2,"d",IF(INDIRECT(_xlfn.CONCAT("'",$A56,"'!C11"))&gt;=R$2,"i",""))</f>
        <v>d</v>
      </c>
      <c r="S56" s="36"/>
      <c r="T56" s="1" t="str" cm="1">
        <f t="array" aca="1" ref="T56" ca="1">IF(INDIRECT(_xlfn.CONCAT("'",$A56,"'!F4"))&gt;=T$2,"d",IF(INDIRECT(_xlfn.CONCAT("'",$A56,"'!F5"))&gt;=T$2,"i",""))</f>
        <v>d</v>
      </c>
      <c r="U56" s="1" t="str" cm="1">
        <f t="array" aca="1" ref="U56" ca="1">IF(INDIRECT(_xlfn.CONCAT("'",$A56,"'!F4"))&gt;=U$2,"d",IF(INDIRECT(_xlfn.CONCAT("'",$A56,"'!F5"))&gt;=U$2,"i",""))</f>
        <v>d</v>
      </c>
      <c r="V56" s="1" t="str" cm="1">
        <f t="array" aca="1" ref="V56" ca="1">IF(INDIRECT(_xlfn.CONCAT("'",$A56,"'!F4"))&gt;=V$2,"d",IF(INDIRECT(_xlfn.CONCAT("'",$A56,"'!F5"))&gt;=V$2,"i",""))</f>
        <v>d</v>
      </c>
      <c r="W56" s="1" t="str" cm="1">
        <f t="array" aca="1" ref="W56" ca="1">IF(INDIRECT(_xlfn.CONCAT("'",$A56,"'!F4"))&gt;=W$2,"d",IF(INDIRECT(_xlfn.CONCAT("'",$A56,"'!F5"))&gt;=W$2,"i",""))</f>
        <v>d</v>
      </c>
      <c r="X56" s="1" t="str" cm="1">
        <f t="array" aca="1" ref="X56" ca="1">IF(INDIRECT(_xlfn.CONCAT("'",$A56,"'!F4"))&gt;=X$2,"d",IF(INDIRECT(_xlfn.CONCAT("'",$A56,"'!F5"))&gt;=X$2,"i",""))</f>
        <v>d</v>
      </c>
      <c r="Y56" s="1" t="str" cm="1">
        <f t="array" aca="1" ref="Y56" ca="1">IF(INDIRECT(_xlfn.CONCAT("'",$A56,"'!F4"))&gt;=Y$2,"d",IF(INDIRECT(_xlfn.CONCAT("'",$A56,"'!F5"))&gt;=Y$2,"i",""))</f>
        <v>d</v>
      </c>
      <c r="Z56" s="1" t="str" cm="1">
        <f t="array" aca="1" ref="Z56" ca="1">IF(INDIRECT(_xlfn.CONCAT("'",$A56,"'!F4"))&gt;=Z$2,"d",IF(INDIRECT(_xlfn.CONCAT("'",$A56,"'!F5"))&gt;=Z$2,"i",""))</f>
        <v>d</v>
      </c>
      <c r="AA56" s="1" t="str" cm="1">
        <f t="array" aca="1" ref="AA56" ca="1">IF(INDIRECT(_xlfn.CONCAT("'",$A56,"'!F4"))&gt;=AA$2,"d",IF(INDIRECT(_xlfn.CONCAT("'",$A56,"'!F5"))&gt;=AA$2,"i",""))</f>
        <v>d</v>
      </c>
      <c r="AB56" s="1" t="str" cm="1">
        <f t="array" aca="1" ref="AB56" ca="1">IF(INDIRECT(_xlfn.CONCAT("'",$A56,"'!F4"))&gt;=AB$2,"d",IF(INDIRECT(_xlfn.CONCAT("'",$A56,"'!F5"))&gt;=AB$2,"i",""))</f>
        <v/>
      </c>
      <c r="AC56" s="36"/>
      <c r="AD56" s="1" t="str" cm="1">
        <f t="array" aca="1" ref="AD56" ca="1">IF(INDIRECT(_xlfn.CONCAT("'",$A56,"'!F17"))&gt;=AD$2,"d",IF(INDIRECT(_xlfn.CONCAT("'",$A56,"'!F18"))&gt;=AD$2,"i",""))</f>
        <v>d</v>
      </c>
      <c r="AE56" s="1" t="str" cm="1">
        <f t="array" aca="1" ref="AE56" ca="1">IF(INDIRECT(_xlfn.CONCAT("'",$A56,"'!F17"))&gt;=AE$2,"d",IF(INDIRECT(_xlfn.CONCAT("'",$A56,"'!F18"))&gt;=AE$2,"i",""))</f>
        <v>d</v>
      </c>
      <c r="AF56" s="1" t="str" cm="1">
        <f t="array" aca="1" ref="AF56" ca="1">IF(INDIRECT(_xlfn.CONCAT("'",$A56,"'!F17"))&gt;=AF$2,"d",IF(INDIRECT(_xlfn.CONCAT("'",$A56,"'!F18"))&gt;=AF$2,"i",""))</f>
        <v>d</v>
      </c>
      <c r="AG56" s="1" t="str" cm="1">
        <f t="array" aca="1" ref="AG56" ca="1">IF(INDIRECT(_xlfn.CONCAT("'",$A56,"'!F17"))&gt;=AG$2,"d",IF(INDIRECT(_xlfn.CONCAT("'",$A56,"'!F18"))&gt;=AG$2,"i",""))</f>
        <v>d</v>
      </c>
      <c r="AH56" s="1" t="str" cm="1">
        <f t="array" aca="1" ref="AH56" ca="1">IF(INDIRECT(_xlfn.CONCAT("'",$A56,"'!F17"))&gt;=AH$2,"d",IF(INDIRECT(_xlfn.CONCAT("'",$A56,"'!F18"))&gt;=AH$2,"i",""))</f>
        <v>d</v>
      </c>
      <c r="AI56" s="1" t="str" cm="1">
        <f t="array" aca="1" ref="AI56" ca="1">IF(INDIRECT(_xlfn.CONCAT("'",$A56,"'!F17"))&gt;=AI$2,"d",IF(INDIRECT(_xlfn.CONCAT("'",$A56,"'!F18"))&gt;=AI$2,"i",""))</f>
        <v>d</v>
      </c>
      <c r="AJ56" s="1" t="str" cm="1">
        <f t="array" aca="1" ref="AJ56" ca="1">IF(INDIRECT(_xlfn.CONCAT("'",$A56,"'!F17"))&gt;=AJ$2,"d",IF(INDIRECT(_xlfn.CONCAT("'",$A56,"'!F18"))&gt;=AJ$2,"i",""))</f>
        <v>d</v>
      </c>
      <c r="AK56" s="1" t="str" cm="1">
        <f t="array" aca="1" ref="AK56" ca="1">IF(INDIRECT(_xlfn.CONCAT("'",$A56,"'!F17"))&gt;=AK$2,"d",IF(INDIRECT(_xlfn.CONCAT("'",$A56,"'!F18"))&gt;=AK$2,"i",""))</f>
        <v>d</v>
      </c>
      <c r="AL56" s="1" t="str" cm="1">
        <f t="array" aca="1" ref="AL56" ca="1">IF(INDIRECT(_xlfn.CONCAT("'",$A56,"'!F17"))&gt;=AL$2,"d",IF(INDIRECT(_xlfn.CONCAT("'",$A56,"'!F18"))&gt;=AL$2,"i",""))</f>
        <v/>
      </c>
      <c r="AM56" s="36"/>
      <c r="AN56" s="1" t="str" cm="1">
        <f t="array" aca="1" ref="AN56" ca="1">IF(INDIRECT(_xlfn.CONCAT("'",$A56,"'!F30"))&gt;=AN$2,"d",IF(INDIRECT(_xlfn.CONCAT("'",$A56,"'!F31"))&gt;=AN$2,"i",""))</f>
        <v>d</v>
      </c>
      <c r="AO56" s="1" t="str" cm="1">
        <f t="array" aca="1" ref="AO56" ca="1">IF(INDIRECT(_xlfn.CONCAT("'",$A56,"'!F30"))&gt;=AO$2,"d",IF(INDIRECT(_xlfn.CONCAT("'",$A56,"'!F31"))&gt;=AO$2,"i",""))</f>
        <v>d</v>
      </c>
      <c r="AP56" s="1" t="str" cm="1">
        <f t="array" aca="1" ref="AP56" ca="1">IF(INDIRECT(_xlfn.CONCAT("'",$A56,"'!F30"))&gt;=AP$2,"d",IF(INDIRECT(_xlfn.CONCAT("'",$A56,"'!F31"))&gt;=AP$2,"i",""))</f>
        <v>d</v>
      </c>
      <c r="AQ56" s="1" t="str" cm="1">
        <f t="array" aca="1" ref="AQ56" ca="1">IF(INDIRECT(_xlfn.CONCAT("'",$A56,"'!F30"))&gt;=AQ$2,"d",IF(INDIRECT(_xlfn.CONCAT("'",$A56,"'!F31"))&gt;=AQ$2,"i",""))</f>
        <v>d</v>
      </c>
      <c r="AR56" s="1" t="str" cm="1">
        <f t="array" aca="1" ref="AR56" ca="1">IF(INDIRECT(_xlfn.CONCAT("'",$A56,"'!F30"))&gt;=AR$2,"d",IF(INDIRECT(_xlfn.CONCAT("'",$A56,"'!F31"))&gt;=AR$2,"i",""))</f>
        <v>d</v>
      </c>
      <c r="AS56" s="1" t="str" cm="1">
        <f t="array" aca="1" ref="AS56" ca="1">IF(INDIRECT(_xlfn.CONCAT("'",$A56,"'!F30"))&gt;=AS$2,"d",IF(INDIRECT(_xlfn.CONCAT("'",$A56,"'!F31"))&gt;=AS$2,"i",""))</f>
        <v>d</v>
      </c>
      <c r="AT56" s="1" t="str" cm="1">
        <f t="array" aca="1" ref="AT56" ca="1">IF(INDIRECT(_xlfn.CONCAT("'",$A56,"'!F30"))&gt;=AT$2,"d",IF(INDIRECT(_xlfn.CONCAT("'",$A56,"'!F31"))&gt;=AT$2,"i",""))</f>
        <v>d</v>
      </c>
      <c r="AU56" s="1" t="str" cm="1">
        <f t="array" aca="1" ref="AU56" ca="1">IF(INDIRECT(_xlfn.CONCAT("'",$A56,"'!F30"))&gt;=AU$2,"d",IF(INDIRECT(_xlfn.CONCAT("'",$A56,"'!F31"))&gt;=AU$2,"i",""))</f>
        <v>d</v>
      </c>
      <c r="AV56" s="4" t="str" cm="1">
        <f t="array" aca="1" ref="AV56" ca="1">IF(INDIRECT(_xlfn.CONCAT("'",$A56,"'!F30"))&gt;=AV$2,"d",IF(INDIRECT(_xlfn.CONCAT("'",$A56,"'!F31"))&gt;=AV$2,"i",""))</f>
        <v/>
      </c>
    </row>
    <row r="57" spans="1:48" x14ac:dyDescent="0.25">
      <c r="A57" s="101" t="str">
        <v>Yelan</v>
      </c>
      <c r="B57" s="4" t="str">
        <f t="shared" si="3"/>
        <v>Hydro</v>
      </c>
      <c r="C57" s="38" t="str">
        <f t="shared" si="4"/>
        <v>Liyue 1</v>
      </c>
      <c r="D57" s="85" t="str">
        <f t="shared" si="5"/>
        <v>Azhdaha 3</v>
      </c>
      <c r="E57" s="14" t="str" cm="1">
        <f t="array" aca="1" ref="E57" ca="1">IF(INDIRECT(_xlfn.CONCAT("'",$A57,"'!B4"))&gt;=E$2,"d",IF(INDIRECT(_xlfn.CONCAT("'",$A57,"'!B5"))&gt;=E$2,"i",""))</f>
        <v>d</v>
      </c>
      <c r="F57" s="1" t="str" cm="1">
        <f t="array" aca="1" ref="F57" ca="1">IF(INDIRECT(_xlfn.CONCAT("'",$A57,"'!B4"))&gt;=F$2,"d",IF(INDIRECT(_xlfn.CONCAT("'",$A57,"'!B5"))&gt;=F$2,"i",""))</f>
        <v>d</v>
      </c>
      <c r="G57" s="1" t="str" cm="1">
        <f t="array" aca="1" ref="G57" ca="1">IF(INDIRECT(_xlfn.CONCAT("'",$A57,"'!B4"))&gt;=G$2,"d",IF(INDIRECT(_xlfn.CONCAT("'",$A57,"'!B5"))&gt;=G$2,"i",""))</f>
        <v>d</v>
      </c>
      <c r="H57" s="1" t="str" cm="1">
        <f t="array" aca="1" ref="H57" ca="1">IF(INDIRECT(_xlfn.CONCAT("'",$A57,"'!B4"))&gt;=H$2,"d",IF(INDIRECT(_xlfn.CONCAT("'",$A57,"'!B5"))&gt;=H$2,"i",""))</f>
        <v>d</v>
      </c>
      <c r="I57" s="1" t="str" cm="1">
        <f t="array" aca="1" ref="I57" ca="1">IF(INDIRECT(_xlfn.CONCAT("'",$A57,"'!B4"))&gt;=I$2,"d",IF(INDIRECT(_xlfn.CONCAT("'",$A57,"'!B5"))&gt;=I$2,"i",""))</f>
        <v>d</v>
      </c>
      <c r="J57" s="1" t="str" cm="1">
        <f t="array" aca="1" ref="J57" ca="1">IF(INDIRECT(_xlfn.CONCAT("'",$A57,"'!B4"))&gt;=J$2,"d",IF(INDIRECT(_xlfn.CONCAT("'",$A57,"'!B5"))&gt;=J$2,"i",""))</f>
        <v>d</v>
      </c>
      <c r="K57" s="4" t="str" cm="1">
        <f t="array" aca="1" ref="K57" ca="1">IF(INDIRECT(_xlfn.CONCAT("'",$A57,"'!B4"))&gt;=K$2,"d",IF(INDIRECT(_xlfn.CONCAT("'",$A57,"'!B5"))&gt;=K$2,"i",""))</f>
        <v>d</v>
      </c>
      <c r="L57" s="39"/>
      <c r="M57" s="1" t="str" cm="1">
        <f t="array" aca="1" ref="M57" ca="1">IF(INDIRECT(_xlfn.CONCAT("'",$A57,"'!C10"))&gt;=M$2,"d",IF(INDIRECT(_xlfn.CONCAT("'",$A57,"'!C11"))&gt;=M$2,"i",""))</f>
        <v>d</v>
      </c>
      <c r="N57" s="1" t="str" cm="1">
        <f t="array" aca="1" ref="N57" ca="1">IF(INDIRECT(_xlfn.CONCAT("'",$A57,"'!C10"))&gt;=N$2,"d",IF(INDIRECT(_xlfn.CONCAT("'",$A57,"'!C11"))&gt;=N$2,"i",""))</f>
        <v>d</v>
      </c>
      <c r="O57" s="1" t="str" cm="1">
        <f t="array" aca="1" ref="O57" ca="1">IF(INDIRECT(_xlfn.CONCAT("'",$A57,"'!C10"))&gt;=O$2,"d",IF(INDIRECT(_xlfn.CONCAT("'",$A57,"'!C11"))&gt;=O$2,"i",""))</f>
        <v>d</v>
      </c>
      <c r="P57" s="1" t="str" cm="1">
        <f t="array" aca="1" ref="P57" ca="1">IF(INDIRECT(_xlfn.CONCAT("'",$A57,"'!C10"))&gt;=P$2,"d",IF(INDIRECT(_xlfn.CONCAT("'",$A57,"'!C11"))&gt;=P$2,"i",""))</f>
        <v>d</v>
      </c>
      <c r="Q57" s="1" t="str" cm="1">
        <f t="array" aca="1" ref="Q57" ca="1">IF(INDIRECT(_xlfn.CONCAT("'",$A57,"'!C10"))&gt;=Q$2,"d",IF(INDIRECT(_xlfn.CONCAT("'",$A57,"'!C11"))&gt;=Q$2,"i",""))</f>
        <v>d</v>
      </c>
      <c r="R57" s="1" t="str" cm="1">
        <f t="array" aca="1" ref="R57" ca="1">IF(INDIRECT(_xlfn.CONCAT("'",$A57,"'!C10"))&gt;=R$2,"d",IF(INDIRECT(_xlfn.CONCAT("'",$A57,"'!C11"))&gt;=R$2,"i",""))</f>
        <v>d</v>
      </c>
      <c r="S57" s="36"/>
      <c r="T57" s="1" t="str" cm="1">
        <f t="array" aca="1" ref="T57" ca="1">IF(INDIRECT(_xlfn.CONCAT("'",$A57,"'!F4"))&gt;=T$2,"d",IF(INDIRECT(_xlfn.CONCAT("'",$A57,"'!F5"))&gt;=T$2,"i",""))</f>
        <v>d</v>
      </c>
      <c r="U57" s="1" t="str" cm="1">
        <f t="array" aca="1" ref="U57" ca="1">IF(INDIRECT(_xlfn.CONCAT("'",$A57,"'!F4"))&gt;=U$2,"d",IF(INDIRECT(_xlfn.CONCAT("'",$A57,"'!F5"))&gt;=U$2,"i",""))</f>
        <v>d</v>
      </c>
      <c r="V57" s="1" t="str" cm="1">
        <f t="array" aca="1" ref="V57" ca="1">IF(INDIRECT(_xlfn.CONCAT("'",$A57,"'!F4"))&gt;=V$2,"d",IF(INDIRECT(_xlfn.CONCAT("'",$A57,"'!F5"))&gt;=V$2,"i",""))</f>
        <v>d</v>
      </c>
      <c r="W57" s="1" t="str" cm="1">
        <f t="array" aca="1" ref="W57" ca="1">IF(INDIRECT(_xlfn.CONCAT("'",$A57,"'!F4"))&gt;=W$2,"d",IF(INDIRECT(_xlfn.CONCAT("'",$A57,"'!F5"))&gt;=W$2,"i",""))</f>
        <v>d</v>
      </c>
      <c r="X57" s="1" t="str" cm="1">
        <f t="array" aca="1" ref="X57" ca="1">IF(INDIRECT(_xlfn.CONCAT("'",$A57,"'!F4"))&gt;=X$2,"d",IF(INDIRECT(_xlfn.CONCAT("'",$A57,"'!F5"))&gt;=X$2,"i",""))</f>
        <v>d</v>
      </c>
      <c r="Y57" s="1" t="str" cm="1">
        <f t="array" aca="1" ref="Y57" ca="1">IF(INDIRECT(_xlfn.CONCAT("'",$A57,"'!F4"))&gt;=Y$2,"d",IF(INDIRECT(_xlfn.CONCAT("'",$A57,"'!F5"))&gt;=Y$2,"i",""))</f>
        <v>d</v>
      </c>
      <c r="Z57" s="1" t="str" cm="1">
        <f t="array" aca="1" ref="Z57" ca="1">IF(INDIRECT(_xlfn.CONCAT("'",$A57,"'!F4"))&gt;=Z$2,"d",IF(INDIRECT(_xlfn.CONCAT("'",$A57,"'!F5"))&gt;=Z$2,"i",""))</f>
        <v>d</v>
      </c>
      <c r="AA57" s="1" t="str" cm="1">
        <f t="array" aca="1" ref="AA57" ca="1">IF(INDIRECT(_xlfn.CONCAT("'",$A57,"'!F4"))&gt;=AA$2,"d",IF(INDIRECT(_xlfn.CONCAT("'",$A57,"'!F5"))&gt;=AA$2,"i",""))</f>
        <v>d</v>
      </c>
      <c r="AB57" s="1" t="str" cm="1">
        <f t="array" aca="1" ref="AB57" ca="1">IF(INDIRECT(_xlfn.CONCAT("'",$A57,"'!F4"))&gt;=AB$2,"d",IF(INDIRECT(_xlfn.CONCAT("'",$A57,"'!F5"))&gt;=AB$2,"i",""))</f>
        <v/>
      </c>
      <c r="AC57" s="36"/>
      <c r="AD57" s="1" t="str" cm="1">
        <f t="array" aca="1" ref="AD57" ca="1">IF(INDIRECT(_xlfn.CONCAT("'",$A57,"'!F17"))&gt;=AD$2,"d",IF(INDIRECT(_xlfn.CONCAT("'",$A57,"'!F18"))&gt;=AD$2,"i",""))</f>
        <v>d</v>
      </c>
      <c r="AE57" s="1" t="str" cm="1">
        <f t="array" aca="1" ref="AE57" ca="1">IF(INDIRECT(_xlfn.CONCAT("'",$A57,"'!F17"))&gt;=AE$2,"d",IF(INDIRECT(_xlfn.CONCAT("'",$A57,"'!F18"))&gt;=AE$2,"i",""))</f>
        <v>d</v>
      </c>
      <c r="AF57" s="1" t="str" cm="1">
        <f t="array" aca="1" ref="AF57" ca="1">IF(INDIRECT(_xlfn.CONCAT("'",$A57,"'!F17"))&gt;=AF$2,"d",IF(INDIRECT(_xlfn.CONCAT("'",$A57,"'!F18"))&gt;=AF$2,"i",""))</f>
        <v>d</v>
      </c>
      <c r="AG57" s="1" t="str" cm="1">
        <f t="array" aca="1" ref="AG57" ca="1">IF(INDIRECT(_xlfn.CONCAT("'",$A57,"'!F17"))&gt;=AG$2,"d",IF(INDIRECT(_xlfn.CONCAT("'",$A57,"'!F18"))&gt;=AG$2,"i",""))</f>
        <v>d</v>
      </c>
      <c r="AH57" s="1" t="str" cm="1">
        <f t="array" aca="1" ref="AH57" ca="1">IF(INDIRECT(_xlfn.CONCAT("'",$A57,"'!F17"))&gt;=AH$2,"d",IF(INDIRECT(_xlfn.CONCAT("'",$A57,"'!F18"))&gt;=AH$2,"i",""))</f>
        <v>d</v>
      </c>
      <c r="AI57" s="1" t="str" cm="1">
        <f t="array" aca="1" ref="AI57" ca="1">IF(INDIRECT(_xlfn.CONCAT("'",$A57,"'!F17"))&gt;=AI$2,"d",IF(INDIRECT(_xlfn.CONCAT("'",$A57,"'!F18"))&gt;=AI$2,"i",""))</f>
        <v>d</v>
      </c>
      <c r="AJ57" s="1" t="str" cm="1">
        <f t="array" aca="1" ref="AJ57" ca="1">IF(INDIRECT(_xlfn.CONCAT("'",$A57,"'!F17"))&gt;=AJ$2,"d",IF(INDIRECT(_xlfn.CONCAT("'",$A57,"'!F18"))&gt;=AJ$2,"i",""))</f>
        <v>d</v>
      </c>
      <c r="AK57" s="1" t="str" cm="1">
        <f t="array" aca="1" ref="AK57" ca="1">IF(INDIRECT(_xlfn.CONCAT("'",$A57,"'!F17"))&gt;=AK$2,"d",IF(INDIRECT(_xlfn.CONCAT("'",$A57,"'!F18"))&gt;=AK$2,"i",""))</f>
        <v>d</v>
      </c>
      <c r="AL57" s="1" t="str" cm="1">
        <f t="array" aca="1" ref="AL57" ca="1">IF(INDIRECT(_xlfn.CONCAT("'",$A57,"'!F17"))&gt;=AL$2,"d",IF(INDIRECT(_xlfn.CONCAT("'",$A57,"'!F18"))&gt;=AL$2,"i",""))</f>
        <v/>
      </c>
      <c r="AM57" s="36"/>
      <c r="AN57" s="1" t="str" cm="1">
        <f t="array" aca="1" ref="AN57" ca="1">IF(INDIRECT(_xlfn.CONCAT("'",$A57,"'!F30"))&gt;=AN$2,"d",IF(INDIRECT(_xlfn.CONCAT("'",$A57,"'!F31"))&gt;=AN$2,"i",""))</f>
        <v>d</v>
      </c>
      <c r="AO57" s="1" t="str" cm="1">
        <f t="array" aca="1" ref="AO57" ca="1">IF(INDIRECT(_xlfn.CONCAT("'",$A57,"'!F30"))&gt;=AO$2,"d",IF(INDIRECT(_xlfn.CONCAT("'",$A57,"'!F31"))&gt;=AO$2,"i",""))</f>
        <v>d</v>
      </c>
      <c r="AP57" s="1" t="str" cm="1">
        <f t="array" aca="1" ref="AP57" ca="1">IF(INDIRECT(_xlfn.CONCAT("'",$A57,"'!F30"))&gt;=AP$2,"d",IF(INDIRECT(_xlfn.CONCAT("'",$A57,"'!F31"))&gt;=AP$2,"i",""))</f>
        <v>d</v>
      </c>
      <c r="AQ57" s="1" t="str" cm="1">
        <f t="array" aca="1" ref="AQ57" ca="1">IF(INDIRECT(_xlfn.CONCAT("'",$A57,"'!F30"))&gt;=AQ$2,"d",IF(INDIRECT(_xlfn.CONCAT("'",$A57,"'!F31"))&gt;=AQ$2,"i",""))</f>
        <v>d</v>
      </c>
      <c r="AR57" s="1" t="str" cm="1">
        <f t="array" aca="1" ref="AR57" ca="1">IF(INDIRECT(_xlfn.CONCAT("'",$A57,"'!F30"))&gt;=AR$2,"d",IF(INDIRECT(_xlfn.CONCAT("'",$A57,"'!F31"))&gt;=AR$2,"i",""))</f>
        <v>d</v>
      </c>
      <c r="AS57" s="1" t="str" cm="1">
        <f t="array" aca="1" ref="AS57" ca="1">IF(INDIRECT(_xlfn.CONCAT("'",$A57,"'!F30"))&gt;=AS$2,"d",IF(INDIRECT(_xlfn.CONCAT("'",$A57,"'!F31"))&gt;=AS$2,"i",""))</f>
        <v>d</v>
      </c>
      <c r="AT57" s="1" t="str" cm="1">
        <f t="array" aca="1" ref="AT57" ca="1">IF(INDIRECT(_xlfn.CONCAT("'",$A57,"'!F30"))&gt;=AT$2,"d",IF(INDIRECT(_xlfn.CONCAT("'",$A57,"'!F31"))&gt;=AT$2,"i",""))</f>
        <v>d</v>
      </c>
      <c r="AU57" s="1" t="str" cm="1">
        <f t="array" aca="1" ref="AU57" ca="1">IF(INDIRECT(_xlfn.CONCAT("'",$A57,"'!F30"))&gt;=AU$2,"d",IF(INDIRECT(_xlfn.CONCAT("'",$A57,"'!F31"))&gt;=AU$2,"i",""))</f>
        <v>d</v>
      </c>
      <c r="AV57" s="4" t="str" cm="1">
        <f t="array" aca="1" ref="AV57" ca="1">IF(INDIRECT(_xlfn.CONCAT("'",$A57,"'!F30"))&gt;=AV$2,"d",IF(INDIRECT(_xlfn.CONCAT("'",$A57,"'!F31"))&gt;=AV$2,"i",""))</f>
        <v/>
      </c>
    </row>
    <row r="58" spans="1:48" x14ac:dyDescent="0.25">
      <c r="A58" s="101" t="str">
        <v>Kuki Shinobu</v>
      </c>
      <c r="B58" s="4" t="str">
        <f t="shared" si="3"/>
        <v>Electro</v>
      </c>
      <c r="C58" s="38" t="str">
        <f t="shared" si="4"/>
        <v>Inazuma 2</v>
      </c>
      <c r="D58" s="85" t="str">
        <f t="shared" si="5"/>
        <v>Raiden 2</v>
      </c>
      <c r="E58" s="14" t="str" cm="1">
        <f t="array" aca="1" ref="E58" ca="1">IF(INDIRECT(_xlfn.CONCAT("'",$A58,"'!B4"))&gt;=E$2,"d",IF(INDIRECT(_xlfn.CONCAT("'",$A58,"'!B5"))&gt;=E$2,"i",""))</f>
        <v>d</v>
      </c>
      <c r="F58" s="1" t="str" cm="1">
        <f t="array" aca="1" ref="F58" ca="1">IF(INDIRECT(_xlfn.CONCAT("'",$A58,"'!B4"))&gt;=F$2,"d",IF(INDIRECT(_xlfn.CONCAT("'",$A58,"'!B5"))&gt;=F$2,"i",""))</f>
        <v>d</v>
      </c>
      <c r="G58" s="1" t="str" cm="1">
        <f t="array" aca="1" ref="G58" ca="1">IF(INDIRECT(_xlfn.CONCAT("'",$A58,"'!B4"))&gt;=G$2,"d",IF(INDIRECT(_xlfn.CONCAT("'",$A58,"'!B5"))&gt;=G$2,"i",""))</f>
        <v>d</v>
      </c>
      <c r="H58" s="1" t="str" cm="1">
        <f t="array" aca="1" ref="H58" ca="1">IF(INDIRECT(_xlfn.CONCAT("'",$A58,"'!B4"))&gt;=H$2,"d",IF(INDIRECT(_xlfn.CONCAT("'",$A58,"'!B5"))&gt;=H$2,"i",""))</f>
        <v>d</v>
      </c>
      <c r="I58" s="1" t="str" cm="1">
        <f t="array" aca="1" ref="I58" ca="1">IF(INDIRECT(_xlfn.CONCAT("'",$A58,"'!B4"))&gt;=I$2,"d",IF(INDIRECT(_xlfn.CONCAT("'",$A58,"'!B5"))&gt;=I$2,"i",""))</f>
        <v>d</v>
      </c>
      <c r="J58" s="1" t="str" cm="1">
        <f t="array" aca="1" ref="J58" ca="1">IF(INDIRECT(_xlfn.CONCAT("'",$A58,"'!B4"))&gt;=J$2,"d",IF(INDIRECT(_xlfn.CONCAT("'",$A58,"'!B5"))&gt;=J$2,"i",""))</f>
        <v>d</v>
      </c>
      <c r="K58" s="4" t="str" cm="1">
        <f t="array" aca="1" ref="K58" ca="1">IF(INDIRECT(_xlfn.CONCAT("'",$A58,"'!B4"))&gt;=K$2,"d",IF(INDIRECT(_xlfn.CONCAT("'",$A58,"'!B5"))&gt;=K$2,"i",""))</f>
        <v>d</v>
      </c>
      <c r="L58" s="39"/>
      <c r="M58" s="1" t="str" cm="1">
        <f t="array" aca="1" ref="M58" ca="1">IF(INDIRECT(_xlfn.CONCAT("'",$A58,"'!C10"))&gt;=M$2,"d",IF(INDIRECT(_xlfn.CONCAT("'",$A58,"'!C11"))&gt;=M$2,"i",""))</f>
        <v>d</v>
      </c>
      <c r="N58" s="1" t="str" cm="1">
        <f t="array" aca="1" ref="N58" ca="1">IF(INDIRECT(_xlfn.CONCAT("'",$A58,"'!C10"))&gt;=N$2,"d",IF(INDIRECT(_xlfn.CONCAT("'",$A58,"'!C11"))&gt;=N$2,"i",""))</f>
        <v>d</v>
      </c>
      <c r="O58" s="1" t="str" cm="1">
        <f t="array" aca="1" ref="O58" ca="1">IF(INDIRECT(_xlfn.CONCAT("'",$A58,"'!C10"))&gt;=O$2,"d",IF(INDIRECT(_xlfn.CONCAT("'",$A58,"'!C11"))&gt;=O$2,"i",""))</f>
        <v>d</v>
      </c>
      <c r="P58" s="1" t="str" cm="1">
        <f t="array" aca="1" ref="P58" ca="1">IF(INDIRECT(_xlfn.CONCAT("'",$A58,"'!C10"))&gt;=P$2,"d",IF(INDIRECT(_xlfn.CONCAT("'",$A58,"'!C11"))&gt;=P$2,"i",""))</f>
        <v>d</v>
      </c>
      <c r="Q58" s="1" t="str" cm="1">
        <f t="array" aca="1" ref="Q58" ca="1">IF(INDIRECT(_xlfn.CONCAT("'",$A58,"'!C10"))&gt;=Q$2,"d",IF(INDIRECT(_xlfn.CONCAT("'",$A58,"'!C11"))&gt;=Q$2,"i",""))</f>
        <v>d</v>
      </c>
      <c r="R58" s="1" t="str" cm="1">
        <f t="array" aca="1" ref="R58" ca="1">IF(INDIRECT(_xlfn.CONCAT("'",$A58,"'!C10"))&gt;=R$2,"d",IF(INDIRECT(_xlfn.CONCAT("'",$A58,"'!C11"))&gt;=R$2,"i",""))</f>
        <v>d</v>
      </c>
      <c r="S58" s="36"/>
      <c r="T58" s="1" t="str" cm="1">
        <f t="array" aca="1" ref="T58" ca="1">IF(INDIRECT(_xlfn.CONCAT("'",$A58,"'!F4"))&gt;=T$2,"d",IF(INDIRECT(_xlfn.CONCAT("'",$A58,"'!F5"))&gt;=T$2,"i",""))</f>
        <v>d</v>
      </c>
      <c r="U58" s="1" t="str" cm="1">
        <f t="array" aca="1" ref="U58" ca="1">IF(INDIRECT(_xlfn.CONCAT("'",$A58,"'!F4"))&gt;=U$2,"d",IF(INDIRECT(_xlfn.CONCAT("'",$A58,"'!F5"))&gt;=U$2,"i",""))</f>
        <v>d</v>
      </c>
      <c r="V58" s="1" t="str" cm="1">
        <f t="array" aca="1" ref="V58" ca="1">IF(INDIRECT(_xlfn.CONCAT("'",$A58,"'!F4"))&gt;=V$2,"d",IF(INDIRECT(_xlfn.CONCAT("'",$A58,"'!F5"))&gt;=V$2,"i",""))</f>
        <v>d</v>
      </c>
      <c r="W58" s="1" t="str" cm="1">
        <f t="array" aca="1" ref="W58" ca="1">IF(INDIRECT(_xlfn.CONCAT("'",$A58,"'!F4"))&gt;=W$2,"d",IF(INDIRECT(_xlfn.CONCAT("'",$A58,"'!F5"))&gt;=W$2,"i",""))</f>
        <v>d</v>
      </c>
      <c r="X58" s="1" t="str" cm="1">
        <f t="array" aca="1" ref="X58" ca="1">IF(INDIRECT(_xlfn.CONCAT("'",$A58,"'!F4"))&gt;=X$2,"d",IF(INDIRECT(_xlfn.CONCAT("'",$A58,"'!F5"))&gt;=X$2,"i",""))</f>
        <v>d</v>
      </c>
      <c r="Y58" s="1" t="str" cm="1">
        <f t="array" aca="1" ref="Y58" ca="1">IF(INDIRECT(_xlfn.CONCAT("'",$A58,"'!F4"))&gt;=Y$2,"d",IF(INDIRECT(_xlfn.CONCAT("'",$A58,"'!F5"))&gt;=Y$2,"i",""))</f>
        <v>d</v>
      </c>
      <c r="Z58" s="1" t="str" cm="1">
        <f t="array" aca="1" ref="Z58" ca="1">IF(INDIRECT(_xlfn.CONCAT("'",$A58,"'!F4"))&gt;=Z$2,"d",IF(INDIRECT(_xlfn.CONCAT("'",$A58,"'!F5"))&gt;=Z$2,"i",""))</f>
        <v>d</v>
      </c>
      <c r="AA58" s="1" t="str" cm="1">
        <f t="array" aca="1" ref="AA58" ca="1">IF(INDIRECT(_xlfn.CONCAT("'",$A58,"'!F4"))&gt;=AA$2,"d",IF(INDIRECT(_xlfn.CONCAT("'",$A58,"'!F5"))&gt;=AA$2,"i",""))</f>
        <v>d</v>
      </c>
      <c r="AB58" s="1" t="str" cm="1">
        <f t="array" aca="1" ref="AB58" ca="1">IF(INDIRECT(_xlfn.CONCAT("'",$A58,"'!F4"))&gt;=AB$2,"d",IF(INDIRECT(_xlfn.CONCAT("'",$A58,"'!F5"))&gt;=AB$2,"i",""))</f>
        <v/>
      </c>
      <c r="AC58" s="36"/>
      <c r="AD58" s="1" t="str" cm="1">
        <f t="array" aca="1" ref="AD58" ca="1">IF(INDIRECT(_xlfn.CONCAT("'",$A58,"'!F17"))&gt;=AD$2,"d",IF(INDIRECT(_xlfn.CONCAT("'",$A58,"'!F18"))&gt;=AD$2,"i",""))</f>
        <v>d</v>
      </c>
      <c r="AE58" s="1" t="str" cm="1">
        <f t="array" aca="1" ref="AE58" ca="1">IF(INDIRECT(_xlfn.CONCAT("'",$A58,"'!F17"))&gt;=AE$2,"d",IF(INDIRECT(_xlfn.CONCAT("'",$A58,"'!F18"))&gt;=AE$2,"i",""))</f>
        <v>d</v>
      </c>
      <c r="AF58" s="1" t="str" cm="1">
        <f t="array" aca="1" ref="AF58" ca="1">IF(INDIRECT(_xlfn.CONCAT("'",$A58,"'!F17"))&gt;=AF$2,"d",IF(INDIRECT(_xlfn.CONCAT("'",$A58,"'!F18"))&gt;=AF$2,"i",""))</f>
        <v>d</v>
      </c>
      <c r="AG58" s="1" t="str" cm="1">
        <f t="array" aca="1" ref="AG58" ca="1">IF(INDIRECT(_xlfn.CONCAT("'",$A58,"'!F17"))&gt;=AG$2,"d",IF(INDIRECT(_xlfn.CONCAT("'",$A58,"'!F18"))&gt;=AG$2,"i",""))</f>
        <v>d</v>
      </c>
      <c r="AH58" s="1" t="str" cm="1">
        <f t="array" aca="1" ref="AH58" ca="1">IF(INDIRECT(_xlfn.CONCAT("'",$A58,"'!F17"))&gt;=AH$2,"d",IF(INDIRECT(_xlfn.CONCAT("'",$A58,"'!F18"))&gt;=AH$2,"i",""))</f>
        <v>d</v>
      </c>
      <c r="AI58" s="1" t="str" cm="1">
        <f t="array" aca="1" ref="AI58" ca="1">IF(INDIRECT(_xlfn.CONCAT("'",$A58,"'!F17"))&gt;=AI$2,"d",IF(INDIRECT(_xlfn.CONCAT("'",$A58,"'!F18"))&gt;=AI$2,"i",""))</f>
        <v>d</v>
      </c>
      <c r="AJ58" s="1" t="str" cm="1">
        <f t="array" aca="1" ref="AJ58" ca="1">IF(INDIRECT(_xlfn.CONCAT("'",$A58,"'!F17"))&gt;=AJ$2,"d",IF(INDIRECT(_xlfn.CONCAT("'",$A58,"'!F18"))&gt;=AJ$2,"i",""))</f>
        <v>d</v>
      </c>
      <c r="AK58" s="1" t="str" cm="1">
        <f t="array" aca="1" ref="AK58" ca="1">IF(INDIRECT(_xlfn.CONCAT("'",$A58,"'!F17"))&gt;=AK$2,"d",IF(INDIRECT(_xlfn.CONCAT("'",$A58,"'!F18"))&gt;=AK$2,"i",""))</f>
        <v>d</v>
      </c>
      <c r="AL58" s="1" t="str" cm="1">
        <f t="array" aca="1" ref="AL58" ca="1">IF(INDIRECT(_xlfn.CONCAT("'",$A58,"'!F17"))&gt;=AL$2,"d",IF(INDIRECT(_xlfn.CONCAT("'",$A58,"'!F18"))&gt;=AL$2,"i",""))</f>
        <v/>
      </c>
      <c r="AM58" s="36"/>
      <c r="AN58" s="1" t="str" cm="1">
        <f t="array" aca="1" ref="AN58" ca="1">IF(INDIRECT(_xlfn.CONCAT("'",$A58,"'!F30"))&gt;=AN$2,"d",IF(INDIRECT(_xlfn.CONCAT("'",$A58,"'!F31"))&gt;=AN$2,"i",""))</f>
        <v>d</v>
      </c>
      <c r="AO58" s="1" t="str" cm="1">
        <f t="array" aca="1" ref="AO58" ca="1">IF(INDIRECT(_xlfn.CONCAT("'",$A58,"'!F30"))&gt;=AO$2,"d",IF(INDIRECT(_xlfn.CONCAT("'",$A58,"'!F31"))&gt;=AO$2,"i",""))</f>
        <v>d</v>
      </c>
      <c r="AP58" s="1" t="str" cm="1">
        <f t="array" aca="1" ref="AP58" ca="1">IF(INDIRECT(_xlfn.CONCAT("'",$A58,"'!F30"))&gt;=AP$2,"d",IF(INDIRECT(_xlfn.CONCAT("'",$A58,"'!F31"))&gt;=AP$2,"i",""))</f>
        <v>d</v>
      </c>
      <c r="AQ58" s="1" t="str" cm="1">
        <f t="array" aca="1" ref="AQ58" ca="1">IF(INDIRECT(_xlfn.CONCAT("'",$A58,"'!F30"))&gt;=AQ$2,"d",IF(INDIRECT(_xlfn.CONCAT("'",$A58,"'!F31"))&gt;=AQ$2,"i",""))</f>
        <v>d</v>
      </c>
      <c r="AR58" s="1" t="str" cm="1">
        <f t="array" aca="1" ref="AR58" ca="1">IF(INDIRECT(_xlfn.CONCAT("'",$A58,"'!F30"))&gt;=AR$2,"d",IF(INDIRECT(_xlfn.CONCAT("'",$A58,"'!F31"))&gt;=AR$2,"i",""))</f>
        <v>d</v>
      </c>
      <c r="AS58" s="1" t="str" cm="1">
        <f t="array" aca="1" ref="AS58" ca="1">IF(INDIRECT(_xlfn.CONCAT("'",$A58,"'!F30"))&gt;=AS$2,"d",IF(INDIRECT(_xlfn.CONCAT("'",$A58,"'!F31"))&gt;=AS$2,"i",""))</f>
        <v>d</v>
      </c>
      <c r="AT58" s="1" t="str" cm="1">
        <f t="array" aca="1" ref="AT58" ca="1">IF(INDIRECT(_xlfn.CONCAT("'",$A58,"'!F30"))&gt;=AT$2,"d",IF(INDIRECT(_xlfn.CONCAT("'",$A58,"'!F31"))&gt;=AT$2,"i",""))</f>
        <v>d</v>
      </c>
      <c r="AU58" s="1" t="str" cm="1">
        <f t="array" aca="1" ref="AU58" ca="1">IF(INDIRECT(_xlfn.CONCAT("'",$A58,"'!F30"))&gt;=AU$2,"d",IF(INDIRECT(_xlfn.CONCAT("'",$A58,"'!F31"))&gt;=AU$2,"i",""))</f>
        <v>d</v>
      </c>
      <c r="AV58" s="4" t="str" cm="1">
        <f t="array" aca="1" ref="AV58" ca="1">IF(INDIRECT(_xlfn.CONCAT("'",$A58,"'!F30"))&gt;=AV$2,"d",IF(INDIRECT(_xlfn.CONCAT("'",$A58,"'!F31"))&gt;=AV$2,"i",""))</f>
        <v/>
      </c>
    </row>
    <row r="59" spans="1:48" x14ac:dyDescent="0.25">
      <c r="A59" s="101" t="str">
        <v>Shikanoin Heizou</v>
      </c>
      <c r="B59" s="4" t="str">
        <f t="shared" si="3"/>
        <v>Anemo</v>
      </c>
      <c r="C59" s="38" t="str">
        <f t="shared" si="4"/>
        <v>Inazuma 1</v>
      </c>
      <c r="D59" s="85" t="str">
        <f t="shared" si="5"/>
        <v>Raiden 3</v>
      </c>
      <c r="E59" s="14" t="str" cm="1">
        <f t="array" aca="1" ref="E59" ca="1">IF(INDIRECT(_xlfn.CONCAT("'",$A59,"'!B4"))&gt;=E$2,"d",IF(INDIRECT(_xlfn.CONCAT("'",$A59,"'!B5"))&gt;=E$2,"i",""))</f>
        <v>d</v>
      </c>
      <c r="F59" s="1" t="str" cm="1">
        <f t="array" aca="1" ref="F59" ca="1">IF(INDIRECT(_xlfn.CONCAT("'",$A59,"'!B4"))&gt;=F$2,"d",IF(INDIRECT(_xlfn.CONCAT("'",$A59,"'!B5"))&gt;=F$2,"i",""))</f>
        <v>d</v>
      </c>
      <c r="G59" s="1" t="str" cm="1">
        <f t="array" aca="1" ref="G59" ca="1">IF(INDIRECT(_xlfn.CONCAT("'",$A59,"'!B4"))&gt;=G$2,"d",IF(INDIRECT(_xlfn.CONCAT("'",$A59,"'!B5"))&gt;=G$2,"i",""))</f>
        <v>d</v>
      </c>
      <c r="H59" s="1" t="str" cm="1">
        <f t="array" aca="1" ref="H59" ca="1">IF(INDIRECT(_xlfn.CONCAT("'",$A59,"'!B4"))&gt;=H$2,"d",IF(INDIRECT(_xlfn.CONCAT("'",$A59,"'!B5"))&gt;=H$2,"i",""))</f>
        <v>d</v>
      </c>
      <c r="I59" s="1" t="str" cm="1">
        <f t="array" aca="1" ref="I59" ca="1">IF(INDIRECT(_xlfn.CONCAT("'",$A59,"'!B4"))&gt;=I$2,"d",IF(INDIRECT(_xlfn.CONCAT("'",$A59,"'!B5"))&gt;=I$2,"i",""))</f>
        <v>d</v>
      </c>
      <c r="J59" s="1" t="str" cm="1">
        <f t="array" aca="1" ref="J59" ca="1">IF(INDIRECT(_xlfn.CONCAT("'",$A59,"'!B4"))&gt;=J$2,"d",IF(INDIRECT(_xlfn.CONCAT("'",$A59,"'!B5"))&gt;=J$2,"i",""))</f>
        <v>d</v>
      </c>
      <c r="K59" s="4" t="str" cm="1">
        <f t="array" aca="1" ref="K59" ca="1">IF(INDIRECT(_xlfn.CONCAT("'",$A59,"'!B4"))&gt;=K$2,"d",IF(INDIRECT(_xlfn.CONCAT("'",$A59,"'!B5"))&gt;=K$2,"i",""))</f>
        <v>d</v>
      </c>
      <c r="L59" s="39"/>
      <c r="M59" s="1" t="str" cm="1">
        <f t="array" aca="1" ref="M59" ca="1">IF(INDIRECT(_xlfn.CONCAT("'",$A59,"'!C10"))&gt;=M$2,"d",IF(INDIRECT(_xlfn.CONCAT("'",$A59,"'!C11"))&gt;=M$2,"i",""))</f>
        <v>d</v>
      </c>
      <c r="N59" s="1" t="str" cm="1">
        <f t="array" aca="1" ref="N59" ca="1">IF(INDIRECT(_xlfn.CONCAT("'",$A59,"'!C10"))&gt;=N$2,"d",IF(INDIRECT(_xlfn.CONCAT("'",$A59,"'!C11"))&gt;=N$2,"i",""))</f>
        <v>d</v>
      </c>
      <c r="O59" s="1" t="str" cm="1">
        <f t="array" aca="1" ref="O59" ca="1">IF(INDIRECT(_xlfn.CONCAT("'",$A59,"'!C10"))&gt;=O$2,"d",IF(INDIRECT(_xlfn.CONCAT("'",$A59,"'!C11"))&gt;=O$2,"i",""))</f>
        <v>d</v>
      </c>
      <c r="P59" s="1" t="str" cm="1">
        <f t="array" aca="1" ref="P59" ca="1">IF(INDIRECT(_xlfn.CONCAT("'",$A59,"'!C10"))&gt;=P$2,"d",IF(INDIRECT(_xlfn.CONCAT("'",$A59,"'!C11"))&gt;=P$2,"i",""))</f>
        <v>d</v>
      </c>
      <c r="Q59" s="1" t="str" cm="1">
        <f t="array" aca="1" ref="Q59" ca="1">IF(INDIRECT(_xlfn.CONCAT("'",$A59,"'!C10"))&gt;=Q$2,"d",IF(INDIRECT(_xlfn.CONCAT("'",$A59,"'!C11"))&gt;=Q$2,"i",""))</f>
        <v>d</v>
      </c>
      <c r="R59" s="1" t="str" cm="1">
        <f t="array" aca="1" ref="R59" ca="1">IF(INDIRECT(_xlfn.CONCAT("'",$A59,"'!C10"))&gt;=R$2,"d",IF(INDIRECT(_xlfn.CONCAT("'",$A59,"'!C11"))&gt;=R$2,"i",""))</f>
        <v>d</v>
      </c>
      <c r="S59" s="36"/>
      <c r="T59" s="1" t="str" cm="1">
        <f t="array" aca="1" ref="T59" ca="1">IF(INDIRECT(_xlfn.CONCAT("'",$A59,"'!F4"))&gt;=T$2,"d",IF(INDIRECT(_xlfn.CONCAT("'",$A59,"'!F5"))&gt;=T$2,"i",""))</f>
        <v>d</v>
      </c>
      <c r="U59" s="1" t="str" cm="1">
        <f t="array" aca="1" ref="U59" ca="1">IF(INDIRECT(_xlfn.CONCAT("'",$A59,"'!F4"))&gt;=U$2,"d",IF(INDIRECT(_xlfn.CONCAT("'",$A59,"'!F5"))&gt;=U$2,"i",""))</f>
        <v>d</v>
      </c>
      <c r="V59" s="1" t="str" cm="1">
        <f t="array" aca="1" ref="V59" ca="1">IF(INDIRECT(_xlfn.CONCAT("'",$A59,"'!F4"))&gt;=V$2,"d",IF(INDIRECT(_xlfn.CONCAT("'",$A59,"'!F5"))&gt;=V$2,"i",""))</f>
        <v>d</v>
      </c>
      <c r="W59" s="1" t="str" cm="1">
        <f t="array" aca="1" ref="W59" ca="1">IF(INDIRECT(_xlfn.CONCAT("'",$A59,"'!F4"))&gt;=W$2,"d",IF(INDIRECT(_xlfn.CONCAT("'",$A59,"'!F5"))&gt;=W$2,"i",""))</f>
        <v>d</v>
      </c>
      <c r="X59" s="1" t="str" cm="1">
        <f t="array" aca="1" ref="X59" ca="1">IF(INDIRECT(_xlfn.CONCAT("'",$A59,"'!F4"))&gt;=X$2,"d",IF(INDIRECT(_xlfn.CONCAT("'",$A59,"'!F5"))&gt;=X$2,"i",""))</f>
        <v>d</v>
      </c>
      <c r="Y59" s="1" t="str" cm="1">
        <f t="array" aca="1" ref="Y59" ca="1">IF(INDIRECT(_xlfn.CONCAT("'",$A59,"'!F4"))&gt;=Y$2,"d",IF(INDIRECT(_xlfn.CONCAT("'",$A59,"'!F5"))&gt;=Y$2,"i",""))</f>
        <v>d</v>
      </c>
      <c r="Z59" s="1" t="str" cm="1">
        <f t="array" aca="1" ref="Z59" ca="1">IF(INDIRECT(_xlfn.CONCAT("'",$A59,"'!F4"))&gt;=Z$2,"d",IF(INDIRECT(_xlfn.CONCAT("'",$A59,"'!F5"))&gt;=Z$2,"i",""))</f>
        <v>d</v>
      </c>
      <c r="AA59" s="1" t="str" cm="1">
        <f t="array" aca="1" ref="AA59" ca="1">IF(INDIRECT(_xlfn.CONCAT("'",$A59,"'!F4"))&gt;=AA$2,"d",IF(INDIRECT(_xlfn.CONCAT("'",$A59,"'!F5"))&gt;=AA$2,"i",""))</f>
        <v>d</v>
      </c>
      <c r="AB59" s="1" t="str" cm="1">
        <f t="array" aca="1" ref="AB59" ca="1">IF(INDIRECT(_xlfn.CONCAT("'",$A59,"'!F4"))&gt;=AB$2,"d",IF(INDIRECT(_xlfn.CONCAT("'",$A59,"'!F5"))&gt;=AB$2,"i",""))</f>
        <v/>
      </c>
      <c r="AC59" s="36"/>
      <c r="AD59" s="1" t="str" cm="1">
        <f t="array" aca="1" ref="AD59" ca="1">IF(INDIRECT(_xlfn.CONCAT("'",$A59,"'!F17"))&gt;=AD$2,"d",IF(INDIRECT(_xlfn.CONCAT("'",$A59,"'!F18"))&gt;=AD$2,"i",""))</f>
        <v>d</v>
      </c>
      <c r="AE59" s="1" t="str" cm="1">
        <f t="array" aca="1" ref="AE59" ca="1">IF(INDIRECT(_xlfn.CONCAT("'",$A59,"'!F17"))&gt;=AE$2,"d",IF(INDIRECT(_xlfn.CONCAT("'",$A59,"'!F18"))&gt;=AE$2,"i",""))</f>
        <v>d</v>
      </c>
      <c r="AF59" s="1" t="str" cm="1">
        <f t="array" aca="1" ref="AF59" ca="1">IF(INDIRECT(_xlfn.CONCAT("'",$A59,"'!F17"))&gt;=AF$2,"d",IF(INDIRECT(_xlfn.CONCAT("'",$A59,"'!F18"))&gt;=AF$2,"i",""))</f>
        <v>d</v>
      </c>
      <c r="AG59" s="1" t="str" cm="1">
        <f t="array" aca="1" ref="AG59" ca="1">IF(INDIRECT(_xlfn.CONCAT("'",$A59,"'!F17"))&gt;=AG$2,"d",IF(INDIRECT(_xlfn.CONCAT("'",$A59,"'!F18"))&gt;=AG$2,"i",""))</f>
        <v>d</v>
      </c>
      <c r="AH59" s="1" t="str" cm="1">
        <f t="array" aca="1" ref="AH59" ca="1">IF(INDIRECT(_xlfn.CONCAT("'",$A59,"'!F17"))&gt;=AH$2,"d",IF(INDIRECT(_xlfn.CONCAT("'",$A59,"'!F18"))&gt;=AH$2,"i",""))</f>
        <v>d</v>
      </c>
      <c r="AI59" s="1" t="str" cm="1">
        <f t="array" aca="1" ref="AI59" ca="1">IF(INDIRECT(_xlfn.CONCAT("'",$A59,"'!F17"))&gt;=AI$2,"d",IF(INDIRECT(_xlfn.CONCAT("'",$A59,"'!F18"))&gt;=AI$2,"i",""))</f>
        <v>d</v>
      </c>
      <c r="AJ59" s="1" t="str" cm="1">
        <f t="array" aca="1" ref="AJ59" ca="1">IF(INDIRECT(_xlfn.CONCAT("'",$A59,"'!F17"))&gt;=AJ$2,"d",IF(INDIRECT(_xlfn.CONCAT("'",$A59,"'!F18"))&gt;=AJ$2,"i",""))</f>
        <v>d</v>
      </c>
      <c r="AK59" s="1" t="str" cm="1">
        <f t="array" aca="1" ref="AK59" ca="1">IF(INDIRECT(_xlfn.CONCAT("'",$A59,"'!F17"))&gt;=AK$2,"d",IF(INDIRECT(_xlfn.CONCAT("'",$A59,"'!F18"))&gt;=AK$2,"i",""))</f>
        <v>d</v>
      </c>
      <c r="AL59" s="1" t="str" cm="1">
        <f t="array" aca="1" ref="AL59" ca="1">IF(INDIRECT(_xlfn.CONCAT("'",$A59,"'!F17"))&gt;=AL$2,"d",IF(INDIRECT(_xlfn.CONCAT("'",$A59,"'!F18"))&gt;=AL$2,"i",""))</f>
        <v/>
      </c>
      <c r="AM59" s="36"/>
      <c r="AN59" s="1" t="str" cm="1">
        <f t="array" aca="1" ref="AN59" ca="1">IF(INDIRECT(_xlfn.CONCAT("'",$A59,"'!F30"))&gt;=AN$2,"d",IF(INDIRECT(_xlfn.CONCAT("'",$A59,"'!F31"))&gt;=AN$2,"i",""))</f>
        <v>d</v>
      </c>
      <c r="AO59" s="1" t="str" cm="1">
        <f t="array" aca="1" ref="AO59" ca="1">IF(INDIRECT(_xlfn.CONCAT("'",$A59,"'!F30"))&gt;=AO$2,"d",IF(INDIRECT(_xlfn.CONCAT("'",$A59,"'!F31"))&gt;=AO$2,"i",""))</f>
        <v>d</v>
      </c>
      <c r="AP59" s="1" t="str" cm="1">
        <f t="array" aca="1" ref="AP59" ca="1">IF(INDIRECT(_xlfn.CONCAT("'",$A59,"'!F30"))&gt;=AP$2,"d",IF(INDIRECT(_xlfn.CONCAT("'",$A59,"'!F31"))&gt;=AP$2,"i",""))</f>
        <v>d</v>
      </c>
      <c r="AQ59" s="1" t="str" cm="1">
        <f t="array" aca="1" ref="AQ59" ca="1">IF(INDIRECT(_xlfn.CONCAT("'",$A59,"'!F30"))&gt;=AQ$2,"d",IF(INDIRECT(_xlfn.CONCAT("'",$A59,"'!F31"))&gt;=AQ$2,"i",""))</f>
        <v>d</v>
      </c>
      <c r="AR59" s="1" t="str" cm="1">
        <f t="array" aca="1" ref="AR59" ca="1">IF(INDIRECT(_xlfn.CONCAT("'",$A59,"'!F30"))&gt;=AR$2,"d",IF(INDIRECT(_xlfn.CONCAT("'",$A59,"'!F31"))&gt;=AR$2,"i",""))</f>
        <v>d</v>
      </c>
      <c r="AS59" s="1" t="str" cm="1">
        <f t="array" aca="1" ref="AS59" ca="1">IF(INDIRECT(_xlfn.CONCAT("'",$A59,"'!F30"))&gt;=AS$2,"d",IF(INDIRECT(_xlfn.CONCAT("'",$A59,"'!F31"))&gt;=AS$2,"i",""))</f>
        <v>d</v>
      </c>
      <c r="AT59" s="1" t="str" cm="1">
        <f t="array" aca="1" ref="AT59" ca="1">IF(INDIRECT(_xlfn.CONCAT("'",$A59,"'!F30"))&gt;=AT$2,"d",IF(INDIRECT(_xlfn.CONCAT("'",$A59,"'!F31"))&gt;=AT$2,"i",""))</f>
        <v>d</v>
      </c>
      <c r="AU59" s="1" t="str" cm="1">
        <f t="array" aca="1" ref="AU59" ca="1">IF(INDIRECT(_xlfn.CONCAT("'",$A59,"'!F30"))&gt;=AU$2,"d",IF(INDIRECT(_xlfn.CONCAT("'",$A59,"'!F31"))&gt;=AU$2,"i",""))</f>
        <v>d</v>
      </c>
      <c r="AV59" s="4" t="str" cm="1">
        <f t="array" aca="1" ref="AV59" ca="1">IF(INDIRECT(_xlfn.CONCAT("'",$A59,"'!F30"))&gt;=AV$2,"d",IF(INDIRECT(_xlfn.CONCAT("'",$A59,"'!F31"))&gt;=AV$2,"i",""))</f>
        <v/>
      </c>
    </row>
    <row r="60" spans="1:48" x14ac:dyDescent="0.25">
      <c r="A60" s="119" t="str">
        <v>Tighnari</v>
      </c>
      <c r="B60" s="4" t="str">
        <f t="shared" ref="B60:B62" si="6">VLOOKUP(A60,Character_List,2,FALSE)</f>
        <v>Dendro</v>
      </c>
      <c r="C60" s="38" t="str">
        <f t="shared" ref="C60:C62" si="7">VLOOKUP(A60,Character_List,7,FALSE)</f>
        <v>Sumeru 1</v>
      </c>
      <c r="D60" s="85" t="str">
        <f t="shared" ref="D60:D62" si="8">VLOOKUP(A60,Character_List,8,FALSE)</f>
        <v>Raiden 3</v>
      </c>
      <c r="E60" s="14" t="str" cm="1">
        <f t="array" aca="1" ref="E60" ca="1">IF(INDIRECT(_xlfn.CONCAT("'",$A60,"'!B4"))&gt;=E$2,"d",IF(INDIRECT(_xlfn.CONCAT("'",$A60,"'!B5"))&gt;=E$2,"i",""))</f>
        <v>d</v>
      </c>
      <c r="F60" s="1" t="str" cm="1">
        <f t="array" aca="1" ref="F60" ca="1">IF(INDIRECT(_xlfn.CONCAT("'",$A60,"'!B4"))&gt;=F$2,"d",IF(INDIRECT(_xlfn.CONCAT("'",$A60,"'!B5"))&gt;=F$2,"i",""))</f>
        <v>d</v>
      </c>
      <c r="G60" s="1" t="str" cm="1">
        <f t="array" aca="1" ref="G60" ca="1">IF(INDIRECT(_xlfn.CONCAT("'",$A60,"'!B4"))&gt;=G$2,"d",IF(INDIRECT(_xlfn.CONCAT("'",$A60,"'!B5"))&gt;=G$2,"i",""))</f>
        <v>d</v>
      </c>
      <c r="H60" s="1" t="str" cm="1">
        <f t="array" aca="1" ref="H60" ca="1">IF(INDIRECT(_xlfn.CONCAT("'",$A60,"'!B4"))&gt;=H$2,"d",IF(INDIRECT(_xlfn.CONCAT("'",$A60,"'!B5"))&gt;=H$2,"i",""))</f>
        <v>d</v>
      </c>
      <c r="I60" s="1" t="str" cm="1">
        <f t="array" aca="1" ref="I60" ca="1">IF(INDIRECT(_xlfn.CONCAT("'",$A60,"'!B4"))&gt;=I$2,"d",IF(INDIRECT(_xlfn.CONCAT("'",$A60,"'!B5"))&gt;=I$2,"i",""))</f>
        <v>d</v>
      </c>
      <c r="J60" s="1" t="str" cm="1">
        <f t="array" aca="1" ref="J60" ca="1">IF(INDIRECT(_xlfn.CONCAT("'",$A60,"'!B4"))&gt;=J$2,"d",IF(INDIRECT(_xlfn.CONCAT("'",$A60,"'!B5"))&gt;=J$2,"i",""))</f>
        <v>d</v>
      </c>
      <c r="K60" s="4" t="str" cm="1">
        <f t="array" aca="1" ref="K60" ca="1">IF(INDIRECT(_xlfn.CONCAT("'",$A60,"'!B4"))&gt;=K$2,"d",IF(INDIRECT(_xlfn.CONCAT("'",$A60,"'!B5"))&gt;=K$2,"i",""))</f>
        <v>d</v>
      </c>
      <c r="L60" s="39"/>
      <c r="M60" s="1" t="str" cm="1">
        <f t="array" aca="1" ref="M60" ca="1">IF(INDIRECT(_xlfn.CONCAT("'",$A60,"'!C10"))&gt;=M$2,"d",IF(INDIRECT(_xlfn.CONCAT("'",$A60,"'!C11"))&gt;=M$2,"i",""))</f>
        <v>d</v>
      </c>
      <c r="N60" s="1" t="str" cm="1">
        <f t="array" aca="1" ref="N60" ca="1">IF(INDIRECT(_xlfn.CONCAT("'",$A60,"'!C10"))&gt;=N$2,"d",IF(INDIRECT(_xlfn.CONCAT("'",$A60,"'!C11"))&gt;=N$2,"i",""))</f>
        <v>d</v>
      </c>
      <c r="O60" s="1" t="str" cm="1">
        <f t="array" aca="1" ref="O60" ca="1">IF(INDIRECT(_xlfn.CONCAT("'",$A60,"'!C10"))&gt;=O$2,"d",IF(INDIRECT(_xlfn.CONCAT("'",$A60,"'!C11"))&gt;=O$2,"i",""))</f>
        <v>d</v>
      </c>
      <c r="P60" s="1" t="str" cm="1">
        <f t="array" aca="1" ref="P60" ca="1">IF(INDIRECT(_xlfn.CONCAT("'",$A60,"'!C10"))&gt;=P$2,"d",IF(INDIRECT(_xlfn.CONCAT("'",$A60,"'!C11"))&gt;=P$2,"i",""))</f>
        <v>d</v>
      </c>
      <c r="Q60" s="1" t="str" cm="1">
        <f t="array" aca="1" ref="Q60" ca="1">IF(INDIRECT(_xlfn.CONCAT("'",$A60,"'!C10"))&gt;=Q$2,"d",IF(INDIRECT(_xlfn.CONCAT("'",$A60,"'!C11"))&gt;=Q$2,"i",""))</f>
        <v>d</v>
      </c>
      <c r="R60" s="1" t="str" cm="1">
        <f t="array" aca="1" ref="R60" ca="1">IF(INDIRECT(_xlfn.CONCAT("'",$A60,"'!C10"))&gt;=R$2,"d",IF(INDIRECT(_xlfn.CONCAT("'",$A60,"'!C11"))&gt;=R$2,"i",""))</f>
        <v>d</v>
      </c>
      <c r="S60" s="36"/>
      <c r="T60" s="1" t="str" cm="1">
        <f t="array" aca="1" ref="T60" ca="1">IF(INDIRECT(_xlfn.CONCAT("'",$A60,"'!F4"))&gt;=T$2,"d",IF(INDIRECT(_xlfn.CONCAT("'",$A60,"'!F5"))&gt;=T$2,"i",""))</f>
        <v>d</v>
      </c>
      <c r="U60" s="1" t="str" cm="1">
        <f t="array" aca="1" ref="U60" ca="1">IF(INDIRECT(_xlfn.CONCAT("'",$A60,"'!F4"))&gt;=U$2,"d",IF(INDIRECT(_xlfn.CONCAT("'",$A60,"'!F5"))&gt;=U$2,"i",""))</f>
        <v>d</v>
      </c>
      <c r="V60" s="1" t="str" cm="1">
        <f t="array" aca="1" ref="V60" ca="1">IF(INDIRECT(_xlfn.CONCAT("'",$A60,"'!F4"))&gt;=V$2,"d",IF(INDIRECT(_xlfn.CONCAT("'",$A60,"'!F5"))&gt;=V$2,"i",""))</f>
        <v>d</v>
      </c>
      <c r="W60" s="1" t="str" cm="1">
        <f t="array" aca="1" ref="W60" ca="1">IF(INDIRECT(_xlfn.CONCAT("'",$A60,"'!F4"))&gt;=W$2,"d",IF(INDIRECT(_xlfn.CONCAT("'",$A60,"'!F5"))&gt;=W$2,"i",""))</f>
        <v>d</v>
      </c>
      <c r="X60" s="1" t="str" cm="1">
        <f t="array" aca="1" ref="X60" ca="1">IF(INDIRECT(_xlfn.CONCAT("'",$A60,"'!F4"))&gt;=X$2,"d",IF(INDIRECT(_xlfn.CONCAT("'",$A60,"'!F5"))&gt;=X$2,"i",""))</f>
        <v>d</v>
      </c>
      <c r="Y60" s="1" t="str" cm="1">
        <f t="array" aca="1" ref="Y60" ca="1">IF(INDIRECT(_xlfn.CONCAT("'",$A60,"'!F4"))&gt;=Y$2,"d",IF(INDIRECT(_xlfn.CONCAT("'",$A60,"'!F5"))&gt;=Y$2,"i",""))</f>
        <v>d</v>
      </c>
      <c r="Z60" s="1" t="str" cm="1">
        <f t="array" aca="1" ref="Z60" ca="1">IF(INDIRECT(_xlfn.CONCAT("'",$A60,"'!F4"))&gt;=Z$2,"d",IF(INDIRECT(_xlfn.CONCAT("'",$A60,"'!F5"))&gt;=Z$2,"i",""))</f>
        <v>d</v>
      </c>
      <c r="AA60" s="1" t="str" cm="1">
        <f t="array" aca="1" ref="AA60" ca="1">IF(INDIRECT(_xlfn.CONCAT("'",$A60,"'!F4"))&gt;=AA$2,"d",IF(INDIRECT(_xlfn.CONCAT("'",$A60,"'!F5"))&gt;=AA$2,"i",""))</f>
        <v>d</v>
      </c>
      <c r="AB60" s="1" t="str" cm="1">
        <f t="array" aca="1" ref="AB60" ca="1">IF(INDIRECT(_xlfn.CONCAT("'",$A60,"'!F4"))&gt;=AB$2,"d",IF(INDIRECT(_xlfn.CONCAT("'",$A60,"'!F5"))&gt;=AB$2,"i",""))</f>
        <v/>
      </c>
      <c r="AC60" s="36"/>
      <c r="AD60" s="1" t="str" cm="1">
        <f t="array" aca="1" ref="AD60" ca="1">IF(INDIRECT(_xlfn.CONCAT("'",$A60,"'!F17"))&gt;=AD$2,"d",IF(INDIRECT(_xlfn.CONCAT("'",$A60,"'!F18"))&gt;=AD$2,"i",""))</f>
        <v>d</v>
      </c>
      <c r="AE60" s="1" t="str" cm="1">
        <f t="array" aca="1" ref="AE60" ca="1">IF(INDIRECT(_xlfn.CONCAT("'",$A60,"'!F17"))&gt;=AE$2,"d",IF(INDIRECT(_xlfn.CONCAT("'",$A60,"'!F18"))&gt;=AE$2,"i",""))</f>
        <v>d</v>
      </c>
      <c r="AF60" s="1" t="str" cm="1">
        <f t="array" aca="1" ref="AF60" ca="1">IF(INDIRECT(_xlfn.CONCAT("'",$A60,"'!F17"))&gt;=AF$2,"d",IF(INDIRECT(_xlfn.CONCAT("'",$A60,"'!F18"))&gt;=AF$2,"i",""))</f>
        <v>d</v>
      </c>
      <c r="AG60" s="1" t="str" cm="1">
        <f t="array" aca="1" ref="AG60" ca="1">IF(INDIRECT(_xlfn.CONCAT("'",$A60,"'!F17"))&gt;=AG$2,"d",IF(INDIRECT(_xlfn.CONCAT("'",$A60,"'!F18"))&gt;=AG$2,"i",""))</f>
        <v>d</v>
      </c>
      <c r="AH60" s="1" t="str" cm="1">
        <f t="array" aca="1" ref="AH60" ca="1">IF(INDIRECT(_xlfn.CONCAT("'",$A60,"'!F17"))&gt;=AH$2,"d",IF(INDIRECT(_xlfn.CONCAT("'",$A60,"'!F18"))&gt;=AH$2,"i",""))</f>
        <v>d</v>
      </c>
      <c r="AI60" s="1" t="str" cm="1">
        <f t="array" aca="1" ref="AI60" ca="1">IF(INDIRECT(_xlfn.CONCAT("'",$A60,"'!F17"))&gt;=AI$2,"d",IF(INDIRECT(_xlfn.CONCAT("'",$A60,"'!F18"))&gt;=AI$2,"i",""))</f>
        <v>d</v>
      </c>
      <c r="AJ60" s="1" t="str" cm="1">
        <f t="array" aca="1" ref="AJ60" ca="1">IF(INDIRECT(_xlfn.CONCAT("'",$A60,"'!F17"))&gt;=AJ$2,"d",IF(INDIRECT(_xlfn.CONCAT("'",$A60,"'!F18"))&gt;=AJ$2,"i",""))</f>
        <v>d</v>
      </c>
      <c r="AK60" s="1" t="str" cm="1">
        <f t="array" aca="1" ref="AK60" ca="1">IF(INDIRECT(_xlfn.CONCAT("'",$A60,"'!F17"))&gt;=AK$2,"d",IF(INDIRECT(_xlfn.CONCAT("'",$A60,"'!F18"))&gt;=AK$2,"i",""))</f>
        <v>d</v>
      </c>
      <c r="AL60" s="1" t="str" cm="1">
        <f t="array" aca="1" ref="AL60" ca="1">IF(INDIRECT(_xlfn.CONCAT("'",$A60,"'!F17"))&gt;=AL$2,"d",IF(INDIRECT(_xlfn.CONCAT("'",$A60,"'!F18"))&gt;=AL$2,"i",""))</f>
        <v/>
      </c>
      <c r="AM60" s="36"/>
      <c r="AN60" s="1" t="str" cm="1">
        <f t="array" aca="1" ref="AN60" ca="1">IF(INDIRECT(_xlfn.CONCAT("'",$A60,"'!F30"))&gt;=AN$2,"d",IF(INDIRECT(_xlfn.CONCAT("'",$A60,"'!F31"))&gt;=AN$2,"i",""))</f>
        <v>d</v>
      </c>
      <c r="AO60" s="1" t="str" cm="1">
        <f t="array" aca="1" ref="AO60" ca="1">IF(INDIRECT(_xlfn.CONCAT("'",$A60,"'!F30"))&gt;=AO$2,"d",IF(INDIRECT(_xlfn.CONCAT("'",$A60,"'!F31"))&gt;=AO$2,"i",""))</f>
        <v>d</v>
      </c>
      <c r="AP60" s="1" t="str" cm="1">
        <f t="array" aca="1" ref="AP60" ca="1">IF(INDIRECT(_xlfn.CONCAT("'",$A60,"'!F30"))&gt;=AP$2,"d",IF(INDIRECT(_xlfn.CONCAT("'",$A60,"'!F31"))&gt;=AP$2,"i",""))</f>
        <v>d</v>
      </c>
      <c r="AQ60" s="1" t="str" cm="1">
        <f t="array" aca="1" ref="AQ60" ca="1">IF(INDIRECT(_xlfn.CONCAT("'",$A60,"'!F30"))&gt;=AQ$2,"d",IF(INDIRECT(_xlfn.CONCAT("'",$A60,"'!F31"))&gt;=AQ$2,"i",""))</f>
        <v>d</v>
      </c>
      <c r="AR60" s="1" t="str" cm="1">
        <f t="array" aca="1" ref="AR60" ca="1">IF(INDIRECT(_xlfn.CONCAT("'",$A60,"'!F30"))&gt;=AR$2,"d",IF(INDIRECT(_xlfn.CONCAT("'",$A60,"'!F31"))&gt;=AR$2,"i",""))</f>
        <v>d</v>
      </c>
      <c r="AS60" s="1" t="str" cm="1">
        <f t="array" aca="1" ref="AS60" ca="1">IF(INDIRECT(_xlfn.CONCAT("'",$A60,"'!F30"))&gt;=AS$2,"d",IF(INDIRECT(_xlfn.CONCAT("'",$A60,"'!F31"))&gt;=AS$2,"i",""))</f>
        <v>d</v>
      </c>
      <c r="AT60" s="1" t="str" cm="1">
        <f t="array" aca="1" ref="AT60" ca="1">IF(INDIRECT(_xlfn.CONCAT("'",$A60,"'!F30"))&gt;=AT$2,"d",IF(INDIRECT(_xlfn.CONCAT("'",$A60,"'!F31"))&gt;=AT$2,"i",""))</f>
        <v>d</v>
      </c>
      <c r="AU60" s="1" t="str" cm="1">
        <f t="array" aca="1" ref="AU60" ca="1">IF(INDIRECT(_xlfn.CONCAT("'",$A60,"'!F30"))&gt;=AU$2,"d",IF(INDIRECT(_xlfn.CONCAT("'",$A60,"'!F31"))&gt;=AU$2,"i",""))</f>
        <v>d</v>
      </c>
      <c r="AV60" s="4" t="str" cm="1">
        <f t="array" aca="1" ref="AV60" ca="1">IF(INDIRECT(_xlfn.CONCAT("'",$A60,"'!F30"))&gt;=AV$2,"d",IF(INDIRECT(_xlfn.CONCAT("'",$A60,"'!F31"))&gt;=AV$2,"i",""))</f>
        <v/>
      </c>
    </row>
    <row r="61" spans="1:48" x14ac:dyDescent="0.25">
      <c r="A61" s="119" t="str">
        <v>Collei</v>
      </c>
      <c r="B61" s="4" t="str">
        <f t="shared" si="6"/>
        <v>Dendro</v>
      </c>
      <c r="C61" s="38" t="str">
        <f t="shared" si="7"/>
        <v>Sumeru 3</v>
      </c>
      <c r="D61" s="85" t="str">
        <f t="shared" si="8"/>
        <v>Raiden 2</v>
      </c>
      <c r="E61" s="14" t="str" cm="1">
        <f t="array" aca="1" ref="E61" ca="1">IF(INDIRECT(_xlfn.CONCAT("'",$A61,"'!B4"))&gt;=E$2,"d",IF(INDIRECT(_xlfn.CONCAT("'",$A61,"'!B5"))&gt;=E$2,"i",""))</f>
        <v>d</v>
      </c>
      <c r="F61" s="1" t="str" cm="1">
        <f t="array" aca="1" ref="F61" ca="1">IF(INDIRECT(_xlfn.CONCAT("'",$A61,"'!B4"))&gt;=F$2,"d",IF(INDIRECT(_xlfn.CONCAT("'",$A61,"'!B5"))&gt;=F$2,"i",""))</f>
        <v>d</v>
      </c>
      <c r="G61" s="1" t="str" cm="1">
        <f t="array" aca="1" ref="G61" ca="1">IF(INDIRECT(_xlfn.CONCAT("'",$A61,"'!B4"))&gt;=G$2,"d",IF(INDIRECT(_xlfn.CONCAT("'",$A61,"'!B5"))&gt;=G$2,"i",""))</f>
        <v>d</v>
      </c>
      <c r="H61" s="1" t="str" cm="1">
        <f t="array" aca="1" ref="H61" ca="1">IF(INDIRECT(_xlfn.CONCAT("'",$A61,"'!B4"))&gt;=H$2,"d",IF(INDIRECT(_xlfn.CONCAT("'",$A61,"'!B5"))&gt;=H$2,"i",""))</f>
        <v>d</v>
      </c>
      <c r="I61" s="1" t="str" cm="1">
        <f t="array" aca="1" ref="I61" ca="1">IF(INDIRECT(_xlfn.CONCAT("'",$A61,"'!B4"))&gt;=I$2,"d",IF(INDIRECT(_xlfn.CONCAT("'",$A61,"'!B5"))&gt;=I$2,"i",""))</f>
        <v>d</v>
      </c>
      <c r="J61" s="1" t="str" cm="1">
        <f t="array" aca="1" ref="J61" ca="1">IF(INDIRECT(_xlfn.CONCAT("'",$A61,"'!B4"))&gt;=J$2,"d",IF(INDIRECT(_xlfn.CONCAT("'",$A61,"'!B5"))&gt;=J$2,"i",""))</f>
        <v>d</v>
      </c>
      <c r="K61" s="4" t="str" cm="1">
        <f t="array" aca="1" ref="K61" ca="1">IF(INDIRECT(_xlfn.CONCAT("'",$A61,"'!B4"))&gt;=K$2,"d",IF(INDIRECT(_xlfn.CONCAT("'",$A61,"'!B5"))&gt;=K$2,"i",""))</f>
        <v>d</v>
      </c>
      <c r="L61" s="39"/>
      <c r="M61" s="1" t="str" cm="1">
        <f t="array" aca="1" ref="M61" ca="1">IF(INDIRECT(_xlfn.CONCAT("'",$A61,"'!C10"))&gt;=M$2,"d",IF(INDIRECT(_xlfn.CONCAT("'",$A61,"'!C11"))&gt;=M$2,"i",""))</f>
        <v>d</v>
      </c>
      <c r="N61" s="1" t="str" cm="1">
        <f t="array" aca="1" ref="N61" ca="1">IF(INDIRECT(_xlfn.CONCAT("'",$A61,"'!C10"))&gt;=N$2,"d",IF(INDIRECT(_xlfn.CONCAT("'",$A61,"'!C11"))&gt;=N$2,"i",""))</f>
        <v>d</v>
      </c>
      <c r="O61" s="1" t="str" cm="1">
        <f t="array" aca="1" ref="O61" ca="1">IF(INDIRECT(_xlfn.CONCAT("'",$A61,"'!C10"))&gt;=O$2,"d",IF(INDIRECT(_xlfn.CONCAT("'",$A61,"'!C11"))&gt;=O$2,"i",""))</f>
        <v>d</v>
      </c>
      <c r="P61" s="1" t="str" cm="1">
        <f t="array" aca="1" ref="P61" ca="1">IF(INDIRECT(_xlfn.CONCAT("'",$A61,"'!C10"))&gt;=P$2,"d",IF(INDIRECT(_xlfn.CONCAT("'",$A61,"'!C11"))&gt;=P$2,"i",""))</f>
        <v>d</v>
      </c>
      <c r="Q61" s="1" t="str" cm="1">
        <f t="array" aca="1" ref="Q61" ca="1">IF(INDIRECT(_xlfn.CONCAT("'",$A61,"'!C10"))&gt;=Q$2,"d",IF(INDIRECT(_xlfn.CONCAT("'",$A61,"'!C11"))&gt;=Q$2,"i",""))</f>
        <v>d</v>
      </c>
      <c r="R61" s="1" t="str" cm="1">
        <f t="array" aca="1" ref="R61" ca="1">IF(INDIRECT(_xlfn.CONCAT("'",$A61,"'!C10"))&gt;=R$2,"d",IF(INDIRECT(_xlfn.CONCAT("'",$A61,"'!C11"))&gt;=R$2,"i",""))</f>
        <v>d</v>
      </c>
      <c r="S61" s="36"/>
      <c r="T61" s="1" t="str" cm="1">
        <f t="array" aca="1" ref="T61" ca="1">IF(INDIRECT(_xlfn.CONCAT("'",$A61,"'!F4"))&gt;=T$2,"d",IF(INDIRECT(_xlfn.CONCAT("'",$A61,"'!F5"))&gt;=T$2,"i",""))</f>
        <v>d</v>
      </c>
      <c r="U61" s="1" t="str" cm="1">
        <f t="array" aca="1" ref="U61" ca="1">IF(INDIRECT(_xlfn.CONCAT("'",$A61,"'!F4"))&gt;=U$2,"d",IF(INDIRECT(_xlfn.CONCAT("'",$A61,"'!F5"))&gt;=U$2,"i",""))</f>
        <v>d</v>
      </c>
      <c r="V61" s="1" t="str" cm="1">
        <f t="array" aca="1" ref="V61" ca="1">IF(INDIRECT(_xlfn.CONCAT("'",$A61,"'!F4"))&gt;=V$2,"d",IF(INDIRECT(_xlfn.CONCAT("'",$A61,"'!F5"))&gt;=V$2,"i",""))</f>
        <v>d</v>
      </c>
      <c r="W61" s="1" t="str" cm="1">
        <f t="array" aca="1" ref="W61" ca="1">IF(INDIRECT(_xlfn.CONCAT("'",$A61,"'!F4"))&gt;=W$2,"d",IF(INDIRECT(_xlfn.CONCAT("'",$A61,"'!F5"))&gt;=W$2,"i",""))</f>
        <v>d</v>
      </c>
      <c r="X61" s="1" t="str" cm="1">
        <f t="array" aca="1" ref="X61" ca="1">IF(INDIRECT(_xlfn.CONCAT("'",$A61,"'!F4"))&gt;=X$2,"d",IF(INDIRECT(_xlfn.CONCAT("'",$A61,"'!F5"))&gt;=X$2,"i",""))</f>
        <v>d</v>
      </c>
      <c r="Y61" s="1" t="str" cm="1">
        <f t="array" aca="1" ref="Y61" ca="1">IF(INDIRECT(_xlfn.CONCAT("'",$A61,"'!F4"))&gt;=Y$2,"d",IF(INDIRECT(_xlfn.CONCAT("'",$A61,"'!F5"))&gt;=Y$2,"i",""))</f>
        <v>d</v>
      </c>
      <c r="Z61" s="1" t="str" cm="1">
        <f t="array" aca="1" ref="Z61" ca="1">IF(INDIRECT(_xlfn.CONCAT("'",$A61,"'!F4"))&gt;=Z$2,"d",IF(INDIRECT(_xlfn.CONCAT("'",$A61,"'!F5"))&gt;=Z$2,"i",""))</f>
        <v>d</v>
      </c>
      <c r="AA61" s="1" t="str" cm="1">
        <f t="array" aca="1" ref="AA61" ca="1">IF(INDIRECT(_xlfn.CONCAT("'",$A61,"'!F4"))&gt;=AA$2,"d",IF(INDIRECT(_xlfn.CONCAT("'",$A61,"'!F5"))&gt;=AA$2,"i",""))</f>
        <v>d</v>
      </c>
      <c r="AB61" s="1" t="str" cm="1">
        <f t="array" aca="1" ref="AB61" ca="1">IF(INDIRECT(_xlfn.CONCAT("'",$A61,"'!F4"))&gt;=AB$2,"d",IF(INDIRECT(_xlfn.CONCAT("'",$A61,"'!F5"))&gt;=AB$2,"i",""))</f>
        <v/>
      </c>
      <c r="AC61" s="36"/>
      <c r="AD61" s="1" t="str" cm="1">
        <f t="array" aca="1" ref="AD61" ca="1">IF(INDIRECT(_xlfn.CONCAT("'",$A61,"'!F17"))&gt;=AD$2,"d",IF(INDIRECT(_xlfn.CONCAT("'",$A61,"'!F18"))&gt;=AD$2,"i",""))</f>
        <v>d</v>
      </c>
      <c r="AE61" s="1" t="str" cm="1">
        <f t="array" aca="1" ref="AE61" ca="1">IF(INDIRECT(_xlfn.CONCAT("'",$A61,"'!F17"))&gt;=AE$2,"d",IF(INDIRECT(_xlfn.CONCAT("'",$A61,"'!F18"))&gt;=AE$2,"i",""))</f>
        <v>d</v>
      </c>
      <c r="AF61" s="1" t="str" cm="1">
        <f t="array" aca="1" ref="AF61" ca="1">IF(INDIRECT(_xlfn.CONCAT("'",$A61,"'!F17"))&gt;=AF$2,"d",IF(INDIRECT(_xlfn.CONCAT("'",$A61,"'!F18"))&gt;=AF$2,"i",""))</f>
        <v>d</v>
      </c>
      <c r="AG61" s="1" t="str" cm="1">
        <f t="array" aca="1" ref="AG61" ca="1">IF(INDIRECT(_xlfn.CONCAT("'",$A61,"'!F17"))&gt;=AG$2,"d",IF(INDIRECT(_xlfn.CONCAT("'",$A61,"'!F18"))&gt;=AG$2,"i",""))</f>
        <v>d</v>
      </c>
      <c r="AH61" s="1" t="str" cm="1">
        <f t="array" aca="1" ref="AH61" ca="1">IF(INDIRECT(_xlfn.CONCAT("'",$A61,"'!F17"))&gt;=AH$2,"d",IF(INDIRECT(_xlfn.CONCAT("'",$A61,"'!F18"))&gt;=AH$2,"i",""))</f>
        <v>d</v>
      </c>
      <c r="AI61" s="1" t="str" cm="1">
        <f t="array" aca="1" ref="AI61" ca="1">IF(INDIRECT(_xlfn.CONCAT("'",$A61,"'!F17"))&gt;=AI$2,"d",IF(INDIRECT(_xlfn.CONCAT("'",$A61,"'!F18"))&gt;=AI$2,"i",""))</f>
        <v>d</v>
      </c>
      <c r="AJ61" s="1" t="str" cm="1">
        <f t="array" aca="1" ref="AJ61" ca="1">IF(INDIRECT(_xlfn.CONCAT("'",$A61,"'!F17"))&gt;=AJ$2,"d",IF(INDIRECT(_xlfn.CONCAT("'",$A61,"'!F18"))&gt;=AJ$2,"i",""))</f>
        <v>d</v>
      </c>
      <c r="AK61" s="1" t="str" cm="1">
        <f t="array" aca="1" ref="AK61" ca="1">IF(INDIRECT(_xlfn.CONCAT("'",$A61,"'!F17"))&gt;=AK$2,"d",IF(INDIRECT(_xlfn.CONCAT("'",$A61,"'!F18"))&gt;=AK$2,"i",""))</f>
        <v>d</v>
      </c>
      <c r="AL61" s="1" t="str" cm="1">
        <f t="array" aca="1" ref="AL61" ca="1">IF(INDIRECT(_xlfn.CONCAT("'",$A61,"'!F17"))&gt;=AL$2,"d",IF(INDIRECT(_xlfn.CONCAT("'",$A61,"'!F18"))&gt;=AL$2,"i",""))</f>
        <v/>
      </c>
      <c r="AM61" s="36"/>
      <c r="AN61" s="1" t="str" cm="1">
        <f t="array" aca="1" ref="AN61" ca="1">IF(INDIRECT(_xlfn.CONCAT("'",$A61,"'!F30"))&gt;=AN$2,"d",IF(INDIRECT(_xlfn.CONCAT("'",$A61,"'!F31"))&gt;=AN$2,"i",""))</f>
        <v>d</v>
      </c>
      <c r="AO61" s="1" t="str" cm="1">
        <f t="array" aca="1" ref="AO61" ca="1">IF(INDIRECT(_xlfn.CONCAT("'",$A61,"'!F30"))&gt;=AO$2,"d",IF(INDIRECT(_xlfn.CONCAT("'",$A61,"'!F31"))&gt;=AO$2,"i",""))</f>
        <v>d</v>
      </c>
      <c r="AP61" s="1" t="str" cm="1">
        <f t="array" aca="1" ref="AP61" ca="1">IF(INDIRECT(_xlfn.CONCAT("'",$A61,"'!F30"))&gt;=AP$2,"d",IF(INDIRECT(_xlfn.CONCAT("'",$A61,"'!F31"))&gt;=AP$2,"i",""))</f>
        <v>d</v>
      </c>
      <c r="AQ61" s="1" t="str" cm="1">
        <f t="array" aca="1" ref="AQ61" ca="1">IF(INDIRECT(_xlfn.CONCAT("'",$A61,"'!F30"))&gt;=AQ$2,"d",IF(INDIRECT(_xlfn.CONCAT("'",$A61,"'!F31"))&gt;=AQ$2,"i",""))</f>
        <v>d</v>
      </c>
      <c r="AR61" s="1" t="str" cm="1">
        <f t="array" aca="1" ref="AR61" ca="1">IF(INDIRECT(_xlfn.CONCAT("'",$A61,"'!F30"))&gt;=AR$2,"d",IF(INDIRECT(_xlfn.CONCAT("'",$A61,"'!F31"))&gt;=AR$2,"i",""))</f>
        <v>d</v>
      </c>
      <c r="AS61" s="1" t="str" cm="1">
        <f t="array" aca="1" ref="AS61" ca="1">IF(INDIRECT(_xlfn.CONCAT("'",$A61,"'!F30"))&gt;=AS$2,"d",IF(INDIRECT(_xlfn.CONCAT("'",$A61,"'!F31"))&gt;=AS$2,"i",""))</f>
        <v>d</v>
      </c>
      <c r="AT61" s="1" t="str" cm="1">
        <f t="array" aca="1" ref="AT61" ca="1">IF(INDIRECT(_xlfn.CONCAT("'",$A61,"'!F30"))&gt;=AT$2,"d",IF(INDIRECT(_xlfn.CONCAT("'",$A61,"'!F31"))&gt;=AT$2,"i",""))</f>
        <v>d</v>
      </c>
      <c r="AU61" s="1" t="str" cm="1">
        <f t="array" aca="1" ref="AU61" ca="1">IF(INDIRECT(_xlfn.CONCAT("'",$A61,"'!F30"))&gt;=AU$2,"d",IF(INDIRECT(_xlfn.CONCAT("'",$A61,"'!F31"))&gt;=AU$2,"i",""))</f>
        <v>d</v>
      </c>
      <c r="AV61" s="4" t="str" cm="1">
        <f t="array" aca="1" ref="AV61" ca="1">IF(INDIRECT(_xlfn.CONCAT("'",$A61,"'!F30"))&gt;=AV$2,"d",IF(INDIRECT(_xlfn.CONCAT("'",$A61,"'!F31"))&gt;=AV$2,"i",""))</f>
        <v/>
      </c>
    </row>
    <row r="62" spans="1:48" x14ac:dyDescent="0.25">
      <c r="A62" s="119" t="str">
        <v>Dori</v>
      </c>
      <c r="B62" s="4" t="str">
        <f t="shared" si="6"/>
        <v>Electro</v>
      </c>
      <c r="C62" s="38" t="str">
        <f t="shared" si="7"/>
        <v>Sumeru 2</v>
      </c>
      <c r="D62" s="85" t="str">
        <f t="shared" si="8"/>
        <v>Azhdaha 2</v>
      </c>
      <c r="E62" s="14" t="str" cm="1">
        <f t="array" aca="1" ref="E62" ca="1">IF(INDIRECT(_xlfn.CONCAT("'",$A62,"'!B4"))&gt;=E$2,"d",IF(INDIRECT(_xlfn.CONCAT("'",$A62,"'!B5"))&gt;=E$2,"i",""))</f>
        <v>d</v>
      </c>
      <c r="F62" s="1" t="str" cm="1">
        <f t="array" aca="1" ref="F62" ca="1">IF(INDIRECT(_xlfn.CONCAT("'",$A62,"'!B4"))&gt;=F$2,"d",IF(INDIRECT(_xlfn.CONCAT("'",$A62,"'!B5"))&gt;=F$2,"i",""))</f>
        <v>d</v>
      </c>
      <c r="G62" s="1" t="str" cm="1">
        <f t="array" aca="1" ref="G62" ca="1">IF(INDIRECT(_xlfn.CONCAT("'",$A62,"'!B4"))&gt;=G$2,"d",IF(INDIRECT(_xlfn.CONCAT("'",$A62,"'!B5"))&gt;=G$2,"i",""))</f>
        <v>d</v>
      </c>
      <c r="H62" s="1" t="str" cm="1">
        <f t="array" aca="1" ref="H62" ca="1">IF(INDIRECT(_xlfn.CONCAT("'",$A62,"'!B4"))&gt;=H$2,"d",IF(INDIRECT(_xlfn.CONCAT("'",$A62,"'!B5"))&gt;=H$2,"i",""))</f>
        <v>d</v>
      </c>
      <c r="I62" s="1" t="str" cm="1">
        <f t="array" aca="1" ref="I62" ca="1">IF(INDIRECT(_xlfn.CONCAT("'",$A62,"'!B4"))&gt;=I$2,"d",IF(INDIRECT(_xlfn.CONCAT("'",$A62,"'!B5"))&gt;=I$2,"i",""))</f>
        <v>d</v>
      </c>
      <c r="J62" s="1" t="str" cm="1">
        <f t="array" aca="1" ref="J62" ca="1">IF(INDIRECT(_xlfn.CONCAT("'",$A62,"'!B4"))&gt;=J$2,"d",IF(INDIRECT(_xlfn.CONCAT("'",$A62,"'!B5"))&gt;=J$2,"i",""))</f>
        <v>d</v>
      </c>
      <c r="K62" s="4" t="str" cm="1">
        <f t="array" aca="1" ref="K62" ca="1">IF(INDIRECT(_xlfn.CONCAT("'",$A62,"'!B4"))&gt;=K$2,"d",IF(INDIRECT(_xlfn.CONCAT("'",$A62,"'!B5"))&gt;=K$2,"i",""))</f>
        <v>d</v>
      </c>
      <c r="L62" s="39"/>
      <c r="M62" s="1" t="str" cm="1">
        <f t="array" aca="1" ref="M62" ca="1">IF(INDIRECT(_xlfn.CONCAT("'",$A62,"'!C10"))&gt;=M$2,"d",IF(INDIRECT(_xlfn.CONCAT("'",$A62,"'!C11"))&gt;=M$2,"i",""))</f>
        <v>d</v>
      </c>
      <c r="N62" s="1" t="str" cm="1">
        <f t="array" aca="1" ref="N62" ca="1">IF(INDIRECT(_xlfn.CONCAT("'",$A62,"'!C10"))&gt;=N$2,"d",IF(INDIRECT(_xlfn.CONCAT("'",$A62,"'!C11"))&gt;=N$2,"i",""))</f>
        <v>d</v>
      </c>
      <c r="O62" s="1" t="str" cm="1">
        <f t="array" aca="1" ref="O62" ca="1">IF(INDIRECT(_xlfn.CONCAT("'",$A62,"'!C10"))&gt;=O$2,"d",IF(INDIRECT(_xlfn.CONCAT("'",$A62,"'!C11"))&gt;=O$2,"i",""))</f>
        <v>d</v>
      </c>
      <c r="P62" s="1" t="str" cm="1">
        <f t="array" aca="1" ref="P62" ca="1">IF(INDIRECT(_xlfn.CONCAT("'",$A62,"'!C10"))&gt;=P$2,"d",IF(INDIRECT(_xlfn.CONCAT("'",$A62,"'!C11"))&gt;=P$2,"i",""))</f>
        <v>d</v>
      </c>
      <c r="Q62" s="1" t="str" cm="1">
        <f t="array" aca="1" ref="Q62" ca="1">IF(INDIRECT(_xlfn.CONCAT("'",$A62,"'!C10"))&gt;=Q$2,"d",IF(INDIRECT(_xlfn.CONCAT("'",$A62,"'!C11"))&gt;=Q$2,"i",""))</f>
        <v>d</v>
      </c>
      <c r="R62" s="1" t="str" cm="1">
        <f t="array" aca="1" ref="R62" ca="1">IF(INDIRECT(_xlfn.CONCAT("'",$A62,"'!C10"))&gt;=R$2,"d",IF(INDIRECT(_xlfn.CONCAT("'",$A62,"'!C11"))&gt;=R$2,"i",""))</f>
        <v>d</v>
      </c>
      <c r="S62" s="36"/>
      <c r="T62" s="1" t="str" cm="1">
        <f t="array" aca="1" ref="T62" ca="1">IF(INDIRECT(_xlfn.CONCAT("'",$A62,"'!F4"))&gt;=T$2,"d",IF(INDIRECT(_xlfn.CONCAT("'",$A62,"'!F5"))&gt;=T$2,"i",""))</f>
        <v>d</v>
      </c>
      <c r="U62" s="1" t="str" cm="1">
        <f t="array" aca="1" ref="U62" ca="1">IF(INDIRECT(_xlfn.CONCAT("'",$A62,"'!F4"))&gt;=U$2,"d",IF(INDIRECT(_xlfn.CONCAT("'",$A62,"'!F5"))&gt;=U$2,"i",""))</f>
        <v>d</v>
      </c>
      <c r="V62" s="1" t="str" cm="1">
        <f t="array" aca="1" ref="V62" ca="1">IF(INDIRECT(_xlfn.CONCAT("'",$A62,"'!F4"))&gt;=V$2,"d",IF(INDIRECT(_xlfn.CONCAT("'",$A62,"'!F5"))&gt;=V$2,"i",""))</f>
        <v>d</v>
      </c>
      <c r="W62" s="1" t="str" cm="1">
        <f t="array" aca="1" ref="W62" ca="1">IF(INDIRECT(_xlfn.CONCAT("'",$A62,"'!F4"))&gt;=W$2,"d",IF(INDIRECT(_xlfn.CONCAT("'",$A62,"'!F5"))&gt;=W$2,"i",""))</f>
        <v>d</v>
      </c>
      <c r="X62" s="1" t="str" cm="1">
        <f t="array" aca="1" ref="X62" ca="1">IF(INDIRECT(_xlfn.CONCAT("'",$A62,"'!F4"))&gt;=X$2,"d",IF(INDIRECT(_xlfn.CONCAT("'",$A62,"'!F5"))&gt;=X$2,"i",""))</f>
        <v>d</v>
      </c>
      <c r="Y62" s="1" t="str" cm="1">
        <f t="array" aca="1" ref="Y62" ca="1">IF(INDIRECT(_xlfn.CONCAT("'",$A62,"'!F4"))&gt;=Y$2,"d",IF(INDIRECT(_xlfn.CONCAT("'",$A62,"'!F5"))&gt;=Y$2,"i",""))</f>
        <v>d</v>
      </c>
      <c r="Z62" s="1" t="str" cm="1">
        <f t="array" aca="1" ref="Z62" ca="1">IF(INDIRECT(_xlfn.CONCAT("'",$A62,"'!F4"))&gt;=Z$2,"d",IF(INDIRECT(_xlfn.CONCAT("'",$A62,"'!F5"))&gt;=Z$2,"i",""))</f>
        <v>d</v>
      </c>
      <c r="AA62" s="1" t="str" cm="1">
        <f t="array" aca="1" ref="AA62" ca="1">IF(INDIRECT(_xlfn.CONCAT("'",$A62,"'!F4"))&gt;=AA$2,"d",IF(INDIRECT(_xlfn.CONCAT("'",$A62,"'!F5"))&gt;=AA$2,"i",""))</f>
        <v>d</v>
      </c>
      <c r="AB62" s="1" t="str" cm="1">
        <f t="array" aca="1" ref="AB62" ca="1">IF(INDIRECT(_xlfn.CONCAT("'",$A62,"'!F4"))&gt;=AB$2,"d",IF(INDIRECT(_xlfn.CONCAT("'",$A62,"'!F5"))&gt;=AB$2,"i",""))</f>
        <v/>
      </c>
      <c r="AC62" s="36"/>
      <c r="AD62" s="1" t="str" cm="1">
        <f t="array" aca="1" ref="AD62" ca="1">IF(INDIRECT(_xlfn.CONCAT("'",$A62,"'!F17"))&gt;=AD$2,"d",IF(INDIRECT(_xlfn.CONCAT("'",$A62,"'!F18"))&gt;=AD$2,"i",""))</f>
        <v>d</v>
      </c>
      <c r="AE62" s="1" t="str" cm="1">
        <f t="array" aca="1" ref="AE62" ca="1">IF(INDIRECT(_xlfn.CONCAT("'",$A62,"'!F17"))&gt;=AE$2,"d",IF(INDIRECT(_xlfn.CONCAT("'",$A62,"'!F18"))&gt;=AE$2,"i",""))</f>
        <v>d</v>
      </c>
      <c r="AF62" s="1" t="str" cm="1">
        <f t="array" aca="1" ref="AF62" ca="1">IF(INDIRECT(_xlfn.CONCAT("'",$A62,"'!F17"))&gt;=AF$2,"d",IF(INDIRECT(_xlfn.CONCAT("'",$A62,"'!F18"))&gt;=AF$2,"i",""))</f>
        <v>d</v>
      </c>
      <c r="AG62" s="1" t="str" cm="1">
        <f t="array" aca="1" ref="AG62" ca="1">IF(INDIRECT(_xlfn.CONCAT("'",$A62,"'!F17"))&gt;=AG$2,"d",IF(INDIRECT(_xlfn.CONCAT("'",$A62,"'!F18"))&gt;=AG$2,"i",""))</f>
        <v>d</v>
      </c>
      <c r="AH62" s="1" t="str" cm="1">
        <f t="array" aca="1" ref="AH62" ca="1">IF(INDIRECT(_xlfn.CONCAT("'",$A62,"'!F17"))&gt;=AH$2,"d",IF(INDIRECT(_xlfn.CONCAT("'",$A62,"'!F18"))&gt;=AH$2,"i",""))</f>
        <v>d</v>
      </c>
      <c r="AI62" s="1" t="str" cm="1">
        <f t="array" aca="1" ref="AI62" ca="1">IF(INDIRECT(_xlfn.CONCAT("'",$A62,"'!F17"))&gt;=AI$2,"d",IF(INDIRECT(_xlfn.CONCAT("'",$A62,"'!F18"))&gt;=AI$2,"i",""))</f>
        <v>d</v>
      </c>
      <c r="AJ62" s="1" t="str" cm="1">
        <f t="array" aca="1" ref="AJ62" ca="1">IF(INDIRECT(_xlfn.CONCAT("'",$A62,"'!F17"))&gt;=AJ$2,"d",IF(INDIRECT(_xlfn.CONCAT("'",$A62,"'!F18"))&gt;=AJ$2,"i",""))</f>
        <v>d</v>
      </c>
      <c r="AK62" s="1" t="str" cm="1">
        <f t="array" aca="1" ref="AK62" ca="1">IF(INDIRECT(_xlfn.CONCAT("'",$A62,"'!F17"))&gt;=AK$2,"d",IF(INDIRECT(_xlfn.CONCAT("'",$A62,"'!F18"))&gt;=AK$2,"i",""))</f>
        <v>d</v>
      </c>
      <c r="AL62" s="1" t="str" cm="1">
        <f t="array" aca="1" ref="AL62" ca="1">IF(INDIRECT(_xlfn.CONCAT("'",$A62,"'!F17"))&gt;=AL$2,"d",IF(INDIRECT(_xlfn.CONCAT("'",$A62,"'!F18"))&gt;=AL$2,"i",""))</f>
        <v/>
      </c>
      <c r="AM62" s="36"/>
      <c r="AN62" s="1" t="str" cm="1">
        <f t="array" aca="1" ref="AN62" ca="1">IF(INDIRECT(_xlfn.CONCAT("'",$A62,"'!F30"))&gt;=AN$2,"d",IF(INDIRECT(_xlfn.CONCAT("'",$A62,"'!F31"))&gt;=AN$2,"i",""))</f>
        <v>d</v>
      </c>
      <c r="AO62" s="1" t="str" cm="1">
        <f t="array" aca="1" ref="AO62" ca="1">IF(INDIRECT(_xlfn.CONCAT("'",$A62,"'!F30"))&gt;=AO$2,"d",IF(INDIRECT(_xlfn.CONCAT("'",$A62,"'!F31"))&gt;=AO$2,"i",""))</f>
        <v>d</v>
      </c>
      <c r="AP62" s="1" t="str" cm="1">
        <f t="array" aca="1" ref="AP62" ca="1">IF(INDIRECT(_xlfn.CONCAT("'",$A62,"'!F30"))&gt;=AP$2,"d",IF(INDIRECT(_xlfn.CONCAT("'",$A62,"'!F31"))&gt;=AP$2,"i",""))</f>
        <v>d</v>
      </c>
      <c r="AQ62" s="1" t="str" cm="1">
        <f t="array" aca="1" ref="AQ62" ca="1">IF(INDIRECT(_xlfn.CONCAT("'",$A62,"'!F30"))&gt;=AQ$2,"d",IF(INDIRECT(_xlfn.CONCAT("'",$A62,"'!F31"))&gt;=AQ$2,"i",""))</f>
        <v>d</v>
      </c>
      <c r="AR62" s="1" t="str" cm="1">
        <f t="array" aca="1" ref="AR62" ca="1">IF(INDIRECT(_xlfn.CONCAT("'",$A62,"'!F30"))&gt;=AR$2,"d",IF(INDIRECT(_xlfn.CONCAT("'",$A62,"'!F31"))&gt;=AR$2,"i",""))</f>
        <v>d</v>
      </c>
      <c r="AS62" s="1" t="str" cm="1">
        <f t="array" aca="1" ref="AS62" ca="1">IF(INDIRECT(_xlfn.CONCAT("'",$A62,"'!F30"))&gt;=AS$2,"d",IF(INDIRECT(_xlfn.CONCAT("'",$A62,"'!F31"))&gt;=AS$2,"i",""))</f>
        <v>d</v>
      </c>
      <c r="AT62" s="1" t="str" cm="1">
        <f t="array" aca="1" ref="AT62" ca="1">IF(INDIRECT(_xlfn.CONCAT("'",$A62,"'!F30"))&gt;=AT$2,"d",IF(INDIRECT(_xlfn.CONCAT("'",$A62,"'!F31"))&gt;=AT$2,"i",""))</f>
        <v>d</v>
      </c>
      <c r="AU62" s="1" t="str" cm="1">
        <f t="array" aca="1" ref="AU62" ca="1">IF(INDIRECT(_xlfn.CONCAT("'",$A62,"'!F30"))&gt;=AU$2,"d",IF(INDIRECT(_xlfn.CONCAT("'",$A62,"'!F31"))&gt;=AU$2,"i",""))</f>
        <v>d</v>
      </c>
      <c r="AV62" s="4" t="str" cm="1">
        <f t="array" aca="1" ref="AV62" ca="1">IF(INDIRECT(_xlfn.CONCAT("'",$A62,"'!F30"))&gt;=AV$2,"d",IF(INDIRECT(_xlfn.CONCAT("'",$A62,"'!F31"))&gt;=AV$2,"i",""))</f>
        <v/>
      </c>
    </row>
    <row r="63" spans="1:48" x14ac:dyDescent="0.25">
      <c r="A63" s="119" t="str">
        <v>Cyno</v>
      </c>
      <c r="B63" s="4" t="str">
        <f t="shared" ref="B63:B65" si="9">VLOOKUP(A63,Character_List,2,FALSE)</f>
        <v>Electro</v>
      </c>
      <c r="C63" s="38" t="str">
        <f t="shared" ref="C63:C65" si="10">VLOOKUP(A63,Character_List,7,FALSE)</f>
        <v>Sumeru 1</v>
      </c>
      <c r="D63" s="85" t="str">
        <f t="shared" ref="D63:D65" si="11">VLOOKUP(A63,Character_List,8,FALSE)</f>
        <v>Raiden 1</v>
      </c>
      <c r="E63" s="14" t="str" cm="1">
        <f t="array" aca="1" ref="E63" ca="1">IF(INDIRECT(_xlfn.CONCAT("'",$A63,"'!B4"))&gt;=E$2,"d",IF(INDIRECT(_xlfn.CONCAT("'",$A63,"'!B5"))&gt;=E$2,"i",""))</f>
        <v>d</v>
      </c>
      <c r="F63" s="1" t="str" cm="1">
        <f t="array" aca="1" ref="F63" ca="1">IF(INDIRECT(_xlfn.CONCAT("'",$A63,"'!B4"))&gt;=F$2,"d",IF(INDIRECT(_xlfn.CONCAT("'",$A63,"'!B5"))&gt;=F$2,"i",""))</f>
        <v>d</v>
      </c>
      <c r="G63" s="1" t="str" cm="1">
        <f t="array" aca="1" ref="G63" ca="1">IF(INDIRECT(_xlfn.CONCAT("'",$A63,"'!B4"))&gt;=G$2,"d",IF(INDIRECT(_xlfn.CONCAT("'",$A63,"'!B5"))&gt;=G$2,"i",""))</f>
        <v>d</v>
      </c>
      <c r="H63" s="1" t="str" cm="1">
        <f t="array" aca="1" ref="H63" ca="1">IF(INDIRECT(_xlfn.CONCAT("'",$A63,"'!B4"))&gt;=H$2,"d",IF(INDIRECT(_xlfn.CONCAT("'",$A63,"'!B5"))&gt;=H$2,"i",""))</f>
        <v>d</v>
      </c>
      <c r="I63" s="1" t="str" cm="1">
        <f t="array" aca="1" ref="I63" ca="1">IF(INDIRECT(_xlfn.CONCAT("'",$A63,"'!B4"))&gt;=I$2,"d",IF(INDIRECT(_xlfn.CONCAT("'",$A63,"'!B5"))&gt;=I$2,"i",""))</f>
        <v>d</v>
      </c>
      <c r="J63" s="1" t="str" cm="1">
        <f t="array" aca="1" ref="J63" ca="1">IF(INDIRECT(_xlfn.CONCAT("'",$A63,"'!B4"))&gt;=J$2,"d",IF(INDIRECT(_xlfn.CONCAT("'",$A63,"'!B5"))&gt;=J$2,"i",""))</f>
        <v>d</v>
      </c>
      <c r="K63" s="4" t="str" cm="1">
        <f t="array" aca="1" ref="K63" ca="1">IF(INDIRECT(_xlfn.CONCAT("'",$A63,"'!B4"))&gt;=K$2,"d",IF(INDIRECT(_xlfn.CONCAT("'",$A63,"'!B5"))&gt;=K$2,"i",""))</f>
        <v>d</v>
      </c>
      <c r="L63" s="39"/>
      <c r="M63" s="1" t="str" cm="1">
        <f t="array" aca="1" ref="M63" ca="1">IF(INDIRECT(_xlfn.CONCAT("'",$A63,"'!C10"))&gt;=M$2,"d",IF(INDIRECT(_xlfn.CONCAT("'",$A63,"'!C11"))&gt;=M$2,"i",""))</f>
        <v>d</v>
      </c>
      <c r="N63" s="1" t="str" cm="1">
        <f t="array" aca="1" ref="N63" ca="1">IF(INDIRECT(_xlfn.CONCAT("'",$A63,"'!C10"))&gt;=N$2,"d",IF(INDIRECT(_xlfn.CONCAT("'",$A63,"'!C11"))&gt;=N$2,"i",""))</f>
        <v>d</v>
      </c>
      <c r="O63" s="1" t="str" cm="1">
        <f t="array" aca="1" ref="O63" ca="1">IF(INDIRECT(_xlfn.CONCAT("'",$A63,"'!C10"))&gt;=O$2,"d",IF(INDIRECT(_xlfn.CONCAT("'",$A63,"'!C11"))&gt;=O$2,"i",""))</f>
        <v>d</v>
      </c>
      <c r="P63" s="1" t="str" cm="1">
        <f t="array" aca="1" ref="P63" ca="1">IF(INDIRECT(_xlfn.CONCAT("'",$A63,"'!C10"))&gt;=P$2,"d",IF(INDIRECT(_xlfn.CONCAT("'",$A63,"'!C11"))&gt;=P$2,"i",""))</f>
        <v>d</v>
      </c>
      <c r="Q63" s="1" t="str" cm="1">
        <f t="array" aca="1" ref="Q63" ca="1">IF(INDIRECT(_xlfn.CONCAT("'",$A63,"'!C10"))&gt;=Q$2,"d",IF(INDIRECT(_xlfn.CONCAT("'",$A63,"'!C11"))&gt;=Q$2,"i",""))</f>
        <v>d</v>
      </c>
      <c r="R63" s="1" t="str" cm="1">
        <f t="array" aca="1" ref="R63" ca="1">IF(INDIRECT(_xlfn.CONCAT("'",$A63,"'!C10"))&gt;=R$2,"d",IF(INDIRECT(_xlfn.CONCAT("'",$A63,"'!C11"))&gt;=R$2,"i",""))</f>
        <v>d</v>
      </c>
      <c r="S63" s="36"/>
      <c r="T63" s="1" t="str" cm="1">
        <f t="array" aca="1" ref="T63" ca="1">IF(INDIRECT(_xlfn.CONCAT("'",$A63,"'!F4"))&gt;=T$2,"d",IF(INDIRECT(_xlfn.CONCAT("'",$A63,"'!F5"))&gt;=T$2,"i",""))</f>
        <v>d</v>
      </c>
      <c r="U63" s="1" t="str" cm="1">
        <f t="array" aca="1" ref="U63" ca="1">IF(INDIRECT(_xlfn.CONCAT("'",$A63,"'!F4"))&gt;=U$2,"d",IF(INDIRECT(_xlfn.CONCAT("'",$A63,"'!F5"))&gt;=U$2,"i",""))</f>
        <v>d</v>
      </c>
      <c r="V63" s="1" t="str" cm="1">
        <f t="array" aca="1" ref="V63" ca="1">IF(INDIRECT(_xlfn.CONCAT("'",$A63,"'!F4"))&gt;=V$2,"d",IF(INDIRECT(_xlfn.CONCAT("'",$A63,"'!F5"))&gt;=V$2,"i",""))</f>
        <v>d</v>
      </c>
      <c r="W63" s="1" t="str" cm="1">
        <f t="array" aca="1" ref="W63" ca="1">IF(INDIRECT(_xlfn.CONCAT("'",$A63,"'!F4"))&gt;=W$2,"d",IF(INDIRECT(_xlfn.CONCAT("'",$A63,"'!F5"))&gt;=W$2,"i",""))</f>
        <v>d</v>
      </c>
      <c r="X63" s="1" t="str" cm="1">
        <f t="array" aca="1" ref="X63" ca="1">IF(INDIRECT(_xlfn.CONCAT("'",$A63,"'!F4"))&gt;=X$2,"d",IF(INDIRECT(_xlfn.CONCAT("'",$A63,"'!F5"))&gt;=X$2,"i",""))</f>
        <v>d</v>
      </c>
      <c r="Y63" s="1" t="str" cm="1">
        <f t="array" aca="1" ref="Y63" ca="1">IF(INDIRECT(_xlfn.CONCAT("'",$A63,"'!F4"))&gt;=Y$2,"d",IF(INDIRECT(_xlfn.CONCAT("'",$A63,"'!F5"))&gt;=Y$2,"i",""))</f>
        <v>d</v>
      </c>
      <c r="Z63" s="1" t="str" cm="1">
        <f t="array" aca="1" ref="Z63" ca="1">IF(INDIRECT(_xlfn.CONCAT("'",$A63,"'!F4"))&gt;=Z$2,"d",IF(INDIRECT(_xlfn.CONCAT("'",$A63,"'!F5"))&gt;=Z$2,"i",""))</f>
        <v>d</v>
      </c>
      <c r="AA63" s="1" t="str" cm="1">
        <f t="array" aca="1" ref="AA63" ca="1">IF(INDIRECT(_xlfn.CONCAT("'",$A63,"'!F4"))&gt;=AA$2,"d",IF(INDIRECT(_xlfn.CONCAT("'",$A63,"'!F5"))&gt;=AA$2,"i",""))</f>
        <v>d</v>
      </c>
      <c r="AB63" s="1" t="str" cm="1">
        <f t="array" aca="1" ref="AB63" ca="1">IF(INDIRECT(_xlfn.CONCAT("'",$A63,"'!F4"))&gt;=AB$2,"d",IF(INDIRECT(_xlfn.CONCAT("'",$A63,"'!F5"))&gt;=AB$2,"i",""))</f>
        <v/>
      </c>
      <c r="AC63" s="36"/>
      <c r="AD63" s="1" t="str" cm="1">
        <f t="array" aca="1" ref="AD63" ca="1">IF(INDIRECT(_xlfn.CONCAT("'",$A63,"'!F17"))&gt;=AD$2,"d",IF(INDIRECT(_xlfn.CONCAT("'",$A63,"'!F18"))&gt;=AD$2,"i",""))</f>
        <v>d</v>
      </c>
      <c r="AE63" s="1" t="str" cm="1">
        <f t="array" aca="1" ref="AE63" ca="1">IF(INDIRECT(_xlfn.CONCAT("'",$A63,"'!F17"))&gt;=AE$2,"d",IF(INDIRECT(_xlfn.CONCAT("'",$A63,"'!F18"))&gt;=AE$2,"i",""))</f>
        <v>d</v>
      </c>
      <c r="AF63" s="1" t="str" cm="1">
        <f t="array" aca="1" ref="AF63" ca="1">IF(INDIRECT(_xlfn.CONCAT("'",$A63,"'!F17"))&gt;=AF$2,"d",IF(INDIRECT(_xlfn.CONCAT("'",$A63,"'!F18"))&gt;=AF$2,"i",""))</f>
        <v>d</v>
      </c>
      <c r="AG63" s="1" t="str" cm="1">
        <f t="array" aca="1" ref="AG63" ca="1">IF(INDIRECT(_xlfn.CONCAT("'",$A63,"'!F17"))&gt;=AG$2,"d",IF(INDIRECT(_xlfn.CONCAT("'",$A63,"'!F18"))&gt;=AG$2,"i",""))</f>
        <v>d</v>
      </c>
      <c r="AH63" s="1" t="str" cm="1">
        <f t="array" aca="1" ref="AH63" ca="1">IF(INDIRECT(_xlfn.CONCAT("'",$A63,"'!F17"))&gt;=AH$2,"d",IF(INDIRECT(_xlfn.CONCAT("'",$A63,"'!F18"))&gt;=AH$2,"i",""))</f>
        <v>d</v>
      </c>
      <c r="AI63" s="1" t="str" cm="1">
        <f t="array" aca="1" ref="AI63" ca="1">IF(INDIRECT(_xlfn.CONCAT("'",$A63,"'!F17"))&gt;=AI$2,"d",IF(INDIRECT(_xlfn.CONCAT("'",$A63,"'!F18"))&gt;=AI$2,"i",""))</f>
        <v>d</v>
      </c>
      <c r="AJ63" s="1" t="str" cm="1">
        <f t="array" aca="1" ref="AJ63" ca="1">IF(INDIRECT(_xlfn.CONCAT("'",$A63,"'!F17"))&gt;=AJ$2,"d",IF(INDIRECT(_xlfn.CONCAT("'",$A63,"'!F18"))&gt;=AJ$2,"i",""))</f>
        <v>d</v>
      </c>
      <c r="AK63" s="1" t="str" cm="1">
        <f t="array" aca="1" ref="AK63" ca="1">IF(INDIRECT(_xlfn.CONCAT("'",$A63,"'!F17"))&gt;=AK$2,"d",IF(INDIRECT(_xlfn.CONCAT("'",$A63,"'!F18"))&gt;=AK$2,"i",""))</f>
        <v>d</v>
      </c>
      <c r="AL63" s="1" t="str" cm="1">
        <f t="array" aca="1" ref="AL63" ca="1">IF(INDIRECT(_xlfn.CONCAT("'",$A63,"'!F17"))&gt;=AL$2,"d",IF(INDIRECT(_xlfn.CONCAT("'",$A63,"'!F18"))&gt;=AL$2,"i",""))</f>
        <v/>
      </c>
      <c r="AM63" s="36"/>
      <c r="AN63" s="1" t="str" cm="1">
        <f t="array" aca="1" ref="AN63" ca="1">IF(INDIRECT(_xlfn.CONCAT("'",$A63,"'!F30"))&gt;=AN$2,"d",IF(INDIRECT(_xlfn.CONCAT("'",$A63,"'!F31"))&gt;=AN$2,"i",""))</f>
        <v>d</v>
      </c>
      <c r="AO63" s="1" t="str" cm="1">
        <f t="array" aca="1" ref="AO63" ca="1">IF(INDIRECT(_xlfn.CONCAT("'",$A63,"'!F30"))&gt;=AO$2,"d",IF(INDIRECT(_xlfn.CONCAT("'",$A63,"'!F31"))&gt;=AO$2,"i",""))</f>
        <v>d</v>
      </c>
      <c r="AP63" s="1" t="str" cm="1">
        <f t="array" aca="1" ref="AP63" ca="1">IF(INDIRECT(_xlfn.CONCAT("'",$A63,"'!F30"))&gt;=AP$2,"d",IF(INDIRECT(_xlfn.CONCAT("'",$A63,"'!F31"))&gt;=AP$2,"i",""))</f>
        <v>d</v>
      </c>
      <c r="AQ63" s="1" t="str" cm="1">
        <f t="array" aca="1" ref="AQ63" ca="1">IF(INDIRECT(_xlfn.CONCAT("'",$A63,"'!F30"))&gt;=AQ$2,"d",IF(INDIRECT(_xlfn.CONCAT("'",$A63,"'!F31"))&gt;=AQ$2,"i",""))</f>
        <v>d</v>
      </c>
      <c r="AR63" s="1" t="str" cm="1">
        <f t="array" aca="1" ref="AR63" ca="1">IF(INDIRECT(_xlfn.CONCAT("'",$A63,"'!F30"))&gt;=AR$2,"d",IF(INDIRECT(_xlfn.CONCAT("'",$A63,"'!F31"))&gt;=AR$2,"i",""))</f>
        <v>d</v>
      </c>
      <c r="AS63" s="1" t="str" cm="1">
        <f t="array" aca="1" ref="AS63" ca="1">IF(INDIRECT(_xlfn.CONCAT("'",$A63,"'!F30"))&gt;=AS$2,"d",IF(INDIRECT(_xlfn.CONCAT("'",$A63,"'!F31"))&gt;=AS$2,"i",""))</f>
        <v>d</v>
      </c>
      <c r="AT63" s="1" t="str" cm="1">
        <f t="array" aca="1" ref="AT63" ca="1">IF(INDIRECT(_xlfn.CONCAT("'",$A63,"'!F30"))&gt;=AT$2,"d",IF(INDIRECT(_xlfn.CONCAT("'",$A63,"'!F31"))&gt;=AT$2,"i",""))</f>
        <v>d</v>
      </c>
      <c r="AU63" s="1" t="str" cm="1">
        <f t="array" aca="1" ref="AU63" ca="1">IF(INDIRECT(_xlfn.CONCAT("'",$A63,"'!F30"))&gt;=AU$2,"d",IF(INDIRECT(_xlfn.CONCAT("'",$A63,"'!F31"))&gt;=AU$2,"i",""))</f>
        <v>d</v>
      </c>
      <c r="AV63" s="4" t="str" cm="1">
        <f t="array" aca="1" ref="AV63" ca="1">IF(INDIRECT(_xlfn.CONCAT("'",$A63,"'!F30"))&gt;=AV$2,"d",IF(INDIRECT(_xlfn.CONCAT("'",$A63,"'!F31"))&gt;=AV$2,"i",""))</f>
        <v/>
      </c>
    </row>
    <row r="64" spans="1:48" x14ac:dyDescent="0.25">
      <c r="A64" s="119" t="str">
        <v>Candace</v>
      </c>
      <c r="B64" s="4" t="str">
        <f t="shared" si="9"/>
        <v>Hydro</v>
      </c>
      <c r="C64" s="38" t="str">
        <f t="shared" si="10"/>
        <v>Sumeru 1</v>
      </c>
      <c r="D64" s="85" t="str">
        <f t="shared" si="11"/>
        <v>Raiden 2</v>
      </c>
      <c r="E64" s="14" t="str" cm="1">
        <f t="array" aca="1" ref="E64" ca="1">IF(INDIRECT(_xlfn.CONCAT("'",$A64,"'!B4"))&gt;=E$2,"d",IF(INDIRECT(_xlfn.CONCAT("'",$A64,"'!B5"))&gt;=E$2,"i",""))</f>
        <v>d</v>
      </c>
      <c r="F64" s="1" t="str" cm="1">
        <f t="array" aca="1" ref="F64" ca="1">IF(INDIRECT(_xlfn.CONCAT("'",$A64,"'!B4"))&gt;=F$2,"d",IF(INDIRECT(_xlfn.CONCAT("'",$A64,"'!B5"))&gt;=F$2,"i",""))</f>
        <v>d</v>
      </c>
      <c r="G64" s="1" t="str" cm="1">
        <f t="array" aca="1" ref="G64" ca="1">IF(INDIRECT(_xlfn.CONCAT("'",$A64,"'!B4"))&gt;=G$2,"d",IF(INDIRECT(_xlfn.CONCAT("'",$A64,"'!B5"))&gt;=G$2,"i",""))</f>
        <v>d</v>
      </c>
      <c r="H64" s="1" t="str" cm="1">
        <f t="array" aca="1" ref="H64" ca="1">IF(INDIRECT(_xlfn.CONCAT("'",$A64,"'!B4"))&gt;=H$2,"d",IF(INDIRECT(_xlfn.CONCAT("'",$A64,"'!B5"))&gt;=H$2,"i",""))</f>
        <v>d</v>
      </c>
      <c r="I64" s="1" t="str" cm="1">
        <f t="array" aca="1" ref="I64" ca="1">IF(INDIRECT(_xlfn.CONCAT("'",$A64,"'!B4"))&gt;=I$2,"d",IF(INDIRECT(_xlfn.CONCAT("'",$A64,"'!B5"))&gt;=I$2,"i",""))</f>
        <v>d</v>
      </c>
      <c r="J64" s="1" t="str" cm="1">
        <f t="array" aca="1" ref="J64" ca="1">IF(INDIRECT(_xlfn.CONCAT("'",$A64,"'!B4"))&gt;=J$2,"d",IF(INDIRECT(_xlfn.CONCAT("'",$A64,"'!B5"))&gt;=J$2,"i",""))</f>
        <v>d</v>
      </c>
      <c r="K64" s="4" t="str" cm="1">
        <f t="array" aca="1" ref="K64" ca="1">IF(INDIRECT(_xlfn.CONCAT("'",$A64,"'!B4"))&gt;=K$2,"d",IF(INDIRECT(_xlfn.CONCAT("'",$A64,"'!B5"))&gt;=K$2,"i",""))</f>
        <v>d</v>
      </c>
      <c r="L64" s="39"/>
      <c r="M64" s="1" t="str" cm="1">
        <f t="array" aca="1" ref="M64" ca="1">IF(INDIRECT(_xlfn.CONCAT("'",$A64,"'!C10"))&gt;=M$2,"d",IF(INDIRECT(_xlfn.CONCAT("'",$A64,"'!C11"))&gt;=M$2,"i",""))</f>
        <v>d</v>
      </c>
      <c r="N64" s="1" t="str" cm="1">
        <f t="array" aca="1" ref="N64" ca="1">IF(INDIRECT(_xlfn.CONCAT("'",$A64,"'!C10"))&gt;=N$2,"d",IF(INDIRECT(_xlfn.CONCAT("'",$A64,"'!C11"))&gt;=N$2,"i",""))</f>
        <v>d</v>
      </c>
      <c r="O64" s="1" t="str" cm="1">
        <f t="array" aca="1" ref="O64" ca="1">IF(INDIRECT(_xlfn.CONCAT("'",$A64,"'!C10"))&gt;=O$2,"d",IF(INDIRECT(_xlfn.CONCAT("'",$A64,"'!C11"))&gt;=O$2,"i",""))</f>
        <v>d</v>
      </c>
      <c r="P64" s="1" t="str" cm="1">
        <f t="array" aca="1" ref="P64" ca="1">IF(INDIRECT(_xlfn.CONCAT("'",$A64,"'!C10"))&gt;=P$2,"d",IF(INDIRECT(_xlfn.CONCAT("'",$A64,"'!C11"))&gt;=P$2,"i",""))</f>
        <v>d</v>
      </c>
      <c r="Q64" s="1" t="str" cm="1">
        <f t="array" aca="1" ref="Q64" ca="1">IF(INDIRECT(_xlfn.CONCAT("'",$A64,"'!C10"))&gt;=Q$2,"d",IF(INDIRECT(_xlfn.CONCAT("'",$A64,"'!C11"))&gt;=Q$2,"i",""))</f>
        <v>d</v>
      </c>
      <c r="R64" s="1" t="str" cm="1">
        <f t="array" aca="1" ref="R64" ca="1">IF(INDIRECT(_xlfn.CONCAT("'",$A64,"'!C10"))&gt;=R$2,"d",IF(INDIRECT(_xlfn.CONCAT("'",$A64,"'!C11"))&gt;=R$2,"i",""))</f>
        <v>d</v>
      </c>
      <c r="S64" s="36"/>
      <c r="T64" s="1" t="str" cm="1">
        <f t="array" aca="1" ref="T64" ca="1">IF(INDIRECT(_xlfn.CONCAT("'",$A64,"'!F4"))&gt;=T$2,"d",IF(INDIRECT(_xlfn.CONCAT("'",$A64,"'!F5"))&gt;=T$2,"i",""))</f>
        <v>d</v>
      </c>
      <c r="U64" s="1" t="str" cm="1">
        <f t="array" aca="1" ref="U64" ca="1">IF(INDIRECT(_xlfn.CONCAT("'",$A64,"'!F4"))&gt;=U$2,"d",IF(INDIRECT(_xlfn.CONCAT("'",$A64,"'!F5"))&gt;=U$2,"i",""))</f>
        <v>d</v>
      </c>
      <c r="V64" s="1" t="str" cm="1">
        <f t="array" aca="1" ref="V64" ca="1">IF(INDIRECT(_xlfn.CONCAT("'",$A64,"'!F4"))&gt;=V$2,"d",IF(INDIRECT(_xlfn.CONCAT("'",$A64,"'!F5"))&gt;=V$2,"i",""))</f>
        <v>d</v>
      </c>
      <c r="W64" s="1" t="str" cm="1">
        <f t="array" aca="1" ref="W64" ca="1">IF(INDIRECT(_xlfn.CONCAT("'",$A64,"'!F4"))&gt;=W$2,"d",IF(INDIRECT(_xlfn.CONCAT("'",$A64,"'!F5"))&gt;=W$2,"i",""))</f>
        <v>d</v>
      </c>
      <c r="X64" s="1" t="str" cm="1">
        <f t="array" aca="1" ref="X64" ca="1">IF(INDIRECT(_xlfn.CONCAT("'",$A64,"'!F4"))&gt;=X$2,"d",IF(INDIRECT(_xlfn.CONCAT("'",$A64,"'!F5"))&gt;=X$2,"i",""))</f>
        <v>d</v>
      </c>
      <c r="Y64" s="1" t="str" cm="1">
        <f t="array" aca="1" ref="Y64" ca="1">IF(INDIRECT(_xlfn.CONCAT("'",$A64,"'!F4"))&gt;=Y$2,"d",IF(INDIRECT(_xlfn.CONCAT("'",$A64,"'!F5"))&gt;=Y$2,"i",""))</f>
        <v>d</v>
      </c>
      <c r="Z64" s="1" t="str" cm="1">
        <f t="array" aca="1" ref="Z64" ca="1">IF(INDIRECT(_xlfn.CONCAT("'",$A64,"'!F4"))&gt;=Z$2,"d",IF(INDIRECT(_xlfn.CONCAT("'",$A64,"'!F5"))&gt;=Z$2,"i",""))</f>
        <v>d</v>
      </c>
      <c r="AA64" s="1" t="str" cm="1">
        <f t="array" aca="1" ref="AA64" ca="1">IF(INDIRECT(_xlfn.CONCAT("'",$A64,"'!F4"))&gt;=AA$2,"d",IF(INDIRECT(_xlfn.CONCAT("'",$A64,"'!F5"))&gt;=AA$2,"i",""))</f>
        <v>d</v>
      </c>
      <c r="AB64" s="1" t="str" cm="1">
        <f t="array" aca="1" ref="AB64" ca="1">IF(INDIRECT(_xlfn.CONCAT("'",$A64,"'!F4"))&gt;=AB$2,"d",IF(INDIRECT(_xlfn.CONCAT("'",$A64,"'!F5"))&gt;=AB$2,"i",""))</f>
        <v/>
      </c>
      <c r="AC64" s="36"/>
      <c r="AD64" s="1" t="str" cm="1">
        <f t="array" aca="1" ref="AD64" ca="1">IF(INDIRECT(_xlfn.CONCAT("'",$A64,"'!F17"))&gt;=AD$2,"d",IF(INDIRECT(_xlfn.CONCAT("'",$A64,"'!F18"))&gt;=AD$2,"i",""))</f>
        <v>d</v>
      </c>
      <c r="AE64" s="1" t="str" cm="1">
        <f t="array" aca="1" ref="AE64" ca="1">IF(INDIRECT(_xlfn.CONCAT("'",$A64,"'!F17"))&gt;=AE$2,"d",IF(INDIRECT(_xlfn.CONCAT("'",$A64,"'!F18"))&gt;=AE$2,"i",""))</f>
        <v>d</v>
      </c>
      <c r="AF64" s="1" t="str" cm="1">
        <f t="array" aca="1" ref="AF64" ca="1">IF(INDIRECT(_xlfn.CONCAT("'",$A64,"'!F17"))&gt;=AF$2,"d",IF(INDIRECT(_xlfn.CONCAT("'",$A64,"'!F18"))&gt;=AF$2,"i",""))</f>
        <v>d</v>
      </c>
      <c r="AG64" s="1" t="str" cm="1">
        <f t="array" aca="1" ref="AG64" ca="1">IF(INDIRECT(_xlfn.CONCAT("'",$A64,"'!F17"))&gt;=AG$2,"d",IF(INDIRECT(_xlfn.CONCAT("'",$A64,"'!F18"))&gt;=AG$2,"i",""))</f>
        <v>d</v>
      </c>
      <c r="AH64" s="1" t="str" cm="1">
        <f t="array" aca="1" ref="AH64" ca="1">IF(INDIRECT(_xlfn.CONCAT("'",$A64,"'!F17"))&gt;=AH$2,"d",IF(INDIRECT(_xlfn.CONCAT("'",$A64,"'!F18"))&gt;=AH$2,"i",""))</f>
        <v>d</v>
      </c>
      <c r="AI64" s="1" t="str" cm="1">
        <f t="array" aca="1" ref="AI64" ca="1">IF(INDIRECT(_xlfn.CONCAT("'",$A64,"'!F17"))&gt;=AI$2,"d",IF(INDIRECT(_xlfn.CONCAT("'",$A64,"'!F18"))&gt;=AI$2,"i",""))</f>
        <v>d</v>
      </c>
      <c r="AJ64" s="1" t="str" cm="1">
        <f t="array" aca="1" ref="AJ64" ca="1">IF(INDIRECT(_xlfn.CONCAT("'",$A64,"'!F17"))&gt;=AJ$2,"d",IF(INDIRECT(_xlfn.CONCAT("'",$A64,"'!F18"))&gt;=AJ$2,"i",""))</f>
        <v>d</v>
      </c>
      <c r="AK64" s="1" t="str" cm="1">
        <f t="array" aca="1" ref="AK64" ca="1">IF(INDIRECT(_xlfn.CONCAT("'",$A64,"'!F17"))&gt;=AK$2,"d",IF(INDIRECT(_xlfn.CONCAT("'",$A64,"'!F18"))&gt;=AK$2,"i",""))</f>
        <v>d</v>
      </c>
      <c r="AL64" s="1" t="str" cm="1">
        <f t="array" aca="1" ref="AL64" ca="1">IF(INDIRECT(_xlfn.CONCAT("'",$A64,"'!F17"))&gt;=AL$2,"d",IF(INDIRECT(_xlfn.CONCAT("'",$A64,"'!F18"))&gt;=AL$2,"i",""))</f>
        <v/>
      </c>
      <c r="AM64" s="36"/>
      <c r="AN64" s="1" t="str" cm="1">
        <f t="array" aca="1" ref="AN64" ca="1">IF(INDIRECT(_xlfn.CONCAT("'",$A64,"'!F30"))&gt;=AN$2,"d",IF(INDIRECT(_xlfn.CONCAT("'",$A64,"'!F31"))&gt;=AN$2,"i",""))</f>
        <v>d</v>
      </c>
      <c r="AO64" s="1" t="str" cm="1">
        <f t="array" aca="1" ref="AO64" ca="1">IF(INDIRECT(_xlfn.CONCAT("'",$A64,"'!F30"))&gt;=AO$2,"d",IF(INDIRECT(_xlfn.CONCAT("'",$A64,"'!F31"))&gt;=AO$2,"i",""))</f>
        <v>d</v>
      </c>
      <c r="AP64" s="1" t="str" cm="1">
        <f t="array" aca="1" ref="AP64" ca="1">IF(INDIRECT(_xlfn.CONCAT("'",$A64,"'!F30"))&gt;=AP$2,"d",IF(INDIRECT(_xlfn.CONCAT("'",$A64,"'!F31"))&gt;=AP$2,"i",""))</f>
        <v>d</v>
      </c>
      <c r="AQ64" s="1" t="str" cm="1">
        <f t="array" aca="1" ref="AQ64" ca="1">IF(INDIRECT(_xlfn.CONCAT("'",$A64,"'!F30"))&gt;=AQ$2,"d",IF(INDIRECT(_xlfn.CONCAT("'",$A64,"'!F31"))&gt;=AQ$2,"i",""))</f>
        <v>d</v>
      </c>
      <c r="AR64" s="1" t="str" cm="1">
        <f t="array" aca="1" ref="AR64" ca="1">IF(INDIRECT(_xlfn.CONCAT("'",$A64,"'!F30"))&gt;=AR$2,"d",IF(INDIRECT(_xlfn.CONCAT("'",$A64,"'!F31"))&gt;=AR$2,"i",""))</f>
        <v>d</v>
      </c>
      <c r="AS64" s="1" t="str" cm="1">
        <f t="array" aca="1" ref="AS64" ca="1">IF(INDIRECT(_xlfn.CONCAT("'",$A64,"'!F30"))&gt;=AS$2,"d",IF(INDIRECT(_xlfn.CONCAT("'",$A64,"'!F31"))&gt;=AS$2,"i",""))</f>
        <v>d</v>
      </c>
      <c r="AT64" s="1" t="str" cm="1">
        <f t="array" aca="1" ref="AT64" ca="1">IF(INDIRECT(_xlfn.CONCAT("'",$A64,"'!F30"))&gt;=AT$2,"d",IF(INDIRECT(_xlfn.CONCAT("'",$A64,"'!F31"))&gt;=AT$2,"i",""))</f>
        <v>d</v>
      </c>
      <c r="AU64" s="1" t="str" cm="1">
        <f t="array" aca="1" ref="AU64" ca="1">IF(INDIRECT(_xlfn.CONCAT("'",$A64,"'!F30"))&gt;=AU$2,"d",IF(INDIRECT(_xlfn.CONCAT("'",$A64,"'!F31"))&gt;=AU$2,"i",""))</f>
        <v>d</v>
      </c>
      <c r="AV64" s="4" t="str" cm="1">
        <f t="array" aca="1" ref="AV64" ca="1">IF(INDIRECT(_xlfn.CONCAT("'",$A64,"'!F30"))&gt;=AV$2,"d",IF(INDIRECT(_xlfn.CONCAT("'",$A64,"'!F31"))&gt;=AV$2,"i",""))</f>
        <v/>
      </c>
    </row>
    <row r="65" spans="1:48" x14ac:dyDescent="0.25">
      <c r="A65" s="119" t="str">
        <v>Nilou</v>
      </c>
      <c r="B65" s="4" t="str">
        <f t="shared" si="9"/>
        <v>Hydro</v>
      </c>
      <c r="C65" s="38" t="str">
        <f t="shared" si="10"/>
        <v>Sumeru 3</v>
      </c>
      <c r="D65" s="85" t="str">
        <f t="shared" si="11"/>
        <v>Raiden 2</v>
      </c>
      <c r="E65" s="14" t="str" cm="1">
        <f t="array" aca="1" ref="E65" ca="1">IF(INDIRECT(_xlfn.CONCAT("'",$A65,"'!B4"))&gt;=E$2,"d",IF(INDIRECT(_xlfn.CONCAT("'",$A65,"'!B5"))&gt;=E$2,"i",""))</f>
        <v>d</v>
      </c>
      <c r="F65" s="1" t="str" cm="1">
        <f t="array" aca="1" ref="F65" ca="1">IF(INDIRECT(_xlfn.CONCAT("'",$A65,"'!B4"))&gt;=F$2,"d",IF(INDIRECT(_xlfn.CONCAT("'",$A65,"'!B5"))&gt;=F$2,"i",""))</f>
        <v>d</v>
      </c>
      <c r="G65" s="1" t="str" cm="1">
        <f t="array" aca="1" ref="G65" ca="1">IF(INDIRECT(_xlfn.CONCAT("'",$A65,"'!B4"))&gt;=G$2,"d",IF(INDIRECT(_xlfn.CONCAT("'",$A65,"'!B5"))&gt;=G$2,"i",""))</f>
        <v>d</v>
      </c>
      <c r="H65" s="1" t="str" cm="1">
        <f t="array" aca="1" ref="H65" ca="1">IF(INDIRECT(_xlfn.CONCAT("'",$A65,"'!B4"))&gt;=H$2,"d",IF(INDIRECT(_xlfn.CONCAT("'",$A65,"'!B5"))&gt;=H$2,"i",""))</f>
        <v>d</v>
      </c>
      <c r="I65" s="1" t="str" cm="1">
        <f t="array" aca="1" ref="I65" ca="1">IF(INDIRECT(_xlfn.CONCAT("'",$A65,"'!B4"))&gt;=I$2,"d",IF(INDIRECT(_xlfn.CONCAT("'",$A65,"'!B5"))&gt;=I$2,"i",""))</f>
        <v>d</v>
      </c>
      <c r="J65" s="1" t="str" cm="1">
        <f t="array" aca="1" ref="J65" ca="1">IF(INDIRECT(_xlfn.CONCAT("'",$A65,"'!B4"))&gt;=J$2,"d",IF(INDIRECT(_xlfn.CONCAT("'",$A65,"'!B5"))&gt;=J$2,"i",""))</f>
        <v>d</v>
      </c>
      <c r="K65" s="4" t="str" cm="1">
        <f t="array" aca="1" ref="K65" ca="1">IF(INDIRECT(_xlfn.CONCAT("'",$A65,"'!B4"))&gt;=K$2,"d",IF(INDIRECT(_xlfn.CONCAT("'",$A65,"'!B5"))&gt;=K$2,"i",""))</f>
        <v>d</v>
      </c>
      <c r="L65" s="39"/>
      <c r="M65" s="1" t="str" cm="1">
        <f t="array" aca="1" ref="M65" ca="1">IF(INDIRECT(_xlfn.CONCAT("'",$A65,"'!C10"))&gt;=M$2,"d",IF(INDIRECT(_xlfn.CONCAT("'",$A65,"'!C11"))&gt;=M$2,"i",""))</f>
        <v>d</v>
      </c>
      <c r="N65" s="1" t="str" cm="1">
        <f t="array" aca="1" ref="N65" ca="1">IF(INDIRECT(_xlfn.CONCAT("'",$A65,"'!C10"))&gt;=N$2,"d",IF(INDIRECT(_xlfn.CONCAT("'",$A65,"'!C11"))&gt;=N$2,"i",""))</f>
        <v>d</v>
      </c>
      <c r="O65" s="1" t="str" cm="1">
        <f t="array" aca="1" ref="O65" ca="1">IF(INDIRECT(_xlfn.CONCAT("'",$A65,"'!C10"))&gt;=O$2,"d",IF(INDIRECT(_xlfn.CONCAT("'",$A65,"'!C11"))&gt;=O$2,"i",""))</f>
        <v>d</v>
      </c>
      <c r="P65" s="1" t="str" cm="1">
        <f t="array" aca="1" ref="P65" ca="1">IF(INDIRECT(_xlfn.CONCAT("'",$A65,"'!C10"))&gt;=P$2,"d",IF(INDIRECT(_xlfn.CONCAT("'",$A65,"'!C11"))&gt;=P$2,"i",""))</f>
        <v>d</v>
      </c>
      <c r="Q65" s="1" t="str" cm="1">
        <f t="array" aca="1" ref="Q65" ca="1">IF(INDIRECT(_xlfn.CONCAT("'",$A65,"'!C10"))&gt;=Q$2,"d",IF(INDIRECT(_xlfn.CONCAT("'",$A65,"'!C11"))&gt;=Q$2,"i",""))</f>
        <v>d</v>
      </c>
      <c r="R65" s="1" t="str" cm="1">
        <f t="array" aca="1" ref="R65" ca="1">IF(INDIRECT(_xlfn.CONCAT("'",$A65,"'!C10"))&gt;=R$2,"d",IF(INDIRECT(_xlfn.CONCAT("'",$A65,"'!C11"))&gt;=R$2,"i",""))</f>
        <v>d</v>
      </c>
      <c r="S65" s="36"/>
      <c r="T65" s="1" t="str" cm="1">
        <f t="array" aca="1" ref="T65" ca="1">IF(INDIRECT(_xlfn.CONCAT("'",$A65,"'!F4"))&gt;=T$2,"d",IF(INDIRECT(_xlfn.CONCAT("'",$A65,"'!F5"))&gt;=T$2,"i",""))</f>
        <v>d</v>
      </c>
      <c r="U65" s="1" t="str" cm="1">
        <f t="array" aca="1" ref="U65" ca="1">IF(INDIRECT(_xlfn.CONCAT("'",$A65,"'!F4"))&gt;=U$2,"d",IF(INDIRECT(_xlfn.CONCAT("'",$A65,"'!F5"))&gt;=U$2,"i",""))</f>
        <v>d</v>
      </c>
      <c r="V65" s="1" t="str" cm="1">
        <f t="array" aca="1" ref="V65" ca="1">IF(INDIRECT(_xlfn.CONCAT("'",$A65,"'!F4"))&gt;=V$2,"d",IF(INDIRECT(_xlfn.CONCAT("'",$A65,"'!F5"))&gt;=V$2,"i",""))</f>
        <v>d</v>
      </c>
      <c r="W65" s="1" t="str" cm="1">
        <f t="array" aca="1" ref="W65" ca="1">IF(INDIRECT(_xlfn.CONCAT("'",$A65,"'!F4"))&gt;=W$2,"d",IF(INDIRECT(_xlfn.CONCAT("'",$A65,"'!F5"))&gt;=W$2,"i",""))</f>
        <v>d</v>
      </c>
      <c r="X65" s="1" t="str" cm="1">
        <f t="array" aca="1" ref="X65" ca="1">IF(INDIRECT(_xlfn.CONCAT("'",$A65,"'!F4"))&gt;=X$2,"d",IF(INDIRECT(_xlfn.CONCAT("'",$A65,"'!F5"))&gt;=X$2,"i",""))</f>
        <v>d</v>
      </c>
      <c r="Y65" s="1" t="str" cm="1">
        <f t="array" aca="1" ref="Y65" ca="1">IF(INDIRECT(_xlfn.CONCAT("'",$A65,"'!F4"))&gt;=Y$2,"d",IF(INDIRECT(_xlfn.CONCAT("'",$A65,"'!F5"))&gt;=Y$2,"i",""))</f>
        <v>d</v>
      </c>
      <c r="Z65" s="1" t="str" cm="1">
        <f t="array" aca="1" ref="Z65" ca="1">IF(INDIRECT(_xlfn.CONCAT("'",$A65,"'!F4"))&gt;=Z$2,"d",IF(INDIRECT(_xlfn.CONCAT("'",$A65,"'!F5"))&gt;=Z$2,"i",""))</f>
        <v>d</v>
      </c>
      <c r="AA65" s="1" t="str" cm="1">
        <f t="array" aca="1" ref="AA65" ca="1">IF(INDIRECT(_xlfn.CONCAT("'",$A65,"'!F4"))&gt;=AA$2,"d",IF(INDIRECT(_xlfn.CONCAT("'",$A65,"'!F5"))&gt;=AA$2,"i",""))</f>
        <v>d</v>
      </c>
      <c r="AB65" s="1" t="str" cm="1">
        <f t="array" aca="1" ref="AB65" ca="1">IF(INDIRECT(_xlfn.CONCAT("'",$A65,"'!F4"))&gt;=AB$2,"d",IF(INDIRECT(_xlfn.CONCAT("'",$A65,"'!F5"))&gt;=AB$2,"i",""))</f>
        <v/>
      </c>
      <c r="AC65" s="36"/>
      <c r="AD65" s="1" t="str" cm="1">
        <f t="array" aca="1" ref="AD65" ca="1">IF(INDIRECT(_xlfn.CONCAT("'",$A65,"'!F17"))&gt;=AD$2,"d",IF(INDIRECT(_xlfn.CONCAT("'",$A65,"'!F18"))&gt;=AD$2,"i",""))</f>
        <v>d</v>
      </c>
      <c r="AE65" s="1" t="str" cm="1">
        <f t="array" aca="1" ref="AE65" ca="1">IF(INDIRECT(_xlfn.CONCAT("'",$A65,"'!F17"))&gt;=AE$2,"d",IF(INDIRECT(_xlfn.CONCAT("'",$A65,"'!F18"))&gt;=AE$2,"i",""))</f>
        <v>d</v>
      </c>
      <c r="AF65" s="1" t="str" cm="1">
        <f t="array" aca="1" ref="AF65" ca="1">IF(INDIRECT(_xlfn.CONCAT("'",$A65,"'!F17"))&gt;=AF$2,"d",IF(INDIRECT(_xlfn.CONCAT("'",$A65,"'!F18"))&gt;=AF$2,"i",""))</f>
        <v>d</v>
      </c>
      <c r="AG65" s="1" t="str" cm="1">
        <f t="array" aca="1" ref="AG65" ca="1">IF(INDIRECT(_xlfn.CONCAT("'",$A65,"'!F17"))&gt;=AG$2,"d",IF(INDIRECT(_xlfn.CONCAT("'",$A65,"'!F18"))&gt;=AG$2,"i",""))</f>
        <v>d</v>
      </c>
      <c r="AH65" s="1" t="str" cm="1">
        <f t="array" aca="1" ref="AH65" ca="1">IF(INDIRECT(_xlfn.CONCAT("'",$A65,"'!F17"))&gt;=AH$2,"d",IF(INDIRECT(_xlfn.CONCAT("'",$A65,"'!F18"))&gt;=AH$2,"i",""))</f>
        <v>d</v>
      </c>
      <c r="AI65" s="1" t="str" cm="1">
        <f t="array" aca="1" ref="AI65" ca="1">IF(INDIRECT(_xlfn.CONCAT("'",$A65,"'!F17"))&gt;=AI$2,"d",IF(INDIRECT(_xlfn.CONCAT("'",$A65,"'!F18"))&gt;=AI$2,"i",""))</f>
        <v>d</v>
      </c>
      <c r="AJ65" s="1" t="str" cm="1">
        <f t="array" aca="1" ref="AJ65" ca="1">IF(INDIRECT(_xlfn.CONCAT("'",$A65,"'!F17"))&gt;=AJ$2,"d",IF(INDIRECT(_xlfn.CONCAT("'",$A65,"'!F18"))&gt;=AJ$2,"i",""))</f>
        <v>d</v>
      </c>
      <c r="AK65" s="1" t="str" cm="1">
        <f t="array" aca="1" ref="AK65" ca="1">IF(INDIRECT(_xlfn.CONCAT("'",$A65,"'!F17"))&gt;=AK$2,"d",IF(INDIRECT(_xlfn.CONCAT("'",$A65,"'!F18"))&gt;=AK$2,"i",""))</f>
        <v>d</v>
      </c>
      <c r="AL65" s="1" t="str" cm="1">
        <f t="array" aca="1" ref="AL65" ca="1">IF(INDIRECT(_xlfn.CONCAT("'",$A65,"'!F17"))&gt;=AL$2,"d",IF(INDIRECT(_xlfn.CONCAT("'",$A65,"'!F18"))&gt;=AL$2,"i",""))</f>
        <v/>
      </c>
      <c r="AM65" s="36"/>
      <c r="AN65" s="1" t="str" cm="1">
        <f t="array" aca="1" ref="AN65" ca="1">IF(INDIRECT(_xlfn.CONCAT("'",$A65,"'!F30"))&gt;=AN$2,"d",IF(INDIRECT(_xlfn.CONCAT("'",$A65,"'!F31"))&gt;=AN$2,"i",""))</f>
        <v>d</v>
      </c>
      <c r="AO65" s="1" t="str" cm="1">
        <f t="array" aca="1" ref="AO65" ca="1">IF(INDIRECT(_xlfn.CONCAT("'",$A65,"'!F30"))&gt;=AO$2,"d",IF(INDIRECT(_xlfn.CONCAT("'",$A65,"'!F31"))&gt;=AO$2,"i",""))</f>
        <v>d</v>
      </c>
      <c r="AP65" s="1" t="str" cm="1">
        <f t="array" aca="1" ref="AP65" ca="1">IF(INDIRECT(_xlfn.CONCAT("'",$A65,"'!F30"))&gt;=AP$2,"d",IF(INDIRECT(_xlfn.CONCAT("'",$A65,"'!F31"))&gt;=AP$2,"i",""))</f>
        <v>d</v>
      </c>
      <c r="AQ65" s="1" t="str" cm="1">
        <f t="array" aca="1" ref="AQ65" ca="1">IF(INDIRECT(_xlfn.CONCAT("'",$A65,"'!F30"))&gt;=AQ$2,"d",IF(INDIRECT(_xlfn.CONCAT("'",$A65,"'!F31"))&gt;=AQ$2,"i",""))</f>
        <v>d</v>
      </c>
      <c r="AR65" s="1" t="str" cm="1">
        <f t="array" aca="1" ref="AR65" ca="1">IF(INDIRECT(_xlfn.CONCAT("'",$A65,"'!F30"))&gt;=AR$2,"d",IF(INDIRECT(_xlfn.CONCAT("'",$A65,"'!F31"))&gt;=AR$2,"i",""))</f>
        <v>d</v>
      </c>
      <c r="AS65" s="1" t="str" cm="1">
        <f t="array" aca="1" ref="AS65" ca="1">IF(INDIRECT(_xlfn.CONCAT("'",$A65,"'!F30"))&gt;=AS$2,"d",IF(INDIRECT(_xlfn.CONCAT("'",$A65,"'!F31"))&gt;=AS$2,"i",""))</f>
        <v>d</v>
      </c>
      <c r="AT65" s="1" t="str" cm="1">
        <f t="array" aca="1" ref="AT65" ca="1">IF(INDIRECT(_xlfn.CONCAT("'",$A65,"'!F30"))&gt;=AT$2,"d",IF(INDIRECT(_xlfn.CONCAT("'",$A65,"'!F31"))&gt;=AT$2,"i",""))</f>
        <v>d</v>
      </c>
      <c r="AU65" s="1" t="str" cm="1">
        <f t="array" aca="1" ref="AU65" ca="1">IF(INDIRECT(_xlfn.CONCAT("'",$A65,"'!F30"))&gt;=AU$2,"d",IF(INDIRECT(_xlfn.CONCAT("'",$A65,"'!F31"))&gt;=AU$2,"i",""))</f>
        <v>d</v>
      </c>
      <c r="AV65" s="4" t="str" cm="1">
        <f t="array" aca="1" ref="AV65" ca="1">IF(INDIRECT(_xlfn.CONCAT("'",$A65,"'!F30"))&gt;=AV$2,"d",IF(INDIRECT(_xlfn.CONCAT("'",$A65,"'!F31"))&gt;=AV$2,"i",""))</f>
        <v/>
      </c>
    </row>
    <row r="66" spans="1:48" x14ac:dyDescent="0.25">
      <c r="A66" s="119" t="str">
        <v>Nahida</v>
      </c>
      <c r="B66" s="4" t="str">
        <f t="shared" ref="B66:B67" si="12">VLOOKUP(A66,Character_List,2,FALSE)</f>
        <v>Dendro</v>
      </c>
      <c r="C66" s="38" t="str">
        <f t="shared" ref="C66:C68" si="13">VLOOKUP(A66,Character_List,7,FALSE)</f>
        <v>Sumeru 2</v>
      </c>
      <c r="D66" s="85" t="str">
        <f t="shared" ref="D66:D67" si="14">VLOOKUP(A66,Character_List,8,FALSE)</f>
        <v>Scaramouche 1</v>
      </c>
      <c r="E66" s="14" t="str" cm="1">
        <f t="array" aca="1" ref="E66" ca="1">IF(INDIRECT(_xlfn.CONCAT("'",$A66,"'!B4"))&gt;=E$2,"d",IF(INDIRECT(_xlfn.CONCAT("'",$A66,"'!B5"))&gt;=E$2,"i",""))</f>
        <v>d</v>
      </c>
      <c r="F66" s="1" t="str" cm="1">
        <f t="array" aca="1" ref="F66" ca="1">IF(INDIRECT(_xlfn.CONCAT("'",$A66,"'!B4"))&gt;=F$2,"d",IF(INDIRECT(_xlfn.CONCAT("'",$A66,"'!B5"))&gt;=F$2,"i",""))</f>
        <v>d</v>
      </c>
      <c r="G66" s="1" t="str" cm="1">
        <f t="array" aca="1" ref="G66" ca="1">IF(INDIRECT(_xlfn.CONCAT("'",$A66,"'!B4"))&gt;=G$2,"d",IF(INDIRECT(_xlfn.CONCAT("'",$A66,"'!B5"))&gt;=G$2,"i",""))</f>
        <v>d</v>
      </c>
      <c r="H66" s="1" t="str" cm="1">
        <f t="array" aca="1" ref="H66" ca="1">IF(INDIRECT(_xlfn.CONCAT("'",$A66,"'!B4"))&gt;=H$2,"d",IF(INDIRECT(_xlfn.CONCAT("'",$A66,"'!B5"))&gt;=H$2,"i",""))</f>
        <v>d</v>
      </c>
      <c r="I66" s="1" t="str" cm="1">
        <f t="array" aca="1" ref="I66" ca="1">IF(INDIRECT(_xlfn.CONCAT("'",$A66,"'!B4"))&gt;=I$2,"d",IF(INDIRECT(_xlfn.CONCAT("'",$A66,"'!B5"))&gt;=I$2,"i",""))</f>
        <v>d</v>
      </c>
      <c r="J66" s="1" t="str" cm="1">
        <f t="array" aca="1" ref="J66" ca="1">IF(INDIRECT(_xlfn.CONCAT("'",$A66,"'!B4"))&gt;=J$2,"d",IF(INDIRECT(_xlfn.CONCAT("'",$A66,"'!B5"))&gt;=J$2,"i",""))</f>
        <v>d</v>
      </c>
      <c r="K66" s="4" t="str" cm="1">
        <f t="array" aca="1" ref="K66" ca="1">IF(INDIRECT(_xlfn.CONCAT("'",$A66,"'!B4"))&gt;=K$2,"d",IF(INDIRECT(_xlfn.CONCAT("'",$A66,"'!B5"))&gt;=K$2,"i",""))</f>
        <v>d</v>
      </c>
      <c r="L66" s="39"/>
      <c r="M66" s="1" t="str" cm="1">
        <f t="array" aca="1" ref="M66" ca="1">IF(INDIRECT(_xlfn.CONCAT("'",$A66,"'!C10"))&gt;=M$2,"d",IF(INDIRECT(_xlfn.CONCAT("'",$A66,"'!C11"))&gt;=M$2,"i",""))</f>
        <v>d</v>
      </c>
      <c r="N66" s="1" t="str" cm="1">
        <f t="array" aca="1" ref="N66" ca="1">IF(INDIRECT(_xlfn.CONCAT("'",$A66,"'!C10"))&gt;=N$2,"d",IF(INDIRECT(_xlfn.CONCAT("'",$A66,"'!C11"))&gt;=N$2,"i",""))</f>
        <v>d</v>
      </c>
      <c r="O66" s="1" t="str" cm="1">
        <f t="array" aca="1" ref="O66" ca="1">IF(INDIRECT(_xlfn.CONCAT("'",$A66,"'!C10"))&gt;=O$2,"d",IF(INDIRECT(_xlfn.CONCAT("'",$A66,"'!C11"))&gt;=O$2,"i",""))</f>
        <v>d</v>
      </c>
      <c r="P66" s="1" t="str" cm="1">
        <f t="array" aca="1" ref="P66" ca="1">IF(INDIRECT(_xlfn.CONCAT("'",$A66,"'!C10"))&gt;=P$2,"d",IF(INDIRECT(_xlfn.CONCAT("'",$A66,"'!C11"))&gt;=P$2,"i",""))</f>
        <v>d</v>
      </c>
      <c r="Q66" s="1" t="str" cm="1">
        <f t="array" aca="1" ref="Q66" ca="1">IF(INDIRECT(_xlfn.CONCAT("'",$A66,"'!C10"))&gt;=Q$2,"d",IF(INDIRECT(_xlfn.CONCAT("'",$A66,"'!C11"))&gt;=Q$2,"i",""))</f>
        <v>d</v>
      </c>
      <c r="R66" s="1" t="str" cm="1">
        <f t="array" aca="1" ref="R66" ca="1">IF(INDIRECT(_xlfn.CONCAT("'",$A66,"'!C10"))&gt;=R$2,"d",IF(INDIRECT(_xlfn.CONCAT("'",$A66,"'!C11"))&gt;=R$2,"i",""))</f>
        <v>d</v>
      </c>
      <c r="S66" s="36"/>
      <c r="T66" s="1" t="str" cm="1">
        <f t="array" aca="1" ref="T66" ca="1">IF(INDIRECT(_xlfn.CONCAT("'",$A66,"'!F4"))&gt;=T$2,"d",IF(INDIRECT(_xlfn.CONCAT("'",$A66,"'!F5"))&gt;=T$2,"i",""))</f>
        <v>d</v>
      </c>
      <c r="U66" s="1" t="str" cm="1">
        <f t="array" aca="1" ref="U66" ca="1">IF(INDIRECT(_xlfn.CONCAT("'",$A66,"'!F4"))&gt;=U$2,"d",IF(INDIRECT(_xlfn.CONCAT("'",$A66,"'!F5"))&gt;=U$2,"i",""))</f>
        <v>d</v>
      </c>
      <c r="V66" s="1" t="str" cm="1">
        <f t="array" aca="1" ref="V66" ca="1">IF(INDIRECT(_xlfn.CONCAT("'",$A66,"'!F4"))&gt;=V$2,"d",IF(INDIRECT(_xlfn.CONCAT("'",$A66,"'!F5"))&gt;=V$2,"i",""))</f>
        <v>d</v>
      </c>
      <c r="W66" s="1" t="str" cm="1">
        <f t="array" aca="1" ref="W66" ca="1">IF(INDIRECT(_xlfn.CONCAT("'",$A66,"'!F4"))&gt;=W$2,"d",IF(INDIRECT(_xlfn.CONCAT("'",$A66,"'!F5"))&gt;=W$2,"i",""))</f>
        <v>d</v>
      </c>
      <c r="X66" s="1" t="str" cm="1">
        <f t="array" aca="1" ref="X66" ca="1">IF(INDIRECT(_xlfn.CONCAT("'",$A66,"'!F4"))&gt;=X$2,"d",IF(INDIRECT(_xlfn.CONCAT("'",$A66,"'!F5"))&gt;=X$2,"i",""))</f>
        <v>d</v>
      </c>
      <c r="Y66" s="1" t="str" cm="1">
        <f t="array" aca="1" ref="Y66" ca="1">IF(INDIRECT(_xlfn.CONCAT("'",$A66,"'!F4"))&gt;=Y$2,"d",IF(INDIRECT(_xlfn.CONCAT("'",$A66,"'!F5"))&gt;=Y$2,"i",""))</f>
        <v>d</v>
      </c>
      <c r="Z66" s="1" t="str" cm="1">
        <f t="array" aca="1" ref="Z66" ca="1">IF(INDIRECT(_xlfn.CONCAT("'",$A66,"'!F4"))&gt;=Z$2,"d",IF(INDIRECT(_xlfn.CONCAT("'",$A66,"'!F5"))&gt;=Z$2,"i",""))</f>
        <v>d</v>
      </c>
      <c r="AA66" s="1" t="str" cm="1">
        <f t="array" aca="1" ref="AA66" ca="1">IF(INDIRECT(_xlfn.CONCAT("'",$A66,"'!F4"))&gt;=AA$2,"d",IF(INDIRECT(_xlfn.CONCAT("'",$A66,"'!F5"))&gt;=AA$2,"i",""))</f>
        <v>d</v>
      </c>
      <c r="AB66" s="1" t="str" cm="1">
        <f t="array" aca="1" ref="AB66" ca="1">IF(INDIRECT(_xlfn.CONCAT("'",$A66,"'!F4"))&gt;=AB$2,"d",IF(INDIRECT(_xlfn.CONCAT("'",$A66,"'!F5"))&gt;=AB$2,"i",""))</f>
        <v/>
      </c>
      <c r="AC66" s="36"/>
      <c r="AD66" s="1" t="str" cm="1">
        <f t="array" aca="1" ref="AD66" ca="1">IF(INDIRECT(_xlfn.CONCAT("'",$A66,"'!F17"))&gt;=AD$2,"d",IF(INDIRECT(_xlfn.CONCAT("'",$A66,"'!F18"))&gt;=AD$2,"i",""))</f>
        <v>d</v>
      </c>
      <c r="AE66" s="1" t="str" cm="1">
        <f t="array" aca="1" ref="AE66" ca="1">IF(INDIRECT(_xlfn.CONCAT("'",$A66,"'!F17"))&gt;=AE$2,"d",IF(INDIRECT(_xlfn.CONCAT("'",$A66,"'!F18"))&gt;=AE$2,"i",""))</f>
        <v>d</v>
      </c>
      <c r="AF66" s="1" t="str" cm="1">
        <f t="array" aca="1" ref="AF66" ca="1">IF(INDIRECT(_xlfn.CONCAT("'",$A66,"'!F17"))&gt;=AF$2,"d",IF(INDIRECT(_xlfn.CONCAT("'",$A66,"'!F18"))&gt;=AF$2,"i",""))</f>
        <v>d</v>
      </c>
      <c r="AG66" s="1" t="str" cm="1">
        <f t="array" aca="1" ref="AG66" ca="1">IF(INDIRECT(_xlfn.CONCAT("'",$A66,"'!F17"))&gt;=AG$2,"d",IF(INDIRECT(_xlfn.CONCAT("'",$A66,"'!F18"))&gt;=AG$2,"i",""))</f>
        <v>d</v>
      </c>
      <c r="AH66" s="1" t="str" cm="1">
        <f t="array" aca="1" ref="AH66" ca="1">IF(INDIRECT(_xlfn.CONCAT("'",$A66,"'!F17"))&gt;=AH$2,"d",IF(INDIRECT(_xlfn.CONCAT("'",$A66,"'!F18"))&gt;=AH$2,"i",""))</f>
        <v>d</v>
      </c>
      <c r="AI66" s="1" t="str" cm="1">
        <f t="array" aca="1" ref="AI66" ca="1">IF(INDIRECT(_xlfn.CONCAT("'",$A66,"'!F17"))&gt;=AI$2,"d",IF(INDIRECT(_xlfn.CONCAT("'",$A66,"'!F18"))&gt;=AI$2,"i",""))</f>
        <v>d</v>
      </c>
      <c r="AJ66" s="1" t="str" cm="1">
        <f t="array" aca="1" ref="AJ66" ca="1">IF(INDIRECT(_xlfn.CONCAT("'",$A66,"'!F17"))&gt;=AJ$2,"d",IF(INDIRECT(_xlfn.CONCAT("'",$A66,"'!F18"))&gt;=AJ$2,"i",""))</f>
        <v>d</v>
      </c>
      <c r="AK66" s="1" t="str" cm="1">
        <f t="array" aca="1" ref="AK66" ca="1">IF(INDIRECT(_xlfn.CONCAT("'",$A66,"'!F17"))&gt;=AK$2,"d",IF(INDIRECT(_xlfn.CONCAT("'",$A66,"'!F18"))&gt;=AK$2,"i",""))</f>
        <v>d</v>
      </c>
      <c r="AL66" s="1" t="str" cm="1">
        <f t="array" aca="1" ref="AL66" ca="1">IF(INDIRECT(_xlfn.CONCAT("'",$A66,"'!F17"))&gt;=AL$2,"d",IF(INDIRECT(_xlfn.CONCAT("'",$A66,"'!F18"))&gt;=AL$2,"i",""))</f>
        <v/>
      </c>
      <c r="AM66" s="36"/>
      <c r="AN66" s="1" t="str" cm="1">
        <f t="array" aca="1" ref="AN66" ca="1">IF(INDIRECT(_xlfn.CONCAT("'",$A66,"'!F30"))&gt;=AN$2,"d",IF(INDIRECT(_xlfn.CONCAT("'",$A66,"'!F31"))&gt;=AN$2,"i",""))</f>
        <v>d</v>
      </c>
      <c r="AO66" s="1" t="str" cm="1">
        <f t="array" aca="1" ref="AO66" ca="1">IF(INDIRECT(_xlfn.CONCAT("'",$A66,"'!F30"))&gt;=AO$2,"d",IF(INDIRECT(_xlfn.CONCAT("'",$A66,"'!F31"))&gt;=AO$2,"i",""))</f>
        <v>d</v>
      </c>
      <c r="AP66" s="1" t="str" cm="1">
        <f t="array" aca="1" ref="AP66" ca="1">IF(INDIRECT(_xlfn.CONCAT("'",$A66,"'!F30"))&gt;=AP$2,"d",IF(INDIRECT(_xlfn.CONCAT("'",$A66,"'!F31"))&gt;=AP$2,"i",""))</f>
        <v>d</v>
      </c>
      <c r="AQ66" s="1" t="str" cm="1">
        <f t="array" aca="1" ref="AQ66" ca="1">IF(INDIRECT(_xlfn.CONCAT("'",$A66,"'!F30"))&gt;=AQ$2,"d",IF(INDIRECT(_xlfn.CONCAT("'",$A66,"'!F31"))&gt;=AQ$2,"i",""))</f>
        <v>d</v>
      </c>
      <c r="AR66" s="1" t="str" cm="1">
        <f t="array" aca="1" ref="AR66" ca="1">IF(INDIRECT(_xlfn.CONCAT("'",$A66,"'!F30"))&gt;=AR$2,"d",IF(INDIRECT(_xlfn.CONCAT("'",$A66,"'!F31"))&gt;=AR$2,"i",""))</f>
        <v>d</v>
      </c>
      <c r="AS66" s="1" t="str" cm="1">
        <f t="array" aca="1" ref="AS66" ca="1">IF(INDIRECT(_xlfn.CONCAT("'",$A66,"'!F30"))&gt;=AS$2,"d",IF(INDIRECT(_xlfn.CONCAT("'",$A66,"'!F31"))&gt;=AS$2,"i",""))</f>
        <v>d</v>
      </c>
      <c r="AT66" s="1" t="str" cm="1">
        <f t="array" aca="1" ref="AT66" ca="1">IF(INDIRECT(_xlfn.CONCAT("'",$A66,"'!F30"))&gt;=AT$2,"d",IF(INDIRECT(_xlfn.CONCAT("'",$A66,"'!F31"))&gt;=AT$2,"i",""))</f>
        <v>d</v>
      </c>
      <c r="AU66" s="1" t="str" cm="1">
        <f t="array" aca="1" ref="AU66" ca="1">IF(INDIRECT(_xlfn.CONCAT("'",$A66,"'!F30"))&gt;=AU$2,"d",IF(INDIRECT(_xlfn.CONCAT("'",$A66,"'!F31"))&gt;=AU$2,"i",""))</f>
        <v>d</v>
      </c>
      <c r="AV66" s="4" t="str" cm="1">
        <f t="array" aca="1" ref="AV66" ca="1">IF(INDIRECT(_xlfn.CONCAT("'",$A66,"'!F30"))&gt;=AV$2,"d",IF(INDIRECT(_xlfn.CONCAT("'",$A66,"'!F31"))&gt;=AV$2,"i",""))</f>
        <v/>
      </c>
    </row>
    <row r="67" spans="1:48" x14ac:dyDescent="0.25">
      <c r="A67" s="119" t="str">
        <v>Layla</v>
      </c>
      <c r="B67" s="4" t="str">
        <f t="shared" si="12"/>
        <v>Cryo</v>
      </c>
      <c r="C67" s="38" t="str">
        <f t="shared" si="13"/>
        <v>Sumeru 2</v>
      </c>
      <c r="D67" s="85" t="str">
        <f t="shared" si="14"/>
        <v>Scaramouche 2</v>
      </c>
      <c r="E67" s="14" t="str" cm="1">
        <f t="array" aca="1" ref="E67" ca="1">IF(INDIRECT(_xlfn.CONCAT("'",$A67,"'!B4"))&gt;=E$2,"d",IF(INDIRECT(_xlfn.CONCAT("'",$A67,"'!B5"))&gt;=E$2,"i",""))</f>
        <v>d</v>
      </c>
      <c r="F67" s="1" t="str" cm="1">
        <f t="array" aca="1" ref="F67" ca="1">IF(INDIRECT(_xlfn.CONCAT("'",$A67,"'!B4"))&gt;=F$2,"d",IF(INDIRECT(_xlfn.CONCAT("'",$A67,"'!B5"))&gt;=F$2,"i",""))</f>
        <v>d</v>
      </c>
      <c r="G67" s="1" t="str" cm="1">
        <f t="array" aca="1" ref="G67" ca="1">IF(INDIRECT(_xlfn.CONCAT("'",$A67,"'!B4"))&gt;=G$2,"d",IF(INDIRECT(_xlfn.CONCAT("'",$A67,"'!B5"))&gt;=G$2,"i",""))</f>
        <v>d</v>
      </c>
      <c r="H67" s="1" t="str" cm="1">
        <f t="array" aca="1" ref="H67" ca="1">IF(INDIRECT(_xlfn.CONCAT("'",$A67,"'!B4"))&gt;=H$2,"d",IF(INDIRECT(_xlfn.CONCAT("'",$A67,"'!B5"))&gt;=H$2,"i",""))</f>
        <v>d</v>
      </c>
      <c r="I67" s="1" t="str" cm="1">
        <f t="array" aca="1" ref="I67" ca="1">IF(INDIRECT(_xlfn.CONCAT("'",$A67,"'!B4"))&gt;=I$2,"d",IF(INDIRECT(_xlfn.CONCAT("'",$A67,"'!B5"))&gt;=I$2,"i",""))</f>
        <v>d</v>
      </c>
      <c r="J67" s="1" t="str" cm="1">
        <f t="array" aca="1" ref="J67" ca="1">IF(INDIRECT(_xlfn.CONCAT("'",$A67,"'!B4"))&gt;=J$2,"d",IF(INDIRECT(_xlfn.CONCAT("'",$A67,"'!B5"))&gt;=J$2,"i",""))</f>
        <v>d</v>
      </c>
      <c r="K67" s="4" t="str" cm="1">
        <f t="array" aca="1" ref="K67" ca="1">IF(INDIRECT(_xlfn.CONCAT("'",$A67,"'!B4"))&gt;=K$2,"d",IF(INDIRECT(_xlfn.CONCAT("'",$A67,"'!B5"))&gt;=K$2,"i",""))</f>
        <v>d</v>
      </c>
      <c r="L67" s="39"/>
      <c r="M67" s="1" t="str" cm="1">
        <f t="array" aca="1" ref="M67" ca="1">IF(INDIRECT(_xlfn.CONCAT("'",$A67,"'!C10"))&gt;=M$2,"d",IF(INDIRECT(_xlfn.CONCAT("'",$A67,"'!C11"))&gt;=M$2,"i",""))</f>
        <v>d</v>
      </c>
      <c r="N67" s="1" t="str" cm="1">
        <f t="array" aca="1" ref="N67" ca="1">IF(INDIRECT(_xlfn.CONCAT("'",$A67,"'!C10"))&gt;=N$2,"d",IF(INDIRECT(_xlfn.CONCAT("'",$A67,"'!C11"))&gt;=N$2,"i",""))</f>
        <v>d</v>
      </c>
      <c r="O67" s="1" t="str" cm="1">
        <f t="array" aca="1" ref="O67" ca="1">IF(INDIRECT(_xlfn.CONCAT("'",$A67,"'!C10"))&gt;=O$2,"d",IF(INDIRECT(_xlfn.CONCAT("'",$A67,"'!C11"))&gt;=O$2,"i",""))</f>
        <v>d</v>
      </c>
      <c r="P67" s="1" t="str" cm="1">
        <f t="array" aca="1" ref="P67" ca="1">IF(INDIRECT(_xlfn.CONCAT("'",$A67,"'!C10"))&gt;=P$2,"d",IF(INDIRECT(_xlfn.CONCAT("'",$A67,"'!C11"))&gt;=P$2,"i",""))</f>
        <v>d</v>
      </c>
      <c r="Q67" s="1" t="str" cm="1">
        <f t="array" aca="1" ref="Q67" ca="1">IF(INDIRECT(_xlfn.CONCAT("'",$A67,"'!C10"))&gt;=Q$2,"d",IF(INDIRECT(_xlfn.CONCAT("'",$A67,"'!C11"))&gt;=Q$2,"i",""))</f>
        <v>d</v>
      </c>
      <c r="R67" s="1" t="str" cm="1">
        <f t="array" aca="1" ref="R67" ca="1">IF(INDIRECT(_xlfn.CONCAT("'",$A67,"'!C10"))&gt;=R$2,"d",IF(INDIRECT(_xlfn.CONCAT("'",$A67,"'!C11"))&gt;=R$2,"i",""))</f>
        <v>d</v>
      </c>
      <c r="S67" s="36"/>
      <c r="T67" s="1" t="str" cm="1">
        <f t="array" aca="1" ref="T67" ca="1">IF(INDIRECT(_xlfn.CONCAT("'",$A67,"'!F4"))&gt;=T$2,"d",IF(INDIRECT(_xlfn.CONCAT("'",$A67,"'!F5"))&gt;=T$2,"i",""))</f>
        <v>d</v>
      </c>
      <c r="U67" s="1" t="str" cm="1">
        <f t="array" aca="1" ref="U67" ca="1">IF(INDIRECT(_xlfn.CONCAT("'",$A67,"'!F4"))&gt;=U$2,"d",IF(INDIRECT(_xlfn.CONCAT("'",$A67,"'!F5"))&gt;=U$2,"i",""))</f>
        <v>d</v>
      </c>
      <c r="V67" s="1" t="str" cm="1">
        <f t="array" aca="1" ref="V67" ca="1">IF(INDIRECT(_xlfn.CONCAT("'",$A67,"'!F4"))&gt;=V$2,"d",IF(INDIRECT(_xlfn.CONCAT("'",$A67,"'!F5"))&gt;=V$2,"i",""))</f>
        <v>d</v>
      </c>
      <c r="W67" s="1" t="str" cm="1">
        <f t="array" aca="1" ref="W67" ca="1">IF(INDIRECT(_xlfn.CONCAT("'",$A67,"'!F4"))&gt;=W$2,"d",IF(INDIRECT(_xlfn.CONCAT("'",$A67,"'!F5"))&gt;=W$2,"i",""))</f>
        <v>d</v>
      </c>
      <c r="X67" s="1" t="str" cm="1">
        <f t="array" aca="1" ref="X67" ca="1">IF(INDIRECT(_xlfn.CONCAT("'",$A67,"'!F4"))&gt;=X$2,"d",IF(INDIRECT(_xlfn.CONCAT("'",$A67,"'!F5"))&gt;=X$2,"i",""))</f>
        <v>d</v>
      </c>
      <c r="Y67" s="1" t="str" cm="1">
        <f t="array" aca="1" ref="Y67" ca="1">IF(INDIRECT(_xlfn.CONCAT("'",$A67,"'!F4"))&gt;=Y$2,"d",IF(INDIRECT(_xlfn.CONCAT("'",$A67,"'!F5"))&gt;=Y$2,"i",""))</f>
        <v>d</v>
      </c>
      <c r="Z67" s="1" t="str" cm="1">
        <f t="array" aca="1" ref="Z67" ca="1">IF(INDIRECT(_xlfn.CONCAT("'",$A67,"'!F4"))&gt;=Z$2,"d",IF(INDIRECT(_xlfn.CONCAT("'",$A67,"'!F5"))&gt;=Z$2,"i",""))</f>
        <v>d</v>
      </c>
      <c r="AA67" s="1" t="str" cm="1">
        <f t="array" aca="1" ref="AA67" ca="1">IF(INDIRECT(_xlfn.CONCAT("'",$A67,"'!F4"))&gt;=AA$2,"d",IF(INDIRECT(_xlfn.CONCAT("'",$A67,"'!F5"))&gt;=AA$2,"i",""))</f>
        <v>d</v>
      </c>
      <c r="AB67" s="1" t="str" cm="1">
        <f t="array" aca="1" ref="AB67" ca="1">IF(INDIRECT(_xlfn.CONCAT("'",$A67,"'!F4"))&gt;=AB$2,"d",IF(INDIRECT(_xlfn.CONCAT("'",$A67,"'!F5"))&gt;=AB$2,"i",""))</f>
        <v/>
      </c>
      <c r="AC67" s="36"/>
      <c r="AD67" s="1" t="str" cm="1">
        <f t="array" aca="1" ref="AD67" ca="1">IF(INDIRECT(_xlfn.CONCAT("'",$A67,"'!F17"))&gt;=AD$2,"d",IF(INDIRECT(_xlfn.CONCAT("'",$A67,"'!F18"))&gt;=AD$2,"i",""))</f>
        <v>d</v>
      </c>
      <c r="AE67" s="1" t="str" cm="1">
        <f t="array" aca="1" ref="AE67" ca="1">IF(INDIRECT(_xlfn.CONCAT("'",$A67,"'!F17"))&gt;=AE$2,"d",IF(INDIRECT(_xlfn.CONCAT("'",$A67,"'!F18"))&gt;=AE$2,"i",""))</f>
        <v>d</v>
      </c>
      <c r="AF67" s="1" t="str" cm="1">
        <f t="array" aca="1" ref="AF67" ca="1">IF(INDIRECT(_xlfn.CONCAT("'",$A67,"'!F17"))&gt;=AF$2,"d",IF(INDIRECT(_xlfn.CONCAT("'",$A67,"'!F18"))&gt;=AF$2,"i",""))</f>
        <v>d</v>
      </c>
      <c r="AG67" s="1" t="str" cm="1">
        <f t="array" aca="1" ref="AG67" ca="1">IF(INDIRECT(_xlfn.CONCAT("'",$A67,"'!F17"))&gt;=AG$2,"d",IF(INDIRECT(_xlfn.CONCAT("'",$A67,"'!F18"))&gt;=AG$2,"i",""))</f>
        <v>d</v>
      </c>
      <c r="AH67" s="1" t="str" cm="1">
        <f t="array" aca="1" ref="AH67" ca="1">IF(INDIRECT(_xlfn.CONCAT("'",$A67,"'!F17"))&gt;=AH$2,"d",IF(INDIRECT(_xlfn.CONCAT("'",$A67,"'!F18"))&gt;=AH$2,"i",""))</f>
        <v>d</v>
      </c>
      <c r="AI67" s="1" t="str" cm="1">
        <f t="array" aca="1" ref="AI67" ca="1">IF(INDIRECT(_xlfn.CONCAT("'",$A67,"'!F17"))&gt;=AI$2,"d",IF(INDIRECT(_xlfn.CONCAT("'",$A67,"'!F18"))&gt;=AI$2,"i",""))</f>
        <v>d</v>
      </c>
      <c r="AJ67" s="1" t="str" cm="1">
        <f t="array" aca="1" ref="AJ67" ca="1">IF(INDIRECT(_xlfn.CONCAT("'",$A67,"'!F17"))&gt;=AJ$2,"d",IF(INDIRECT(_xlfn.CONCAT("'",$A67,"'!F18"))&gt;=AJ$2,"i",""))</f>
        <v>d</v>
      </c>
      <c r="AK67" s="1" t="str" cm="1">
        <f t="array" aca="1" ref="AK67" ca="1">IF(INDIRECT(_xlfn.CONCAT("'",$A67,"'!F17"))&gt;=AK$2,"d",IF(INDIRECT(_xlfn.CONCAT("'",$A67,"'!F18"))&gt;=AK$2,"i",""))</f>
        <v>d</v>
      </c>
      <c r="AL67" s="1" t="str" cm="1">
        <f t="array" aca="1" ref="AL67" ca="1">IF(INDIRECT(_xlfn.CONCAT("'",$A67,"'!F17"))&gt;=AL$2,"d",IF(INDIRECT(_xlfn.CONCAT("'",$A67,"'!F18"))&gt;=AL$2,"i",""))</f>
        <v/>
      </c>
      <c r="AM67" s="36"/>
      <c r="AN67" s="1" t="str" cm="1">
        <f t="array" aca="1" ref="AN67" ca="1">IF(INDIRECT(_xlfn.CONCAT("'",$A67,"'!F30"))&gt;=AN$2,"d",IF(INDIRECT(_xlfn.CONCAT("'",$A67,"'!F31"))&gt;=AN$2,"i",""))</f>
        <v>d</v>
      </c>
      <c r="AO67" s="1" t="str" cm="1">
        <f t="array" aca="1" ref="AO67" ca="1">IF(INDIRECT(_xlfn.CONCAT("'",$A67,"'!F30"))&gt;=AO$2,"d",IF(INDIRECT(_xlfn.CONCAT("'",$A67,"'!F31"))&gt;=AO$2,"i",""))</f>
        <v>d</v>
      </c>
      <c r="AP67" s="1" t="str" cm="1">
        <f t="array" aca="1" ref="AP67" ca="1">IF(INDIRECT(_xlfn.CONCAT("'",$A67,"'!F30"))&gt;=AP$2,"d",IF(INDIRECT(_xlfn.CONCAT("'",$A67,"'!F31"))&gt;=AP$2,"i",""))</f>
        <v>d</v>
      </c>
      <c r="AQ67" s="1" t="str" cm="1">
        <f t="array" aca="1" ref="AQ67" ca="1">IF(INDIRECT(_xlfn.CONCAT("'",$A67,"'!F30"))&gt;=AQ$2,"d",IF(INDIRECT(_xlfn.CONCAT("'",$A67,"'!F31"))&gt;=AQ$2,"i",""))</f>
        <v>d</v>
      </c>
      <c r="AR67" s="1" t="str" cm="1">
        <f t="array" aca="1" ref="AR67" ca="1">IF(INDIRECT(_xlfn.CONCAT("'",$A67,"'!F30"))&gt;=AR$2,"d",IF(INDIRECT(_xlfn.CONCAT("'",$A67,"'!F31"))&gt;=AR$2,"i",""))</f>
        <v>d</v>
      </c>
      <c r="AS67" s="1" t="str" cm="1">
        <f t="array" aca="1" ref="AS67" ca="1">IF(INDIRECT(_xlfn.CONCAT("'",$A67,"'!F30"))&gt;=AS$2,"d",IF(INDIRECT(_xlfn.CONCAT("'",$A67,"'!F31"))&gt;=AS$2,"i",""))</f>
        <v>d</v>
      </c>
      <c r="AT67" s="1" t="str" cm="1">
        <f t="array" aca="1" ref="AT67" ca="1">IF(INDIRECT(_xlfn.CONCAT("'",$A67,"'!F30"))&gt;=AT$2,"d",IF(INDIRECT(_xlfn.CONCAT("'",$A67,"'!F31"))&gt;=AT$2,"i",""))</f>
        <v>d</v>
      </c>
      <c r="AU67" s="1" t="str" cm="1">
        <f t="array" aca="1" ref="AU67" ca="1">IF(INDIRECT(_xlfn.CONCAT("'",$A67,"'!F30"))&gt;=AU$2,"d",IF(INDIRECT(_xlfn.CONCAT("'",$A67,"'!F31"))&gt;=AU$2,"i",""))</f>
        <v>d</v>
      </c>
      <c r="AV67" s="4" t="str" cm="1">
        <f t="array" aca="1" ref="AV67" ca="1">IF(INDIRECT(_xlfn.CONCAT("'",$A67,"'!F30"))&gt;=AV$2,"d",IF(INDIRECT(_xlfn.CONCAT("'",$A67,"'!F31"))&gt;=AV$2,"i",""))</f>
        <v/>
      </c>
    </row>
    <row r="68" spans="1:48" x14ac:dyDescent="0.25">
      <c r="A68" s="119" t="str">
        <v>Wanderer</v>
      </c>
      <c r="B68" s="4" t="str">
        <f t="shared" ref="B68:B69" si="15">VLOOKUP(A68,Character_List,2,FALSE)</f>
        <v>Anemo</v>
      </c>
      <c r="C68" s="38" t="str">
        <f t="shared" si="13"/>
        <v>Sumeru 3</v>
      </c>
      <c r="D68" s="85" t="str">
        <f t="shared" ref="D68:D69" si="16">VLOOKUP(A68,Character_List,8,FALSE)</f>
        <v>Scaramouche 3</v>
      </c>
      <c r="E68" s="14" t="str" cm="1">
        <f t="array" aca="1" ref="E68" ca="1">IF(INDIRECT(_xlfn.CONCAT("'",$A68,"'!B4"))&gt;=E$2,"d",IF(INDIRECT(_xlfn.CONCAT("'",$A68,"'!B5"))&gt;=E$2,"i",""))</f>
        <v>d</v>
      </c>
      <c r="F68" s="1" t="str" cm="1">
        <f t="array" aca="1" ref="F68" ca="1">IF(INDIRECT(_xlfn.CONCAT("'",$A68,"'!B4"))&gt;=F$2,"d",IF(INDIRECT(_xlfn.CONCAT("'",$A68,"'!B5"))&gt;=F$2,"i",""))</f>
        <v>d</v>
      </c>
      <c r="G68" s="1" t="str" cm="1">
        <f t="array" aca="1" ref="G68" ca="1">IF(INDIRECT(_xlfn.CONCAT("'",$A68,"'!B4"))&gt;=G$2,"d",IF(INDIRECT(_xlfn.CONCAT("'",$A68,"'!B5"))&gt;=G$2,"i",""))</f>
        <v>d</v>
      </c>
      <c r="H68" s="1" t="str" cm="1">
        <f t="array" aca="1" ref="H68" ca="1">IF(INDIRECT(_xlfn.CONCAT("'",$A68,"'!B4"))&gt;=H$2,"d",IF(INDIRECT(_xlfn.CONCAT("'",$A68,"'!B5"))&gt;=H$2,"i",""))</f>
        <v>d</v>
      </c>
      <c r="I68" s="1" t="str" cm="1">
        <f t="array" aca="1" ref="I68" ca="1">IF(INDIRECT(_xlfn.CONCAT("'",$A68,"'!B4"))&gt;=I$2,"d",IF(INDIRECT(_xlfn.CONCAT("'",$A68,"'!B5"))&gt;=I$2,"i",""))</f>
        <v>d</v>
      </c>
      <c r="J68" s="1" t="str" cm="1">
        <f t="array" aca="1" ref="J68" ca="1">IF(INDIRECT(_xlfn.CONCAT("'",$A68,"'!B4"))&gt;=J$2,"d",IF(INDIRECT(_xlfn.CONCAT("'",$A68,"'!B5"))&gt;=J$2,"i",""))</f>
        <v>d</v>
      </c>
      <c r="K68" s="4" t="str" cm="1">
        <f t="array" aca="1" ref="K68" ca="1">IF(INDIRECT(_xlfn.CONCAT("'",$A68,"'!B4"))&gt;=K$2,"d",IF(INDIRECT(_xlfn.CONCAT("'",$A68,"'!B5"))&gt;=K$2,"i",""))</f>
        <v>d</v>
      </c>
      <c r="L68" s="39"/>
      <c r="M68" s="1" t="str" cm="1">
        <f t="array" aca="1" ref="M68" ca="1">IF(INDIRECT(_xlfn.CONCAT("'",$A68,"'!C10"))&gt;=M$2,"d",IF(INDIRECT(_xlfn.CONCAT("'",$A68,"'!C11"))&gt;=M$2,"i",""))</f>
        <v>d</v>
      </c>
      <c r="N68" s="1" t="str" cm="1">
        <f t="array" aca="1" ref="N68" ca="1">IF(INDIRECT(_xlfn.CONCAT("'",$A68,"'!C10"))&gt;=N$2,"d",IF(INDIRECT(_xlfn.CONCAT("'",$A68,"'!C11"))&gt;=N$2,"i",""))</f>
        <v>d</v>
      </c>
      <c r="O68" s="1" t="str" cm="1">
        <f t="array" aca="1" ref="O68" ca="1">IF(INDIRECT(_xlfn.CONCAT("'",$A68,"'!C10"))&gt;=O$2,"d",IF(INDIRECT(_xlfn.CONCAT("'",$A68,"'!C11"))&gt;=O$2,"i",""))</f>
        <v>d</v>
      </c>
      <c r="P68" s="1" t="str" cm="1">
        <f t="array" aca="1" ref="P68" ca="1">IF(INDIRECT(_xlfn.CONCAT("'",$A68,"'!C10"))&gt;=P$2,"d",IF(INDIRECT(_xlfn.CONCAT("'",$A68,"'!C11"))&gt;=P$2,"i",""))</f>
        <v>d</v>
      </c>
      <c r="Q68" s="1" t="str" cm="1">
        <f t="array" aca="1" ref="Q68" ca="1">IF(INDIRECT(_xlfn.CONCAT("'",$A68,"'!C10"))&gt;=Q$2,"d",IF(INDIRECT(_xlfn.CONCAT("'",$A68,"'!C11"))&gt;=Q$2,"i",""))</f>
        <v>d</v>
      </c>
      <c r="R68" s="1" t="str" cm="1">
        <f t="array" aca="1" ref="R68" ca="1">IF(INDIRECT(_xlfn.CONCAT("'",$A68,"'!C10"))&gt;=R$2,"d",IF(INDIRECT(_xlfn.CONCAT("'",$A68,"'!C11"))&gt;=R$2,"i",""))</f>
        <v>d</v>
      </c>
      <c r="S68" s="36"/>
      <c r="T68" s="1" t="str" cm="1">
        <f t="array" aca="1" ref="T68" ca="1">IF(INDIRECT(_xlfn.CONCAT("'",$A68,"'!F4"))&gt;=T$2,"d",IF(INDIRECT(_xlfn.CONCAT("'",$A68,"'!F5"))&gt;=T$2,"i",""))</f>
        <v>d</v>
      </c>
      <c r="U68" s="1" t="str" cm="1">
        <f t="array" aca="1" ref="U68" ca="1">IF(INDIRECT(_xlfn.CONCAT("'",$A68,"'!F4"))&gt;=U$2,"d",IF(INDIRECT(_xlfn.CONCAT("'",$A68,"'!F5"))&gt;=U$2,"i",""))</f>
        <v>d</v>
      </c>
      <c r="V68" s="1" t="str" cm="1">
        <f t="array" aca="1" ref="V68" ca="1">IF(INDIRECT(_xlfn.CONCAT("'",$A68,"'!F4"))&gt;=V$2,"d",IF(INDIRECT(_xlfn.CONCAT("'",$A68,"'!F5"))&gt;=V$2,"i",""))</f>
        <v>d</v>
      </c>
      <c r="W68" s="1" t="str" cm="1">
        <f t="array" aca="1" ref="W68" ca="1">IF(INDIRECT(_xlfn.CONCAT("'",$A68,"'!F4"))&gt;=W$2,"d",IF(INDIRECT(_xlfn.CONCAT("'",$A68,"'!F5"))&gt;=W$2,"i",""))</f>
        <v>d</v>
      </c>
      <c r="X68" s="1" t="str" cm="1">
        <f t="array" aca="1" ref="X68" ca="1">IF(INDIRECT(_xlfn.CONCAT("'",$A68,"'!F4"))&gt;=X$2,"d",IF(INDIRECT(_xlfn.CONCAT("'",$A68,"'!F5"))&gt;=X$2,"i",""))</f>
        <v>d</v>
      </c>
      <c r="Y68" s="1" t="str" cm="1">
        <f t="array" aca="1" ref="Y68" ca="1">IF(INDIRECT(_xlfn.CONCAT("'",$A68,"'!F4"))&gt;=Y$2,"d",IF(INDIRECT(_xlfn.CONCAT("'",$A68,"'!F5"))&gt;=Y$2,"i",""))</f>
        <v>d</v>
      </c>
      <c r="Z68" s="1" t="str" cm="1">
        <f t="array" aca="1" ref="Z68" ca="1">IF(INDIRECT(_xlfn.CONCAT("'",$A68,"'!F4"))&gt;=Z$2,"d",IF(INDIRECT(_xlfn.CONCAT("'",$A68,"'!F5"))&gt;=Z$2,"i",""))</f>
        <v>d</v>
      </c>
      <c r="AA68" s="1" t="str" cm="1">
        <f t="array" aca="1" ref="AA68" ca="1">IF(INDIRECT(_xlfn.CONCAT("'",$A68,"'!F4"))&gt;=AA$2,"d",IF(INDIRECT(_xlfn.CONCAT("'",$A68,"'!F5"))&gt;=AA$2,"i",""))</f>
        <v>d</v>
      </c>
      <c r="AB68" s="1" t="str" cm="1">
        <f t="array" aca="1" ref="AB68" ca="1">IF(INDIRECT(_xlfn.CONCAT("'",$A68,"'!F4"))&gt;=AB$2,"d",IF(INDIRECT(_xlfn.CONCAT("'",$A68,"'!F5"))&gt;=AB$2,"i",""))</f>
        <v/>
      </c>
      <c r="AC68" s="36"/>
      <c r="AD68" s="1" t="str" cm="1">
        <f t="array" aca="1" ref="AD68" ca="1">IF(INDIRECT(_xlfn.CONCAT("'",$A68,"'!F17"))&gt;=AD$2,"d",IF(INDIRECT(_xlfn.CONCAT("'",$A68,"'!F18"))&gt;=AD$2,"i",""))</f>
        <v>d</v>
      </c>
      <c r="AE68" s="1" t="str" cm="1">
        <f t="array" aca="1" ref="AE68" ca="1">IF(INDIRECT(_xlfn.CONCAT("'",$A68,"'!F17"))&gt;=AE$2,"d",IF(INDIRECT(_xlfn.CONCAT("'",$A68,"'!F18"))&gt;=AE$2,"i",""))</f>
        <v>d</v>
      </c>
      <c r="AF68" s="1" t="str" cm="1">
        <f t="array" aca="1" ref="AF68" ca="1">IF(INDIRECT(_xlfn.CONCAT("'",$A68,"'!F17"))&gt;=AF$2,"d",IF(INDIRECT(_xlfn.CONCAT("'",$A68,"'!F18"))&gt;=AF$2,"i",""))</f>
        <v>d</v>
      </c>
      <c r="AG68" s="1" t="str" cm="1">
        <f t="array" aca="1" ref="AG68" ca="1">IF(INDIRECT(_xlfn.CONCAT("'",$A68,"'!F17"))&gt;=AG$2,"d",IF(INDIRECT(_xlfn.CONCAT("'",$A68,"'!F18"))&gt;=AG$2,"i",""))</f>
        <v>d</v>
      </c>
      <c r="AH68" s="1" t="str" cm="1">
        <f t="array" aca="1" ref="AH68" ca="1">IF(INDIRECT(_xlfn.CONCAT("'",$A68,"'!F17"))&gt;=AH$2,"d",IF(INDIRECT(_xlfn.CONCAT("'",$A68,"'!F18"))&gt;=AH$2,"i",""))</f>
        <v>d</v>
      </c>
      <c r="AI68" s="1" t="str" cm="1">
        <f t="array" aca="1" ref="AI68" ca="1">IF(INDIRECT(_xlfn.CONCAT("'",$A68,"'!F17"))&gt;=AI$2,"d",IF(INDIRECT(_xlfn.CONCAT("'",$A68,"'!F18"))&gt;=AI$2,"i",""))</f>
        <v>d</v>
      </c>
      <c r="AJ68" s="1" t="str" cm="1">
        <f t="array" aca="1" ref="AJ68" ca="1">IF(INDIRECT(_xlfn.CONCAT("'",$A68,"'!F17"))&gt;=AJ$2,"d",IF(INDIRECT(_xlfn.CONCAT("'",$A68,"'!F18"))&gt;=AJ$2,"i",""))</f>
        <v>d</v>
      </c>
      <c r="AK68" s="1" t="str" cm="1">
        <f t="array" aca="1" ref="AK68" ca="1">IF(INDIRECT(_xlfn.CONCAT("'",$A68,"'!F17"))&gt;=AK$2,"d",IF(INDIRECT(_xlfn.CONCAT("'",$A68,"'!F18"))&gt;=AK$2,"i",""))</f>
        <v>d</v>
      </c>
      <c r="AL68" s="1" t="str" cm="1">
        <f t="array" aca="1" ref="AL68" ca="1">IF(INDIRECT(_xlfn.CONCAT("'",$A68,"'!F17"))&gt;=AL$2,"d",IF(INDIRECT(_xlfn.CONCAT("'",$A68,"'!F18"))&gt;=AL$2,"i",""))</f>
        <v/>
      </c>
      <c r="AM68" s="36"/>
      <c r="AN68" s="1" t="str" cm="1">
        <f t="array" aca="1" ref="AN68" ca="1">IF(INDIRECT(_xlfn.CONCAT("'",$A68,"'!F30"))&gt;=AN$2,"d",IF(INDIRECT(_xlfn.CONCAT("'",$A68,"'!F31"))&gt;=AN$2,"i",""))</f>
        <v>d</v>
      </c>
      <c r="AO68" s="1" t="str" cm="1">
        <f t="array" aca="1" ref="AO68" ca="1">IF(INDIRECT(_xlfn.CONCAT("'",$A68,"'!F30"))&gt;=AO$2,"d",IF(INDIRECT(_xlfn.CONCAT("'",$A68,"'!F31"))&gt;=AO$2,"i",""))</f>
        <v>d</v>
      </c>
      <c r="AP68" s="1" t="str" cm="1">
        <f t="array" aca="1" ref="AP68" ca="1">IF(INDIRECT(_xlfn.CONCAT("'",$A68,"'!F30"))&gt;=AP$2,"d",IF(INDIRECT(_xlfn.CONCAT("'",$A68,"'!F31"))&gt;=AP$2,"i",""))</f>
        <v>d</v>
      </c>
      <c r="AQ68" s="1" t="str" cm="1">
        <f t="array" aca="1" ref="AQ68" ca="1">IF(INDIRECT(_xlfn.CONCAT("'",$A68,"'!F30"))&gt;=AQ$2,"d",IF(INDIRECT(_xlfn.CONCAT("'",$A68,"'!F31"))&gt;=AQ$2,"i",""))</f>
        <v>d</v>
      </c>
      <c r="AR68" s="1" t="str" cm="1">
        <f t="array" aca="1" ref="AR68" ca="1">IF(INDIRECT(_xlfn.CONCAT("'",$A68,"'!F30"))&gt;=AR$2,"d",IF(INDIRECT(_xlfn.CONCAT("'",$A68,"'!F31"))&gt;=AR$2,"i",""))</f>
        <v>d</v>
      </c>
      <c r="AS68" s="1" t="str" cm="1">
        <f t="array" aca="1" ref="AS68" ca="1">IF(INDIRECT(_xlfn.CONCAT("'",$A68,"'!F30"))&gt;=AS$2,"d",IF(INDIRECT(_xlfn.CONCAT("'",$A68,"'!F31"))&gt;=AS$2,"i",""))</f>
        <v>d</v>
      </c>
      <c r="AT68" s="1" t="str" cm="1">
        <f t="array" aca="1" ref="AT68" ca="1">IF(INDIRECT(_xlfn.CONCAT("'",$A68,"'!F30"))&gt;=AT$2,"d",IF(INDIRECT(_xlfn.CONCAT("'",$A68,"'!F31"))&gt;=AT$2,"i",""))</f>
        <v>d</v>
      </c>
      <c r="AU68" s="1" t="str" cm="1">
        <f t="array" aca="1" ref="AU68" ca="1">IF(INDIRECT(_xlfn.CONCAT("'",$A68,"'!F30"))&gt;=AU$2,"d",IF(INDIRECT(_xlfn.CONCAT("'",$A68,"'!F31"))&gt;=AU$2,"i",""))</f>
        <v>d</v>
      </c>
      <c r="AV68" s="4" t="str" cm="1">
        <f t="array" aca="1" ref="AV68" ca="1">IF(INDIRECT(_xlfn.CONCAT("'",$A68,"'!F30"))&gt;=AV$2,"d",IF(INDIRECT(_xlfn.CONCAT("'",$A68,"'!F31"))&gt;=AV$2,"i",""))</f>
        <v/>
      </c>
    </row>
    <row r="69" spans="1:48" x14ac:dyDescent="0.25">
      <c r="A69" s="119" t="str">
        <v>Faruzan</v>
      </c>
      <c r="B69" s="4" t="str">
        <f t="shared" si="15"/>
        <v>Anemo</v>
      </c>
      <c r="C69" s="38" t="str">
        <f t="shared" ref="C69" si="17">VLOOKUP(A69,Character_List,7,FALSE)</f>
        <v>Sumeru 1</v>
      </c>
      <c r="D69" s="85" t="str">
        <f t="shared" si="16"/>
        <v>Scaramouche 1</v>
      </c>
      <c r="E69" s="14" t="str" cm="1">
        <f t="array" aca="1" ref="E69" ca="1">IF(INDIRECT(_xlfn.CONCAT("'",$A69,"'!B4"))&gt;=E$2,"d",IF(INDIRECT(_xlfn.CONCAT("'",$A69,"'!B5"))&gt;=E$2,"i",""))</f>
        <v>d</v>
      </c>
      <c r="F69" s="1" t="str" cm="1">
        <f t="array" aca="1" ref="F69" ca="1">IF(INDIRECT(_xlfn.CONCAT("'",$A69,"'!B4"))&gt;=F$2,"d",IF(INDIRECT(_xlfn.CONCAT("'",$A69,"'!B5"))&gt;=F$2,"i",""))</f>
        <v>d</v>
      </c>
      <c r="G69" s="1" t="str" cm="1">
        <f t="array" aca="1" ref="G69" ca="1">IF(INDIRECT(_xlfn.CONCAT("'",$A69,"'!B4"))&gt;=G$2,"d",IF(INDIRECT(_xlfn.CONCAT("'",$A69,"'!B5"))&gt;=G$2,"i",""))</f>
        <v>d</v>
      </c>
      <c r="H69" s="1" t="str" cm="1">
        <f t="array" aca="1" ref="H69" ca="1">IF(INDIRECT(_xlfn.CONCAT("'",$A69,"'!B4"))&gt;=H$2,"d",IF(INDIRECT(_xlfn.CONCAT("'",$A69,"'!B5"))&gt;=H$2,"i",""))</f>
        <v>d</v>
      </c>
      <c r="I69" s="1" t="str" cm="1">
        <f t="array" aca="1" ref="I69" ca="1">IF(INDIRECT(_xlfn.CONCAT("'",$A69,"'!B4"))&gt;=I$2,"d",IF(INDIRECT(_xlfn.CONCAT("'",$A69,"'!B5"))&gt;=I$2,"i",""))</f>
        <v>d</v>
      </c>
      <c r="J69" s="1" t="str" cm="1">
        <f t="array" aca="1" ref="J69" ca="1">IF(INDIRECT(_xlfn.CONCAT("'",$A69,"'!B4"))&gt;=J$2,"d",IF(INDIRECT(_xlfn.CONCAT("'",$A69,"'!B5"))&gt;=J$2,"i",""))</f>
        <v>d</v>
      </c>
      <c r="K69" s="4" t="str" cm="1">
        <f t="array" aca="1" ref="K69" ca="1">IF(INDIRECT(_xlfn.CONCAT("'",$A69,"'!B4"))&gt;=K$2,"d",IF(INDIRECT(_xlfn.CONCAT("'",$A69,"'!B5"))&gt;=K$2,"i",""))</f>
        <v>d</v>
      </c>
      <c r="L69" s="39"/>
      <c r="M69" s="1" t="str" cm="1">
        <f t="array" aca="1" ref="M69" ca="1">IF(INDIRECT(_xlfn.CONCAT("'",$A69,"'!C10"))&gt;=M$2,"d",IF(INDIRECT(_xlfn.CONCAT("'",$A69,"'!C11"))&gt;=M$2,"i",""))</f>
        <v>d</v>
      </c>
      <c r="N69" s="1" t="str" cm="1">
        <f t="array" aca="1" ref="N69" ca="1">IF(INDIRECT(_xlfn.CONCAT("'",$A69,"'!C10"))&gt;=N$2,"d",IF(INDIRECT(_xlfn.CONCAT("'",$A69,"'!C11"))&gt;=N$2,"i",""))</f>
        <v>d</v>
      </c>
      <c r="O69" s="1" t="str" cm="1">
        <f t="array" aca="1" ref="O69" ca="1">IF(INDIRECT(_xlfn.CONCAT("'",$A69,"'!C10"))&gt;=O$2,"d",IF(INDIRECT(_xlfn.CONCAT("'",$A69,"'!C11"))&gt;=O$2,"i",""))</f>
        <v>d</v>
      </c>
      <c r="P69" s="1" t="str" cm="1">
        <f t="array" aca="1" ref="P69" ca="1">IF(INDIRECT(_xlfn.CONCAT("'",$A69,"'!C10"))&gt;=P$2,"d",IF(INDIRECT(_xlfn.CONCAT("'",$A69,"'!C11"))&gt;=P$2,"i",""))</f>
        <v>d</v>
      </c>
      <c r="Q69" s="1" t="str" cm="1">
        <f t="array" aca="1" ref="Q69" ca="1">IF(INDIRECT(_xlfn.CONCAT("'",$A69,"'!C10"))&gt;=Q$2,"d",IF(INDIRECT(_xlfn.CONCAT("'",$A69,"'!C11"))&gt;=Q$2,"i",""))</f>
        <v>d</v>
      </c>
      <c r="R69" s="1" t="str" cm="1">
        <f t="array" aca="1" ref="R69" ca="1">IF(INDIRECT(_xlfn.CONCAT("'",$A69,"'!C10"))&gt;=R$2,"d",IF(INDIRECT(_xlfn.CONCAT("'",$A69,"'!C11"))&gt;=R$2,"i",""))</f>
        <v>d</v>
      </c>
      <c r="S69" s="36"/>
      <c r="T69" s="1" t="str" cm="1">
        <f t="array" aca="1" ref="T69" ca="1">IF(INDIRECT(_xlfn.CONCAT("'",$A69,"'!F4"))&gt;=T$2,"d",IF(INDIRECT(_xlfn.CONCAT("'",$A69,"'!F5"))&gt;=T$2,"i",""))</f>
        <v>d</v>
      </c>
      <c r="U69" s="1" t="str" cm="1">
        <f t="array" aca="1" ref="U69" ca="1">IF(INDIRECT(_xlfn.CONCAT("'",$A69,"'!F4"))&gt;=U$2,"d",IF(INDIRECT(_xlfn.CONCAT("'",$A69,"'!F5"))&gt;=U$2,"i",""))</f>
        <v>d</v>
      </c>
      <c r="V69" s="1" t="str" cm="1">
        <f t="array" aca="1" ref="V69" ca="1">IF(INDIRECT(_xlfn.CONCAT("'",$A69,"'!F4"))&gt;=V$2,"d",IF(INDIRECT(_xlfn.CONCAT("'",$A69,"'!F5"))&gt;=V$2,"i",""))</f>
        <v>d</v>
      </c>
      <c r="W69" s="1" t="str" cm="1">
        <f t="array" aca="1" ref="W69" ca="1">IF(INDIRECT(_xlfn.CONCAT("'",$A69,"'!F4"))&gt;=W$2,"d",IF(INDIRECT(_xlfn.CONCAT("'",$A69,"'!F5"))&gt;=W$2,"i",""))</f>
        <v>d</v>
      </c>
      <c r="X69" s="1" t="str" cm="1">
        <f t="array" aca="1" ref="X69" ca="1">IF(INDIRECT(_xlfn.CONCAT("'",$A69,"'!F4"))&gt;=X$2,"d",IF(INDIRECT(_xlfn.CONCAT("'",$A69,"'!F5"))&gt;=X$2,"i",""))</f>
        <v>d</v>
      </c>
      <c r="Y69" s="1" t="str" cm="1">
        <f t="array" aca="1" ref="Y69" ca="1">IF(INDIRECT(_xlfn.CONCAT("'",$A69,"'!F4"))&gt;=Y$2,"d",IF(INDIRECT(_xlfn.CONCAT("'",$A69,"'!F5"))&gt;=Y$2,"i",""))</f>
        <v>d</v>
      </c>
      <c r="Z69" s="1" t="str" cm="1">
        <f t="array" aca="1" ref="Z69" ca="1">IF(INDIRECT(_xlfn.CONCAT("'",$A69,"'!F4"))&gt;=Z$2,"d",IF(INDIRECT(_xlfn.CONCAT("'",$A69,"'!F5"))&gt;=Z$2,"i",""))</f>
        <v>d</v>
      </c>
      <c r="AA69" s="1" t="str" cm="1">
        <f t="array" aca="1" ref="AA69" ca="1">IF(INDIRECT(_xlfn.CONCAT("'",$A69,"'!F4"))&gt;=AA$2,"d",IF(INDIRECT(_xlfn.CONCAT("'",$A69,"'!F5"))&gt;=AA$2,"i",""))</f>
        <v>d</v>
      </c>
      <c r="AB69" s="1" t="str" cm="1">
        <f t="array" aca="1" ref="AB69" ca="1">IF(INDIRECT(_xlfn.CONCAT("'",$A69,"'!F4"))&gt;=AB$2,"d",IF(INDIRECT(_xlfn.CONCAT("'",$A69,"'!F5"))&gt;=AB$2,"i",""))</f>
        <v/>
      </c>
      <c r="AC69" s="36"/>
      <c r="AD69" s="1" t="str" cm="1">
        <f t="array" aca="1" ref="AD69" ca="1">IF(INDIRECT(_xlfn.CONCAT("'",$A69,"'!F17"))&gt;=AD$2,"d",IF(INDIRECT(_xlfn.CONCAT("'",$A69,"'!F18"))&gt;=AD$2,"i",""))</f>
        <v>d</v>
      </c>
      <c r="AE69" s="1" t="str" cm="1">
        <f t="array" aca="1" ref="AE69" ca="1">IF(INDIRECT(_xlfn.CONCAT("'",$A69,"'!F17"))&gt;=AE$2,"d",IF(INDIRECT(_xlfn.CONCAT("'",$A69,"'!F18"))&gt;=AE$2,"i",""))</f>
        <v>d</v>
      </c>
      <c r="AF69" s="1" t="str" cm="1">
        <f t="array" aca="1" ref="AF69" ca="1">IF(INDIRECT(_xlfn.CONCAT("'",$A69,"'!F17"))&gt;=AF$2,"d",IF(INDIRECT(_xlfn.CONCAT("'",$A69,"'!F18"))&gt;=AF$2,"i",""))</f>
        <v>d</v>
      </c>
      <c r="AG69" s="1" t="str" cm="1">
        <f t="array" aca="1" ref="AG69" ca="1">IF(INDIRECT(_xlfn.CONCAT("'",$A69,"'!F17"))&gt;=AG$2,"d",IF(INDIRECT(_xlfn.CONCAT("'",$A69,"'!F18"))&gt;=AG$2,"i",""))</f>
        <v>d</v>
      </c>
      <c r="AH69" s="1" t="str" cm="1">
        <f t="array" aca="1" ref="AH69" ca="1">IF(INDIRECT(_xlfn.CONCAT("'",$A69,"'!F17"))&gt;=AH$2,"d",IF(INDIRECT(_xlfn.CONCAT("'",$A69,"'!F18"))&gt;=AH$2,"i",""))</f>
        <v>d</v>
      </c>
      <c r="AI69" s="1" t="str" cm="1">
        <f t="array" aca="1" ref="AI69" ca="1">IF(INDIRECT(_xlfn.CONCAT("'",$A69,"'!F17"))&gt;=AI$2,"d",IF(INDIRECT(_xlfn.CONCAT("'",$A69,"'!F18"))&gt;=AI$2,"i",""))</f>
        <v>d</v>
      </c>
      <c r="AJ69" s="1" t="str" cm="1">
        <f t="array" aca="1" ref="AJ69" ca="1">IF(INDIRECT(_xlfn.CONCAT("'",$A69,"'!F17"))&gt;=AJ$2,"d",IF(INDIRECT(_xlfn.CONCAT("'",$A69,"'!F18"))&gt;=AJ$2,"i",""))</f>
        <v>d</v>
      </c>
      <c r="AK69" s="1" t="str" cm="1">
        <f t="array" aca="1" ref="AK69" ca="1">IF(INDIRECT(_xlfn.CONCAT("'",$A69,"'!F17"))&gt;=AK$2,"d",IF(INDIRECT(_xlfn.CONCAT("'",$A69,"'!F18"))&gt;=AK$2,"i",""))</f>
        <v>d</v>
      </c>
      <c r="AL69" s="1" t="str" cm="1">
        <f t="array" aca="1" ref="AL69" ca="1">IF(INDIRECT(_xlfn.CONCAT("'",$A69,"'!F17"))&gt;=AL$2,"d",IF(INDIRECT(_xlfn.CONCAT("'",$A69,"'!F18"))&gt;=AL$2,"i",""))</f>
        <v/>
      </c>
      <c r="AM69" s="36"/>
      <c r="AN69" s="1" t="str" cm="1">
        <f t="array" aca="1" ref="AN69" ca="1">IF(INDIRECT(_xlfn.CONCAT("'",$A69,"'!F30"))&gt;=AN$2,"d",IF(INDIRECT(_xlfn.CONCAT("'",$A69,"'!F31"))&gt;=AN$2,"i",""))</f>
        <v>d</v>
      </c>
      <c r="AO69" s="1" t="str" cm="1">
        <f t="array" aca="1" ref="AO69" ca="1">IF(INDIRECT(_xlfn.CONCAT("'",$A69,"'!F30"))&gt;=AO$2,"d",IF(INDIRECT(_xlfn.CONCAT("'",$A69,"'!F31"))&gt;=AO$2,"i",""))</f>
        <v>d</v>
      </c>
      <c r="AP69" s="1" t="str" cm="1">
        <f t="array" aca="1" ref="AP69" ca="1">IF(INDIRECT(_xlfn.CONCAT("'",$A69,"'!F30"))&gt;=AP$2,"d",IF(INDIRECT(_xlfn.CONCAT("'",$A69,"'!F31"))&gt;=AP$2,"i",""))</f>
        <v>d</v>
      </c>
      <c r="AQ69" s="1" t="str" cm="1">
        <f t="array" aca="1" ref="AQ69" ca="1">IF(INDIRECT(_xlfn.CONCAT("'",$A69,"'!F30"))&gt;=AQ$2,"d",IF(INDIRECT(_xlfn.CONCAT("'",$A69,"'!F31"))&gt;=AQ$2,"i",""))</f>
        <v>d</v>
      </c>
      <c r="AR69" s="1" t="str" cm="1">
        <f t="array" aca="1" ref="AR69" ca="1">IF(INDIRECT(_xlfn.CONCAT("'",$A69,"'!F30"))&gt;=AR$2,"d",IF(INDIRECT(_xlfn.CONCAT("'",$A69,"'!F31"))&gt;=AR$2,"i",""))</f>
        <v>d</v>
      </c>
      <c r="AS69" s="1" t="str" cm="1">
        <f t="array" aca="1" ref="AS69" ca="1">IF(INDIRECT(_xlfn.CONCAT("'",$A69,"'!F30"))&gt;=AS$2,"d",IF(INDIRECT(_xlfn.CONCAT("'",$A69,"'!F31"))&gt;=AS$2,"i",""))</f>
        <v>d</v>
      </c>
      <c r="AT69" s="1" t="str" cm="1">
        <f t="array" aca="1" ref="AT69" ca="1">IF(INDIRECT(_xlfn.CONCAT("'",$A69,"'!F30"))&gt;=AT$2,"d",IF(INDIRECT(_xlfn.CONCAT("'",$A69,"'!F31"))&gt;=AT$2,"i",""))</f>
        <v>d</v>
      </c>
      <c r="AU69" s="1" t="str" cm="1">
        <f t="array" aca="1" ref="AU69" ca="1">IF(INDIRECT(_xlfn.CONCAT("'",$A69,"'!F30"))&gt;=AU$2,"d",IF(INDIRECT(_xlfn.CONCAT("'",$A69,"'!F31"))&gt;=AU$2,"i",""))</f>
        <v>d</v>
      </c>
      <c r="AV69" s="4" t="str" cm="1">
        <f t="array" aca="1" ref="AV69" ca="1">IF(INDIRECT(_xlfn.CONCAT("'",$A69,"'!F30"))&gt;=AV$2,"d",IF(INDIRECT(_xlfn.CONCAT("'",$A69,"'!F31"))&gt;=AV$2,"i",""))</f>
        <v/>
      </c>
    </row>
    <row r="70" spans="1:48" x14ac:dyDescent="0.25">
      <c r="A70" s="119" t="str">
        <v>Alhaitham</v>
      </c>
      <c r="B70" s="4" t="str">
        <f t="shared" ref="B70:B71" si="18">VLOOKUP(A70,Character_List,2,FALSE)</f>
        <v>Dendro</v>
      </c>
      <c r="C70" s="38" t="str">
        <f t="shared" ref="C70:C71" si="19">VLOOKUP(A70,Character_List,7,FALSE)</f>
        <v>Sumeru 2</v>
      </c>
      <c r="D70" s="85" t="str">
        <f t="shared" ref="D70:D71" si="20">VLOOKUP(A70,Character_List,8,FALSE)</f>
        <v>Scaramouche 2</v>
      </c>
      <c r="E70" s="14" t="str" cm="1">
        <f t="array" aca="1" ref="E70" ca="1">IF(INDIRECT(_xlfn.CONCAT("'",$A70,"'!B4"))&gt;=E$2,"d",IF(INDIRECT(_xlfn.CONCAT("'",$A70,"'!B5"))&gt;=E$2,"i",""))</f>
        <v>d</v>
      </c>
      <c r="F70" s="1" t="str" cm="1">
        <f t="array" aca="1" ref="F70" ca="1">IF(INDIRECT(_xlfn.CONCAT("'",$A70,"'!B4"))&gt;=F$2,"d",IF(INDIRECT(_xlfn.CONCAT("'",$A70,"'!B5"))&gt;=F$2,"i",""))</f>
        <v>d</v>
      </c>
      <c r="G70" s="1" t="str" cm="1">
        <f t="array" aca="1" ref="G70" ca="1">IF(INDIRECT(_xlfn.CONCAT("'",$A70,"'!B4"))&gt;=G$2,"d",IF(INDIRECT(_xlfn.CONCAT("'",$A70,"'!B5"))&gt;=G$2,"i",""))</f>
        <v>d</v>
      </c>
      <c r="H70" s="1" t="str" cm="1">
        <f t="array" aca="1" ref="H70" ca="1">IF(INDIRECT(_xlfn.CONCAT("'",$A70,"'!B4"))&gt;=H$2,"d",IF(INDIRECT(_xlfn.CONCAT("'",$A70,"'!B5"))&gt;=H$2,"i",""))</f>
        <v>d</v>
      </c>
      <c r="I70" s="1" t="str" cm="1">
        <f t="array" aca="1" ref="I70" ca="1">IF(INDIRECT(_xlfn.CONCAT("'",$A70,"'!B4"))&gt;=I$2,"d",IF(INDIRECT(_xlfn.CONCAT("'",$A70,"'!B5"))&gt;=I$2,"i",""))</f>
        <v>d</v>
      </c>
      <c r="J70" s="1" t="str" cm="1">
        <f t="array" aca="1" ref="J70" ca="1">IF(INDIRECT(_xlfn.CONCAT("'",$A70,"'!B4"))&gt;=J$2,"d",IF(INDIRECT(_xlfn.CONCAT("'",$A70,"'!B5"))&gt;=J$2,"i",""))</f>
        <v>d</v>
      </c>
      <c r="K70" s="4" t="str" cm="1">
        <f t="array" aca="1" ref="K70" ca="1">IF(INDIRECT(_xlfn.CONCAT("'",$A70,"'!B4"))&gt;=K$2,"d",IF(INDIRECT(_xlfn.CONCAT("'",$A70,"'!B5"))&gt;=K$2,"i",""))</f>
        <v>d</v>
      </c>
      <c r="L70" s="39"/>
      <c r="M70" s="1" t="str" cm="1">
        <f t="array" aca="1" ref="M70" ca="1">IF(INDIRECT(_xlfn.CONCAT("'",$A70,"'!C10"))&gt;=M$2,"d",IF(INDIRECT(_xlfn.CONCAT("'",$A70,"'!C11"))&gt;=M$2,"i",""))</f>
        <v>d</v>
      </c>
      <c r="N70" s="1" t="str" cm="1">
        <f t="array" aca="1" ref="N70" ca="1">IF(INDIRECT(_xlfn.CONCAT("'",$A70,"'!C10"))&gt;=N$2,"d",IF(INDIRECT(_xlfn.CONCAT("'",$A70,"'!C11"))&gt;=N$2,"i",""))</f>
        <v>d</v>
      </c>
      <c r="O70" s="1" t="str" cm="1">
        <f t="array" aca="1" ref="O70" ca="1">IF(INDIRECT(_xlfn.CONCAT("'",$A70,"'!C10"))&gt;=O$2,"d",IF(INDIRECT(_xlfn.CONCAT("'",$A70,"'!C11"))&gt;=O$2,"i",""))</f>
        <v>d</v>
      </c>
      <c r="P70" s="1" t="str" cm="1">
        <f t="array" aca="1" ref="P70" ca="1">IF(INDIRECT(_xlfn.CONCAT("'",$A70,"'!C10"))&gt;=P$2,"d",IF(INDIRECT(_xlfn.CONCAT("'",$A70,"'!C11"))&gt;=P$2,"i",""))</f>
        <v>d</v>
      </c>
      <c r="Q70" s="1" t="str" cm="1">
        <f t="array" aca="1" ref="Q70" ca="1">IF(INDIRECT(_xlfn.CONCAT("'",$A70,"'!C10"))&gt;=Q$2,"d",IF(INDIRECT(_xlfn.CONCAT("'",$A70,"'!C11"))&gt;=Q$2,"i",""))</f>
        <v>d</v>
      </c>
      <c r="R70" s="1" t="str" cm="1">
        <f t="array" aca="1" ref="R70" ca="1">IF(INDIRECT(_xlfn.CONCAT("'",$A70,"'!C10"))&gt;=R$2,"d",IF(INDIRECT(_xlfn.CONCAT("'",$A70,"'!C11"))&gt;=R$2,"i",""))</f>
        <v>d</v>
      </c>
      <c r="S70" s="36"/>
      <c r="T70" s="1" t="str" cm="1">
        <f t="array" aca="1" ref="T70" ca="1">IF(INDIRECT(_xlfn.CONCAT("'",$A70,"'!F4"))&gt;=T$2,"d",IF(INDIRECT(_xlfn.CONCAT("'",$A70,"'!F5"))&gt;=T$2,"i",""))</f>
        <v>d</v>
      </c>
      <c r="U70" s="1" t="str" cm="1">
        <f t="array" aca="1" ref="U70" ca="1">IF(INDIRECT(_xlfn.CONCAT("'",$A70,"'!F4"))&gt;=U$2,"d",IF(INDIRECT(_xlfn.CONCAT("'",$A70,"'!F5"))&gt;=U$2,"i",""))</f>
        <v>d</v>
      </c>
      <c r="V70" s="1" t="str" cm="1">
        <f t="array" aca="1" ref="V70" ca="1">IF(INDIRECT(_xlfn.CONCAT("'",$A70,"'!F4"))&gt;=V$2,"d",IF(INDIRECT(_xlfn.CONCAT("'",$A70,"'!F5"))&gt;=V$2,"i",""))</f>
        <v>d</v>
      </c>
      <c r="W70" s="1" t="str" cm="1">
        <f t="array" aca="1" ref="W70" ca="1">IF(INDIRECT(_xlfn.CONCAT("'",$A70,"'!F4"))&gt;=W$2,"d",IF(INDIRECT(_xlfn.CONCAT("'",$A70,"'!F5"))&gt;=W$2,"i",""))</f>
        <v>d</v>
      </c>
      <c r="X70" s="1" t="str" cm="1">
        <f t="array" aca="1" ref="X70" ca="1">IF(INDIRECT(_xlfn.CONCAT("'",$A70,"'!F4"))&gt;=X$2,"d",IF(INDIRECT(_xlfn.CONCAT("'",$A70,"'!F5"))&gt;=X$2,"i",""))</f>
        <v>d</v>
      </c>
      <c r="Y70" s="1" t="str" cm="1">
        <f t="array" aca="1" ref="Y70" ca="1">IF(INDIRECT(_xlfn.CONCAT("'",$A70,"'!F4"))&gt;=Y$2,"d",IF(INDIRECT(_xlfn.CONCAT("'",$A70,"'!F5"))&gt;=Y$2,"i",""))</f>
        <v>d</v>
      </c>
      <c r="Z70" s="1" t="str" cm="1">
        <f t="array" aca="1" ref="Z70" ca="1">IF(INDIRECT(_xlfn.CONCAT("'",$A70,"'!F4"))&gt;=Z$2,"d",IF(INDIRECT(_xlfn.CONCAT("'",$A70,"'!F5"))&gt;=Z$2,"i",""))</f>
        <v>d</v>
      </c>
      <c r="AA70" s="1" t="str" cm="1">
        <f t="array" aca="1" ref="AA70" ca="1">IF(INDIRECT(_xlfn.CONCAT("'",$A70,"'!F4"))&gt;=AA$2,"d",IF(INDIRECT(_xlfn.CONCAT("'",$A70,"'!F5"))&gt;=AA$2,"i",""))</f>
        <v>d</v>
      </c>
      <c r="AB70" s="1" t="str" cm="1">
        <f t="array" aca="1" ref="AB70" ca="1">IF(INDIRECT(_xlfn.CONCAT("'",$A70,"'!F4"))&gt;=AB$2,"d",IF(INDIRECT(_xlfn.CONCAT("'",$A70,"'!F5"))&gt;=AB$2,"i",""))</f>
        <v/>
      </c>
      <c r="AC70" s="36"/>
      <c r="AD70" s="1" t="str" cm="1">
        <f t="array" aca="1" ref="AD70" ca="1">IF(INDIRECT(_xlfn.CONCAT("'",$A70,"'!F17"))&gt;=AD$2,"d",IF(INDIRECT(_xlfn.CONCAT("'",$A70,"'!F18"))&gt;=AD$2,"i",""))</f>
        <v>d</v>
      </c>
      <c r="AE70" s="1" t="str" cm="1">
        <f t="array" aca="1" ref="AE70" ca="1">IF(INDIRECT(_xlfn.CONCAT("'",$A70,"'!F17"))&gt;=AE$2,"d",IF(INDIRECT(_xlfn.CONCAT("'",$A70,"'!F18"))&gt;=AE$2,"i",""))</f>
        <v>d</v>
      </c>
      <c r="AF70" s="1" t="str" cm="1">
        <f t="array" aca="1" ref="AF70" ca="1">IF(INDIRECT(_xlfn.CONCAT("'",$A70,"'!F17"))&gt;=AF$2,"d",IF(INDIRECT(_xlfn.CONCAT("'",$A70,"'!F18"))&gt;=AF$2,"i",""))</f>
        <v>d</v>
      </c>
      <c r="AG70" s="1" t="str" cm="1">
        <f t="array" aca="1" ref="AG70" ca="1">IF(INDIRECT(_xlfn.CONCAT("'",$A70,"'!F17"))&gt;=AG$2,"d",IF(INDIRECT(_xlfn.CONCAT("'",$A70,"'!F18"))&gt;=AG$2,"i",""))</f>
        <v>d</v>
      </c>
      <c r="AH70" s="1" t="str" cm="1">
        <f t="array" aca="1" ref="AH70" ca="1">IF(INDIRECT(_xlfn.CONCAT("'",$A70,"'!F17"))&gt;=AH$2,"d",IF(INDIRECT(_xlfn.CONCAT("'",$A70,"'!F18"))&gt;=AH$2,"i",""))</f>
        <v>d</v>
      </c>
      <c r="AI70" s="1" t="str" cm="1">
        <f t="array" aca="1" ref="AI70" ca="1">IF(INDIRECT(_xlfn.CONCAT("'",$A70,"'!F17"))&gt;=AI$2,"d",IF(INDIRECT(_xlfn.CONCAT("'",$A70,"'!F18"))&gt;=AI$2,"i",""))</f>
        <v>d</v>
      </c>
      <c r="AJ70" s="1" t="str" cm="1">
        <f t="array" aca="1" ref="AJ70" ca="1">IF(INDIRECT(_xlfn.CONCAT("'",$A70,"'!F17"))&gt;=AJ$2,"d",IF(INDIRECT(_xlfn.CONCAT("'",$A70,"'!F18"))&gt;=AJ$2,"i",""))</f>
        <v>d</v>
      </c>
      <c r="AK70" s="1" t="str" cm="1">
        <f t="array" aca="1" ref="AK70" ca="1">IF(INDIRECT(_xlfn.CONCAT("'",$A70,"'!F17"))&gt;=AK$2,"d",IF(INDIRECT(_xlfn.CONCAT("'",$A70,"'!F18"))&gt;=AK$2,"i",""))</f>
        <v>d</v>
      </c>
      <c r="AL70" s="1" t="str" cm="1">
        <f t="array" aca="1" ref="AL70" ca="1">IF(INDIRECT(_xlfn.CONCAT("'",$A70,"'!F17"))&gt;=AL$2,"d",IF(INDIRECT(_xlfn.CONCAT("'",$A70,"'!F18"))&gt;=AL$2,"i",""))</f>
        <v/>
      </c>
      <c r="AM70" s="36"/>
      <c r="AN70" s="1" t="str" cm="1">
        <f t="array" aca="1" ref="AN70" ca="1">IF(INDIRECT(_xlfn.CONCAT("'",$A70,"'!F30"))&gt;=AN$2,"d",IF(INDIRECT(_xlfn.CONCAT("'",$A70,"'!F31"))&gt;=AN$2,"i",""))</f>
        <v>d</v>
      </c>
      <c r="AO70" s="1" t="str" cm="1">
        <f t="array" aca="1" ref="AO70" ca="1">IF(INDIRECT(_xlfn.CONCAT("'",$A70,"'!F30"))&gt;=AO$2,"d",IF(INDIRECT(_xlfn.CONCAT("'",$A70,"'!F31"))&gt;=AO$2,"i",""))</f>
        <v>d</v>
      </c>
      <c r="AP70" s="1" t="str" cm="1">
        <f t="array" aca="1" ref="AP70" ca="1">IF(INDIRECT(_xlfn.CONCAT("'",$A70,"'!F30"))&gt;=AP$2,"d",IF(INDIRECT(_xlfn.CONCAT("'",$A70,"'!F31"))&gt;=AP$2,"i",""))</f>
        <v>d</v>
      </c>
      <c r="AQ70" s="1" t="str" cm="1">
        <f t="array" aca="1" ref="AQ70" ca="1">IF(INDIRECT(_xlfn.CONCAT("'",$A70,"'!F30"))&gt;=AQ$2,"d",IF(INDIRECT(_xlfn.CONCAT("'",$A70,"'!F31"))&gt;=AQ$2,"i",""))</f>
        <v>d</v>
      </c>
      <c r="AR70" s="1" t="str" cm="1">
        <f t="array" aca="1" ref="AR70" ca="1">IF(INDIRECT(_xlfn.CONCAT("'",$A70,"'!F30"))&gt;=AR$2,"d",IF(INDIRECT(_xlfn.CONCAT("'",$A70,"'!F31"))&gt;=AR$2,"i",""))</f>
        <v>d</v>
      </c>
      <c r="AS70" s="1" t="str" cm="1">
        <f t="array" aca="1" ref="AS70" ca="1">IF(INDIRECT(_xlfn.CONCAT("'",$A70,"'!F30"))&gt;=AS$2,"d",IF(INDIRECT(_xlfn.CONCAT("'",$A70,"'!F31"))&gt;=AS$2,"i",""))</f>
        <v>d</v>
      </c>
      <c r="AT70" s="1" t="str" cm="1">
        <f t="array" aca="1" ref="AT70" ca="1">IF(INDIRECT(_xlfn.CONCAT("'",$A70,"'!F30"))&gt;=AT$2,"d",IF(INDIRECT(_xlfn.CONCAT("'",$A70,"'!F31"))&gt;=AT$2,"i",""))</f>
        <v>d</v>
      </c>
      <c r="AU70" s="1" t="str" cm="1">
        <f t="array" aca="1" ref="AU70" ca="1">IF(INDIRECT(_xlfn.CONCAT("'",$A70,"'!F30"))&gt;=AU$2,"d",IF(INDIRECT(_xlfn.CONCAT("'",$A70,"'!F31"))&gt;=AU$2,"i",""))</f>
        <v>d</v>
      </c>
      <c r="AV70" s="4" t="str" cm="1">
        <f t="array" aca="1" ref="AV70" ca="1">IF(INDIRECT(_xlfn.CONCAT("'",$A70,"'!F30"))&gt;=AV$2,"d",IF(INDIRECT(_xlfn.CONCAT("'",$A70,"'!F31"))&gt;=AV$2,"i",""))</f>
        <v/>
      </c>
    </row>
    <row r="71" spans="1:48" x14ac:dyDescent="0.25">
      <c r="A71" s="119" t="str">
        <v>Yaoyao</v>
      </c>
      <c r="B71" s="4" t="str">
        <f t="shared" si="18"/>
        <v>Dendro</v>
      </c>
      <c r="C71" s="38" t="str">
        <f t="shared" si="19"/>
        <v>Liyue 2</v>
      </c>
      <c r="D71" s="85" t="str">
        <f t="shared" si="20"/>
        <v>Scaramouche 3</v>
      </c>
      <c r="E71" s="14" t="str" cm="1">
        <f t="array" aca="1" ref="E71" ca="1">IF(INDIRECT(_xlfn.CONCAT("'",$A71,"'!B4"))&gt;=E$2,"d",IF(INDIRECT(_xlfn.CONCAT("'",$A71,"'!B5"))&gt;=E$2,"i",""))</f>
        <v>d</v>
      </c>
      <c r="F71" s="1" t="str" cm="1">
        <f t="array" aca="1" ref="F71" ca="1">IF(INDIRECT(_xlfn.CONCAT("'",$A71,"'!B4"))&gt;=F$2,"d",IF(INDIRECT(_xlfn.CONCAT("'",$A71,"'!B5"))&gt;=F$2,"i",""))</f>
        <v>d</v>
      </c>
      <c r="G71" s="1" t="str" cm="1">
        <f t="array" aca="1" ref="G71" ca="1">IF(INDIRECT(_xlfn.CONCAT("'",$A71,"'!B4"))&gt;=G$2,"d",IF(INDIRECT(_xlfn.CONCAT("'",$A71,"'!B5"))&gt;=G$2,"i",""))</f>
        <v>d</v>
      </c>
      <c r="H71" s="1" t="str" cm="1">
        <f t="array" aca="1" ref="H71" ca="1">IF(INDIRECT(_xlfn.CONCAT("'",$A71,"'!B4"))&gt;=H$2,"d",IF(INDIRECT(_xlfn.CONCAT("'",$A71,"'!B5"))&gt;=H$2,"i",""))</f>
        <v>d</v>
      </c>
      <c r="I71" s="1" t="str" cm="1">
        <f t="array" aca="1" ref="I71" ca="1">IF(INDIRECT(_xlfn.CONCAT("'",$A71,"'!B4"))&gt;=I$2,"d",IF(INDIRECT(_xlfn.CONCAT("'",$A71,"'!B5"))&gt;=I$2,"i",""))</f>
        <v>d</v>
      </c>
      <c r="J71" s="1" t="str" cm="1">
        <f t="array" aca="1" ref="J71" ca="1">IF(INDIRECT(_xlfn.CONCAT("'",$A71,"'!B4"))&gt;=J$2,"d",IF(INDIRECT(_xlfn.CONCAT("'",$A71,"'!B5"))&gt;=J$2,"i",""))</f>
        <v>d</v>
      </c>
      <c r="K71" s="4" t="str" cm="1">
        <f t="array" aca="1" ref="K71" ca="1">IF(INDIRECT(_xlfn.CONCAT("'",$A71,"'!B4"))&gt;=K$2,"d",IF(INDIRECT(_xlfn.CONCAT("'",$A71,"'!B5"))&gt;=K$2,"i",""))</f>
        <v>d</v>
      </c>
      <c r="L71" s="39"/>
      <c r="M71" s="1" t="str" cm="1">
        <f t="array" aca="1" ref="M71" ca="1">IF(INDIRECT(_xlfn.CONCAT("'",$A71,"'!C10"))&gt;=M$2,"d",IF(INDIRECT(_xlfn.CONCAT("'",$A71,"'!C11"))&gt;=M$2,"i",""))</f>
        <v>d</v>
      </c>
      <c r="N71" s="1" t="str" cm="1">
        <f t="array" aca="1" ref="N71" ca="1">IF(INDIRECT(_xlfn.CONCAT("'",$A71,"'!C10"))&gt;=N$2,"d",IF(INDIRECT(_xlfn.CONCAT("'",$A71,"'!C11"))&gt;=N$2,"i",""))</f>
        <v>d</v>
      </c>
      <c r="O71" s="1" t="str" cm="1">
        <f t="array" aca="1" ref="O71" ca="1">IF(INDIRECT(_xlfn.CONCAT("'",$A71,"'!C10"))&gt;=O$2,"d",IF(INDIRECT(_xlfn.CONCAT("'",$A71,"'!C11"))&gt;=O$2,"i",""))</f>
        <v>d</v>
      </c>
      <c r="P71" s="1" t="str" cm="1">
        <f t="array" aca="1" ref="P71" ca="1">IF(INDIRECT(_xlfn.CONCAT("'",$A71,"'!C10"))&gt;=P$2,"d",IF(INDIRECT(_xlfn.CONCAT("'",$A71,"'!C11"))&gt;=P$2,"i",""))</f>
        <v>d</v>
      </c>
      <c r="Q71" s="1" t="str" cm="1">
        <f t="array" aca="1" ref="Q71" ca="1">IF(INDIRECT(_xlfn.CONCAT("'",$A71,"'!C10"))&gt;=Q$2,"d",IF(INDIRECT(_xlfn.CONCAT("'",$A71,"'!C11"))&gt;=Q$2,"i",""))</f>
        <v>d</v>
      </c>
      <c r="R71" s="1" t="str" cm="1">
        <f t="array" aca="1" ref="R71" ca="1">IF(INDIRECT(_xlfn.CONCAT("'",$A71,"'!C10"))&gt;=R$2,"d",IF(INDIRECT(_xlfn.CONCAT("'",$A71,"'!C11"))&gt;=R$2,"i",""))</f>
        <v>d</v>
      </c>
      <c r="S71" s="36"/>
      <c r="T71" s="1" t="str" cm="1">
        <f t="array" aca="1" ref="T71" ca="1">IF(INDIRECT(_xlfn.CONCAT("'",$A71,"'!F4"))&gt;=T$2,"d",IF(INDIRECT(_xlfn.CONCAT("'",$A71,"'!F5"))&gt;=T$2,"i",""))</f>
        <v>d</v>
      </c>
      <c r="U71" s="1" t="str" cm="1">
        <f t="array" aca="1" ref="U71" ca="1">IF(INDIRECT(_xlfn.CONCAT("'",$A71,"'!F4"))&gt;=U$2,"d",IF(INDIRECT(_xlfn.CONCAT("'",$A71,"'!F5"))&gt;=U$2,"i",""))</f>
        <v>d</v>
      </c>
      <c r="V71" s="1" t="str" cm="1">
        <f t="array" aca="1" ref="V71" ca="1">IF(INDIRECT(_xlfn.CONCAT("'",$A71,"'!F4"))&gt;=V$2,"d",IF(INDIRECT(_xlfn.CONCAT("'",$A71,"'!F5"))&gt;=V$2,"i",""))</f>
        <v>d</v>
      </c>
      <c r="W71" s="1" t="str" cm="1">
        <f t="array" aca="1" ref="W71" ca="1">IF(INDIRECT(_xlfn.CONCAT("'",$A71,"'!F4"))&gt;=W$2,"d",IF(INDIRECT(_xlfn.CONCAT("'",$A71,"'!F5"))&gt;=W$2,"i",""))</f>
        <v>d</v>
      </c>
      <c r="X71" s="1" t="str" cm="1">
        <f t="array" aca="1" ref="X71" ca="1">IF(INDIRECT(_xlfn.CONCAT("'",$A71,"'!F4"))&gt;=X$2,"d",IF(INDIRECT(_xlfn.CONCAT("'",$A71,"'!F5"))&gt;=X$2,"i",""))</f>
        <v>d</v>
      </c>
      <c r="Y71" s="1" t="str" cm="1">
        <f t="array" aca="1" ref="Y71" ca="1">IF(INDIRECT(_xlfn.CONCAT("'",$A71,"'!F4"))&gt;=Y$2,"d",IF(INDIRECT(_xlfn.CONCAT("'",$A71,"'!F5"))&gt;=Y$2,"i",""))</f>
        <v>d</v>
      </c>
      <c r="Z71" s="1" t="str" cm="1">
        <f t="array" aca="1" ref="Z71" ca="1">IF(INDIRECT(_xlfn.CONCAT("'",$A71,"'!F4"))&gt;=Z$2,"d",IF(INDIRECT(_xlfn.CONCAT("'",$A71,"'!F5"))&gt;=Z$2,"i",""))</f>
        <v>d</v>
      </c>
      <c r="AA71" s="1" t="str" cm="1">
        <f t="array" aca="1" ref="AA71" ca="1">IF(INDIRECT(_xlfn.CONCAT("'",$A71,"'!F4"))&gt;=AA$2,"d",IF(INDIRECT(_xlfn.CONCAT("'",$A71,"'!F5"))&gt;=AA$2,"i",""))</f>
        <v>d</v>
      </c>
      <c r="AB71" s="1" t="str" cm="1">
        <f t="array" aca="1" ref="AB71" ca="1">IF(INDIRECT(_xlfn.CONCAT("'",$A71,"'!F4"))&gt;=AB$2,"d",IF(INDIRECT(_xlfn.CONCAT("'",$A71,"'!F5"))&gt;=AB$2,"i",""))</f>
        <v/>
      </c>
      <c r="AC71" s="36"/>
      <c r="AD71" s="1" t="str" cm="1">
        <f t="array" aca="1" ref="AD71" ca="1">IF(INDIRECT(_xlfn.CONCAT("'",$A71,"'!F17"))&gt;=AD$2,"d",IF(INDIRECT(_xlfn.CONCAT("'",$A71,"'!F18"))&gt;=AD$2,"i",""))</f>
        <v>d</v>
      </c>
      <c r="AE71" s="1" t="str" cm="1">
        <f t="array" aca="1" ref="AE71" ca="1">IF(INDIRECT(_xlfn.CONCAT("'",$A71,"'!F17"))&gt;=AE$2,"d",IF(INDIRECT(_xlfn.CONCAT("'",$A71,"'!F18"))&gt;=AE$2,"i",""))</f>
        <v>d</v>
      </c>
      <c r="AF71" s="1" t="str" cm="1">
        <f t="array" aca="1" ref="AF71" ca="1">IF(INDIRECT(_xlfn.CONCAT("'",$A71,"'!F17"))&gt;=AF$2,"d",IF(INDIRECT(_xlfn.CONCAT("'",$A71,"'!F18"))&gt;=AF$2,"i",""))</f>
        <v>d</v>
      </c>
      <c r="AG71" s="1" t="str" cm="1">
        <f t="array" aca="1" ref="AG71" ca="1">IF(INDIRECT(_xlfn.CONCAT("'",$A71,"'!F17"))&gt;=AG$2,"d",IF(INDIRECT(_xlfn.CONCAT("'",$A71,"'!F18"))&gt;=AG$2,"i",""))</f>
        <v>d</v>
      </c>
      <c r="AH71" s="1" t="str" cm="1">
        <f t="array" aca="1" ref="AH71" ca="1">IF(INDIRECT(_xlfn.CONCAT("'",$A71,"'!F17"))&gt;=AH$2,"d",IF(INDIRECT(_xlfn.CONCAT("'",$A71,"'!F18"))&gt;=AH$2,"i",""))</f>
        <v>d</v>
      </c>
      <c r="AI71" s="1" t="str" cm="1">
        <f t="array" aca="1" ref="AI71" ca="1">IF(INDIRECT(_xlfn.CONCAT("'",$A71,"'!F17"))&gt;=AI$2,"d",IF(INDIRECT(_xlfn.CONCAT("'",$A71,"'!F18"))&gt;=AI$2,"i",""))</f>
        <v>d</v>
      </c>
      <c r="AJ71" s="1" t="str" cm="1">
        <f t="array" aca="1" ref="AJ71" ca="1">IF(INDIRECT(_xlfn.CONCAT("'",$A71,"'!F17"))&gt;=AJ$2,"d",IF(INDIRECT(_xlfn.CONCAT("'",$A71,"'!F18"))&gt;=AJ$2,"i",""))</f>
        <v>d</v>
      </c>
      <c r="AK71" s="1" t="str" cm="1">
        <f t="array" aca="1" ref="AK71" ca="1">IF(INDIRECT(_xlfn.CONCAT("'",$A71,"'!F17"))&gt;=AK$2,"d",IF(INDIRECT(_xlfn.CONCAT("'",$A71,"'!F18"))&gt;=AK$2,"i",""))</f>
        <v>d</v>
      </c>
      <c r="AL71" s="1" t="str" cm="1">
        <f t="array" aca="1" ref="AL71" ca="1">IF(INDIRECT(_xlfn.CONCAT("'",$A71,"'!F17"))&gt;=AL$2,"d",IF(INDIRECT(_xlfn.CONCAT("'",$A71,"'!F18"))&gt;=AL$2,"i",""))</f>
        <v/>
      </c>
      <c r="AM71" s="36"/>
      <c r="AN71" s="1" t="str" cm="1">
        <f t="array" aca="1" ref="AN71" ca="1">IF(INDIRECT(_xlfn.CONCAT("'",$A71,"'!F30"))&gt;=AN$2,"d",IF(INDIRECT(_xlfn.CONCAT("'",$A71,"'!F31"))&gt;=AN$2,"i",""))</f>
        <v>d</v>
      </c>
      <c r="AO71" s="1" t="str" cm="1">
        <f t="array" aca="1" ref="AO71" ca="1">IF(INDIRECT(_xlfn.CONCAT("'",$A71,"'!F30"))&gt;=AO$2,"d",IF(INDIRECT(_xlfn.CONCAT("'",$A71,"'!F31"))&gt;=AO$2,"i",""))</f>
        <v>d</v>
      </c>
      <c r="AP71" s="1" t="str" cm="1">
        <f t="array" aca="1" ref="AP71" ca="1">IF(INDIRECT(_xlfn.CONCAT("'",$A71,"'!F30"))&gt;=AP$2,"d",IF(INDIRECT(_xlfn.CONCAT("'",$A71,"'!F31"))&gt;=AP$2,"i",""))</f>
        <v>d</v>
      </c>
      <c r="AQ71" s="1" t="str" cm="1">
        <f t="array" aca="1" ref="AQ71" ca="1">IF(INDIRECT(_xlfn.CONCAT("'",$A71,"'!F30"))&gt;=AQ$2,"d",IF(INDIRECT(_xlfn.CONCAT("'",$A71,"'!F31"))&gt;=AQ$2,"i",""))</f>
        <v>d</v>
      </c>
      <c r="AR71" s="1" t="str" cm="1">
        <f t="array" aca="1" ref="AR71" ca="1">IF(INDIRECT(_xlfn.CONCAT("'",$A71,"'!F30"))&gt;=AR$2,"d",IF(INDIRECT(_xlfn.CONCAT("'",$A71,"'!F31"))&gt;=AR$2,"i",""))</f>
        <v>d</v>
      </c>
      <c r="AS71" s="1" t="str" cm="1">
        <f t="array" aca="1" ref="AS71" ca="1">IF(INDIRECT(_xlfn.CONCAT("'",$A71,"'!F30"))&gt;=AS$2,"d",IF(INDIRECT(_xlfn.CONCAT("'",$A71,"'!F31"))&gt;=AS$2,"i",""))</f>
        <v>d</v>
      </c>
      <c r="AT71" s="1" t="str" cm="1">
        <f t="array" aca="1" ref="AT71" ca="1">IF(INDIRECT(_xlfn.CONCAT("'",$A71,"'!F30"))&gt;=AT$2,"d",IF(INDIRECT(_xlfn.CONCAT("'",$A71,"'!F31"))&gt;=AT$2,"i",""))</f>
        <v>d</v>
      </c>
      <c r="AU71" s="1" t="str" cm="1">
        <f t="array" aca="1" ref="AU71" ca="1">IF(INDIRECT(_xlfn.CONCAT("'",$A71,"'!F30"))&gt;=AU$2,"d",IF(INDIRECT(_xlfn.CONCAT("'",$A71,"'!F31"))&gt;=AU$2,"i",""))</f>
        <v>d</v>
      </c>
      <c r="AV71" s="4" t="str" cm="1">
        <f t="array" aca="1" ref="AV71" ca="1">IF(INDIRECT(_xlfn.CONCAT("'",$A71,"'!F30"))&gt;=AV$2,"d",IF(INDIRECT(_xlfn.CONCAT("'",$A71,"'!F31"))&gt;=AV$2,"i",""))</f>
        <v/>
      </c>
    </row>
    <row r="72" spans="1:48" x14ac:dyDescent="0.25">
      <c r="A72" s="119" t="str">
        <v>Dehya</v>
      </c>
      <c r="B72" s="4" t="str">
        <f t="shared" ref="B72:B73" si="21">VLOOKUP(A72,Character_List,2,FALSE)</f>
        <v>Pyro</v>
      </c>
      <c r="C72" s="38" t="str">
        <f t="shared" ref="C72:C73" si="22">VLOOKUP(A72,Character_List,7,FALSE)</f>
        <v>Sumeru 3</v>
      </c>
      <c r="D72" s="85" t="str">
        <f t="shared" ref="D72:D73" si="23">VLOOKUP(A72,Character_List,8,FALSE)</f>
        <v>Scaramouche 1</v>
      </c>
      <c r="E72" s="14" t="str" cm="1">
        <f t="array" aca="1" ref="E72" ca="1">IF(INDIRECT(_xlfn.CONCAT("'",$A72,"'!B4"))&gt;=E$2,"d",IF(INDIRECT(_xlfn.CONCAT("'",$A72,"'!B5"))&gt;=E$2,"i",""))</f>
        <v>d</v>
      </c>
      <c r="F72" s="1" t="str" cm="1">
        <f t="array" aca="1" ref="F72" ca="1">IF(INDIRECT(_xlfn.CONCAT("'",$A72,"'!B4"))&gt;=F$2,"d",IF(INDIRECT(_xlfn.CONCAT("'",$A72,"'!B5"))&gt;=F$2,"i",""))</f>
        <v>d</v>
      </c>
      <c r="G72" s="1" t="str" cm="1">
        <f t="array" aca="1" ref="G72" ca="1">IF(INDIRECT(_xlfn.CONCAT("'",$A72,"'!B4"))&gt;=G$2,"d",IF(INDIRECT(_xlfn.CONCAT("'",$A72,"'!B5"))&gt;=G$2,"i",""))</f>
        <v>d</v>
      </c>
      <c r="H72" s="1" t="str" cm="1">
        <f t="array" aca="1" ref="H72" ca="1">IF(INDIRECT(_xlfn.CONCAT("'",$A72,"'!B4"))&gt;=H$2,"d",IF(INDIRECT(_xlfn.CONCAT("'",$A72,"'!B5"))&gt;=H$2,"i",""))</f>
        <v>d</v>
      </c>
      <c r="I72" s="1" t="str" cm="1">
        <f t="array" aca="1" ref="I72" ca="1">IF(INDIRECT(_xlfn.CONCAT("'",$A72,"'!B4"))&gt;=I$2,"d",IF(INDIRECT(_xlfn.CONCAT("'",$A72,"'!B5"))&gt;=I$2,"i",""))</f>
        <v>d</v>
      </c>
      <c r="J72" s="1" t="str" cm="1">
        <f t="array" aca="1" ref="J72" ca="1">IF(INDIRECT(_xlfn.CONCAT("'",$A72,"'!B4"))&gt;=J$2,"d",IF(INDIRECT(_xlfn.CONCAT("'",$A72,"'!B5"))&gt;=J$2,"i",""))</f>
        <v>d</v>
      </c>
      <c r="K72" s="4" t="str" cm="1">
        <f t="array" aca="1" ref="K72" ca="1">IF(INDIRECT(_xlfn.CONCAT("'",$A72,"'!B4"))&gt;=K$2,"d",IF(INDIRECT(_xlfn.CONCAT("'",$A72,"'!B5"))&gt;=K$2,"i",""))</f>
        <v>d</v>
      </c>
      <c r="L72" s="39"/>
      <c r="M72" s="1" t="str" cm="1">
        <f t="array" aca="1" ref="M72" ca="1">IF(INDIRECT(_xlfn.CONCAT("'",$A72,"'!C10"))&gt;=M$2,"d",IF(INDIRECT(_xlfn.CONCAT("'",$A72,"'!C11"))&gt;=M$2,"i",""))</f>
        <v>d</v>
      </c>
      <c r="N72" s="1" t="str" cm="1">
        <f t="array" aca="1" ref="N72" ca="1">IF(INDIRECT(_xlfn.CONCAT("'",$A72,"'!C10"))&gt;=N$2,"d",IF(INDIRECT(_xlfn.CONCAT("'",$A72,"'!C11"))&gt;=N$2,"i",""))</f>
        <v>d</v>
      </c>
      <c r="O72" s="1" t="str" cm="1">
        <f t="array" aca="1" ref="O72" ca="1">IF(INDIRECT(_xlfn.CONCAT("'",$A72,"'!C10"))&gt;=O$2,"d",IF(INDIRECT(_xlfn.CONCAT("'",$A72,"'!C11"))&gt;=O$2,"i",""))</f>
        <v>d</v>
      </c>
      <c r="P72" s="1" t="str" cm="1">
        <f t="array" aca="1" ref="P72" ca="1">IF(INDIRECT(_xlfn.CONCAT("'",$A72,"'!C10"))&gt;=P$2,"d",IF(INDIRECT(_xlfn.CONCAT("'",$A72,"'!C11"))&gt;=P$2,"i",""))</f>
        <v>d</v>
      </c>
      <c r="Q72" s="1" t="str" cm="1">
        <f t="array" aca="1" ref="Q72" ca="1">IF(INDIRECT(_xlfn.CONCAT("'",$A72,"'!C10"))&gt;=Q$2,"d",IF(INDIRECT(_xlfn.CONCAT("'",$A72,"'!C11"))&gt;=Q$2,"i",""))</f>
        <v>d</v>
      </c>
      <c r="R72" s="1" t="str" cm="1">
        <f t="array" aca="1" ref="R72" ca="1">IF(INDIRECT(_xlfn.CONCAT("'",$A72,"'!C10"))&gt;=R$2,"d",IF(INDIRECT(_xlfn.CONCAT("'",$A72,"'!C11"))&gt;=R$2,"i",""))</f>
        <v>d</v>
      </c>
      <c r="S72" s="36"/>
      <c r="T72" s="1" t="str" cm="1">
        <f t="array" aca="1" ref="T72" ca="1">IF(INDIRECT(_xlfn.CONCAT("'",$A72,"'!F4"))&gt;=T$2,"d",IF(INDIRECT(_xlfn.CONCAT("'",$A72,"'!F5"))&gt;=T$2,"i",""))</f>
        <v>d</v>
      </c>
      <c r="U72" s="1" t="str" cm="1">
        <f t="array" aca="1" ref="U72" ca="1">IF(INDIRECT(_xlfn.CONCAT("'",$A72,"'!F4"))&gt;=U$2,"d",IF(INDIRECT(_xlfn.CONCAT("'",$A72,"'!F5"))&gt;=U$2,"i",""))</f>
        <v>d</v>
      </c>
      <c r="V72" s="1" t="str" cm="1">
        <f t="array" aca="1" ref="V72" ca="1">IF(INDIRECT(_xlfn.CONCAT("'",$A72,"'!F4"))&gt;=V$2,"d",IF(INDIRECT(_xlfn.CONCAT("'",$A72,"'!F5"))&gt;=V$2,"i",""))</f>
        <v>d</v>
      </c>
      <c r="W72" s="1" t="str" cm="1">
        <f t="array" aca="1" ref="W72" ca="1">IF(INDIRECT(_xlfn.CONCAT("'",$A72,"'!F4"))&gt;=W$2,"d",IF(INDIRECT(_xlfn.CONCAT("'",$A72,"'!F5"))&gt;=W$2,"i",""))</f>
        <v>d</v>
      </c>
      <c r="X72" s="1" t="str" cm="1">
        <f t="array" aca="1" ref="X72" ca="1">IF(INDIRECT(_xlfn.CONCAT("'",$A72,"'!F4"))&gt;=X$2,"d",IF(INDIRECT(_xlfn.CONCAT("'",$A72,"'!F5"))&gt;=X$2,"i",""))</f>
        <v>d</v>
      </c>
      <c r="Y72" s="1" t="str" cm="1">
        <f t="array" aca="1" ref="Y72" ca="1">IF(INDIRECT(_xlfn.CONCAT("'",$A72,"'!F4"))&gt;=Y$2,"d",IF(INDIRECT(_xlfn.CONCAT("'",$A72,"'!F5"))&gt;=Y$2,"i",""))</f>
        <v>d</v>
      </c>
      <c r="Z72" s="1" t="str" cm="1">
        <f t="array" aca="1" ref="Z72" ca="1">IF(INDIRECT(_xlfn.CONCAT("'",$A72,"'!F4"))&gt;=Z$2,"d",IF(INDIRECT(_xlfn.CONCAT("'",$A72,"'!F5"))&gt;=Z$2,"i",""))</f>
        <v>d</v>
      </c>
      <c r="AA72" s="1" t="str" cm="1">
        <f t="array" aca="1" ref="AA72" ca="1">IF(INDIRECT(_xlfn.CONCAT("'",$A72,"'!F4"))&gt;=AA$2,"d",IF(INDIRECT(_xlfn.CONCAT("'",$A72,"'!F5"))&gt;=AA$2,"i",""))</f>
        <v>d</v>
      </c>
      <c r="AB72" s="1" t="str" cm="1">
        <f t="array" aca="1" ref="AB72" ca="1">IF(INDIRECT(_xlfn.CONCAT("'",$A72,"'!F4"))&gt;=AB$2,"d",IF(INDIRECT(_xlfn.CONCAT("'",$A72,"'!F5"))&gt;=AB$2,"i",""))</f>
        <v/>
      </c>
      <c r="AC72" s="36"/>
      <c r="AD72" s="1" t="str" cm="1">
        <f t="array" aca="1" ref="AD72" ca="1">IF(INDIRECT(_xlfn.CONCAT("'",$A72,"'!F17"))&gt;=AD$2,"d",IF(INDIRECT(_xlfn.CONCAT("'",$A72,"'!F18"))&gt;=AD$2,"i",""))</f>
        <v>d</v>
      </c>
      <c r="AE72" s="1" t="str" cm="1">
        <f t="array" aca="1" ref="AE72" ca="1">IF(INDIRECT(_xlfn.CONCAT("'",$A72,"'!F17"))&gt;=AE$2,"d",IF(INDIRECT(_xlfn.CONCAT("'",$A72,"'!F18"))&gt;=AE$2,"i",""))</f>
        <v>d</v>
      </c>
      <c r="AF72" s="1" t="str" cm="1">
        <f t="array" aca="1" ref="AF72" ca="1">IF(INDIRECT(_xlfn.CONCAT("'",$A72,"'!F17"))&gt;=AF$2,"d",IF(INDIRECT(_xlfn.CONCAT("'",$A72,"'!F18"))&gt;=AF$2,"i",""))</f>
        <v>d</v>
      </c>
      <c r="AG72" s="1" t="str" cm="1">
        <f t="array" aca="1" ref="AG72" ca="1">IF(INDIRECT(_xlfn.CONCAT("'",$A72,"'!F17"))&gt;=AG$2,"d",IF(INDIRECT(_xlfn.CONCAT("'",$A72,"'!F18"))&gt;=AG$2,"i",""))</f>
        <v>d</v>
      </c>
      <c r="AH72" s="1" t="str" cm="1">
        <f t="array" aca="1" ref="AH72" ca="1">IF(INDIRECT(_xlfn.CONCAT("'",$A72,"'!F17"))&gt;=AH$2,"d",IF(INDIRECT(_xlfn.CONCAT("'",$A72,"'!F18"))&gt;=AH$2,"i",""))</f>
        <v>d</v>
      </c>
      <c r="AI72" s="1" t="str" cm="1">
        <f t="array" aca="1" ref="AI72" ca="1">IF(INDIRECT(_xlfn.CONCAT("'",$A72,"'!F17"))&gt;=AI$2,"d",IF(INDIRECT(_xlfn.CONCAT("'",$A72,"'!F18"))&gt;=AI$2,"i",""))</f>
        <v>d</v>
      </c>
      <c r="AJ72" s="1" t="str" cm="1">
        <f t="array" aca="1" ref="AJ72" ca="1">IF(INDIRECT(_xlfn.CONCAT("'",$A72,"'!F17"))&gt;=AJ$2,"d",IF(INDIRECT(_xlfn.CONCAT("'",$A72,"'!F18"))&gt;=AJ$2,"i",""))</f>
        <v>d</v>
      </c>
      <c r="AK72" s="1" t="str" cm="1">
        <f t="array" aca="1" ref="AK72" ca="1">IF(INDIRECT(_xlfn.CONCAT("'",$A72,"'!F17"))&gt;=AK$2,"d",IF(INDIRECT(_xlfn.CONCAT("'",$A72,"'!F18"))&gt;=AK$2,"i",""))</f>
        <v>d</v>
      </c>
      <c r="AL72" s="1" t="str" cm="1">
        <f t="array" aca="1" ref="AL72" ca="1">IF(INDIRECT(_xlfn.CONCAT("'",$A72,"'!F17"))&gt;=AL$2,"d",IF(INDIRECT(_xlfn.CONCAT("'",$A72,"'!F18"))&gt;=AL$2,"i",""))</f>
        <v/>
      </c>
      <c r="AM72" s="36"/>
      <c r="AN72" s="1" t="str" cm="1">
        <f t="array" aca="1" ref="AN72" ca="1">IF(INDIRECT(_xlfn.CONCAT("'",$A72,"'!F30"))&gt;=AN$2,"d",IF(INDIRECT(_xlfn.CONCAT("'",$A72,"'!F31"))&gt;=AN$2,"i",""))</f>
        <v>d</v>
      </c>
      <c r="AO72" s="1" t="str" cm="1">
        <f t="array" aca="1" ref="AO72" ca="1">IF(INDIRECT(_xlfn.CONCAT("'",$A72,"'!F30"))&gt;=AO$2,"d",IF(INDIRECT(_xlfn.CONCAT("'",$A72,"'!F31"))&gt;=AO$2,"i",""))</f>
        <v>d</v>
      </c>
      <c r="AP72" s="1" t="str" cm="1">
        <f t="array" aca="1" ref="AP72" ca="1">IF(INDIRECT(_xlfn.CONCAT("'",$A72,"'!F30"))&gt;=AP$2,"d",IF(INDIRECT(_xlfn.CONCAT("'",$A72,"'!F31"))&gt;=AP$2,"i",""))</f>
        <v>d</v>
      </c>
      <c r="AQ72" s="1" t="str" cm="1">
        <f t="array" aca="1" ref="AQ72" ca="1">IF(INDIRECT(_xlfn.CONCAT("'",$A72,"'!F30"))&gt;=AQ$2,"d",IF(INDIRECT(_xlfn.CONCAT("'",$A72,"'!F31"))&gt;=AQ$2,"i",""))</f>
        <v>d</v>
      </c>
      <c r="AR72" s="1" t="str" cm="1">
        <f t="array" aca="1" ref="AR72" ca="1">IF(INDIRECT(_xlfn.CONCAT("'",$A72,"'!F30"))&gt;=AR$2,"d",IF(INDIRECT(_xlfn.CONCAT("'",$A72,"'!F31"))&gt;=AR$2,"i",""))</f>
        <v>d</v>
      </c>
      <c r="AS72" s="1" t="str" cm="1">
        <f t="array" aca="1" ref="AS72" ca="1">IF(INDIRECT(_xlfn.CONCAT("'",$A72,"'!F30"))&gt;=AS$2,"d",IF(INDIRECT(_xlfn.CONCAT("'",$A72,"'!F31"))&gt;=AS$2,"i",""))</f>
        <v>d</v>
      </c>
      <c r="AT72" s="1" t="str" cm="1">
        <f t="array" aca="1" ref="AT72" ca="1">IF(INDIRECT(_xlfn.CONCAT("'",$A72,"'!F30"))&gt;=AT$2,"d",IF(INDIRECT(_xlfn.CONCAT("'",$A72,"'!F31"))&gt;=AT$2,"i",""))</f>
        <v>d</v>
      </c>
      <c r="AU72" s="1" t="str" cm="1">
        <f t="array" aca="1" ref="AU72" ca="1">IF(INDIRECT(_xlfn.CONCAT("'",$A72,"'!F30"))&gt;=AU$2,"d",IF(INDIRECT(_xlfn.CONCAT("'",$A72,"'!F31"))&gt;=AU$2,"i",""))</f>
        <v>d</v>
      </c>
      <c r="AV72" s="4" t="str" cm="1">
        <f t="array" aca="1" ref="AV72" ca="1">IF(INDIRECT(_xlfn.CONCAT("'",$A72,"'!F30"))&gt;=AV$2,"d",IF(INDIRECT(_xlfn.CONCAT("'",$A72,"'!F31"))&gt;=AV$2,"i",""))</f>
        <v/>
      </c>
    </row>
    <row r="73" spans="1:48" x14ac:dyDescent="0.25">
      <c r="A73" s="119" t="str">
        <v>Mika</v>
      </c>
      <c r="B73" s="4" t="str">
        <f t="shared" si="21"/>
        <v>Cryo</v>
      </c>
      <c r="C73" s="38" t="str">
        <f t="shared" si="22"/>
        <v>Mondstadt 3</v>
      </c>
      <c r="D73" s="85" t="str">
        <f t="shared" si="23"/>
        <v>Scaramouche 2</v>
      </c>
      <c r="E73" s="14" t="str" cm="1">
        <f t="array" aca="1" ref="E73" ca="1">IF(INDIRECT(_xlfn.CONCAT("'",$A73,"'!B4"))&gt;=E$2,"d",IF(INDIRECT(_xlfn.CONCAT("'",$A73,"'!B5"))&gt;=E$2,"i",""))</f>
        <v>d</v>
      </c>
      <c r="F73" s="1" t="str" cm="1">
        <f t="array" aca="1" ref="F73" ca="1">IF(INDIRECT(_xlfn.CONCAT("'",$A73,"'!B4"))&gt;=F$2,"d",IF(INDIRECT(_xlfn.CONCAT("'",$A73,"'!B5"))&gt;=F$2,"i",""))</f>
        <v>d</v>
      </c>
      <c r="G73" s="1" t="str" cm="1">
        <f t="array" aca="1" ref="G73" ca="1">IF(INDIRECT(_xlfn.CONCAT("'",$A73,"'!B4"))&gt;=G$2,"d",IF(INDIRECT(_xlfn.CONCAT("'",$A73,"'!B5"))&gt;=G$2,"i",""))</f>
        <v>d</v>
      </c>
      <c r="H73" s="1" t="str" cm="1">
        <f t="array" aca="1" ref="H73" ca="1">IF(INDIRECT(_xlfn.CONCAT("'",$A73,"'!B4"))&gt;=H$2,"d",IF(INDIRECT(_xlfn.CONCAT("'",$A73,"'!B5"))&gt;=H$2,"i",""))</f>
        <v>d</v>
      </c>
      <c r="I73" s="1" t="str" cm="1">
        <f t="array" aca="1" ref="I73" ca="1">IF(INDIRECT(_xlfn.CONCAT("'",$A73,"'!B4"))&gt;=I$2,"d",IF(INDIRECT(_xlfn.CONCAT("'",$A73,"'!B5"))&gt;=I$2,"i",""))</f>
        <v>d</v>
      </c>
      <c r="J73" s="1" t="str" cm="1">
        <f t="array" aca="1" ref="J73" ca="1">IF(INDIRECT(_xlfn.CONCAT("'",$A73,"'!B4"))&gt;=J$2,"d",IF(INDIRECT(_xlfn.CONCAT("'",$A73,"'!B5"))&gt;=J$2,"i",""))</f>
        <v>d</v>
      </c>
      <c r="K73" s="4" t="str" cm="1">
        <f t="array" aca="1" ref="K73" ca="1">IF(INDIRECT(_xlfn.CONCAT("'",$A73,"'!B4"))&gt;=K$2,"d",IF(INDIRECT(_xlfn.CONCAT("'",$A73,"'!B5"))&gt;=K$2,"i",""))</f>
        <v>d</v>
      </c>
      <c r="L73" s="39"/>
      <c r="M73" s="1" t="str" cm="1">
        <f t="array" aca="1" ref="M73" ca="1">IF(INDIRECT(_xlfn.CONCAT("'",$A73,"'!C10"))&gt;=M$2,"d",IF(INDIRECT(_xlfn.CONCAT("'",$A73,"'!C11"))&gt;=M$2,"i",""))</f>
        <v>d</v>
      </c>
      <c r="N73" s="1" t="str" cm="1">
        <f t="array" aca="1" ref="N73" ca="1">IF(INDIRECT(_xlfn.CONCAT("'",$A73,"'!C10"))&gt;=N$2,"d",IF(INDIRECT(_xlfn.CONCAT("'",$A73,"'!C11"))&gt;=N$2,"i",""))</f>
        <v>d</v>
      </c>
      <c r="O73" s="1" t="str" cm="1">
        <f t="array" aca="1" ref="O73" ca="1">IF(INDIRECT(_xlfn.CONCAT("'",$A73,"'!C10"))&gt;=O$2,"d",IF(INDIRECT(_xlfn.CONCAT("'",$A73,"'!C11"))&gt;=O$2,"i",""))</f>
        <v>d</v>
      </c>
      <c r="P73" s="1" t="str" cm="1">
        <f t="array" aca="1" ref="P73" ca="1">IF(INDIRECT(_xlfn.CONCAT("'",$A73,"'!C10"))&gt;=P$2,"d",IF(INDIRECT(_xlfn.CONCAT("'",$A73,"'!C11"))&gt;=P$2,"i",""))</f>
        <v>d</v>
      </c>
      <c r="Q73" s="1" t="str" cm="1">
        <f t="array" aca="1" ref="Q73" ca="1">IF(INDIRECT(_xlfn.CONCAT("'",$A73,"'!C10"))&gt;=Q$2,"d",IF(INDIRECT(_xlfn.CONCAT("'",$A73,"'!C11"))&gt;=Q$2,"i",""))</f>
        <v>d</v>
      </c>
      <c r="R73" s="1" t="str" cm="1">
        <f t="array" aca="1" ref="R73" ca="1">IF(INDIRECT(_xlfn.CONCAT("'",$A73,"'!C10"))&gt;=R$2,"d",IF(INDIRECT(_xlfn.CONCAT("'",$A73,"'!C11"))&gt;=R$2,"i",""))</f>
        <v>d</v>
      </c>
      <c r="S73" s="36"/>
      <c r="T73" s="1" t="str" cm="1">
        <f t="array" aca="1" ref="T73" ca="1">IF(INDIRECT(_xlfn.CONCAT("'",$A73,"'!F4"))&gt;=T$2,"d",IF(INDIRECT(_xlfn.CONCAT("'",$A73,"'!F5"))&gt;=T$2,"i",""))</f>
        <v>d</v>
      </c>
      <c r="U73" s="1" t="str" cm="1">
        <f t="array" aca="1" ref="U73" ca="1">IF(INDIRECT(_xlfn.CONCAT("'",$A73,"'!F4"))&gt;=U$2,"d",IF(INDIRECT(_xlfn.CONCAT("'",$A73,"'!F5"))&gt;=U$2,"i",""))</f>
        <v>d</v>
      </c>
      <c r="V73" s="1" t="str" cm="1">
        <f t="array" aca="1" ref="V73" ca="1">IF(INDIRECT(_xlfn.CONCAT("'",$A73,"'!F4"))&gt;=V$2,"d",IF(INDIRECT(_xlfn.CONCAT("'",$A73,"'!F5"))&gt;=V$2,"i",""))</f>
        <v>d</v>
      </c>
      <c r="W73" s="1" t="str" cm="1">
        <f t="array" aca="1" ref="W73" ca="1">IF(INDIRECT(_xlfn.CONCAT("'",$A73,"'!F4"))&gt;=W$2,"d",IF(INDIRECT(_xlfn.CONCAT("'",$A73,"'!F5"))&gt;=W$2,"i",""))</f>
        <v>d</v>
      </c>
      <c r="X73" s="1" t="str" cm="1">
        <f t="array" aca="1" ref="X73" ca="1">IF(INDIRECT(_xlfn.CONCAT("'",$A73,"'!F4"))&gt;=X$2,"d",IF(INDIRECT(_xlfn.CONCAT("'",$A73,"'!F5"))&gt;=X$2,"i",""))</f>
        <v>d</v>
      </c>
      <c r="Y73" s="1" t="str" cm="1">
        <f t="array" aca="1" ref="Y73" ca="1">IF(INDIRECT(_xlfn.CONCAT("'",$A73,"'!F4"))&gt;=Y$2,"d",IF(INDIRECT(_xlfn.CONCAT("'",$A73,"'!F5"))&gt;=Y$2,"i",""))</f>
        <v>d</v>
      </c>
      <c r="Z73" s="1" t="str" cm="1">
        <f t="array" aca="1" ref="Z73" ca="1">IF(INDIRECT(_xlfn.CONCAT("'",$A73,"'!F4"))&gt;=Z$2,"d",IF(INDIRECT(_xlfn.CONCAT("'",$A73,"'!F5"))&gt;=Z$2,"i",""))</f>
        <v>d</v>
      </c>
      <c r="AA73" s="1" t="str" cm="1">
        <f t="array" aca="1" ref="AA73" ca="1">IF(INDIRECT(_xlfn.CONCAT("'",$A73,"'!F4"))&gt;=AA$2,"d",IF(INDIRECT(_xlfn.CONCAT("'",$A73,"'!F5"))&gt;=AA$2,"i",""))</f>
        <v>d</v>
      </c>
      <c r="AB73" s="1" t="str" cm="1">
        <f t="array" aca="1" ref="AB73" ca="1">IF(INDIRECT(_xlfn.CONCAT("'",$A73,"'!F4"))&gt;=AB$2,"d",IF(INDIRECT(_xlfn.CONCAT("'",$A73,"'!F5"))&gt;=AB$2,"i",""))</f>
        <v/>
      </c>
      <c r="AC73" s="36"/>
      <c r="AD73" s="1" t="str" cm="1">
        <f t="array" aca="1" ref="AD73" ca="1">IF(INDIRECT(_xlfn.CONCAT("'",$A73,"'!F17"))&gt;=AD$2,"d",IF(INDIRECT(_xlfn.CONCAT("'",$A73,"'!F18"))&gt;=AD$2,"i",""))</f>
        <v>d</v>
      </c>
      <c r="AE73" s="1" t="str" cm="1">
        <f t="array" aca="1" ref="AE73" ca="1">IF(INDIRECT(_xlfn.CONCAT("'",$A73,"'!F17"))&gt;=AE$2,"d",IF(INDIRECT(_xlfn.CONCAT("'",$A73,"'!F18"))&gt;=AE$2,"i",""))</f>
        <v>d</v>
      </c>
      <c r="AF73" s="1" t="str" cm="1">
        <f t="array" aca="1" ref="AF73" ca="1">IF(INDIRECT(_xlfn.CONCAT("'",$A73,"'!F17"))&gt;=AF$2,"d",IF(INDIRECT(_xlfn.CONCAT("'",$A73,"'!F18"))&gt;=AF$2,"i",""))</f>
        <v>d</v>
      </c>
      <c r="AG73" s="1" t="str" cm="1">
        <f t="array" aca="1" ref="AG73" ca="1">IF(INDIRECT(_xlfn.CONCAT("'",$A73,"'!F17"))&gt;=AG$2,"d",IF(INDIRECT(_xlfn.CONCAT("'",$A73,"'!F18"))&gt;=AG$2,"i",""))</f>
        <v>d</v>
      </c>
      <c r="AH73" s="1" t="str" cm="1">
        <f t="array" aca="1" ref="AH73" ca="1">IF(INDIRECT(_xlfn.CONCAT("'",$A73,"'!F17"))&gt;=AH$2,"d",IF(INDIRECT(_xlfn.CONCAT("'",$A73,"'!F18"))&gt;=AH$2,"i",""))</f>
        <v>d</v>
      </c>
      <c r="AI73" s="1" t="str" cm="1">
        <f t="array" aca="1" ref="AI73" ca="1">IF(INDIRECT(_xlfn.CONCAT("'",$A73,"'!F17"))&gt;=AI$2,"d",IF(INDIRECT(_xlfn.CONCAT("'",$A73,"'!F18"))&gt;=AI$2,"i",""))</f>
        <v>d</v>
      </c>
      <c r="AJ73" s="1" t="str" cm="1">
        <f t="array" aca="1" ref="AJ73" ca="1">IF(INDIRECT(_xlfn.CONCAT("'",$A73,"'!F17"))&gt;=AJ$2,"d",IF(INDIRECT(_xlfn.CONCAT("'",$A73,"'!F18"))&gt;=AJ$2,"i",""))</f>
        <v>d</v>
      </c>
      <c r="AK73" s="1" t="str" cm="1">
        <f t="array" aca="1" ref="AK73" ca="1">IF(INDIRECT(_xlfn.CONCAT("'",$A73,"'!F17"))&gt;=AK$2,"d",IF(INDIRECT(_xlfn.CONCAT("'",$A73,"'!F18"))&gt;=AK$2,"i",""))</f>
        <v>d</v>
      </c>
      <c r="AL73" s="1" t="str" cm="1">
        <f t="array" aca="1" ref="AL73" ca="1">IF(INDIRECT(_xlfn.CONCAT("'",$A73,"'!F17"))&gt;=AL$2,"d",IF(INDIRECT(_xlfn.CONCAT("'",$A73,"'!F18"))&gt;=AL$2,"i",""))</f>
        <v/>
      </c>
      <c r="AM73" s="36"/>
      <c r="AN73" s="1" t="str" cm="1">
        <f t="array" aca="1" ref="AN73" ca="1">IF(INDIRECT(_xlfn.CONCAT("'",$A73,"'!F30"))&gt;=AN$2,"d",IF(INDIRECT(_xlfn.CONCAT("'",$A73,"'!F31"))&gt;=AN$2,"i",""))</f>
        <v>d</v>
      </c>
      <c r="AO73" s="1" t="str" cm="1">
        <f t="array" aca="1" ref="AO73" ca="1">IF(INDIRECT(_xlfn.CONCAT("'",$A73,"'!F30"))&gt;=AO$2,"d",IF(INDIRECT(_xlfn.CONCAT("'",$A73,"'!F31"))&gt;=AO$2,"i",""))</f>
        <v>d</v>
      </c>
      <c r="AP73" s="1" t="str" cm="1">
        <f t="array" aca="1" ref="AP73" ca="1">IF(INDIRECT(_xlfn.CONCAT("'",$A73,"'!F30"))&gt;=AP$2,"d",IF(INDIRECT(_xlfn.CONCAT("'",$A73,"'!F31"))&gt;=AP$2,"i",""))</f>
        <v>d</v>
      </c>
      <c r="AQ73" s="1" t="str" cm="1">
        <f t="array" aca="1" ref="AQ73" ca="1">IF(INDIRECT(_xlfn.CONCAT("'",$A73,"'!F30"))&gt;=AQ$2,"d",IF(INDIRECT(_xlfn.CONCAT("'",$A73,"'!F31"))&gt;=AQ$2,"i",""))</f>
        <v>d</v>
      </c>
      <c r="AR73" s="1" t="str" cm="1">
        <f t="array" aca="1" ref="AR73" ca="1">IF(INDIRECT(_xlfn.CONCAT("'",$A73,"'!F30"))&gt;=AR$2,"d",IF(INDIRECT(_xlfn.CONCAT("'",$A73,"'!F31"))&gt;=AR$2,"i",""))</f>
        <v>d</v>
      </c>
      <c r="AS73" s="1" t="str" cm="1">
        <f t="array" aca="1" ref="AS73" ca="1">IF(INDIRECT(_xlfn.CONCAT("'",$A73,"'!F30"))&gt;=AS$2,"d",IF(INDIRECT(_xlfn.CONCAT("'",$A73,"'!F31"))&gt;=AS$2,"i",""))</f>
        <v>d</v>
      </c>
      <c r="AT73" s="1" t="str" cm="1">
        <f t="array" aca="1" ref="AT73" ca="1">IF(INDIRECT(_xlfn.CONCAT("'",$A73,"'!F30"))&gt;=AT$2,"d",IF(INDIRECT(_xlfn.CONCAT("'",$A73,"'!F31"))&gt;=AT$2,"i",""))</f>
        <v>d</v>
      </c>
      <c r="AU73" s="1" t="str" cm="1">
        <f t="array" aca="1" ref="AU73" ca="1">IF(INDIRECT(_xlfn.CONCAT("'",$A73,"'!F30"))&gt;=AU$2,"d",IF(INDIRECT(_xlfn.CONCAT("'",$A73,"'!F31"))&gt;=AU$2,"i",""))</f>
        <v>d</v>
      </c>
      <c r="AV73" s="4" t="str" cm="1">
        <f t="array" aca="1" ref="AV73" ca="1">IF(INDIRECT(_xlfn.CONCAT("'",$A73,"'!F30"))&gt;=AV$2,"d",IF(INDIRECT(_xlfn.CONCAT("'",$A73,"'!F31"))&gt;=AV$2,"i",""))</f>
        <v/>
      </c>
    </row>
    <row r="74" spans="1:48" x14ac:dyDescent="0.25">
      <c r="A74" s="101" t="str">
        <v>Baizhu</v>
      </c>
      <c r="B74" s="4" t="str">
        <f t="shared" ref="B74:B75" si="24">VLOOKUP(A74,Character_List,2,FALSE)</f>
        <v>Dendro</v>
      </c>
      <c r="C74" s="38" t="str">
        <f t="shared" ref="C74:C75" si="25">VLOOKUP(A74,Character_List,7,FALSE)</f>
        <v>Liyue 3</v>
      </c>
      <c r="D74" s="85" t="str">
        <f t="shared" ref="D74:D75" si="26">VLOOKUP(A74,Character_List,8,FALSE)</f>
        <v>Apep 1</v>
      </c>
      <c r="E74" s="14" t="str" cm="1">
        <f t="array" aca="1" ref="E74" ca="1">IF(INDIRECT(_xlfn.CONCAT("'",$A74,"'!B4"))&gt;=E$2,"d",IF(INDIRECT(_xlfn.CONCAT("'",$A74,"'!B5"))&gt;=E$2,"i",""))</f>
        <v>d</v>
      </c>
      <c r="F74" s="1" t="str" cm="1">
        <f t="array" aca="1" ref="F74" ca="1">IF(INDIRECT(_xlfn.CONCAT("'",$A74,"'!B4"))&gt;=F$2,"d",IF(INDIRECT(_xlfn.CONCAT("'",$A74,"'!B5"))&gt;=F$2,"i",""))</f>
        <v>d</v>
      </c>
      <c r="G74" s="1" t="str" cm="1">
        <f t="array" aca="1" ref="G74" ca="1">IF(INDIRECT(_xlfn.CONCAT("'",$A74,"'!B4"))&gt;=G$2,"d",IF(INDIRECT(_xlfn.CONCAT("'",$A74,"'!B5"))&gt;=G$2,"i",""))</f>
        <v>d</v>
      </c>
      <c r="H74" s="1" t="str" cm="1">
        <f t="array" aca="1" ref="H74" ca="1">IF(INDIRECT(_xlfn.CONCAT("'",$A74,"'!B4"))&gt;=H$2,"d",IF(INDIRECT(_xlfn.CONCAT("'",$A74,"'!B5"))&gt;=H$2,"i",""))</f>
        <v>d</v>
      </c>
      <c r="I74" s="1" t="str" cm="1">
        <f t="array" aca="1" ref="I74" ca="1">IF(INDIRECT(_xlfn.CONCAT("'",$A74,"'!B4"))&gt;=I$2,"d",IF(INDIRECT(_xlfn.CONCAT("'",$A74,"'!B5"))&gt;=I$2,"i",""))</f>
        <v>d</v>
      </c>
      <c r="J74" s="1" t="str" cm="1">
        <f t="array" aca="1" ref="J74" ca="1">IF(INDIRECT(_xlfn.CONCAT("'",$A74,"'!B4"))&gt;=J$2,"d",IF(INDIRECT(_xlfn.CONCAT("'",$A74,"'!B5"))&gt;=J$2,"i",""))</f>
        <v>d</v>
      </c>
      <c r="K74" s="4" t="str" cm="1">
        <f t="array" aca="1" ref="K74" ca="1">IF(INDIRECT(_xlfn.CONCAT("'",$A74,"'!B4"))&gt;=K$2,"d",IF(INDIRECT(_xlfn.CONCAT("'",$A74,"'!B5"))&gt;=K$2,"i",""))</f>
        <v>d</v>
      </c>
      <c r="L74" s="39"/>
      <c r="M74" s="1" t="str" cm="1">
        <f t="array" aca="1" ref="M74" ca="1">IF(INDIRECT(_xlfn.CONCAT("'",$A74,"'!C10"))&gt;=M$2,"d",IF(INDIRECT(_xlfn.CONCAT("'",$A74,"'!C11"))&gt;=M$2,"i",""))</f>
        <v>d</v>
      </c>
      <c r="N74" s="1" t="str" cm="1">
        <f t="array" aca="1" ref="N74" ca="1">IF(INDIRECT(_xlfn.CONCAT("'",$A74,"'!C10"))&gt;=N$2,"d",IF(INDIRECT(_xlfn.CONCAT("'",$A74,"'!C11"))&gt;=N$2,"i",""))</f>
        <v>d</v>
      </c>
      <c r="O74" s="1" t="str" cm="1">
        <f t="array" aca="1" ref="O74" ca="1">IF(INDIRECT(_xlfn.CONCAT("'",$A74,"'!C10"))&gt;=O$2,"d",IF(INDIRECT(_xlfn.CONCAT("'",$A74,"'!C11"))&gt;=O$2,"i",""))</f>
        <v>d</v>
      </c>
      <c r="P74" s="1" t="str" cm="1">
        <f t="array" aca="1" ref="P74" ca="1">IF(INDIRECT(_xlfn.CONCAT("'",$A74,"'!C10"))&gt;=P$2,"d",IF(INDIRECT(_xlfn.CONCAT("'",$A74,"'!C11"))&gt;=P$2,"i",""))</f>
        <v>d</v>
      </c>
      <c r="Q74" s="1" t="str" cm="1">
        <f t="array" aca="1" ref="Q74" ca="1">IF(INDIRECT(_xlfn.CONCAT("'",$A74,"'!C10"))&gt;=Q$2,"d",IF(INDIRECT(_xlfn.CONCAT("'",$A74,"'!C11"))&gt;=Q$2,"i",""))</f>
        <v>d</v>
      </c>
      <c r="R74" s="1" t="str" cm="1">
        <f t="array" aca="1" ref="R74" ca="1">IF(INDIRECT(_xlfn.CONCAT("'",$A74,"'!C10"))&gt;=R$2,"d",IF(INDIRECT(_xlfn.CONCAT("'",$A74,"'!C11"))&gt;=R$2,"i",""))</f>
        <v>d</v>
      </c>
      <c r="S74" s="36"/>
      <c r="T74" s="1" t="str" cm="1">
        <f t="array" aca="1" ref="T74" ca="1">IF(INDIRECT(_xlfn.CONCAT("'",$A74,"'!F4"))&gt;=T$2,"d",IF(INDIRECT(_xlfn.CONCAT("'",$A74,"'!F5"))&gt;=T$2,"i",""))</f>
        <v>d</v>
      </c>
      <c r="U74" s="1" t="str" cm="1">
        <f t="array" aca="1" ref="U74" ca="1">IF(INDIRECT(_xlfn.CONCAT("'",$A74,"'!F4"))&gt;=U$2,"d",IF(INDIRECT(_xlfn.CONCAT("'",$A74,"'!F5"))&gt;=U$2,"i",""))</f>
        <v>d</v>
      </c>
      <c r="V74" s="1" t="str" cm="1">
        <f t="array" aca="1" ref="V74" ca="1">IF(INDIRECT(_xlfn.CONCAT("'",$A74,"'!F4"))&gt;=V$2,"d",IF(INDIRECT(_xlfn.CONCAT("'",$A74,"'!F5"))&gt;=V$2,"i",""))</f>
        <v>d</v>
      </c>
      <c r="W74" s="1" t="str" cm="1">
        <f t="array" aca="1" ref="W74" ca="1">IF(INDIRECT(_xlfn.CONCAT("'",$A74,"'!F4"))&gt;=W$2,"d",IF(INDIRECT(_xlfn.CONCAT("'",$A74,"'!F5"))&gt;=W$2,"i",""))</f>
        <v>d</v>
      </c>
      <c r="X74" s="1" t="str" cm="1">
        <f t="array" aca="1" ref="X74" ca="1">IF(INDIRECT(_xlfn.CONCAT("'",$A74,"'!F4"))&gt;=X$2,"d",IF(INDIRECT(_xlfn.CONCAT("'",$A74,"'!F5"))&gt;=X$2,"i",""))</f>
        <v>d</v>
      </c>
      <c r="Y74" s="1" t="str" cm="1">
        <f t="array" aca="1" ref="Y74" ca="1">IF(INDIRECT(_xlfn.CONCAT("'",$A74,"'!F4"))&gt;=Y$2,"d",IF(INDIRECT(_xlfn.CONCAT("'",$A74,"'!F5"))&gt;=Y$2,"i",""))</f>
        <v>d</v>
      </c>
      <c r="Z74" s="1" t="str" cm="1">
        <f t="array" aca="1" ref="Z74" ca="1">IF(INDIRECT(_xlfn.CONCAT("'",$A74,"'!F4"))&gt;=Z$2,"d",IF(INDIRECT(_xlfn.CONCAT("'",$A74,"'!F5"))&gt;=Z$2,"i",""))</f>
        <v>d</v>
      </c>
      <c r="AA74" s="1" t="str" cm="1">
        <f t="array" aca="1" ref="AA74" ca="1">IF(INDIRECT(_xlfn.CONCAT("'",$A74,"'!F4"))&gt;=AA$2,"d",IF(INDIRECT(_xlfn.CONCAT("'",$A74,"'!F5"))&gt;=AA$2,"i",""))</f>
        <v>d</v>
      </c>
      <c r="AB74" s="1" t="str" cm="1">
        <f t="array" aca="1" ref="AB74" ca="1">IF(INDIRECT(_xlfn.CONCAT("'",$A74,"'!F4"))&gt;=AB$2,"d",IF(INDIRECT(_xlfn.CONCAT("'",$A74,"'!F5"))&gt;=AB$2,"i",""))</f>
        <v/>
      </c>
      <c r="AC74" s="36"/>
      <c r="AD74" s="1" t="str" cm="1">
        <f t="array" aca="1" ref="AD74" ca="1">IF(INDIRECT(_xlfn.CONCAT("'",$A74,"'!F17"))&gt;=AD$2,"d",IF(INDIRECT(_xlfn.CONCAT("'",$A74,"'!F18"))&gt;=AD$2,"i",""))</f>
        <v>d</v>
      </c>
      <c r="AE74" s="1" t="str" cm="1">
        <f t="array" aca="1" ref="AE74" ca="1">IF(INDIRECT(_xlfn.CONCAT("'",$A74,"'!F17"))&gt;=AE$2,"d",IF(INDIRECT(_xlfn.CONCAT("'",$A74,"'!F18"))&gt;=AE$2,"i",""))</f>
        <v>d</v>
      </c>
      <c r="AF74" s="1" t="str" cm="1">
        <f t="array" aca="1" ref="AF74" ca="1">IF(INDIRECT(_xlfn.CONCAT("'",$A74,"'!F17"))&gt;=AF$2,"d",IF(INDIRECT(_xlfn.CONCAT("'",$A74,"'!F18"))&gt;=AF$2,"i",""))</f>
        <v>d</v>
      </c>
      <c r="AG74" s="1" t="str" cm="1">
        <f t="array" aca="1" ref="AG74" ca="1">IF(INDIRECT(_xlfn.CONCAT("'",$A74,"'!F17"))&gt;=AG$2,"d",IF(INDIRECT(_xlfn.CONCAT("'",$A74,"'!F18"))&gt;=AG$2,"i",""))</f>
        <v>d</v>
      </c>
      <c r="AH74" s="1" t="str" cm="1">
        <f t="array" aca="1" ref="AH74" ca="1">IF(INDIRECT(_xlfn.CONCAT("'",$A74,"'!F17"))&gt;=AH$2,"d",IF(INDIRECT(_xlfn.CONCAT("'",$A74,"'!F18"))&gt;=AH$2,"i",""))</f>
        <v>d</v>
      </c>
      <c r="AI74" s="1" t="str" cm="1">
        <f t="array" aca="1" ref="AI74" ca="1">IF(INDIRECT(_xlfn.CONCAT("'",$A74,"'!F17"))&gt;=AI$2,"d",IF(INDIRECT(_xlfn.CONCAT("'",$A74,"'!F18"))&gt;=AI$2,"i",""))</f>
        <v>d</v>
      </c>
      <c r="AJ74" s="1" t="str" cm="1">
        <f t="array" aca="1" ref="AJ74" ca="1">IF(INDIRECT(_xlfn.CONCAT("'",$A74,"'!F17"))&gt;=AJ$2,"d",IF(INDIRECT(_xlfn.CONCAT("'",$A74,"'!F18"))&gt;=AJ$2,"i",""))</f>
        <v>d</v>
      </c>
      <c r="AK74" s="1" t="str" cm="1">
        <f t="array" aca="1" ref="AK74" ca="1">IF(INDIRECT(_xlfn.CONCAT("'",$A74,"'!F17"))&gt;=AK$2,"d",IF(INDIRECT(_xlfn.CONCAT("'",$A74,"'!F18"))&gt;=AK$2,"i",""))</f>
        <v>d</v>
      </c>
      <c r="AL74" s="1" t="str" cm="1">
        <f t="array" aca="1" ref="AL74" ca="1">IF(INDIRECT(_xlfn.CONCAT("'",$A74,"'!F17"))&gt;=AL$2,"d",IF(INDIRECT(_xlfn.CONCAT("'",$A74,"'!F18"))&gt;=AL$2,"i",""))</f>
        <v/>
      </c>
      <c r="AM74" s="36"/>
      <c r="AN74" s="1" t="str" cm="1">
        <f t="array" aca="1" ref="AN74" ca="1">IF(INDIRECT(_xlfn.CONCAT("'",$A74,"'!F30"))&gt;=AN$2,"d",IF(INDIRECT(_xlfn.CONCAT("'",$A74,"'!F31"))&gt;=AN$2,"i",""))</f>
        <v>d</v>
      </c>
      <c r="AO74" s="1" t="str" cm="1">
        <f t="array" aca="1" ref="AO74" ca="1">IF(INDIRECT(_xlfn.CONCAT("'",$A74,"'!F30"))&gt;=AO$2,"d",IF(INDIRECT(_xlfn.CONCAT("'",$A74,"'!F31"))&gt;=AO$2,"i",""))</f>
        <v>d</v>
      </c>
      <c r="AP74" s="1" t="str" cm="1">
        <f t="array" aca="1" ref="AP74" ca="1">IF(INDIRECT(_xlfn.CONCAT("'",$A74,"'!F30"))&gt;=AP$2,"d",IF(INDIRECT(_xlfn.CONCAT("'",$A74,"'!F31"))&gt;=AP$2,"i",""))</f>
        <v>d</v>
      </c>
      <c r="AQ74" s="1" t="str" cm="1">
        <f t="array" aca="1" ref="AQ74" ca="1">IF(INDIRECT(_xlfn.CONCAT("'",$A74,"'!F30"))&gt;=AQ$2,"d",IF(INDIRECT(_xlfn.CONCAT("'",$A74,"'!F31"))&gt;=AQ$2,"i",""))</f>
        <v>d</v>
      </c>
      <c r="AR74" s="1" t="str" cm="1">
        <f t="array" aca="1" ref="AR74" ca="1">IF(INDIRECT(_xlfn.CONCAT("'",$A74,"'!F30"))&gt;=AR$2,"d",IF(INDIRECT(_xlfn.CONCAT("'",$A74,"'!F31"))&gt;=AR$2,"i",""))</f>
        <v>d</v>
      </c>
      <c r="AS74" s="1" t="str" cm="1">
        <f t="array" aca="1" ref="AS74" ca="1">IF(INDIRECT(_xlfn.CONCAT("'",$A74,"'!F30"))&gt;=AS$2,"d",IF(INDIRECT(_xlfn.CONCAT("'",$A74,"'!F31"))&gt;=AS$2,"i",""))</f>
        <v>d</v>
      </c>
      <c r="AT74" s="1" t="str" cm="1">
        <f t="array" aca="1" ref="AT74" ca="1">IF(INDIRECT(_xlfn.CONCAT("'",$A74,"'!F30"))&gt;=AT$2,"d",IF(INDIRECT(_xlfn.CONCAT("'",$A74,"'!F31"))&gt;=AT$2,"i",""))</f>
        <v>d</v>
      </c>
      <c r="AU74" s="1" t="str" cm="1">
        <f t="array" aca="1" ref="AU74" ca="1">IF(INDIRECT(_xlfn.CONCAT("'",$A74,"'!F30"))&gt;=AU$2,"d",IF(INDIRECT(_xlfn.CONCAT("'",$A74,"'!F31"))&gt;=AU$2,"i",""))</f>
        <v>d</v>
      </c>
      <c r="AV74" s="4" t="str" cm="1">
        <f t="array" aca="1" ref="AV74" ca="1">IF(INDIRECT(_xlfn.CONCAT("'",$A74,"'!F30"))&gt;=AV$2,"d",IF(INDIRECT(_xlfn.CONCAT("'",$A74,"'!F31"))&gt;=AV$2,"i",""))</f>
        <v/>
      </c>
    </row>
    <row r="75" spans="1:48" x14ac:dyDescent="0.25">
      <c r="A75" s="101" t="str">
        <v>Kaveh</v>
      </c>
      <c r="B75" s="4" t="str">
        <f t="shared" si="24"/>
        <v>Dendro</v>
      </c>
      <c r="C75" s="38" t="str">
        <f t="shared" si="25"/>
        <v>Sumeru 2</v>
      </c>
      <c r="D75" s="85" t="str">
        <f t="shared" si="26"/>
        <v>Apep 2</v>
      </c>
      <c r="E75" s="14" t="str" cm="1">
        <f t="array" aca="1" ref="E75" ca="1">IF(INDIRECT(_xlfn.CONCAT("'",$A75,"'!B4"))&gt;=E$2,"d",IF(INDIRECT(_xlfn.CONCAT("'",$A75,"'!B5"))&gt;=E$2,"i",""))</f>
        <v>d</v>
      </c>
      <c r="F75" s="1" t="str" cm="1">
        <f t="array" aca="1" ref="F75" ca="1">IF(INDIRECT(_xlfn.CONCAT("'",$A75,"'!B4"))&gt;=F$2,"d",IF(INDIRECT(_xlfn.CONCAT("'",$A75,"'!B5"))&gt;=F$2,"i",""))</f>
        <v>d</v>
      </c>
      <c r="G75" s="1" t="str" cm="1">
        <f t="array" aca="1" ref="G75" ca="1">IF(INDIRECT(_xlfn.CONCAT("'",$A75,"'!B4"))&gt;=G$2,"d",IF(INDIRECT(_xlfn.CONCAT("'",$A75,"'!B5"))&gt;=G$2,"i",""))</f>
        <v>d</v>
      </c>
      <c r="H75" s="1" t="str" cm="1">
        <f t="array" aca="1" ref="H75" ca="1">IF(INDIRECT(_xlfn.CONCAT("'",$A75,"'!B4"))&gt;=H$2,"d",IF(INDIRECT(_xlfn.CONCAT("'",$A75,"'!B5"))&gt;=H$2,"i",""))</f>
        <v>d</v>
      </c>
      <c r="I75" s="1" t="str" cm="1">
        <f t="array" aca="1" ref="I75" ca="1">IF(INDIRECT(_xlfn.CONCAT("'",$A75,"'!B4"))&gt;=I$2,"d",IF(INDIRECT(_xlfn.CONCAT("'",$A75,"'!B5"))&gt;=I$2,"i",""))</f>
        <v>d</v>
      </c>
      <c r="J75" s="1" t="str" cm="1">
        <f t="array" aca="1" ref="J75" ca="1">IF(INDIRECT(_xlfn.CONCAT("'",$A75,"'!B4"))&gt;=J$2,"d",IF(INDIRECT(_xlfn.CONCAT("'",$A75,"'!B5"))&gt;=J$2,"i",""))</f>
        <v>d</v>
      </c>
      <c r="K75" s="4" t="str" cm="1">
        <f t="array" aca="1" ref="K75" ca="1">IF(INDIRECT(_xlfn.CONCAT("'",$A75,"'!B4"))&gt;=K$2,"d",IF(INDIRECT(_xlfn.CONCAT("'",$A75,"'!B5"))&gt;=K$2,"i",""))</f>
        <v>d</v>
      </c>
      <c r="L75" s="39"/>
      <c r="M75" s="1" t="str" cm="1">
        <f t="array" aca="1" ref="M75" ca="1">IF(INDIRECT(_xlfn.CONCAT("'",$A75,"'!C10"))&gt;=M$2,"d",IF(INDIRECT(_xlfn.CONCAT("'",$A75,"'!C11"))&gt;=M$2,"i",""))</f>
        <v>d</v>
      </c>
      <c r="N75" s="1" t="str" cm="1">
        <f t="array" aca="1" ref="N75" ca="1">IF(INDIRECT(_xlfn.CONCAT("'",$A75,"'!C10"))&gt;=N$2,"d",IF(INDIRECT(_xlfn.CONCAT("'",$A75,"'!C11"))&gt;=N$2,"i",""))</f>
        <v>d</v>
      </c>
      <c r="O75" s="1" t="str" cm="1">
        <f t="array" aca="1" ref="O75" ca="1">IF(INDIRECT(_xlfn.CONCAT("'",$A75,"'!C10"))&gt;=O$2,"d",IF(INDIRECT(_xlfn.CONCAT("'",$A75,"'!C11"))&gt;=O$2,"i",""))</f>
        <v>d</v>
      </c>
      <c r="P75" s="1" t="str" cm="1">
        <f t="array" aca="1" ref="P75" ca="1">IF(INDIRECT(_xlfn.CONCAT("'",$A75,"'!C10"))&gt;=P$2,"d",IF(INDIRECT(_xlfn.CONCAT("'",$A75,"'!C11"))&gt;=P$2,"i",""))</f>
        <v>d</v>
      </c>
      <c r="Q75" s="1" t="str" cm="1">
        <f t="array" aca="1" ref="Q75" ca="1">IF(INDIRECT(_xlfn.CONCAT("'",$A75,"'!C10"))&gt;=Q$2,"d",IF(INDIRECT(_xlfn.CONCAT("'",$A75,"'!C11"))&gt;=Q$2,"i",""))</f>
        <v>d</v>
      </c>
      <c r="R75" s="1" t="str" cm="1">
        <f t="array" aca="1" ref="R75" ca="1">IF(INDIRECT(_xlfn.CONCAT("'",$A75,"'!C10"))&gt;=R$2,"d",IF(INDIRECT(_xlfn.CONCAT("'",$A75,"'!C11"))&gt;=R$2,"i",""))</f>
        <v>d</v>
      </c>
      <c r="S75" s="36"/>
      <c r="T75" s="1" t="str" cm="1">
        <f t="array" aca="1" ref="T75" ca="1">IF(INDIRECT(_xlfn.CONCAT("'",$A75,"'!F4"))&gt;=T$2,"d",IF(INDIRECT(_xlfn.CONCAT("'",$A75,"'!F5"))&gt;=T$2,"i",""))</f>
        <v>d</v>
      </c>
      <c r="U75" s="1" t="str" cm="1">
        <f t="array" aca="1" ref="U75" ca="1">IF(INDIRECT(_xlfn.CONCAT("'",$A75,"'!F4"))&gt;=U$2,"d",IF(INDIRECT(_xlfn.CONCAT("'",$A75,"'!F5"))&gt;=U$2,"i",""))</f>
        <v>d</v>
      </c>
      <c r="V75" s="1" t="str" cm="1">
        <f t="array" aca="1" ref="V75" ca="1">IF(INDIRECT(_xlfn.CONCAT("'",$A75,"'!F4"))&gt;=V$2,"d",IF(INDIRECT(_xlfn.CONCAT("'",$A75,"'!F5"))&gt;=V$2,"i",""))</f>
        <v>d</v>
      </c>
      <c r="W75" s="1" t="str" cm="1">
        <f t="array" aca="1" ref="W75" ca="1">IF(INDIRECT(_xlfn.CONCAT("'",$A75,"'!F4"))&gt;=W$2,"d",IF(INDIRECT(_xlfn.CONCAT("'",$A75,"'!F5"))&gt;=W$2,"i",""))</f>
        <v>d</v>
      </c>
      <c r="X75" s="1" t="str" cm="1">
        <f t="array" aca="1" ref="X75" ca="1">IF(INDIRECT(_xlfn.CONCAT("'",$A75,"'!F4"))&gt;=X$2,"d",IF(INDIRECT(_xlfn.CONCAT("'",$A75,"'!F5"))&gt;=X$2,"i",""))</f>
        <v>d</v>
      </c>
      <c r="Y75" s="1" t="str" cm="1">
        <f t="array" aca="1" ref="Y75" ca="1">IF(INDIRECT(_xlfn.CONCAT("'",$A75,"'!F4"))&gt;=Y$2,"d",IF(INDIRECT(_xlfn.CONCAT("'",$A75,"'!F5"))&gt;=Y$2,"i",""))</f>
        <v>d</v>
      </c>
      <c r="Z75" s="1" t="str" cm="1">
        <f t="array" aca="1" ref="Z75" ca="1">IF(INDIRECT(_xlfn.CONCAT("'",$A75,"'!F4"))&gt;=Z$2,"d",IF(INDIRECT(_xlfn.CONCAT("'",$A75,"'!F5"))&gt;=Z$2,"i",""))</f>
        <v>d</v>
      </c>
      <c r="AA75" s="1" t="str" cm="1">
        <f t="array" aca="1" ref="AA75" ca="1">IF(INDIRECT(_xlfn.CONCAT("'",$A75,"'!F4"))&gt;=AA$2,"d",IF(INDIRECT(_xlfn.CONCAT("'",$A75,"'!F5"))&gt;=AA$2,"i",""))</f>
        <v>d</v>
      </c>
      <c r="AB75" s="1" t="str" cm="1">
        <f t="array" aca="1" ref="AB75" ca="1">IF(INDIRECT(_xlfn.CONCAT("'",$A75,"'!F4"))&gt;=AB$2,"d",IF(INDIRECT(_xlfn.CONCAT("'",$A75,"'!F5"))&gt;=AB$2,"i",""))</f>
        <v/>
      </c>
      <c r="AC75" s="36"/>
      <c r="AD75" s="1" t="str" cm="1">
        <f t="array" aca="1" ref="AD75" ca="1">IF(INDIRECT(_xlfn.CONCAT("'",$A75,"'!F17"))&gt;=AD$2,"d",IF(INDIRECT(_xlfn.CONCAT("'",$A75,"'!F18"))&gt;=AD$2,"i",""))</f>
        <v>d</v>
      </c>
      <c r="AE75" s="1" t="str" cm="1">
        <f t="array" aca="1" ref="AE75" ca="1">IF(INDIRECT(_xlfn.CONCAT("'",$A75,"'!F17"))&gt;=AE$2,"d",IF(INDIRECT(_xlfn.CONCAT("'",$A75,"'!F18"))&gt;=AE$2,"i",""))</f>
        <v>d</v>
      </c>
      <c r="AF75" s="1" t="str" cm="1">
        <f t="array" aca="1" ref="AF75" ca="1">IF(INDIRECT(_xlfn.CONCAT("'",$A75,"'!F17"))&gt;=AF$2,"d",IF(INDIRECT(_xlfn.CONCAT("'",$A75,"'!F18"))&gt;=AF$2,"i",""))</f>
        <v>d</v>
      </c>
      <c r="AG75" s="1" t="str" cm="1">
        <f t="array" aca="1" ref="AG75" ca="1">IF(INDIRECT(_xlfn.CONCAT("'",$A75,"'!F17"))&gt;=AG$2,"d",IF(INDIRECT(_xlfn.CONCAT("'",$A75,"'!F18"))&gt;=AG$2,"i",""))</f>
        <v>d</v>
      </c>
      <c r="AH75" s="1" t="str" cm="1">
        <f t="array" aca="1" ref="AH75" ca="1">IF(INDIRECT(_xlfn.CONCAT("'",$A75,"'!F17"))&gt;=AH$2,"d",IF(INDIRECT(_xlfn.CONCAT("'",$A75,"'!F18"))&gt;=AH$2,"i",""))</f>
        <v>d</v>
      </c>
      <c r="AI75" s="1" t="str" cm="1">
        <f t="array" aca="1" ref="AI75" ca="1">IF(INDIRECT(_xlfn.CONCAT("'",$A75,"'!F17"))&gt;=AI$2,"d",IF(INDIRECT(_xlfn.CONCAT("'",$A75,"'!F18"))&gt;=AI$2,"i",""))</f>
        <v>d</v>
      </c>
      <c r="AJ75" s="1" t="str" cm="1">
        <f t="array" aca="1" ref="AJ75" ca="1">IF(INDIRECT(_xlfn.CONCAT("'",$A75,"'!F17"))&gt;=AJ$2,"d",IF(INDIRECT(_xlfn.CONCAT("'",$A75,"'!F18"))&gt;=AJ$2,"i",""))</f>
        <v>d</v>
      </c>
      <c r="AK75" s="1" t="str" cm="1">
        <f t="array" aca="1" ref="AK75" ca="1">IF(INDIRECT(_xlfn.CONCAT("'",$A75,"'!F17"))&gt;=AK$2,"d",IF(INDIRECT(_xlfn.CONCAT("'",$A75,"'!F18"))&gt;=AK$2,"i",""))</f>
        <v>d</v>
      </c>
      <c r="AL75" s="1" t="str" cm="1">
        <f t="array" aca="1" ref="AL75" ca="1">IF(INDIRECT(_xlfn.CONCAT("'",$A75,"'!F17"))&gt;=AL$2,"d",IF(INDIRECT(_xlfn.CONCAT("'",$A75,"'!F18"))&gt;=AL$2,"i",""))</f>
        <v/>
      </c>
      <c r="AM75" s="36"/>
      <c r="AN75" s="1" t="str" cm="1">
        <f t="array" aca="1" ref="AN75" ca="1">IF(INDIRECT(_xlfn.CONCAT("'",$A75,"'!F30"))&gt;=AN$2,"d",IF(INDIRECT(_xlfn.CONCAT("'",$A75,"'!F31"))&gt;=AN$2,"i",""))</f>
        <v>d</v>
      </c>
      <c r="AO75" s="1" t="str" cm="1">
        <f t="array" aca="1" ref="AO75" ca="1">IF(INDIRECT(_xlfn.CONCAT("'",$A75,"'!F30"))&gt;=AO$2,"d",IF(INDIRECT(_xlfn.CONCAT("'",$A75,"'!F31"))&gt;=AO$2,"i",""))</f>
        <v>d</v>
      </c>
      <c r="AP75" s="1" t="str" cm="1">
        <f t="array" aca="1" ref="AP75" ca="1">IF(INDIRECT(_xlfn.CONCAT("'",$A75,"'!F30"))&gt;=AP$2,"d",IF(INDIRECT(_xlfn.CONCAT("'",$A75,"'!F31"))&gt;=AP$2,"i",""))</f>
        <v>d</v>
      </c>
      <c r="AQ75" s="1" t="str" cm="1">
        <f t="array" aca="1" ref="AQ75" ca="1">IF(INDIRECT(_xlfn.CONCAT("'",$A75,"'!F30"))&gt;=AQ$2,"d",IF(INDIRECT(_xlfn.CONCAT("'",$A75,"'!F31"))&gt;=AQ$2,"i",""))</f>
        <v>d</v>
      </c>
      <c r="AR75" s="1" t="str" cm="1">
        <f t="array" aca="1" ref="AR75" ca="1">IF(INDIRECT(_xlfn.CONCAT("'",$A75,"'!F30"))&gt;=AR$2,"d",IF(INDIRECT(_xlfn.CONCAT("'",$A75,"'!F31"))&gt;=AR$2,"i",""))</f>
        <v>d</v>
      </c>
      <c r="AS75" s="1" t="str" cm="1">
        <f t="array" aca="1" ref="AS75" ca="1">IF(INDIRECT(_xlfn.CONCAT("'",$A75,"'!F30"))&gt;=AS$2,"d",IF(INDIRECT(_xlfn.CONCAT("'",$A75,"'!F31"))&gt;=AS$2,"i",""))</f>
        <v>d</v>
      </c>
      <c r="AT75" s="1" t="str" cm="1">
        <f t="array" aca="1" ref="AT75" ca="1">IF(INDIRECT(_xlfn.CONCAT("'",$A75,"'!F30"))&gt;=AT$2,"d",IF(INDIRECT(_xlfn.CONCAT("'",$A75,"'!F31"))&gt;=AT$2,"i",""))</f>
        <v>d</v>
      </c>
      <c r="AU75" s="1" t="str" cm="1">
        <f t="array" aca="1" ref="AU75" ca="1">IF(INDIRECT(_xlfn.CONCAT("'",$A75,"'!F30"))&gt;=AU$2,"d",IF(INDIRECT(_xlfn.CONCAT("'",$A75,"'!F31"))&gt;=AU$2,"i",""))</f>
        <v>d</v>
      </c>
      <c r="AV75" s="4" t="str" cm="1">
        <f t="array" aca="1" ref="AV75" ca="1">IF(INDIRECT(_xlfn.CONCAT("'",$A75,"'!F30"))&gt;=AV$2,"d",IF(INDIRECT(_xlfn.CONCAT("'",$A75,"'!F31"))&gt;=AV$2,"i",""))</f>
        <v/>
      </c>
    </row>
    <row r="76" spans="1:48" x14ac:dyDescent="0.25">
      <c r="A76" s="119" t="str">
        <v>Kirara</v>
      </c>
      <c r="B76" s="45" t="str">
        <f t="shared" ref="B76" si="27">VLOOKUP(A76,Character_List,2,FALSE)</f>
        <v>Dendro</v>
      </c>
      <c r="C76" s="153" t="str">
        <f t="shared" ref="C76" si="28">VLOOKUP(A76,Character_List,7,FALSE)</f>
        <v>Inazuma 1</v>
      </c>
      <c r="D76" s="154" t="str">
        <f t="shared" ref="D76" si="29">VLOOKUP(A76,Character_List,8,FALSE)</f>
        <v>Apep 3</v>
      </c>
      <c r="E76" s="19" t="str" cm="1">
        <f t="array" aca="1" ref="E76" ca="1">IF(INDIRECT(_xlfn.CONCAT("'",$A76,"'!B4"))&gt;=E$2,"d",IF(INDIRECT(_xlfn.CONCAT("'",$A76,"'!B5"))&gt;=E$2,"i",""))</f>
        <v>d</v>
      </c>
      <c r="F76" s="44" t="str" cm="1">
        <f t="array" aca="1" ref="F76" ca="1">IF(INDIRECT(_xlfn.CONCAT("'",$A76,"'!B4"))&gt;=F$2,"d",IF(INDIRECT(_xlfn.CONCAT("'",$A76,"'!B5"))&gt;=F$2,"i",""))</f>
        <v>d</v>
      </c>
      <c r="G76" s="44" t="str" cm="1">
        <f t="array" aca="1" ref="G76" ca="1">IF(INDIRECT(_xlfn.CONCAT("'",$A76,"'!B4"))&gt;=G$2,"d",IF(INDIRECT(_xlfn.CONCAT("'",$A76,"'!B5"))&gt;=G$2,"i",""))</f>
        <v>d</v>
      </c>
      <c r="H76" s="44" t="str" cm="1">
        <f t="array" aca="1" ref="H76" ca="1">IF(INDIRECT(_xlfn.CONCAT("'",$A76,"'!B4"))&gt;=H$2,"d",IF(INDIRECT(_xlfn.CONCAT("'",$A76,"'!B5"))&gt;=H$2,"i",""))</f>
        <v>d</v>
      </c>
      <c r="I76" s="44" t="str" cm="1">
        <f t="array" aca="1" ref="I76" ca="1">IF(INDIRECT(_xlfn.CONCAT("'",$A76,"'!B4"))&gt;=I$2,"d",IF(INDIRECT(_xlfn.CONCAT("'",$A76,"'!B5"))&gt;=I$2,"i",""))</f>
        <v>d</v>
      </c>
      <c r="J76" s="44" t="str" cm="1">
        <f t="array" aca="1" ref="J76" ca="1">IF(INDIRECT(_xlfn.CONCAT("'",$A76,"'!B4"))&gt;=J$2,"d",IF(INDIRECT(_xlfn.CONCAT("'",$A76,"'!B5"))&gt;=J$2,"i",""))</f>
        <v>d</v>
      </c>
      <c r="K76" s="45" t="str" cm="1">
        <f t="array" aca="1" ref="K76" ca="1">IF(INDIRECT(_xlfn.CONCAT("'",$A76,"'!B4"))&gt;=K$2,"d",IF(INDIRECT(_xlfn.CONCAT("'",$A76,"'!B5"))&gt;=K$2,"i",""))</f>
        <v>d</v>
      </c>
      <c r="L76" s="155"/>
      <c r="M76" s="44" t="str" cm="1">
        <f t="array" aca="1" ref="M76" ca="1">IF(INDIRECT(_xlfn.CONCAT("'",$A76,"'!C10"))&gt;=M$2,"d",IF(INDIRECT(_xlfn.CONCAT("'",$A76,"'!C11"))&gt;=M$2,"i",""))</f>
        <v>d</v>
      </c>
      <c r="N76" s="44" t="str" cm="1">
        <f t="array" aca="1" ref="N76" ca="1">IF(INDIRECT(_xlfn.CONCAT("'",$A76,"'!C10"))&gt;=N$2,"d",IF(INDIRECT(_xlfn.CONCAT("'",$A76,"'!C11"))&gt;=N$2,"i",""))</f>
        <v>d</v>
      </c>
      <c r="O76" s="44" t="str" cm="1">
        <f t="array" aca="1" ref="O76" ca="1">IF(INDIRECT(_xlfn.CONCAT("'",$A76,"'!C10"))&gt;=O$2,"d",IF(INDIRECT(_xlfn.CONCAT("'",$A76,"'!C11"))&gt;=O$2,"i",""))</f>
        <v>d</v>
      </c>
      <c r="P76" s="44" t="str" cm="1">
        <f t="array" aca="1" ref="P76" ca="1">IF(INDIRECT(_xlfn.CONCAT("'",$A76,"'!C10"))&gt;=P$2,"d",IF(INDIRECT(_xlfn.CONCAT("'",$A76,"'!C11"))&gt;=P$2,"i",""))</f>
        <v>d</v>
      </c>
      <c r="Q76" s="44" t="str" cm="1">
        <f t="array" aca="1" ref="Q76" ca="1">IF(INDIRECT(_xlfn.CONCAT("'",$A76,"'!C10"))&gt;=Q$2,"d",IF(INDIRECT(_xlfn.CONCAT("'",$A76,"'!C11"))&gt;=Q$2,"i",""))</f>
        <v>d</v>
      </c>
      <c r="R76" s="44" t="str" cm="1">
        <f t="array" aca="1" ref="R76" ca="1">IF(INDIRECT(_xlfn.CONCAT("'",$A76,"'!C10"))&gt;=R$2,"d",IF(INDIRECT(_xlfn.CONCAT("'",$A76,"'!C11"))&gt;=R$2,"i",""))</f>
        <v>d</v>
      </c>
      <c r="S76" s="156"/>
      <c r="T76" s="44" t="str" cm="1">
        <f t="array" aca="1" ref="T76" ca="1">IF(INDIRECT(_xlfn.CONCAT("'",$A76,"'!F4"))&gt;=T$2,"d",IF(INDIRECT(_xlfn.CONCAT("'",$A76,"'!F5"))&gt;=T$2,"i",""))</f>
        <v>d</v>
      </c>
      <c r="U76" s="44" t="str" cm="1">
        <f t="array" aca="1" ref="U76" ca="1">IF(INDIRECT(_xlfn.CONCAT("'",$A76,"'!F4"))&gt;=U$2,"d",IF(INDIRECT(_xlfn.CONCAT("'",$A76,"'!F5"))&gt;=U$2,"i",""))</f>
        <v>d</v>
      </c>
      <c r="V76" s="44" t="str" cm="1">
        <f t="array" aca="1" ref="V76" ca="1">IF(INDIRECT(_xlfn.CONCAT("'",$A76,"'!F4"))&gt;=V$2,"d",IF(INDIRECT(_xlfn.CONCAT("'",$A76,"'!F5"))&gt;=V$2,"i",""))</f>
        <v>d</v>
      </c>
      <c r="W76" s="44" t="str" cm="1">
        <f t="array" aca="1" ref="W76" ca="1">IF(INDIRECT(_xlfn.CONCAT("'",$A76,"'!F4"))&gt;=W$2,"d",IF(INDIRECT(_xlfn.CONCAT("'",$A76,"'!F5"))&gt;=W$2,"i",""))</f>
        <v>d</v>
      </c>
      <c r="X76" s="44" t="str" cm="1">
        <f t="array" aca="1" ref="X76" ca="1">IF(INDIRECT(_xlfn.CONCAT("'",$A76,"'!F4"))&gt;=X$2,"d",IF(INDIRECT(_xlfn.CONCAT("'",$A76,"'!F5"))&gt;=X$2,"i",""))</f>
        <v>d</v>
      </c>
      <c r="Y76" s="44" t="str" cm="1">
        <f t="array" aca="1" ref="Y76" ca="1">IF(INDIRECT(_xlfn.CONCAT("'",$A76,"'!F4"))&gt;=Y$2,"d",IF(INDIRECT(_xlfn.CONCAT("'",$A76,"'!F5"))&gt;=Y$2,"i",""))</f>
        <v>d</v>
      </c>
      <c r="Z76" s="44" t="str" cm="1">
        <f t="array" aca="1" ref="Z76" ca="1">IF(INDIRECT(_xlfn.CONCAT("'",$A76,"'!F4"))&gt;=Z$2,"d",IF(INDIRECT(_xlfn.CONCAT("'",$A76,"'!F5"))&gt;=Z$2,"i",""))</f>
        <v>d</v>
      </c>
      <c r="AA76" s="44" t="str" cm="1">
        <f t="array" aca="1" ref="AA76" ca="1">IF(INDIRECT(_xlfn.CONCAT("'",$A76,"'!F4"))&gt;=AA$2,"d",IF(INDIRECT(_xlfn.CONCAT("'",$A76,"'!F5"))&gt;=AA$2,"i",""))</f>
        <v>d</v>
      </c>
      <c r="AB76" s="44" t="str" cm="1">
        <f t="array" aca="1" ref="AB76" ca="1">IF(INDIRECT(_xlfn.CONCAT("'",$A76,"'!F4"))&gt;=AB$2,"d",IF(INDIRECT(_xlfn.CONCAT("'",$A76,"'!F5"))&gt;=AB$2,"i",""))</f>
        <v/>
      </c>
      <c r="AC76" s="156"/>
      <c r="AD76" s="44" t="str" cm="1">
        <f t="array" aca="1" ref="AD76" ca="1">IF(INDIRECT(_xlfn.CONCAT("'",$A76,"'!F17"))&gt;=AD$2,"d",IF(INDIRECT(_xlfn.CONCAT("'",$A76,"'!F18"))&gt;=AD$2,"i",""))</f>
        <v>d</v>
      </c>
      <c r="AE76" s="44" t="str" cm="1">
        <f t="array" aca="1" ref="AE76" ca="1">IF(INDIRECT(_xlfn.CONCAT("'",$A76,"'!F17"))&gt;=AE$2,"d",IF(INDIRECT(_xlfn.CONCAT("'",$A76,"'!F18"))&gt;=AE$2,"i",""))</f>
        <v>d</v>
      </c>
      <c r="AF76" s="44" t="str" cm="1">
        <f t="array" aca="1" ref="AF76" ca="1">IF(INDIRECT(_xlfn.CONCAT("'",$A76,"'!F17"))&gt;=AF$2,"d",IF(INDIRECT(_xlfn.CONCAT("'",$A76,"'!F18"))&gt;=AF$2,"i",""))</f>
        <v>d</v>
      </c>
      <c r="AG76" s="44" t="str" cm="1">
        <f t="array" aca="1" ref="AG76" ca="1">IF(INDIRECT(_xlfn.CONCAT("'",$A76,"'!F17"))&gt;=AG$2,"d",IF(INDIRECT(_xlfn.CONCAT("'",$A76,"'!F18"))&gt;=AG$2,"i",""))</f>
        <v>d</v>
      </c>
      <c r="AH76" s="44" t="str" cm="1">
        <f t="array" aca="1" ref="AH76" ca="1">IF(INDIRECT(_xlfn.CONCAT("'",$A76,"'!F17"))&gt;=AH$2,"d",IF(INDIRECT(_xlfn.CONCAT("'",$A76,"'!F18"))&gt;=AH$2,"i",""))</f>
        <v>d</v>
      </c>
      <c r="AI76" s="44" t="str" cm="1">
        <f t="array" aca="1" ref="AI76" ca="1">IF(INDIRECT(_xlfn.CONCAT("'",$A76,"'!F17"))&gt;=AI$2,"d",IF(INDIRECT(_xlfn.CONCAT("'",$A76,"'!F18"))&gt;=AI$2,"i",""))</f>
        <v>d</v>
      </c>
      <c r="AJ76" s="44" t="str" cm="1">
        <f t="array" aca="1" ref="AJ76" ca="1">IF(INDIRECT(_xlfn.CONCAT("'",$A76,"'!F17"))&gt;=AJ$2,"d",IF(INDIRECT(_xlfn.CONCAT("'",$A76,"'!F18"))&gt;=AJ$2,"i",""))</f>
        <v>d</v>
      </c>
      <c r="AK76" s="44" t="str" cm="1">
        <f t="array" aca="1" ref="AK76" ca="1">IF(INDIRECT(_xlfn.CONCAT("'",$A76,"'!F17"))&gt;=AK$2,"d",IF(INDIRECT(_xlfn.CONCAT("'",$A76,"'!F18"))&gt;=AK$2,"i",""))</f>
        <v>d</v>
      </c>
      <c r="AL76" s="44" t="str" cm="1">
        <f t="array" aca="1" ref="AL76" ca="1">IF(INDIRECT(_xlfn.CONCAT("'",$A76,"'!F17"))&gt;=AL$2,"d",IF(INDIRECT(_xlfn.CONCAT("'",$A76,"'!F18"))&gt;=AL$2,"i",""))</f>
        <v/>
      </c>
      <c r="AM76" s="156"/>
      <c r="AN76" s="44" t="str" cm="1">
        <f t="array" aca="1" ref="AN76" ca="1">IF(INDIRECT(_xlfn.CONCAT("'",$A76,"'!F30"))&gt;=AN$2,"d",IF(INDIRECT(_xlfn.CONCAT("'",$A76,"'!F31"))&gt;=AN$2,"i",""))</f>
        <v>d</v>
      </c>
      <c r="AO76" s="44" t="str" cm="1">
        <f t="array" aca="1" ref="AO76" ca="1">IF(INDIRECT(_xlfn.CONCAT("'",$A76,"'!F30"))&gt;=AO$2,"d",IF(INDIRECT(_xlfn.CONCAT("'",$A76,"'!F31"))&gt;=AO$2,"i",""))</f>
        <v>d</v>
      </c>
      <c r="AP76" s="44" t="str" cm="1">
        <f t="array" aca="1" ref="AP76" ca="1">IF(INDIRECT(_xlfn.CONCAT("'",$A76,"'!F30"))&gt;=AP$2,"d",IF(INDIRECT(_xlfn.CONCAT("'",$A76,"'!F31"))&gt;=AP$2,"i",""))</f>
        <v>d</v>
      </c>
      <c r="AQ76" s="44" t="str" cm="1">
        <f t="array" aca="1" ref="AQ76" ca="1">IF(INDIRECT(_xlfn.CONCAT("'",$A76,"'!F30"))&gt;=AQ$2,"d",IF(INDIRECT(_xlfn.CONCAT("'",$A76,"'!F31"))&gt;=AQ$2,"i",""))</f>
        <v>d</v>
      </c>
      <c r="AR76" s="44" t="str" cm="1">
        <f t="array" aca="1" ref="AR76" ca="1">IF(INDIRECT(_xlfn.CONCAT("'",$A76,"'!F30"))&gt;=AR$2,"d",IF(INDIRECT(_xlfn.CONCAT("'",$A76,"'!F31"))&gt;=AR$2,"i",""))</f>
        <v>d</v>
      </c>
      <c r="AS76" s="44" t="str" cm="1">
        <f t="array" aca="1" ref="AS76" ca="1">IF(INDIRECT(_xlfn.CONCAT("'",$A76,"'!F30"))&gt;=AS$2,"d",IF(INDIRECT(_xlfn.CONCAT("'",$A76,"'!F31"))&gt;=AS$2,"i",""))</f>
        <v>d</v>
      </c>
      <c r="AT76" s="44" t="str" cm="1">
        <f t="array" aca="1" ref="AT76" ca="1">IF(INDIRECT(_xlfn.CONCAT("'",$A76,"'!F30"))&gt;=AT$2,"d",IF(INDIRECT(_xlfn.CONCAT("'",$A76,"'!F31"))&gt;=AT$2,"i",""))</f>
        <v>d</v>
      </c>
      <c r="AU76" s="44" t="str" cm="1">
        <f t="array" aca="1" ref="AU76" ca="1">IF(INDIRECT(_xlfn.CONCAT("'",$A76,"'!F30"))&gt;=AU$2,"d",IF(INDIRECT(_xlfn.CONCAT("'",$A76,"'!F31"))&gt;=AU$2,"i",""))</f>
        <v>d</v>
      </c>
      <c r="AV76" s="45" t="str" cm="1">
        <f t="array" aca="1" ref="AV76" ca="1">IF(INDIRECT(_xlfn.CONCAT("'",$A76,"'!F30"))&gt;=AV$2,"d",IF(INDIRECT(_xlfn.CONCAT("'",$A76,"'!F31"))&gt;=AV$2,"i",""))</f>
        <v/>
      </c>
    </row>
    <row r="77" spans="1:48" x14ac:dyDescent="0.25">
      <c r="A77" s="119" t="str">
        <v>Lyney</v>
      </c>
      <c r="B77" s="45" t="str">
        <f t="shared" ref="B77:B79" si="30">VLOOKUP(A77,Character_List,2,FALSE)</f>
        <v>Pyro</v>
      </c>
      <c r="C77" s="153" t="str">
        <f t="shared" ref="C77:C79" si="31">VLOOKUP(A77,Character_List,7,FALSE)</f>
        <v>Fontaine 1</v>
      </c>
      <c r="D77" s="154" t="str">
        <f t="shared" ref="D77:D79" si="32">VLOOKUP(A77,Character_List,8,FALSE)</f>
        <v>Apep 2</v>
      </c>
      <c r="E77" s="19" t="str" cm="1">
        <f t="array" aca="1" ref="E77" ca="1">IF(INDIRECT(_xlfn.CONCAT("'",$A77,"'!B4"))&gt;=E$2,"d",IF(INDIRECT(_xlfn.CONCAT("'",$A77,"'!B5"))&gt;=E$2,"i",""))</f>
        <v>d</v>
      </c>
      <c r="F77" s="44" t="str" cm="1">
        <f t="array" aca="1" ref="F77" ca="1">IF(INDIRECT(_xlfn.CONCAT("'",$A77,"'!B4"))&gt;=F$2,"d",IF(INDIRECT(_xlfn.CONCAT("'",$A77,"'!B5"))&gt;=F$2,"i",""))</f>
        <v>d</v>
      </c>
      <c r="G77" s="44" t="str" cm="1">
        <f t="array" aca="1" ref="G77" ca="1">IF(INDIRECT(_xlfn.CONCAT("'",$A77,"'!B4"))&gt;=G$2,"d",IF(INDIRECT(_xlfn.CONCAT("'",$A77,"'!B5"))&gt;=G$2,"i",""))</f>
        <v>d</v>
      </c>
      <c r="H77" s="44" t="str" cm="1">
        <f t="array" aca="1" ref="H77" ca="1">IF(INDIRECT(_xlfn.CONCAT("'",$A77,"'!B4"))&gt;=H$2,"d",IF(INDIRECT(_xlfn.CONCAT("'",$A77,"'!B5"))&gt;=H$2,"i",""))</f>
        <v>d</v>
      </c>
      <c r="I77" s="44" t="str" cm="1">
        <f t="array" aca="1" ref="I77" ca="1">IF(INDIRECT(_xlfn.CONCAT("'",$A77,"'!B4"))&gt;=I$2,"d",IF(INDIRECT(_xlfn.CONCAT("'",$A77,"'!B5"))&gt;=I$2,"i",""))</f>
        <v>d</v>
      </c>
      <c r="J77" s="44" t="str" cm="1">
        <f t="array" aca="1" ref="J77" ca="1">IF(INDIRECT(_xlfn.CONCAT("'",$A77,"'!B4"))&gt;=J$2,"d",IF(INDIRECT(_xlfn.CONCAT("'",$A77,"'!B5"))&gt;=J$2,"i",""))</f>
        <v>d</v>
      </c>
      <c r="K77" s="45" t="str" cm="1">
        <f t="array" aca="1" ref="K77" ca="1">IF(INDIRECT(_xlfn.CONCAT("'",$A77,"'!B4"))&gt;=K$2,"d",IF(INDIRECT(_xlfn.CONCAT("'",$A77,"'!B5"))&gt;=K$2,"i",""))</f>
        <v>d</v>
      </c>
      <c r="L77" s="155"/>
      <c r="M77" s="44" t="str" cm="1">
        <f t="array" aca="1" ref="M77" ca="1">IF(INDIRECT(_xlfn.CONCAT("'",$A77,"'!C10"))&gt;=M$2,"d",IF(INDIRECT(_xlfn.CONCAT("'",$A77,"'!C11"))&gt;=M$2,"i",""))</f>
        <v>d</v>
      </c>
      <c r="N77" s="44" t="str" cm="1">
        <f t="array" aca="1" ref="N77" ca="1">IF(INDIRECT(_xlfn.CONCAT("'",$A77,"'!C10"))&gt;=N$2,"d",IF(INDIRECT(_xlfn.CONCAT("'",$A77,"'!C11"))&gt;=N$2,"i",""))</f>
        <v>d</v>
      </c>
      <c r="O77" s="44" t="str" cm="1">
        <f t="array" aca="1" ref="O77" ca="1">IF(INDIRECT(_xlfn.CONCAT("'",$A77,"'!C10"))&gt;=O$2,"d",IF(INDIRECT(_xlfn.CONCAT("'",$A77,"'!C11"))&gt;=O$2,"i",""))</f>
        <v>d</v>
      </c>
      <c r="P77" s="44" t="str" cm="1">
        <f t="array" aca="1" ref="P77" ca="1">IF(INDIRECT(_xlfn.CONCAT("'",$A77,"'!C10"))&gt;=P$2,"d",IF(INDIRECT(_xlfn.CONCAT("'",$A77,"'!C11"))&gt;=P$2,"i",""))</f>
        <v>d</v>
      </c>
      <c r="Q77" s="44" t="str" cm="1">
        <f t="array" aca="1" ref="Q77" ca="1">IF(INDIRECT(_xlfn.CONCAT("'",$A77,"'!C10"))&gt;=Q$2,"d",IF(INDIRECT(_xlfn.CONCAT("'",$A77,"'!C11"))&gt;=Q$2,"i",""))</f>
        <v>d</v>
      </c>
      <c r="R77" s="44" t="str" cm="1">
        <f t="array" aca="1" ref="R77" ca="1">IF(INDIRECT(_xlfn.CONCAT("'",$A77,"'!C10"))&gt;=R$2,"d",IF(INDIRECT(_xlfn.CONCAT("'",$A77,"'!C11"))&gt;=R$2,"i",""))</f>
        <v>d</v>
      </c>
      <c r="S77" s="156"/>
      <c r="T77" s="44" t="str" cm="1">
        <f t="array" aca="1" ref="T77" ca="1">IF(INDIRECT(_xlfn.CONCAT("'",$A77,"'!F4"))&gt;=T$2,"d",IF(INDIRECT(_xlfn.CONCAT("'",$A77,"'!F5"))&gt;=T$2,"i",""))</f>
        <v>d</v>
      </c>
      <c r="U77" s="44" t="str" cm="1">
        <f t="array" aca="1" ref="U77" ca="1">IF(INDIRECT(_xlfn.CONCAT("'",$A77,"'!F4"))&gt;=U$2,"d",IF(INDIRECT(_xlfn.CONCAT("'",$A77,"'!F5"))&gt;=U$2,"i",""))</f>
        <v>d</v>
      </c>
      <c r="V77" s="44" t="str" cm="1">
        <f t="array" aca="1" ref="V77" ca="1">IF(INDIRECT(_xlfn.CONCAT("'",$A77,"'!F4"))&gt;=V$2,"d",IF(INDIRECT(_xlfn.CONCAT("'",$A77,"'!F5"))&gt;=V$2,"i",""))</f>
        <v>d</v>
      </c>
      <c r="W77" s="44" t="str" cm="1">
        <f t="array" aca="1" ref="W77" ca="1">IF(INDIRECT(_xlfn.CONCAT("'",$A77,"'!F4"))&gt;=W$2,"d",IF(INDIRECT(_xlfn.CONCAT("'",$A77,"'!F5"))&gt;=W$2,"i",""))</f>
        <v>d</v>
      </c>
      <c r="X77" s="44" t="str" cm="1">
        <f t="array" aca="1" ref="X77" ca="1">IF(INDIRECT(_xlfn.CONCAT("'",$A77,"'!F4"))&gt;=X$2,"d",IF(INDIRECT(_xlfn.CONCAT("'",$A77,"'!F5"))&gt;=X$2,"i",""))</f>
        <v>d</v>
      </c>
      <c r="Y77" s="44" t="str" cm="1">
        <f t="array" aca="1" ref="Y77" ca="1">IF(INDIRECT(_xlfn.CONCAT("'",$A77,"'!F4"))&gt;=Y$2,"d",IF(INDIRECT(_xlfn.CONCAT("'",$A77,"'!F5"))&gt;=Y$2,"i",""))</f>
        <v>d</v>
      </c>
      <c r="Z77" s="44" t="str" cm="1">
        <f t="array" aca="1" ref="Z77" ca="1">IF(INDIRECT(_xlfn.CONCAT("'",$A77,"'!F4"))&gt;=Z$2,"d",IF(INDIRECT(_xlfn.CONCAT("'",$A77,"'!F5"))&gt;=Z$2,"i",""))</f>
        <v>d</v>
      </c>
      <c r="AA77" s="44" t="str" cm="1">
        <f t="array" aca="1" ref="AA77" ca="1">IF(INDIRECT(_xlfn.CONCAT("'",$A77,"'!F4"))&gt;=AA$2,"d",IF(INDIRECT(_xlfn.CONCAT("'",$A77,"'!F5"))&gt;=AA$2,"i",""))</f>
        <v>d</v>
      </c>
      <c r="AB77" s="44" t="str" cm="1">
        <f t="array" aca="1" ref="AB77" ca="1">IF(INDIRECT(_xlfn.CONCAT("'",$A77,"'!F4"))&gt;=AB$2,"d",IF(INDIRECT(_xlfn.CONCAT("'",$A77,"'!F5"))&gt;=AB$2,"i",""))</f>
        <v/>
      </c>
      <c r="AC77" s="156"/>
      <c r="AD77" s="44" t="str" cm="1">
        <f t="array" aca="1" ref="AD77" ca="1">IF(INDIRECT(_xlfn.CONCAT("'",$A77,"'!F17"))&gt;=AD$2,"d",IF(INDIRECT(_xlfn.CONCAT("'",$A77,"'!F18"))&gt;=AD$2,"i",""))</f>
        <v>d</v>
      </c>
      <c r="AE77" s="44" t="str" cm="1">
        <f t="array" aca="1" ref="AE77" ca="1">IF(INDIRECT(_xlfn.CONCAT("'",$A77,"'!F17"))&gt;=AE$2,"d",IF(INDIRECT(_xlfn.CONCAT("'",$A77,"'!F18"))&gt;=AE$2,"i",""))</f>
        <v>d</v>
      </c>
      <c r="AF77" s="44" t="str" cm="1">
        <f t="array" aca="1" ref="AF77" ca="1">IF(INDIRECT(_xlfn.CONCAT("'",$A77,"'!F17"))&gt;=AF$2,"d",IF(INDIRECT(_xlfn.CONCAT("'",$A77,"'!F18"))&gt;=AF$2,"i",""))</f>
        <v>d</v>
      </c>
      <c r="AG77" s="44" t="str" cm="1">
        <f t="array" aca="1" ref="AG77" ca="1">IF(INDIRECT(_xlfn.CONCAT("'",$A77,"'!F17"))&gt;=AG$2,"d",IF(INDIRECT(_xlfn.CONCAT("'",$A77,"'!F18"))&gt;=AG$2,"i",""))</f>
        <v>d</v>
      </c>
      <c r="AH77" s="44" t="str" cm="1">
        <f t="array" aca="1" ref="AH77" ca="1">IF(INDIRECT(_xlfn.CONCAT("'",$A77,"'!F17"))&gt;=AH$2,"d",IF(INDIRECT(_xlfn.CONCAT("'",$A77,"'!F18"))&gt;=AH$2,"i",""))</f>
        <v>d</v>
      </c>
      <c r="AI77" s="44" t="str" cm="1">
        <f t="array" aca="1" ref="AI77" ca="1">IF(INDIRECT(_xlfn.CONCAT("'",$A77,"'!F17"))&gt;=AI$2,"d",IF(INDIRECT(_xlfn.CONCAT("'",$A77,"'!F18"))&gt;=AI$2,"i",""))</f>
        <v>d</v>
      </c>
      <c r="AJ77" s="44" t="str" cm="1">
        <f t="array" aca="1" ref="AJ77" ca="1">IF(INDIRECT(_xlfn.CONCAT("'",$A77,"'!F17"))&gt;=AJ$2,"d",IF(INDIRECT(_xlfn.CONCAT("'",$A77,"'!F18"))&gt;=AJ$2,"i",""))</f>
        <v>d</v>
      </c>
      <c r="AK77" s="44" t="str" cm="1">
        <f t="array" aca="1" ref="AK77" ca="1">IF(INDIRECT(_xlfn.CONCAT("'",$A77,"'!F17"))&gt;=AK$2,"d",IF(INDIRECT(_xlfn.CONCAT("'",$A77,"'!F18"))&gt;=AK$2,"i",""))</f>
        <v>d</v>
      </c>
      <c r="AL77" s="44" t="str" cm="1">
        <f t="array" aca="1" ref="AL77" ca="1">IF(INDIRECT(_xlfn.CONCAT("'",$A77,"'!F17"))&gt;=AL$2,"d",IF(INDIRECT(_xlfn.CONCAT("'",$A77,"'!F18"))&gt;=AL$2,"i",""))</f>
        <v/>
      </c>
      <c r="AM77" s="156"/>
      <c r="AN77" s="44" t="str" cm="1">
        <f t="array" aca="1" ref="AN77" ca="1">IF(INDIRECT(_xlfn.CONCAT("'",$A77,"'!F30"))&gt;=AN$2,"d",IF(INDIRECT(_xlfn.CONCAT("'",$A77,"'!F31"))&gt;=AN$2,"i",""))</f>
        <v>d</v>
      </c>
      <c r="AO77" s="44" t="str" cm="1">
        <f t="array" aca="1" ref="AO77" ca="1">IF(INDIRECT(_xlfn.CONCAT("'",$A77,"'!F30"))&gt;=AO$2,"d",IF(INDIRECT(_xlfn.CONCAT("'",$A77,"'!F31"))&gt;=AO$2,"i",""))</f>
        <v>d</v>
      </c>
      <c r="AP77" s="44" t="str" cm="1">
        <f t="array" aca="1" ref="AP77" ca="1">IF(INDIRECT(_xlfn.CONCAT("'",$A77,"'!F30"))&gt;=AP$2,"d",IF(INDIRECT(_xlfn.CONCAT("'",$A77,"'!F31"))&gt;=AP$2,"i",""))</f>
        <v>d</v>
      </c>
      <c r="AQ77" s="44" t="str" cm="1">
        <f t="array" aca="1" ref="AQ77" ca="1">IF(INDIRECT(_xlfn.CONCAT("'",$A77,"'!F30"))&gt;=AQ$2,"d",IF(INDIRECT(_xlfn.CONCAT("'",$A77,"'!F31"))&gt;=AQ$2,"i",""))</f>
        <v>d</v>
      </c>
      <c r="AR77" s="44" t="str" cm="1">
        <f t="array" aca="1" ref="AR77" ca="1">IF(INDIRECT(_xlfn.CONCAT("'",$A77,"'!F30"))&gt;=AR$2,"d",IF(INDIRECT(_xlfn.CONCAT("'",$A77,"'!F31"))&gt;=AR$2,"i",""))</f>
        <v>d</v>
      </c>
      <c r="AS77" s="44" t="str" cm="1">
        <f t="array" aca="1" ref="AS77" ca="1">IF(INDIRECT(_xlfn.CONCAT("'",$A77,"'!F30"))&gt;=AS$2,"d",IF(INDIRECT(_xlfn.CONCAT("'",$A77,"'!F31"))&gt;=AS$2,"i",""))</f>
        <v>d</v>
      </c>
      <c r="AT77" s="44" t="str" cm="1">
        <f t="array" aca="1" ref="AT77" ca="1">IF(INDIRECT(_xlfn.CONCAT("'",$A77,"'!F30"))&gt;=AT$2,"d",IF(INDIRECT(_xlfn.CONCAT("'",$A77,"'!F31"))&gt;=AT$2,"i",""))</f>
        <v>d</v>
      </c>
      <c r="AU77" s="44" t="str" cm="1">
        <f t="array" aca="1" ref="AU77" ca="1">IF(INDIRECT(_xlfn.CONCAT("'",$A77,"'!F30"))&gt;=AU$2,"d",IF(INDIRECT(_xlfn.CONCAT("'",$A77,"'!F31"))&gt;=AU$2,"i",""))</f>
        <v>d</v>
      </c>
      <c r="AV77" s="45" t="str" cm="1">
        <f t="array" aca="1" ref="AV77" ca="1">IF(INDIRECT(_xlfn.CONCAT("'",$A77,"'!F30"))&gt;=AV$2,"d",IF(INDIRECT(_xlfn.CONCAT("'",$A77,"'!F31"))&gt;=AV$2,"i",""))</f>
        <v/>
      </c>
    </row>
    <row r="78" spans="1:48" x14ac:dyDescent="0.25">
      <c r="A78" s="119" t="str">
        <v>Lynette</v>
      </c>
      <c r="B78" s="45" t="str">
        <f t="shared" si="30"/>
        <v>Anemo</v>
      </c>
      <c r="C78" s="153" t="str">
        <f t="shared" si="31"/>
        <v>Fontaine 3</v>
      </c>
      <c r="D78" s="154" t="str">
        <f t="shared" si="32"/>
        <v>Apep 3</v>
      </c>
      <c r="E78" s="19" t="str" cm="1">
        <f t="array" aca="1" ref="E78" ca="1">IF(INDIRECT(_xlfn.CONCAT("'",$A78,"'!B4"))&gt;=E$2,"d",IF(INDIRECT(_xlfn.CONCAT("'",$A78,"'!B5"))&gt;=E$2,"i",""))</f>
        <v>d</v>
      </c>
      <c r="F78" s="44" t="str" cm="1">
        <f t="array" aca="1" ref="F78" ca="1">IF(INDIRECT(_xlfn.CONCAT("'",$A78,"'!B4"))&gt;=F$2,"d",IF(INDIRECT(_xlfn.CONCAT("'",$A78,"'!B5"))&gt;=F$2,"i",""))</f>
        <v>d</v>
      </c>
      <c r="G78" s="44" t="str" cm="1">
        <f t="array" aca="1" ref="G78" ca="1">IF(INDIRECT(_xlfn.CONCAT("'",$A78,"'!B4"))&gt;=G$2,"d",IF(INDIRECT(_xlfn.CONCAT("'",$A78,"'!B5"))&gt;=G$2,"i",""))</f>
        <v>d</v>
      </c>
      <c r="H78" s="44" t="str" cm="1">
        <f t="array" aca="1" ref="H78" ca="1">IF(INDIRECT(_xlfn.CONCAT("'",$A78,"'!B4"))&gt;=H$2,"d",IF(INDIRECT(_xlfn.CONCAT("'",$A78,"'!B5"))&gt;=H$2,"i",""))</f>
        <v>d</v>
      </c>
      <c r="I78" s="44" t="str" cm="1">
        <f t="array" aca="1" ref="I78" ca="1">IF(INDIRECT(_xlfn.CONCAT("'",$A78,"'!B4"))&gt;=I$2,"d",IF(INDIRECT(_xlfn.CONCAT("'",$A78,"'!B5"))&gt;=I$2,"i",""))</f>
        <v>d</v>
      </c>
      <c r="J78" s="44" t="str" cm="1">
        <f t="array" aca="1" ref="J78" ca="1">IF(INDIRECT(_xlfn.CONCAT("'",$A78,"'!B4"))&gt;=J$2,"d",IF(INDIRECT(_xlfn.CONCAT("'",$A78,"'!B5"))&gt;=J$2,"i",""))</f>
        <v>d</v>
      </c>
      <c r="K78" s="45" t="str" cm="1">
        <f t="array" aca="1" ref="K78" ca="1">IF(INDIRECT(_xlfn.CONCAT("'",$A78,"'!B4"))&gt;=K$2,"d",IF(INDIRECT(_xlfn.CONCAT("'",$A78,"'!B5"))&gt;=K$2,"i",""))</f>
        <v>d</v>
      </c>
      <c r="L78" s="155"/>
      <c r="M78" s="44" t="str" cm="1">
        <f t="array" aca="1" ref="M78" ca="1">IF(INDIRECT(_xlfn.CONCAT("'",$A78,"'!C10"))&gt;=M$2,"d",IF(INDIRECT(_xlfn.CONCAT("'",$A78,"'!C11"))&gt;=M$2,"i",""))</f>
        <v>d</v>
      </c>
      <c r="N78" s="44" t="str" cm="1">
        <f t="array" aca="1" ref="N78" ca="1">IF(INDIRECT(_xlfn.CONCAT("'",$A78,"'!C10"))&gt;=N$2,"d",IF(INDIRECT(_xlfn.CONCAT("'",$A78,"'!C11"))&gt;=N$2,"i",""))</f>
        <v>d</v>
      </c>
      <c r="O78" s="44" t="str" cm="1">
        <f t="array" aca="1" ref="O78" ca="1">IF(INDIRECT(_xlfn.CONCAT("'",$A78,"'!C10"))&gt;=O$2,"d",IF(INDIRECT(_xlfn.CONCAT("'",$A78,"'!C11"))&gt;=O$2,"i",""))</f>
        <v>d</v>
      </c>
      <c r="P78" s="44" t="str" cm="1">
        <f t="array" aca="1" ref="P78" ca="1">IF(INDIRECT(_xlfn.CONCAT("'",$A78,"'!C10"))&gt;=P$2,"d",IF(INDIRECT(_xlfn.CONCAT("'",$A78,"'!C11"))&gt;=P$2,"i",""))</f>
        <v>d</v>
      </c>
      <c r="Q78" s="44" t="str" cm="1">
        <f t="array" aca="1" ref="Q78" ca="1">IF(INDIRECT(_xlfn.CONCAT("'",$A78,"'!C10"))&gt;=Q$2,"d",IF(INDIRECT(_xlfn.CONCAT("'",$A78,"'!C11"))&gt;=Q$2,"i",""))</f>
        <v>d</v>
      </c>
      <c r="R78" s="44" t="str" cm="1">
        <f t="array" aca="1" ref="R78" ca="1">IF(INDIRECT(_xlfn.CONCAT("'",$A78,"'!C10"))&gt;=R$2,"d",IF(INDIRECT(_xlfn.CONCAT("'",$A78,"'!C11"))&gt;=R$2,"i",""))</f>
        <v>d</v>
      </c>
      <c r="S78" s="156"/>
      <c r="T78" s="44" t="str" cm="1">
        <f t="array" aca="1" ref="T78" ca="1">IF(INDIRECT(_xlfn.CONCAT("'",$A78,"'!F4"))&gt;=T$2,"d",IF(INDIRECT(_xlfn.CONCAT("'",$A78,"'!F5"))&gt;=T$2,"i",""))</f>
        <v>d</v>
      </c>
      <c r="U78" s="44" t="str" cm="1">
        <f t="array" aca="1" ref="U78" ca="1">IF(INDIRECT(_xlfn.CONCAT("'",$A78,"'!F4"))&gt;=U$2,"d",IF(INDIRECT(_xlfn.CONCAT("'",$A78,"'!F5"))&gt;=U$2,"i",""))</f>
        <v>d</v>
      </c>
      <c r="V78" s="44" t="str" cm="1">
        <f t="array" aca="1" ref="V78" ca="1">IF(INDIRECT(_xlfn.CONCAT("'",$A78,"'!F4"))&gt;=V$2,"d",IF(INDIRECT(_xlfn.CONCAT("'",$A78,"'!F5"))&gt;=V$2,"i",""))</f>
        <v>d</v>
      </c>
      <c r="W78" s="44" t="str" cm="1">
        <f t="array" aca="1" ref="W78" ca="1">IF(INDIRECT(_xlfn.CONCAT("'",$A78,"'!F4"))&gt;=W$2,"d",IF(INDIRECT(_xlfn.CONCAT("'",$A78,"'!F5"))&gt;=W$2,"i",""))</f>
        <v>d</v>
      </c>
      <c r="X78" s="44" t="str" cm="1">
        <f t="array" aca="1" ref="X78" ca="1">IF(INDIRECT(_xlfn.CONCAT("'",$A78,"'!F4"))&gt;=X$2,"d",IF(INDIRECT(_xlfn.CONCAT("'",$A78,"'!F5"))&gt;=X$2,"i",""))</f>
        <v>d</v>
      </c>
      <c r="Y78" s="44" t="str" cm="1">
        <f t="array" aca="1" ref="Y78" ca="1">IF(INDIRECT(_xlfn.CONCAT("'",$A78,"'!F4"))&gt;=Y$2,"d",IF(INDIRECT(_xlfn.CONCAT("'",$A78,"'!F5"))&gt;=Y$2,"i",""))</f>
        <v>d</v>
      </c>
      <c r="Z78" s="44" t="str" cm="1">
        <f t="array" aca="1" ref="Z78" ca="1">IF(INDIRECT(_xlfn.CONCAT("'",$A78,"'!F4"))&gt;=Z$2,"d",IF(INDIRECT(_xlfn.CONCAT("'",$A78,"'!F5"))&gt;=Z$2,"i",""))</f>
        <v>d</v>
      </c>
      <c r="AA78" s="44" t="str" cm="1">
        <f t="array" aca="1" ref="AA78" ca="1">IF(INDIRECT(_xlfn.CONCAT("'",$A78,"'!F4"))&gt;=AA$2,"d",IF(INDIRECT(_xlfn.CONCAT("'",$A78,"'!F5"))&gt;=AA$2,"i",""))</f>
        <v>d</v>
      </c>
      <c r="AB78" s="44" t="str" cm="1">
        <f t="array" aca="1" ref="AB78" ca="1">IF(INDIRECT(_xlfn.CONCAT("'",$A78,"'!F4"))&gt;=AB$2,"d",IF(INDIRECT(_xlfn.CONCAT("'",$A78,"'!F5"))&gt;=AB$2,"i",""))</f>
        <v/>
      </c>
      <c r="AC78" s="156"/>
      <c r="AD78" s="44" t="str" cm="1">
        <f t="array" aca="1" ref="AD78" ca="1">IF(INDIRECT(_xlfn.CONCAT("'",$A78,"'!F17"))&gt;=AD$2,"d",IF(INDIRECT(_xlfn.CONCAT("'",$A78,"'!F18"))&gt;=AD$2,"i",""))</f>
        <v>d</v>
      </c>
      <c r="AE78" s="44" t="str" cm="1">
        <f t="array" aca="1" ref="AE78" ca="1">IF(INDIRECT(_xlfn.CONCAT("'",$A78,"'!F17"))&gt;=AE$2,"d",IF(INDIRECT(_xlfn.CONCAT("'",$A78,"'!F18"))&gt;=AE$2,"i",""))</f>
        <v>d</v>
      </c>
      <c r="AF78" s="44" t="str" cm="1">
        <f t="array" aca="1" ref="AF78" ca="1">IF(INDIRECT(_xlfn.CONCAT("'",$A78,"'!F17"))&gt;=AF$2,"d",IF(INDIRECT(_xlfn.CONCAT("'",$A78,"'!F18"))&gt;=AF$2,"i",""))</f>
        <v>d</v>
      </c>
      <c r="AG78" s="44" t="str" cm="1">
        <f t="array" aca="1" ref="AG78" ca="1">IF(INDIRECT(_xlfn.CONCAT("'",$A78,"'!F17"))&gt;=AG$2,"d",IF(INDIRECT(_xlfn.CONCAT("'",$A78,"'!F18"))&gt;=AG$2,"i",""))</f>
        <v>d</v>
      </c>
      <c r="AH78" s="44" t="str" cm="1">
        <f t="array" aca="1" ref="AH78" ca="1">IF(INDIRECT(_xlfn.CONCAT("'",$A78,"'!F17"))&gt;=AH$2,"d",IF(INDIRECT(_xlfn.CONCAT("'",$A78,"'!F18"))&gt;=AH$2,"i",""))</f>
        <v>d</v>
      </c>
      <c r="AI78" s="44" t="str" cm="1">
        <f t="array" aca="1" ref="AI78" ca="1">IF(INDIRECT(_xlfn.CONCAT("'",$A78,"'!F17"))&gt;=AI$2,"d",IF(INDIRECT(_xlfn.CONCAT("'",$A78,"'!F18"))&gt;=AI$2,"i",""))</f>
        <v>d</v>
      </c>
      <c r="AJ78" s="44" t="str" cm="1">
        <f t="array" aca="1" ref="AJ78" ca="1">IF(INDIRECT(_xlfn.CONCAT("'",$A78,"'!F17"))&gt;=AJ$2,"d",IF(INDIRECT(_xlfn.CONCAT("'",$A78,"'!F18"))&gt;=AJ$2,"i",""))</f>
        <v>d</v>
      </c>
      <c r="AK78" s="44" t="str" cm="1">
        <f t="array" aca="1" ref="AK78" ca="1">IF(INDIRECT(_xlfn.CONCAT("'",$A78,"'!F17"))&gt;=AK$2,"d",IF(INDIRECT(_xlfn.CONCAT("'",$A78,"'!F18"))&gt;=AK$2,"i",""))</f>
        <v>d</v>
      </c>
      <c r="AL78" s="44" t="str" cm="1">
        <f t="array" aca="1" ref="AL78" ca="1">IF(INDIRECT(_xlfn.CONCAT("'",$A78,"'!F17"))&gt;=AL$2,"d",IF(INDIRECT(_xlfn.CONCAT("'",$A78,"'!F18"))&gt;=AL$2,"i",""))</f>
        <v/>
      </c>
      <c r="AM78" s="156"/>
      <c r="AN78" s="44" t="str" cm="1">
        <f t="array" aca="1" ref="AN78" ca="1">IF(INDIRECT(_xlfn.CONCAT("'",$A78,"'!F30"))&gt;=AN$2,"d",IF(INDIRECT(_xlfn.CONCAT("'",$A78,"'!F31"))&gt;=AN$2,"i",""))</f>
        <v>d</v>
      </c>
      <c r="AO78" s="44" t="str" cm="1">
        <f t="array" aca="1" ref="AO78" ca="1">IF(INDIRECT(_xlfn.CONCAT("'",$A78,"'!F30"))&gt;=AO$2,"d",IF(INDIRECT(_xlfn.CONCAT("'",$A78,"'!F31"))&gt;=AO$2,"i",""))</f>
        <v>d</v>
      </c>
      <c r="AP78" s="44" t="str" cm="1">
        <f t="array" aca="1" ref="AP78" ca="1">IF(INDIRECT(_xlfn.CONCAT("'",$A78,"'!F30"))&gt;=AP$2,"d",IF(INDIRECT(_xlfn.CONCAT("'",$A78,"'!F31"))&gt;=AP$2,"i",""))</f>
        <v>d</v>
      </c>
      <c r="AQ78" s="44" t="str" cm="1">
        <f t="array" aca="1" ref="AQ78" ca="1">IF(INDIRECT(_xlfn.CONCAT("'",$A78,"'!F30"))&gt;=AQ$2,"d",IF(INDIRECT(_xlfn.CONCAT("'",$A78,"'!F31"))&gt;=AQ$2,"i",""))</f>
        <v>d</v>
      </c>
      <c r="AR78" s="44" t="str" cm="1">
        <f t="array" aca="1" ref="AR78" ca="1">IF(INDIRECT(_xlfn.CONCAT("'",$A78,"'!F30"))&gt;=AR$2,"d",IF(INDIRECT(_xlfn.CONCAT("'",$A78,"'!F31"))&gt;=AR$2,"i",""))</f>
        <v>d</v>
      </c>
      <c r="AS78" s="44" t="str" cm="1">
        <f t="array" aca="1" ref="AS78" ca="1">IF(INDIRECT(_xlfn.CONCAT("'",$A78,"'!F30"))&gt;=AS$2,"d",IF(INDIRECT(_xlfn.CONCAT("'",$A78,"'!F31"))&gt;=AS$2,"i",""))</f>
        <v>d</v>
      </c>
      <c r="AT78" s="44" t="str" cm="1">
        <f t="array" aca="1" ref="AT78" ca="1">IF(INDIRECT(_xlfn.CONCAT("'",$A78,"'!F30"))&gt;=AT$2,"d",IF(INDIRECT(_xlfn.CONCAT("'",$A78,"'!F31"))&gt;=AT$2,"i",""))</f>
        <v>d</v>
      </c>
      <c r="AU78" s="44" t="str" cm="1">
        <f t="array" aca="1" ref="AU78" ca="1">IF(INDIRECT(_xlfn.CONCAT("'",$A78,"'!F30"))&gt;=AU$2,"d",IF(INDIRECT(_xlfn.CONCAT("'",$A78,"'!F31"))&gt;=AU$2,"i",""))</f>
        <v>d</v>
      </c>
      <c r="AV78" s="45" t="str" cm="1">
        <f t="array" aca="1" ref="AV78" ca="1">IF(INDIRECT(_xlfn.CONCAT("'",$A78,"'!F30"))&gt;=AV$2,"d",IF(INDIRECT(_xlfn.CONCAT("'",$A78,"'!F31"))&gt;=AV$2,"i",""))</f>
        <v/>
      </c>
    </row>
    <row r="79" spans="1:48" x14ac:dyDescent="0.25">
      <c r="A79" s="119" t="str">
        <v>Freminet</v>
      </c>
      <c r="B79" s="45" t="str">
        <f t="shared" si="30"/>
        <v>Cryo</v>
      </c>
      <c r="C79" s="153" t="str">
        <f t="shared" si="31"/>
        <v>Fontaine 2</v>
      </c>
      <c r="D79" s="154" t="str">
        <f t="shared" si="32"/>
        <v>Apep 1</v>
      </c>
      <c r="E79" s="19" t="str" cm="1">
        <f t="array" aca="1" ref="E79" ca="1">IF(INDIRECT(_xlfn.CONCAT("'",$A79,"'!B4"))&gt;=E$2,"d",IF(INDIRECT(_xlfn.CONCAT("'",$A79,"'!B5"))&gt;=E$2,"i",""))</f>
        <v>d</v>
      </c>
      <c r="F79" s="44" t="str" cm="1">
        <f t="array" aca="1" ref="F79" ca="1">IF(INDIRECT(_xlfn.CONCAT("'",$A79,"'!B4"))&gt;=F$2,"d",IF(INDIRECT(_xlfn.CONCAT("'",$A79,"'!B5"))&gt;=F$2,"i",""))</f>
        <v>d</v>
      </c>
      <c r="G79" s="44" t="str" cm="1">
        <f t="array" aca="1" ref="G79" ca="1">IF(INDIRECT(_xlfn.CONCAT("'",$A79,"'!B4"))&gt;=G$2,"d",IF(INDIRECT(_xlfn.CONCAT("'",$A79,"'!B5"))&gt;=G$2,"i",""))</f>
        <v>d</v>
      </c>
      <c r="H79" s="44" t="str" cm="1">
        <f t="array" aca="1" ref="H79" ca="1">IF(INDIRECT(_xlfn.CONCAT("'",$A79,"'!B4"))&gt;=H$2,"d",IF(INDIRECT(_xlfn.CONCAT("'",$A79,"'!B5"))&gt;=H$2,"i",""))</f>
        <v>d</v>
      </c>
      <c r="I79" s="44" t="str" cm="1">
        <f t="array" aca="1" ref="I79" ca="1">IF(INDIRECT(_xlfn.CONCAT("'",$A79,"'!B4"))&gt;=I$2,"d",IF(INDIRECT(_xlfn.CONCAT("'",$A79,"'!B5"))&gt;=I$2,"i",""))</f>
        <v>d</v>
      </c>
      <c r="J79" s="44" t="str" cm="1">
        <f t="array" aca="1" ref="J79" ca="1">IF(INDIRECT(_xlfn.CONCAT("'",$A79,"'!B4"))&gt;=J$2,"d",IF(INDIRECT(_xlfn.CONCAT("'",$A79,"'!B5"))&gt;=J$2,"i",""))</f>
        <v>d</v>
      </c>
      <c r="K79" s="45" t="str" cm="1">
        <f t="array" aca="1" ref="K79" ca="1">IF(INDIRECT(_xlfn.CONCAT("'",$A79,"'!B4"))&gt;=K$2,"d",IF(INDIRECT(_xlfn.CONCAT("'",$A79,"'!B5"))&gt;=K$2,"i",""))</f>
        <v>d</v>
      </c>
      <c r="L79" s="155"/>
      <c r="M79" s="44" t="str" cm="1">
        <f t="array" aca="1" ref="M79" ca="1">IF(INDIRECT(_xlfn.CONCAT("'",$A79,"'!C10"))&gt;=M$2,"d",IF(INDIRECT(_xlfn.CONCAT("'",$A79,"'!C11"))&gt;=M$2,"i",""))</f>
        <v>d</v>
      </c>
      <c r="N79" s="44" t="str" cm="1">
        <f t="array" aca="1" ref="N79" ca="1">IF(INDIRECT(_xlfn.CONCAT("'",$A79,"'!C10"))&gt;=N$2,"d",IF(INDIRECT(_xlfn.CONCAT("'",$A79,"'!C11"))&gt;=N$2,"i",""))</f>
        <v>d</v>
      </c>
      <c r="O79" s="44" t="str" cm="1">
        <f t="array" aca="1" ref="O79" ca="1">IF(INDIRECT(_xlfn.CONCAT("'",$A79,"'!C10"))&gt;=O$2,"d",IF(INDIRECT(_xlfn.CONCAT("'",$A79,"'!C11"))&gt;=O$2,"i",""))</f>
        <v>d</v>
      </c>
      <c r="P79" s="44" t="str" cm="1">
        <f t="array" aca="1" ref="P79" ca="1">IF(INDIRECT(_xlfn.CONCAT("'",$A79,"'!C10"))&gt;=P$2,"d",IF(INDIRECT(_xlfn.CONCAT("'",$A79,"'!C11"))&gt;=P$2,"i",""))</f>
        <v>d</v>
      </c>
      <c r="Q79" s="44" t="str" cm="1">
        <f t="array" aca="1" ref="Q79" ca="1">IF(INDIRECT(_xlfn.CONCAT("'",$A79,"'!C10"))&gt;=Q$2,"d",IF(INDIRECT(_xlfn.CONCAT("'",$A79,"'!C11"))&gt;=Q$2,"i",""))</f>
        <v>d</v>
      </c>
      <c r="R79" s="44" t="str" cm="1">
        <f t="array" aca="1" ref="R79" ca="1">IF(INDIRECT(_xlfn.CONCAT("'",$A79,"'!C10"))&gt;=R$2,"d",IF(INDIRECT(_xlfn.CONCAT("'",$A79,"'!C11"))&gt;=R$2,"i",""))</f>
        <v>d</v>
      </c>
      <c r="S79" s="156"/>
      <c r="T79" s="44" t="str" cm="1">
        <f t="array" aca="1" ref="T79" ca="1">IF(INDIRECT(_xlfn.CONCAT("'",$A79,"'!F4"))&gt;=T$2,"d",IF(INDIRECT(_xlfn.CONCAT("'",$A79,"'!F5"))&gt;=T$2,"i",""))</f>
        <v>d</v>
      </c>
      <c r="U79" s="44" t="str" cm="1">
        <f t="array" aca="1" ref="U79" ca="1">IF(INDIRECT(_xlfn.CONCAT("'",$A79,"'!F4"))&gt;=U$2,"d",IF(INDIRECT(_xlfn.CONCAT("'",$A79,"'!F5"))&gt;=U$2,"i",""))</f>
        <v>d</v>
      </c>
      <c r="V79" s="44" t="str" cm="1">
        <f t="array" aca="1" ref="V79" ca="1">IF(INDIRECT(_xlfn.CONCAT("'",$A79,"'!F4"))&gt;=V$2,"d",IF(INDIRECT(_xlfn.CONCAT("'",$A79,"'!F5"))&gt;=V$2,"i",""))</f>
        <v>d</v>
      </c>
      <c r="W79" s="44" t="str" cm="1">
        <f t="array" aca="1" ref="W79" ca="1">IF(INDIRECT(_xlfn.CONCAT("'",$A79,"'!F4"))&gt;=W$2,"d",IF(INDIRECT(_xlfn.CONCAT("'",$A79,"'!F5"))&gt;=W$2,"i",""))</f>
        <v>d</v>
      </c>
      <c r="X79" s="44" t="str" cm="1">
        <f t="array" aca="1" ref="X79" ca="1">IF(INDIRECT(_xlfn.CONCAT("'",$A79,"'!F4"))&gt;=X$2,"d",IF(INDIRECT(_xlfn.CONCAT("'",$A79,"'!F5"))&gt;=X$2,"i",""))</f>
        <v>d</v>
      </c>
      <c r="Y79" s="44" t="str" cm="1">
        <f t="array" aca="1" ref="Y79" ca="1">IF(INDIRECT(_xlfn.CONCAT("'",$A79,"'!F4"))&gt;=Y$2,"d",IF(INDIRECT(_xlfn.CONCAT("'",$A79,"'!F5"))&gt;=Y$2,"i",""))</f>
        <v>d</v>
      </c>
      <c r="Z79" s="44" t="str" cm="1">
        <f t="array" aca="1" ref="Z79" ca="1">IF(INDIRECT(_xlfn.CONCAT("'",$A79,"'!F4"))&gt;=Z$2,"d",IF(INDIRECT(_xlfn.CONCAT("'",$A79,"'!F5"))&gt;=Z$2,"i",""))</f>
        <v>d</v>
      </c>
      <c r="AA79" s="44" t="str" cm="1">
        <f t="array" aca="1" ref="AA79" ca="1">IF(INDIRECT(_xlfn.CONCAT("'",$A79,"'!F4"))&gt;=AA$2,"d",IF(INDIRECT(_xlfn.CONCAT("'",$A79,"'!F5"))&gt;=AA$2,"i",""))</f>
        <v>d</v>
      </c>
      <c r="AB79" s="44" t="str" cm="1">
        <f t="array" aca="1" ref="AB79" ca="1">IF(INDIRECT(_xlfn.CONCAT("'",$A79,"'!F4"))&gt;=AB$2,"d",IF(INDIRECT(_xlfn.CONCAT("'",$A79,"'!F5"))&gt;=AB$2,"i",""))</f>
        <v/>
      </c>
      <c r="AC79" s="156"/>
      <c r="AD79" s="44" t="str" cm="1">
        <f t="array" aca="1" ref="AD79" ca="1">IF(INDIRECT(_xlfn.CONCAT("'",$A79,"'!F17"))&gt;=AD$2,"d",IF(INDIRECT(_xlfn.CONCAT("'",$A79,"'!F18"))&gt;=AD$2,"i",""))</f>
        <v>d</v>
      </c>
      <c r="AE79" s="44" t="str" cm="1">
        <f t="array" aca="1" ref="AE79" ca="1">IF(INDIRECT(_xlfn.CONCAT("'",$A79,"'!F17"))&gt;=AE$2,"d",IF(INDIRECT(_xlfn.CONCAT("'",$A79,"'!F18"))&gt;=AE$2,"i",""))</f>
        <v>d</v>
      </c>
      <c r="AF79" s="44" t="str" cm="1">
        <f t="array" aca="1" ref="AF79" ca="1">IF(INDIRECT(_xlfn.CONCAT("'",$A79,"'!F17"))&gt;=AF$2,"d",IF(INDIRECT(_xlfn.CONCAT("'",$A79,"'!F18"))&gt;=AF$2,"i",""))</f>
        <v>d</v>
      </c>
      <c r="AG79" s="44" t="str" cm="1">
        <f t="array" aca="1" ref="AG79" ca="1">IF(INDIRECT(_xlfn.CONCAT("'",$A79,"'!F17"))&gt;=AG$2,"d",IF(INDIRECT(_xlfn.CONCAT("'",$A79,"'!F18"))&gt;=AG$2,"i",""))</f>
        <v>d</v>
      </c>
      <c r="AH79" s="44" t="str" cm="1">
        <f t="array" aca="1" ref="AH79" ca="1">IF(INDIRECT(_xlfn.CONCAT("'",$A79,"'!F17"))&gt;=AH$2,"d",IF(INDIRECT(_xlfn.CONCAT("'",$A79,"'!F18"))&gt;=AH$2,"i",""))</f>
        <v>d</v>
      </c>
      <c r="AI79" s="44" t="str" cm="1">
        <f t="array" aca="1" ref="AI79" ca="1">IF(INDIRECT(_xlfn.CONCAT("'",$A79,"'!F17"))&gt;=AI$2,"d",IF(INDIRECT(_xlfn.CONCAT("'",$A79,"'!F18"))&gt;=AI$2,"i",""))</f>
        <v>d</v>
      </c>
      <c r="AJ79" s="44" t="str" cm="1">
        <f t="array" aca="1" ref="AJ79" ca="1">IF(INDIRECT(_xlfn.CONCAT("'",$A79,"'!F17"))&gt;=AJ$2,"d",IF(INDIRECT(_xlfn.CONCAT("'",$A79,"'!F18"))&gt;=AJ$2,"i",""))</f>
        <v>d</v>
      </c>
      <c r="AK79" s="44" t="str" cm="1">
        <f t="array" aca="1" ref="AK79" ca="1">IF(INDIRECT(_xlfn.CONCAT("'",$A79,"'!F17"))&gt;=AK$2,"d",IF(INDIRECT(_xlfn.CONCAT("'",$A79,"'!F18"))&gt;=AK$2,"i",""))</f>
        <v>d</v>
      </c>
      <c r="AL79" s="44" t="str" cm="1">
        <f t="array" aca="1" ref="AL79" ca="1">IF(INDIRECT(_xlfn.CONCAT("'",$A79,"'!F17"))&gt;=AL$2,"d",IF(INDIRECT(_xlfn.CONCAT("'",$A79,"'!F18"))&gt;=AL$2,"i",""))</f>
        <v/>
      </c>
      <c r="AM79" s="156"/>
      <c r="AN79" s="44" t="str" cm="1">
        <f t="array" aca="1" ref="AN79" ca="1">IF(INDIRECT(_xlfn.CONCAT("'",$A79,"'!F30"))&gt;=AN$2,"d",IF(INDIRECT(_xlfn.CONCAT("'",$A79,"'!F31"))&gt;=AN$2,"i",""))</f>
        <v>d</v>
      </c>
      <c r="AO79" s="44" t="str" cm="1">
        <f t="array" aca="1" ref="AO79" ca="1">IF(INDIRECT(_xlfn.CONCAT("'",$A79,"'!F30"))&gt;=AO$2,"d",IF(INDIRECT(_xlfn.CONCAT("'",$A79,"'!F31"))&gt;=AO$2,"i",""))</f>
        <v>d</v>
      </c>
      <c r="AP79" s="44" t="str" cm="1">
        <f t="array" aca="1" ref="AP79" ca="1">IF(INDIRECT(_xlfn.CONCAT("'",$A79,"'!F30"))&gt;=AP$2,"d",IF(INDIRECT(_xlfn.CONCAT("'",$A79,"'!F31"))&gt;=AP$2,"i",""))</f>
        <v>d</v>
      </c>
      <c r="AQ79" s="44" t="str" cm="1">
        <f t="array" aca="1" ref="AQ79" ca="1">IF(INDIRECT(_xlfn.CONCAT("'",$A79,"'!F30"))&gt;=AQ$2,"d",IF(INDIRECT(_xlfn.CONCAT("'",$A79,"'!F31"))&gt;=AQ$2,"i",""))</f>
        <v>d</v>
      </c>
      <c r="AR79" s="44" t="str" cm="1">
        <f t="array" aca="1" ref="AR79" ca="1">IF(INDIRECT(_xlfn.CONCAT("'",$A79,"'!F30"))&gt;=AR$2,"d",IF(INDIRECT(_xlfn.CONCAT("'",$A79,"'!F31"))&gt;=AR$2,"i",""))</f>
        <v>d</v>
      </c>
      <c r="AS79" s="44" t="str" cm="1">
        <f t="array" aca="1" ref="AS79" ca="1">IF(INDIRECT(_xlfn.CONCAT("'",$A79,"'!F30"))&gt;=AS$2,"d",IF(INDIRECT(_xlfn.CONCAT("'",$A79,"'!F31"))&gt;=AS$2,"i",""))</f>
        <v>d</v>
      </c>
      <c r="AT79" s="44" t="str" cm="1">
        <f t="array" aca="1" ref="AT79" ca="1">IF(INDIRECT(_xlfn.CONCAT("'",$A79,"'!F30"))&gt;=AT$2,"d",IF(INDIRECT(_xlfn.CONCAT("'",$A79,"'!F31"))&gt;=AT$2,"i",""))</f>
        <v>d</v>
      </c>
      <c r="AU79" s="44" t="str" cm="1">
        <f t="array" aca="1" ref="AU79" ca="1">IF(INDIRECT(_xlfn.CONCAT("'",$A79,"'!F30"))&gt;=AU$2,"d",IF(INDIRECT(_xlfn.CONCAT("'",$A79,"'!F31"))&gt;=AU$2,"i",""))</f>
        <v>d</v>
      </c>
      <c r="AV79" s="45" t="str" cm="1">
        <f t="array" aca="1" ref="AV79" ca="1">IF(INDIRECT(_xlfn.CONCAT("'",$A79,"'!F30"))&gt;=AV$2,"d",IF(INDIRECT(_xlfn.CONCAT("'",$A79,"'!F31"))&gt;=AV$2,"i",""))</f>
        <v/>
      </c>
    </row>
    <row r="80" spans="1:48" x14ac:dyDescent="0.25">
      <c r="A80" s="119" t="str">
        <v>Neuvillette</v>
      </c>
      <c r="B80" s="45" t="str">
        <f t="shared" ref="B80:B81" si="33">VLOOKUP(A80,Character_List,2,FALSE)</f>
        <v>Hydro</v>
      </c>
      <c r="C80" s="153" t="str">
        <f t="shared" ref="C80:C81" si="34">VLOOKUP(A80,Character_List,7,FALSE)</f>
        <v>Fontaine 1</v>
      </c>
      <c r="D80" s="154" t="str">
        <f t="shared" ref="D80:D81" si="35">VLOOKUP(A80,Character_List,8,FALSE)</f>
        <v>Apep 3</v>
      </c>
      <c r="E80" s="19" t="str" cm="1">
        <f t="array" aca="1" ref="E80" ca="1">IF(INDIRECT(_xlfn.CONCAT("'",$A80,"'!B4"))&gt;=E$2,"d",IF(INDIRECT(_xlfn.CONCAT("'",$A80,"'!B5"))&gt;=E$2,"i",""))</f>
        <v>d</v>
      </c>
      <c r="F80" s="44" t="str" cm="1">
        <f t="array" aca="1" ref="F80" ca="1">IF(INDIRECT(_xlfn.CONCAT("'",$A80,"'!B4"))&gt;=F$2,"d",IF(INDIRECT(_xlfn.CONCAT("'",$A80,"'!B5"))&gt;=F$2,"i",""))</f>
        <v>d</v>
      </c>
      <c r="G80" s="44" t="str" cm="1">
        <f t="array" aca="1" ref="G80" ca="1">IF(INDIRECT(_xlfn.CONCAT("'",$A80,"'!B4"))&gt;=G$2,"d",IF(INDIRECT(_xlfn.CONCAT("'",$A80,"'!B5"))&gt;=G$2,"i",""))</f>
        <v>d</v>
      </c>
      <c r="H80" s="44" t="str" cm="1">
        <f t="array" aca="1" ref="H80" ca="1">IF(INDIRECT(_xlfn.CONCAT("'",$A80,"'!B4"))&gt;=H$2,"d",IF(INDIRECT(_xlfn.CONCAT("'",$A80,"'!B5"))&gt;=H$2,"i",""))</f>
        <v>d</v>
      </c>
      <c r="I80" s="44" t="str" cm="1">
        <f t="array" aca="1" ref="I80" ca="1">IF(INDIRECT(_xlfn.CONCAT("'",$A80,"'!B4"))&gt;=I$2,"d",IF(INDIRECT(_xlfn.CONCAT("'",$A80,"'!B5"))&gt;=I$2,"i",""))</f>
        <v>d</v>
      </c>
      <c r="J80" s="44" t="str" cm="1">
        <f t="array" aca="1" ref="J80" ca="1">IF(INDIRECT(_xlfn.CONCAT("'",$A80,"'!B4"))&gt;=J$2,"d",IF(INDIRECT(_xlfn.CONCAT("'",$A80,"'!B5"))&gt;=J$2,"i",""))</f>
        <v>d</v>
      </c>
      <c r="K80" s="45" t="str" cm="1">
        <f t="array" aca="1" ref="K80" ca="1">IF(INDIRECT(_xlfn.CONCAT("'",$A80,"'!B4"))&gt;=K$2,"d",IF(INDIRECT(_xlfn.CONCAT("'",$A80,"'!B5"))&gt;=K$2,"i",""))</f>
        <v>d</v>
      </c>
      <c r="L80" s="155"/>
      <c r="M80" s="44" t="str" cm="1">
        <f t="array" aca="1" ref="M80" ca="1">IF(INDIRECT(_xlfn.CONCAT("'",$A80,"'!C10"))&gt;=M$2,"d",IF(INDIRECT(_xlfn.CONCAT("'",$A80,"'!C11"))&gt;=M$2,"i",""))</f>
        <v>d</v>
      </c>
      <c r="N80" s="44" t="str" cm="1">
        <f t="array" aca="1" ref="N80" ca="1">IF(INDIRECT(_xlfn.CONCAT("'",$A80,"'!C10"))&gt;=N$2,"d",IF(INDIRECT(_xlfn.CONCAT("'",$A80,"'!C11"))&gt;=N$2,"i",""))</f>
        <v>d</v>
      </c>
      <c r="O80" s="44" t="str" cm="1">
        <f t="array" aca="1" ref="O80" ca="1">IF(INDIRECT(_xlfn.CONCAT("'",$A80,"'!C10"))&gt;=O$2,"d",IF(INDIRECT(_xlfn.CONCAT("'",$A80,"'!C11"))&gt;=O$2,"i",""))</f>
        <v>d</v>
      </c>
      <c r="P80" s="44" t="str" cm="1">
        <f t="array" aca="1" ref="P80" ca="1">IF(INDIRECT(_xlfn.CONCAT("'",$A80,"'!C10"))&gt;=P$2,"d",IF(INDIRECT(_xlfn.CONCAT("'",$A80,"'!C11"))&gt;=P$2,"i",""))</f>
        <v>d</v>
      </c>
      <c r="Q80" s="44" t="str" cm="1">
        <f t="array" aca="1" ref="Q80" ca="1">IF(INDIRECT(_xlfn.CONCAT("'",$A80,"'!C10"))&gt;=Q$2,"d",IF(INDIRECT(_xlfn.CONCAT("'",$A80,"'!C11"))&gt;=Q$2,"i",""))</f>
        <v>d</v>
      </c>
      <c r="R80" s="44" t="str" cm="1">
        <f t="array" aca="1" ref="R80" ca="1">IF(INDIRECT(_xlfn.CONCAT("'",$A80,"'!C10"))&gt;=R$2,"d",IF(INDIRECT(_xlfn.CONCAT("'",$A80,"'!C11"))&gt;=R$2,"i",""))</f>
        <v>d</v>
      </c>
      <c r="S80" s="156"/>
      <c r="T80" s="44" t="str" cm="1">
        <f t="array" aca="1" ref="T80" ca="1">IF(INDIRECT(_xlfn.CONCAT("'",$A80,"'!F4"))&gt;=T$2,"d",IF(INDIRECT(_xlfn.CONCAT("'",$A80,"'!F5"))&gt;=T$2,"i",""))</f>
        <v>d</v>
      </c>
      <c r="U80" s="44" t="str" cm="1">
        <f t="array" aca="1" ref="U80" ca="1">IF(INDIRECT(_xlfn.CONCAT("'",$A80,"'!F4"))&gt;=U$2,"d",IF(INDIRECT(_xlfn.CONCAT("'",$A80,"'!F5"))&gt;=U$2,"i",""))</f>
        <v>d</v>
      </c>
      <c r="V80" s="44" t="str" cm="1">
        <f t="array" aca="1" ref="V80" ca="1">IF(INDIRECT(_xlfn.CONCAT("'",$A80,"'!F4"))&gt;=V$2,"d",IF(INDIRECT(_xlfn.CONCAT("'",$A80,"'!F5"))&gt;=V$2,"i",""))</f>
        <v>d</v>
      </c>
      <c r="W80" s="44" t="str" cm="1">
        <f t="array" aca="1" ref="W80" ca="1">IF(INDIRECT(_xlfn.CONCAT("'",$A80,"'!F4"))&gt;=W$2,"d",IF(INDIRECT(_xlfn.CONCAT("'",$A80,"'!F5"))&gt;=W$2,"i",""))</f>
        <v>d</v>
      </c>
      <c r="X80" s="44" t="str" cm="1">
        <f t="array" aca="1" ref="X80" ca="1">IF(INDIRECT(_xlfn.CONCAT("'",$A80,"'!F4"))&gt;=X$2,"d",IF(INDIRECT(_xlfn.CONCAT("'",$A80,"'!F5"))&gt;=X$2,"i",""))</f>
        <v>d</v>
      </c>
      <c r="Y80" s="44" t="str" cm="1">
        <f t="array" aca="1" ref="Y80" ca="1">IF(INDIRECT(_xlfn.CONCAT("'",$A80,"'!F4"))&gt;=Y$2,"d",IF(INDIRECT(_xlfn.CONCAT("'",$A80,"'!F5"))&gt;=Y$2,"i",""))</f>
        <v>d</v>
      </c>
      <c r="Z80" s="44" t="str" cm="1">
        <f t="array" aca="1" ref="Z80" ca="1">IF(INDIRECT(_xlfn.CONCAT("'",$A80,"'!F4"))&gt;=Z$2,"d",IF(INDIRECT(_xlfn.CONCAT("'",$A80,"'!F5"))&gt;=Z$2,"i",""))</f>
        <v>d</v>
      </c>
      <c r="AA80" s="44" t="str" cm="1">
        <f t="array" aca="1" ref="AA80" ca="1">IF(INDIRECT(_xlfn.CONCAT("'",$A80,"'!F4"))&gt;=AA$2,"d",IF(INDIRECT(_xlfn.CONCAT("'",$A80,"'!F5"))&gt;=AA$2,"i",""))</f>
        <v>d</v>
      </c>
      <c r="AB80" s="44" t="str" cm="1">
        <f t="array" aca="1" ref="AB80" ca="1">IF(INDIRECT(_xlfn.CONCAT("'",$A80,"'!F4"))&gt;=AB$2,"d",IF(INDIRECT(_xlfn.CONCAT("'",$A80,"'!F5"))&gt;=AB$2,"i",""))</f>
        <v/>
      </c>
      <c r="AC80" s="156"/>
      <c r="AD80" s="44" t="str" cm="1">
        <f t="array" aca="1" ref="AD80" ca="1">IF(INDIRECT(_xlfn.CONCAT("'",$A80,"'!F17"))&gt;=AD$2,"d",IF(INDIRECT(_xlfn.CONCAT("'",$A80,"'!F18"))&gt;=AD$2,"i",""))</f>
        <v>d</v>
      </c>
      <c r="AE80" s="44" t="str" cm="1">
        <f t="array" aca="1" ref="AE80" ca="1">IF(INDIRECT(_xlfn.CONCAT("'",$A80,"'!F17"))&gt;=AE$2,"d",IF(INDIRECT(_xlfn.CONCAT("'",$A80,"'!F18"))&gt;=AE$2,"i",""))</f>
        <v>d</v>
      </c>
      <c r="AF80" s="44" t="str" cm="1">
        <f t="array" aca="1" ref="AF80" ca="1">IF(INDIRECT(_xlfn.CONCAT("'",$A80,"'!F17"))&gt;=AF$2,"d",IF(INDIRECT(_xlfn.CONCAT("'",$A80,"'!F18"))&gt;=AF$2,"i",""))</f>
        <v>d</v>
      </c>
      <c r="AG80" s="44" t="str" cm="1">
        <f t="array" aca="1" ref="AG80" ca="1">IF(INDIRECT(_xlfn.CONCAT("'",$A80,"'!F17"))&gt;=AG$2,"d",IF(INDIRECT(_xlfn.CONCAT("'",$A80,"'!F18"))&gt;=AG$2,"i",""))</f>
        <v>d</v>
      </c>
      <c r="AH80" s="44" t="str" cm="1">
        <f t="array" aca="1" ref="AH80" ca="1">IF(INDIRECT(_xlfn.CONCAT("'",$A80,"'!F17"))&gt;=AH$2,"d",IF(INDIRECT(_xlfn.CONCAT("'",$A80,"'!F18"))&gt;=AH$2,"i",""))</f>
        <v>d</v>
      </c>
      <c r="AI80" s="44" t="str" cm="1">
        <f t="array" aca="1" ref="AI80" ca="1">IF(INDIRECT(_xlfn.CONCAT("'",$A80,"'!F17"))&gt;=AI$2,"d",IF(INDIRECT(_xlfn.CONCAT("'",$A80,"'!F18"))&gt;=AI$2,"i",""))</f>
        <v>d</v>
      </c>
      <c r="AJ80" s="44" t="str" cm="1">
        <f t="array" aca="1" ref="AJ80" ca="1">IF(INDIRECT(_xlfn.CONCAT("'",$A80,"'!F17"))&gt;=AJ$2,"d",IF(INDIRECT(_xlfn.CONCAT("'",$A80,"'!F18"))&gt;=AJ$2,"i",""))</f>
        <v>d</v>
      </c>
      <c r="AK80" s="44" t="str" cm="1">
        <f t="array" aca="1" ref="AK80" ca="1">IF(INDIRECT(_xlfn.CONCAT("'",$A80,"'!F17"))&gt;=AK$2,"d",IF(INDIRECT(_xlfn.CONCAT("'",$A80,"'!F18"))&gt;=AK$2,"i",""))</f>
        <v>d</v>
      </c>
      <c r="AL80" s="44" t="str" cm="1">
        <f t="array" aca="1" ref="AL80" ca="1">IF(INDIRECT(_xlfn.CONCAT("'",$A80,"'!F17"))&gt;=AL$2,"d",IF(INDIRECT(_xlfn.CONCAT("'",$A80,"'!F18"))&gt;=AL$2,"i",""))</f>
        <v/>
      </c>
      <c r="AM80" s="156"/>
      <c r="AN80" s="44" t="str" cm="1">
        <f t="array" aca="1" ref="AN80" ca="1">IF(INDIRECT(_xlfn.CONCAT("'",$A80,"'!F30"))&gt;=AN$2,"d",IF(INDIRECT(_xlfn.CONCAT("'",$A80,"'!F31"))&gt;=AN$2,"i",""))</f>
        <v>d</v>
      </c>
      <c r="AO80" s="44" t="str" cm="1">
        <f t="array" aca="1" ref="AO80" ca="1">IF(INDIRECT(_xlfn.CONCAT("'",$A80,"'!F30"))&gt;=AO$2,"d",IF(INDIRECT(_xlfn.CONCAT("'",$A80,"'!F31"))&gt;=AO$2,"i",""))</f>
        <v>d</v>
      </c>
      <c r="AP80" s="44" t="str" cm="1">
        <f t="array" aca="1" ref="AP80" ca="1">IF(INDIRECT(_xlfn.CONCAT("'",$A80,"'!F30"))&gt;=AP$2,"d",IF(INDIRECT(_xlfn.CONCAT("'",$A80,"'!F31"))&gt;=AP$2,"i",""))</f>
        <v>d</v>
      </c>
      <c r="AQ80" s="44" t="str" cm="1">
        <f t="array" aca="1" ref="AQ80" ca="1">IF(INDIRECT(_xlfn.CONCAT("'",$A80,"'!F30"))&gt;=AQ$2,"d",IF(INDIRECT(_xlfn.CONCAT("'",$A80,"'!F31"))&gt;=AQ$2,"i",""))</f>
        <v>d</v>
      </c>
      <c r="AR80" s="44" t="str" cm="1">
        <f t="array" aca="1" ref="AR80" ca="1">IF(INDIRECT(_xlfn.CONCAT("'",$A80,"'!F30"))&gt;=AR$2,"d",IF(INDIRECT(_xlfn.CONCAT("'",$A80,"'!F31"))&gt;=AR$2,"i",""))</f>
        <v>d</v>
      </c>
      <c r="AS80" s="44" t="str" cm="1">
        <f t="array" aca="1" ref="AS80" ca="1">IF(INDIRECT(_xlfn.CONCAT("'",$A80,"'!F30"))&gt;=AS$2,"d",IF(INDIRECT(_xlfn.CONCAT("'",$A80,"'!F31"))&gt;=AS$2,"i",""))</f>
        <v>d</v>
      </c>
      <c r="AT80" s="44" t="str" cm="1">
        <f t="array" aca="1" ref="AT80" ca="1">IF(INDIRECT(_xlfn.CONCAT("'",$A80,"'!F30"))&gt;=AT$2,"d",IF(INDIRECT(_xlfn.CONCAT("'",$A80,"'!F31"))&gt;=AT$2,"i",""))</f>
        <v>d</v>
      </c>
      <c r="AU80" s="44" t="str" cm="1">
        <f t="array" aca="1" ref="AU80" ca="1">IF(INDIRECT(_xlfn.CONCAT("'",$A80,"'!F30"))&gt;=AU$2,"d",IF(INDIRECT(_xlfn.CONCAT("'",$A80,"'!F31"))&gt;=AU$2,"i",""))</f>
        <v>d</v>
      </c>
      <c r="AV80" s="45" t="str" cm="1">
        <f t="array" aca="1" ref="AV80" ca="1">IF(INDIRECT(_xlfn.CONCAT("'",$A80,"'!F30"))&gt;=AV$2,"d",IF(INDIRECT(_xlfn.CONCAT("'",$A80,"'!F31"))&gt;=AV$2,"i",""))</f>
        <v/>
      </c>
    </row>
    <row r="81" spans="1:48" x14ac:dyDescent="0.25">
      <c r="A81" s="119" t="str">
        <v>Wriothesley</v>
      </c>
      <c r="B81" s="45" t="str">
        <f t="shared" si="33"/>
        <v>Cryo</v>
      </c>
      <c r="C81" s="153" t="str">
        <f t="shared" si="34"/>
        <v>Fontaine 3</v>
      </c>
      <c r="D81" s="154" t="str">
        <f t="shared" si="35"/>
        <v>Apep 2</v>
      </c>
      <c r="E81" s="19" t="str" cm="1">
        <f t="array" aca="1" ref="E81" ca="1">IF(INDIRECT(_xlfn.CONCAT("'",$A81,"'!B4"))&gt;=E$2,"d",IF(INDIRECT(_xlfn.CONCAT("'",$A81,"'!B5"))&gt;=E$2,"i",""))</f>
        <v>d</v>
      </c>
      <c r="F81" s="44" t="str" cm="1">
        <f t="array" aca="1" ref="F81" ca="1">IF(INDIRECT(_xlfn.CONCAT("'",$A81,"'!B4"))&gt;=F$2,"d",IF(INDIRECT(_xlfn.CONCAT("'",$A81,"'!B5"))&gt;=F$2,"i",""))</f>
        <v>d</v>
      </c>
      <c r="G81" s="44" t="str" cm="1">
        <f t="array" aca="1" ref="G81" ca="1">IF(INDIRECT(_xlfn.CONCAT("'",$A81,"'!B4"))&gt;=G$2,"d",IF(INDIRECT(_xlfn.CONCAT("'",$A81,"'!B5"))&gt;=G$2,"i",""))</f>
        <v>d</v>
      </c>
      <c r="H81" s="44" t="str" cm="1">
        <f t="array" aca="1" ref="H81" ca="1">IF(INDIRECT(_xlfn.CONCAT("'",$A81,"'!B4"))&gt;=H$2,"d",IF(INDIRECT(_xlfn.CONCAT("'",$A81,"'!B5"))&gt;=H$2,"i",""))</f>
        <v>d</v>
      </c>
      <c r="I81" s="44" t="str" cm="1">
        <f t="array" aca="1" ref="I81" ca="1">IF(INDIRECT(_xlfn.CONCAT("'",$A81,"'!B4"))&gt;=I$2,"d",IF(INDIRECT(_xlfn.CONCAT("'",$A81,"'!B5"))&gt;=I$2,"i",""))</f>
        <v>d</v>
      </c>
      <c r="J81" s="44" t="str" cm="1">
        <f t="array" aca="1" ref="J81" ca="1">IF(INDIRECT(_xlfn.CONCAT("'",$A81,"'!B4"))&gt;=J$2,"d",IF(INDIRECT(_xlfn.CONCAT("'",$A81,"'!B5"))&gt;=J$2,"i",""))</f>
        <v>d</v>
      </c>
      <c r="K81" s="45" t="str" cm="1">
        <f t="array" aca="1" ref="K81" ca="1">IF(INDIRECT(_xlfn.CONCAT("'",$A81,"'!B4"))&gt;=K$2,"d",IF(INDIRECT(_xlfn.CONCAT("'",$A81,"'!B5"))&gt;=K$2,"i",""))</f>
        <v>d</v>
      </c>
      <c r="L81" s="155"/>
      <c r="M81" s="44" t="str" cm="1">
        <f t="array" aca="1" ref="M81" ca="1">IF(INDIRECT(_xlfn.CONCAT("'",$A81,"'!C10"))&gt;=M$2,"d",IF(INDIRECT(_xlfn.CONCAT("'",$A81,"'!C11"))&gt;=M$2,"i",""))</f>
        <v>d</v>
      </c>
      <c r="N81" s="44" t="str" cm="1">
        <f t="array" aca="1" ref="N81" ca="1">IF(INDIRECT(_xlfn.CONCAT("'",$A81,"'!C10"))&gt;=N$2,"d",IF(INDIRECT(_xlfn.CONCAT("'",$A81,"'!C11"))&gt;=N$2,"i",""))</f>
        <v>d</v>
      </c>
      <c r="O81" s="44" t="str" cm="1">
        <f t="array" aca="1" ref="O81" ca="1">IF(INDIRECT(_xlfn.CONCAT("'",$A81,"'!C10"))&gt;=O$2,"d",IF(INDIRECT(_xlfn.CONCAT("'",$A81,"'!C11"))&gt;=O$2,"i",""))</f>
        <v>d</v>
      </c>
      <c r="P81" s="44" t="str" cm="1">
        <f t="array" aca="1" ref="P81" ca="1">IF(INDIRECT(_xlfn.CONCAT("'",$A81,"'!C10"))&gt;=P$2,"d",IF(INDIRECT(_xlfn.CONCAT("'",$A81,"'!C11"))&gt;=P$2,"i",""))</f>
        <v>d</v>
      </c>
      <c r="Q81" s="44" t="str" cm="1">
        <f t="array" aca="1" ref="Q81" ca="1">IF(INDIRECT(_xlfn.CONCAT("'",$A81,"'!C10"))&gt;=Q$2,"d",IF(INDIRECT(_xlfn.CONCAT("'",$A81,"'!C11"))&gt;=Q$2,"i",""))</f>
        <v>d</v>
      </c>
      <c r="R81" s="44" t="str" cm="1">
        <f t="array" aca="1" ref="R81" ca="1">IF(INDIRECT(_xlfn.CONCAT("'",$A81,"'!C10"))&gt;=R$2,"d",IF(INDIRECT(_xlfn.CONCAT("'",$A81,"'!C11"))&gt;=R$2,"i",""))</f>
        <v>d</v>
      </c>
      <c r="S81" s="156"/>
      <c r="T81" s="44" t="str" cm="1">
        <f t="array" aca="1" ref="T81" ca="1">IF(INDIRECT(_xlfn.CONCAT("'",$A81,"'!F4"))&gt;=T$2,"d",IF(INDIRECT(_xlfn.CONCAT("'",$A81,"'!F5"))&gt;=T$2,"i",""))</f>
        <v>d</v>
      </c>
      <c r="U81" s="44" t="str" cm="1">
        <f t="array" aca="1" ref="U81" ca="1">IF(INDIRECT(_xlfn.CONCAT("'",$A81,"'!F4"))&gt;=U$2,"d",IF(INDIRECT(_xlfn.CONCAT("'",$A81,"'!F5"))&gt;=U$2,"i",""))</f>
        <v>d</v>
      </c>
      <c r="V81" s="44" t="str" cm="1">
        <f t="array" aca="1" ref="V81" ca="1">IF(INDIRECT(_xlfn.CONCAT("'",$A81,"'!F4"))&gt;=V$2,"d",IF(INDIRECT(_xlfn.CONCAT("'",$A81,"'!F5"))&gt;=V$2,"i",""))</f>
        <v>d</v>
      </c>
      <c r="W81" s="44" t="str" cm="1">
        <f t="array" aca="1" ref="W81" ca="1">IF(INDIRECT(_xlfn.CONCAT("'",$A81,"'!F4"))&gt;=W$2,"d",IF(INDIRECT(_xlfn.CONCAT("'",$A81,"'!F5"))&gt;=W$2,"i",""))</f>
        <v>d</v>
      </c>
      <c r="X81" s="44" t="str" cm="1">
        <f t="array" aca="1" ref="X81" ca="1">IF(INDIRECT(_xlfn.CONCAT("'",$A81,"'!F4"))&gt;=X$2,"d",IF(INDIRECT(_xlfn.CONCAT("'",$A81,"'!F5"))&gt;=X$2,"i",""))</f>
        <v>d</v>
      </c>
      <c r="Y81" s="44" t="str" cm="1">
        <f t="array" aca="1" ref="Y81" ca="1">IF(INDIRECT(_xlfn.CONCAT("'",$A81,"'!F4"))&gt;=Y$2,"d",IF(INDIRECT(_xlfn.CONCAT("'",$A81,"'!F5"))&gt;=Y$2,"i",""))</f>
        <v>d</v>
      </c>
      <c r="Z81" s="44" t="str" cm="1">
        <f t="array" aca="1" ref="Z81" ca="1">IF(INDIRECT(_xlfn.CONCAT("'",$A81,"'!F4"))&gt;=Z$2,"d",IF(INDIRECT(_xlfn.CONCAT("'",$A81,"'!F5"))&gt;=Z$2,"i",""))</f>
        <v>d</v>
      </c>
      <c r="AA81" s="44" t="str" cm="1">
        <f t="array" aca="1" ref="AA81" ca="1">IF(INDIRECT(_xlfn.CONCAT("'",$A81,"'!F4"))&gt;=AA$2,"d",IF(INDIRECT(_xlfn.CONCAT("'",$A81,"'!F5"))&gt;=AA$2,"i",""))</f>
        <v>d</v>
      </c>
      <c r="AB81" s="44" t="str" cm="1">
        <f t="array" aca="1" ref="AB81" ca="1">IF(INDIRECT(_xlfn.CONCAT("'",$A81,"'!F4"))&gt;=AB$2,"d",IF(INDIRECT(_xlfn.CONCAT("'",$A81,"'!F5"))&gt;=AB$2,"i",""))</f>
        <v/>
      </c>
      <c r="AC81" s="156"/>
      <c r="AD81" s="44" t="str" cm="1">
        <f t="array" aca="1" ref="AD81" ca="1">IF(INDIRECT(_xlfn.CONCAT("'",$A81,"'!F17"))&gt;=AD$2,"d",IF(INDIRECT(_xlfn.CONCAT("'",$A81,"'!F18"))&gt;=AD$2,"i",""))</f>
        <v>d</v>
      </c>
      <c r="AE81" s="44" t="str" cm="1">
        <f t="array" aca="1" ref="AE81" ca="1">IF(INDIRECT(_xlfn.CONCAT("'",$A81,"'!F17"))&gt;=AE$2,"d",IF(INDIRECT(_xlfn.CONCAT("'",$A81,"'!F18"))&gt;=AE$2,"i",""))</f>
        <v>d</v>
      </c>
      <c r="AF81" s="44" t="str" cm="1">
        <f t="array" aca="1" ref="AF81" ca="1">IF(INDIRECT(_xlfn.CONCAT("'",$A81,"'!F17"))&gt;=AF$2,"d",IF(INDIRECT(_xlfn.CONCAT("'",$A81,"'!F18"))&gt;=AF$2,"i",""))</f>
        <v>d</v>
      </c>
      <c r="AG81" s="44" t="str" cm="1">
        <f t="array" aca="1" ref="AG81" ca="1">IF(INDIRECT(_xlfn.CONCAT("'",$A81,"'!F17"))&gt;=AG$2,"d",IF(INDIRECT(_xlfn.CONCAT("'",$A81,"'!F18"))&gt;=AG$2,"i",""))</f>
        <v>d</v>
      </c>
      <c r="AH81" s="44" t="str" cm="1">
        <f t="array" aca="1" ref="AH81" ca="1">IF(INDIRECT(_xlfn.CONCAT("'",$A81,"'!F17"))&gt;=AH$2,"d",IF(INDIRECT(_xlfn.CONCAT("'",$A81,"'!F18"))&gt;=AH$2,"i",""))</f>
        <v>d</v>
      </c>
      <c r="AI81" s="44" t="str" cm="1">
        <f t="array" aca="1" ref="AI81" ca="1">IF(INDIRECT(_xlfn.CONCAT("'",$A81,"'!F17"))&gt;=AI$2,"d",IF(INDIRECT(_xlfn.CONCAT("'",$A81,"'!F18"))&gt;=AI$2,"i",""))</f>
        <v>d</v>
      </c>
      <c r="AJ81" s="44" t="str" cm="1">
        <f t="array" aca="1" ref="AJ81" ca="1">IF(INDIRECT(_xlfn.CONCAT("'",$A81,"'!F17"))&gt;=AJ$2,"d",IF(INDIRECT(_xlfn.CONCAT("'",$A81,"'!F18"))&gt;=AJ$2,"i",""))</f>
        <v>d</v>
      </c>
      <c r="AK81" s="44" t="str" cm="1">
        <f t="array" aca="1" ref="AK81" ca="1">IF(INDIRECT(_xlfn.CONCAT("'",$A81,"'!F17"))&gt;=AK$2,"d",IF(INDIRECT(_xlfn.CONCAT("'",$A81,"'!F18"))&gt;=AK$2,"i",""))</f>
        <v>d</v>
      </c>
      <c r="AL81" s="44" t="str" cm="1">
        <f t="array" aca="1" ref="AL81" ca="1">IF(INDIRECT(_xlfn.CONCAT("'",$A81,"'!F17"))&gt;=AL$2,"d",IF(INDIRECT(_xlfn.CONCAT("'",$A81,"'!F18"))&gt;=AL$2,"i",""))</f>
        <v/>
      </c>
      <c r="AM81" s="156"/>
      <c r="AN81" s="44" t="str" cm="1">
        <f t="array" aca="1" ref="AN81" ca="1">IF(INDIRECT(_xlfn.CONCAT("'",$A81,"'!F30"))&gt;=AN$2,"d",IF(INDIRECT(_xlfn.CONCAT("'",$A81,"'!F31"))&gt;=AN$2,"i",""))</f>
        <v>d</v>
      </c>
      <c r="AO81" s="44" t="str" cm="1">
        <f t="array" aca="1" ref="AO81" ca="1">IF(INDIRECT(_xlfn.CONCAT("'",$A81,"'!F30"))&gt;=AO$2,"d",IF(INDIRECT(_xlfn.CONCAT("'",$A81,"'!F31"))&gt;=AO$2,"i",""))</f>
        <v>d</v>
      </c>
      <c r="AP81" s="44" t="str" cm="1">
        <f t="array" aca="1" ref="AP81" ca="1">IF(INDIRECT(_xlfn.CONCAT("'",$A81,"'!F30"))&gt;=AP$2,"d",IF(INDIRECT(_xlfn.CONCAT("'",$A81,"'!F31"))&gt;=AP$2,"i",""))</f>
        <v>d</v>
      </c>
      <c r="AQ81" s="44" t="str" cm="1">
        <f t="array" aca="1" ref="AQ81" ca="1">IF(INDIRECT(_xlfn.CONCAT("'",$A81,"'!F30"))&gt;=AQ$2,"d",IF(INDIRECT(_xlfn.CONCAT("'",$A81,"'!F31"))&gt;=AQ$2,"i",""))</f>
        <v>d</v>
      </c>
      <c r="AR81" s="44" t="str" cm="1">
        <f t="array" aca="1" ref="AR81" ca="1">IF(INDIRECT(_xlfn.CONCAT("'",$A81,"'!F30"))&gt;=AR$2,"d",IF(INDIRECT(_xlfn.CONCAT("'",$A81,"'!F31"))&gt;=AR$2,"i",""))</f>
        <v>d</v>
      </c>
      <c r="AS81" s="44" t="str" cm="1">
        <f t="array" aca="1" ref="AS81" ca="1">IF(INDIRECT(_xlfn.CONCAT("'",$A81,"'!F30"))&gt;=AS$2,"d",IF(INDIRECT(_xlfn.CONCAT("'",$A81,"'!F31"))&gt;=AS$2,"i",""))</f>
        <v>d</v>
      </c>
      <c r="AT81" s="44" t="str" cm="1">
        <f t="array" aca="1" ref="AT81" ca="1">IF(INDIRECT(_xlfn.CONCAT("'",$A81,"'!F30"))&gt;=AT$2,"d",IF(INDIRECT(_xlfn.CONCAT("'",$A81,"'!F31"))&gt;=AT$2,"i",""))</f>
        <v>d</v>
      </c>
      <c r="AU81" s="44" t="str" cm="1">
        <f t="array" aca="1" ref="AU81" ca="1">IF(INDIRECT(_xlfn.CONCAT("'",$A81,"'!F30"))&gt;=AU$2,"d",IF(INDIRECT(_xlfn.CONCAT("'",$A81,"'!F31"))&gt;=AU$2,"i",""))</f>
        <v>d</v>
      </c>
      <c r="AV81" s="45" t="str" cm="1">
        <f t="array" aca="1" ref="AV81" ca="1">IF(INDIRECT(_xlfn.CONCAT("'",$A81,"'!F30"))&gt;=AV$2,"d",IF(INDIRECT(_xlfn.CONCAT("'",$A81,"'!F31"))&gt;=AV$2,"i",""))</f>
        <v/>
      </c>
    </row>
    <row r="82" spans="1:48" x14ac:dyDescent="0.25">
      <c r="A82" s="119" t="str">
        <v>Furina</v>
      </c>
      <c r="B82" s="45" t="str">
        <f t="shared" ref="B82:B83" si="36">VLOOKUP(A82,Character_List,2,FALSE)</f>
        <v>Hydro</v>
      </c>
      <c r="C82" s="153" t="str">
        <f t="shared" ref="C82:C83" si="37">VLOOKUP(A82,Character_List,7,FALSE)</f>
        <v>Fontaine 2</v>
      </c>
      <c r="D82" s="154" t="str">
        <f>VLOOKUP(A82,Character_List,8,FALSE)</f>
        <v>Narwhal 3</v>
      </c>
      <c r="E82" s="19" t="str" cm="1">
        <f t="array" aca="1" ref="E82" ca="1">IF(INDIRECT(_xlfn.CONCAT("'",$A82,"'!B4"))&gt;=E$2,"d",IF(INDIRECT(_xlfn.CONCAT("'",$A82,"'!B5"))&gt;=E$2,"i",""))</f>
        <v>d</v>
      </c>
      <c r="F82" s="44" t="str" cm="1">
        <f t="array" aca="1" ref="F82" ca="1">IF(INDIRECT(_xlfn.CONCAT("'",$A82,"'!B4"))&gt;=F$2,"d",IF(INDIRECT(_xlfn.CONCAT("'",$A82,"'!B5"))&gt;=F$2,"i",""))</f>
        <v>d</v>
      </c>
      <c r="G82" s="44" t="str" cm="1">
        <f t="array" aca="1" ref="G82" ca="1">IF(INDIRECT(_xlfn.CONCAT("'",$A82,"'!B4"))&gt;=G$2,"d",IF(INDIRECT(_xlfn.CONCAT("'",$A82,"'!B5"))&gt;=G$2,"i",""))</f>
        <v>d</v>
      </c>
      <c r="H82" s="44" t="str" cm="1">
        <f t="array" aca="1" ref="H82" ca="1">IF(INDIRECT(_xlfn.CONCAT("'",$A82,"'!B4"))&gt;=H$2,"d",IF(INDIRECT(_xlfn.CONCAT("'",$A82,"'!B5"))&gt;=H$2,"i",""))</f>
        <v>d</v>
      </c>
      <c r="I82" s="44" t="str" cm="1">
        <f t="array" aca="1" ref="I82" ca="1">IF(INDIRECT(_xlfn.CONCAT("'",$A82,"'!B4"))&gt;=I$2,"d",IF(INDIRECT(_xlfn.CONCAT("'",$A82,"'!B5"))&gt;=I$2,"i",""))</f>
        <v>d</v>
      </c>
      <c r="J82" s="44" t="str" cm="1">
        <f t="array" aca="1" ref="J82" ca="1">IF(INDIRECT(_xlfn.CONCAT("'",$A82,"'!B4"))&gt;=J$2,"d",IF(INDIRECT(_xlfn.CONCAT("'",$A82,"'!B5"))&gt;=J$2,"i",""))</f>
        <v>d</v>
      </c>
      <c r="K82" s="45" t="str" cm="1">
        <f t="array" aca="1" ref="K82" ca="1">IF(INDIRECT(_xlfn.CONCAT("'",$A82,"'!B4"))&gt;=K$2,"d",IF(INDIRECT(_xlfn.CONCAT("'",$A82,"'!B5"))&gt;=K$2,"i",""))</f>
        <v>d</v>
      </c>
      <c r="L82" s="155"/>
      <c r="M82" s="44" t="str" cm="1">
        <f t="array" aca="1" ref="M82" ca="1">IF(INDIRECT(_xlfn.CONCAT("'",$A82,"'!C10"))&gt;=M$2,"d",IF(INDIRECT(_xlfn.CONCAT("'",$A82,"'!C11"))&gt;=M$2,"i",""))</f>
        <v>d</v>
      </c>
      <c r="N82" s="44" t="str" cm="1">
        <f t="array" aca="1" ref="N82" ca="1">IF(INDIRECT(_xlfn.CONCAT("'",$A82,"'!C10"))&gt;=N$2,"d",IF(INDIRECT(_xlfn.CONCAT("'",$A82,"'!C11"))&gt;=N$2,"i",""))</f>
        <v>d</v>
      </c>
      <c r="O82" s="44" t="str" cm="1">
        <f t="array" aca="1" ref="O82" ca="1">IF(INDIRECT(_xlfn.CONCAT("'",$A82,"'!C10"))&gt;=O$2,"d",IF(INDIRECT(_xlfn.CONCAT("'",$A82,"'!C11"))&gt;=O$2,"i",""))</f>
        <v>d</v>
      </c>
      <c r="P82" s="44" t="str" cm="1">
        <f t="array" aca="1" ref="P82" ca="1">IF(INDIRECT(_xlfn.CONCAT("'",$A82,"'!C10"))&gt;=P$2,"d",IF(INDIRECT(_xlfn.CONCAT("'",$A82,"'!C11"))&gt;=P$2,"i",""))</f>
        <v>d</v>
      </c>
      <c r="Q82" s="44" t="str" cm="1">
        <f t="array" aca="1" ref="Q82" ca="1">IF(INDIRECT(_xlfn.CONCAT("'",$A82,"'!C10"))&gt;=Q$2,"d",IF(INDIRECT(_xlfn.CONCAT("'",$A82,"'!C11"))&gt;=Q$2,"i",""))</f>
        <v>d</v>
      </c>
      <c r="R82" s="44" t="str" cm="1">
        <f t="array" aca="1" ref="R82" ca="1">IF(INDIRECT(_xlfn.CONCAT("'",$A82,"'!C10"))&gt;=R$2,"d",IF(INDIRECT(_xlfn.CONCAT("'",$A82,"'!C11"))&gt;=R$2,"i",""))</f>
        <v>d</v>
      </c>
      <c r="S82" s="156"/>
      <c r="T82" s="44" t="str" cm="1">
        <f t="array" aca="1" ref="T82" ca="1">IF(INDIRECT(_xlfn.CONCAT("'",$A82,"'!F4"))&gt;=T$2,"d",IF(INDIRECT(_xlfn.CONCAT("'",$A82,"'!F5"))&gt;=T$2,"i",""))</f>
        <v>d</v>
      </c>
      <c r="U82" s="44" t="str" cm="1">
        <f t="array" aca="1" ref="U82" ca="1">IF(INDIRECT(_xlfn.CONCAT("'",$A82,"'!F4"))&gt;=U$2,"d",IF(INDIRECT(_xlfn.CONCAT("'",$A82,"'!F5"))&gt;=U$2,"i",""))</f>
        <v>d</v>
      </c>
      <c r="V82" s="44" t="str" cm="1">
        <f t="array" aca="1" ref="V82" ca="1">IF(INDIRECT(_xlfn.CONCAT("'",$A82,"'!F4"))&gt;=V$2,"d",IF(INDIRECT(_xlfn.CONCAT("'",$A82,"'!F5"))&gt;=V$2,"i",""))</f>
        <v>d</v>
      </c>
      <c r="W82" s="44" t="str" cm="1">
        <f t="array" aca="1" ref="W82" ca="1">IF(INDIRECT(_xlfn.CONCAT("'",$A82,"'!F4"))&gt;=W$2,"d",IF(INDIRECT(_xlfn.CONCAT("'",$A82,"'!F5"))&gt;=W$2,"i",""))</f>
        <v>d</v>
      </c>
      <c r="X82" s="44" t="str" cm="1">
        <f t="array" aca="1" ref="X82" ca="1">IF(INDIRECT(_xlfn.CONCAT("'",$A82,"'!F4"))&gt;=X$2,"d",IF(INDIRECT(_xlfn.CONCAT("'",$A82,"'!F5"))&gt;=X$2,"i",""))</f>
        <v>d</v>
      </c>
      <c r="Y82" s="44" t="str" cm="1">
        <f t="array" aca="1" ref="Y82" ca="1">IF(INDIRECT(_xlfn.CONCAT("'",$A82,"'!F4"))&gt;=Y$2,"d",IF(INDIRECT(_xlfn.CONCAT("'",$A82,"'!F5"))&gt;=Y$2,"i",""))</f>
        <v>d</v>
      </c>
      <c r="Z82" s="44" t="str" cm="1">
        <f t="array" aca="1" ref="Z82" ca="1">IF(INDIRECT(_xlfn.CONCAT("'",$A82,"'!F4"))&gt;=Z$2,"d",IF(INDIRECT(_xlfn.CONCAT("'",$A82,"'!F5"))&gt;=Z$2,"i",""))</f>
        <v>d</v>
      </c>
      <c r="AA82" s="44" t="str" cm="1">
        <f t="array" aca="1" ref="AA82" ca="1">IF(INDIRECT(_xlfn.CONCAT("'",$A82,"'!F4"))&gt;=AA$2,"d",IF(INDIRECT(_xlfn.CONCAT("'",$A82,"'!F5"))&gt;=AA$2,"i",""))</f>
        <v>d</v>
      </c>
      <c r="AB82" s="44" t="str" cm="1">
        <f t="array" aca="1" ref="AB82" ca="1">IF(INDIRECT(_xlfn.CONCAT("'",$A82,"'!F4"))&gt;=AB$2,"d",IF(INDIRECT(_xlfn.CONCAT("'",$A82,"'!F5"))&gt;=AB$2,"i",""))</f>
        <v/>
      </c>
      <c r="AC82" s="156"/>
      <c r="AD82" s="44" t="str" cm="1">
        <f t="array" aca="1" ref="AD82" ca="1">IF(INDIRECT(_xlfn.CONCAT("'",$A82,"'!F17"))&gt;=AD$2,"d",IF(INDIRECT(_xlfn.CONCAT("'",$A82,"'!F18"))&gt;=AD$2,"i",""))</f>
        <v>d</v>
      </c>
      <c r="AE82" s="44" t="str" cm="1">
        <f t="array" aca="1" ref="AE82" ca="1">IF(INDIRECT(_xlfn.CONCAT("'",$A82,"'!F17"))&gt;=AE$2,"d",IF(INDIRECT(_xlfn.CONCAT("'",$A82,"'!F18"))&gt;=AE$2,"i",""))</f>
        <v>d</v>
      </c>
      <c r="AF82" s="44" t="str" cm="1">
        <f t="array" aca="1" ref="AF82" ca="1">IF(INDIRECT(_xlfn.CONCAT("'",$A82,"'!F17"))&gt;=AF$2,"d",IF(INDIRECT(_xlfn.CONCAT("'",$A82,"'!F18"))&gt;=AF$2,"i",""))</f>
        <v>d</v>
      </c>
      <c r="AG82" s="44" t="str" cm="1">
        <f t="array" aca="1" ref="AG82" ca="1">IF(INDIRECT(_xlfn.CONCAT("'",$A82,"'!F17"))&gt;=AG$2,"d",IF(INDIRECT(_xlfn.CONCAT("'",$A82,"'!F18"))&gt;=AG$2,"i",""))</f>
        <v>d</v>
      </c>
      <c r="AH82" s="44" t="str" cm="1">
        <f t="array" aca="1" ref="AH82" ca="1">IF(INDIRECT(_xlfn.CONCAT("'",$A82,"'!F17"))&gt;=AH$2,"d",IF(INDIRECT(_xlfn.CONCAT("'",$A82,"'!F18"))&gt;=AH$2,"i",""))</f>
        <v>d</v>
      </c>
      <c r="AI82" s="44" t="str" cm="1">
        <f t="array" aca="1" ref="AI82" ca="1">IF(INDIRECT(_xlfn.CONCAT("'",$A82,"'!F17"))&gt;=AI$2,"d",IF(INDIRECT(_xlfn.CONCAT("'",$A82,"'!F18"))&gt;=AI$2,"i",""))</f>
        <v>d</v>
      </c>
      <c r="AJ82" s="44" t="str" cm="1">
        <f t="array" aca="1" ref="AJ82" ca="1">IF(INDIRECT(_xlfn.CONCAT("'",$A82,"'!F17"))&gt;=AJ$2,"d",IF(INDIRECT(_xlfn.CONCAT("'",$A82,"'!F18"))&gt;=AJ$2,"i",""))</f>
        <v>d</v>
      </c>
      <c r="AK82" s="44" t="str" cm="1">
        <f t="array" aca="1" ref="AK82" ca="1">IF(INDIRECT(_xlfn.CONCAT("'",$A82,"'!F17"))&gt;=AK$2,"d",IF(INDIRECT(_xlfn.CONCAT("'",$A82,"'!F18"))&gt;=AK$2,"i",""))</f>
        <v>d</v>
      </c>
      <c r="AL82" s="44" t="str" cm="1">
        <f t="array" aca="1" ref="AL82" ca="1">IF(INDIRECT(_xlfn.CONCAT("'",$A82,"'!F17"))&gt;=AL$2,"d",IF(INDIRECT(_xlfn.CONCAT("'",$A82,"'!F18"))&gt;=AL$2,"i",""))</f>
        <v/>
      </c>
      <c r="AM82" s="156"/>
      <c r="AN82" s="44" t="str" cm="1">
        <f t="array" aca="1" ref="AN82" ca="1">IF(INDIRECT(_xlfn.CONCAT("'",$A82,"'!F30"))&gt;=AN$2,"d",IF(INDIRECT(_xlfn.CONCAT("'",$A82,"'!F31"))&gt;=AN$2,"i",""))</f>
        <v>d</v>
      </c>
      <c r="AO82" s="44" t="str" cm="1">
        <f t="array" aca="1" ref="AO82" ca="1">IF(INDIRECT(_xlfn.CONCAT("'",$A82,"'!F30"))&gt;=AO$2,"d",IF(INDIRECT(_xlfn.CONCAT("'",$A82,"'!F31"))&gt;=AO$2,"i",""))</f>
        <v>d</v>
      </c>
      <c r="AP82" s="44" t="str" cm="1">
        <f t="array" aca="1" ref="AP82" ca="1">IF(INDIRECT(_xlfn.CONCAT("'",$A82,"'!F30"))&gt;=AP$2,"d",IF(INDIRECT(_xlfn.CONCAT("'",$A82,"'!F31"))&gt;=AP$2,"i",""))</f>
        <v>d</v>
      </c>
      <c r="AQ82" s="44" t="str" cm="1">
        <f t="array" aca="1" ref="AQ82" ca="1">IF(INDIRECT(_xlfn.CONCAT("'",$A82,"'!F30"))&gt;=AQ$2,"d",IF(INDIRECT(_xlfn.CONCAT("'",$A82,"'!F31"))&gt;=AQ$2,"i",""))</f>
        <v>d</v>
      </c>
      <c r="AR82" s="44" t="str" cm="1">
        <f t="array" aca="1" ref="AR82" ca="1">IF(INDIRECT(_xlfn.CONCAT("'",$A82,"'!F30"))&gt;=AR$2,"d",IF(INDIRECT(_xlfn.CONCAT("'",$A82,"'!F31"))&gt;=AR$2,"i",""))</f>
        <v>d</v>
      </c>
      <c r="AS82" s="44" t="str" cm="1">
        <f t="array" aca="1" ref="AS82" ca="1">IF(INDIRECT(_xlfn.CONCAT("'",$A82,"'!F30"))&gt;=AS$2,"d",IF(INDIRECT(_xlfn.CONCAT("'",$A82,"'!F31"))&gt;=AS$2,"i",""))</f>
        <v>d</v>
      </c>
      <c r="AT82" s="44" t="str" cm="1">
        <f t="array" aca="1" ref="AT82" ca="1">IF(INDIRECT(_xlfn.CONCAT("'",$A82,"'!F30"))&gt;=AT$2,"d",IF(INDIRECT(_xlfn.CONCAT("'",$A82,"'!F31"))&gt;=AT$2,"i",""))</f>
        <v>d</v>
      </c>
      <c r="AU82" s="44" t="str" cm="1">
        <f t="array" aca="1" ref="AU82" ca="1">IF(INDIRECT(_xlfn.CONCAT("'",$A82,"'!F30"))&gt;=AU$2,"d",IF(INDIRECT(_xlfn.CONCAT("'",$A82,"'!F31"))&gt;=AU$2,"i",""))</f>
        <v>d</v>
      </c>
      <c r="AV82" s="45" t="str" cm="1">
        <f t="array" aca="1" ref="AV82" ca="1">IF(INDIRECT(_xlfn.CONCAT("'",$A82,"'!F30"))&gt;=AV$2,"d",IF(INDIRECT(_xlfn.CONCAT("'",$A82,"'!F31"))&gt;=AV$2,"i",""))</f>
        <v/>
      </c>
    </row>
    <row r="83" spans="1:48" x14ac:dyDescent="0.25">
      <c r="A83" s="119" t="str">
        <v>Charlotte</v>
      </c>
      <c r="B83" s="45" t="str">
        <f t="shared" si="36"/>
        <v>Cryo</v>
      </c>
      <c r="C83" s="153" t="str">
        <f t="shared" si="37"/>
        <v>Fontaine 2</v>
      </c>
      <c r="D83" s="154" t="str">
        <f t="shared" ref="D83" si="38">VLOOKUP(A83,Character_List,8,FALSE)</f>
        <v>Narwhal 1</v>
      </c>
      <c r="E83" s="19" t="str" cm="1">
        <f t="array" aca="1" ref="E83" ca="1">IF(INDIRECT(_xlfn.CONCAT("'",$A83,"'!B4"))&gt;=E$2,"d",IF(INDIRECT(_xlfn.CONCAT("'",$A83,"'!B5"))&gt;=E$2,"i",""))</f>
        <v>d</v>
      </c>
      <c r="F83" s="44" t="str" cm="1">
        <f t="array" aca="1" ref="F83" ca="1">IF(INDIRECT(_xlfn.CONCAT("'",$A83,"'!B4"))&gt;=F$2,"d",IF(INDIRECT(_xlfn.CONCAT("'",$A83,"'!B5"))&gt;=F$2,"i",""))</f>
        <v>d</v>
      </c>
      <c r="G83" s="44" t="str" cm="1">
        <f t="array" aca="1" ref="G83" ca="1">IF(INDIRECT(_xlfn.CONCAT("'",$A83,"'!B4"))&gt;=G$2,"d",IF(INDIRECT(_xlfn.CONCAT("'",$A83,"'!B5"))&gt;=G$2,"i",""))</f>
        <v>d</v>
      </c>
      <c r="H83" s="44" t="str" cm="1">
        <f t="array" aca="1" ref="H83" ca="1">IF(INDIRECT(_xlfn.CONCAT("'",$A83,"'!B4"))&gt;=H$2,"d",IF(INDIRECT(_xlfn.CONCAT("'",$A83,"'!B5"))&gt;=H$2,"i",""))</f>
        <v>d</v>
      </c>
      <c r="I83" s="44" t="str" cm="1">
        <f t="array" aca="1" ref="I83" ca="1">IF(INDIRECT(_xlfn.CONCAT("'",$A83,"'!B4"))&gt;=I$2,"d",IF(INDIRECT(_xlfn.CONCAT("'",$A83,"'!B5"))&gt;=I$2,"i",""))</f>
        <v>d</v>
      </c>
      <c r="J83" s="44" t="str" cm="1">
        <f t="array" aca="1" ref="J83" ca="1">IF(INDIRECT(_xlfn.CONCAT("'",$A83,"'!B4"))&gt;=J$2,"d",IF(INDIRECT(_xlfn.CONCAT("'",$A83,"'!B5"))&gt;=J$2,"i",""))</f>
        <v>d</v>
      </c>
      <c r="K83" s="45" t="str" cm="1">
        <f t="array" aca="1" ref="K83" ca="1">IF(INDIRECT(_xlfn.CONCAT("'",$A83,"'!B4"))&gt;=K$2,"d",IF(INDIRECT(_xlfn.CONCAT("'",$A83,"'!B5"))&gt;=K$2,"i",""))</f>
        <v>d</v>
      </c>
      <c r="L83" s="155"/>
      <c r="M83" s="44" t="str" cm="1">
        <f t="array" aca="1" ref="M83" ca="1">IF(INDIRECT(_xlfn.CONCAT("'",$A83,"'!C10"))&gt;=M$2,"d",IF(INDIRECT(_xlfn.CONCAT("'",$A83,"'!C11"))&gt;=M$2,"i",""))</f>
        <v>d</v>
      </c>
      <c r="N83" s="44" t="str" cm="1">
        <f t="array" aca="1" ref="N83" ca="1">IF(INDIRECT(_xlfn.CONCAT("'",$A83,"'!C10"))&gt;=N$2,"d",IF(INDIRECT(_xlfn.CONCAT("'",$A83,"'!C11"))&gt;=N$2,"i",""))</f>
        <v>d</v>
      </c>
      <c r="O83" s="44" t="str" cm="1">
        <f t="array" aca="1" ref="O83" ca="1">IF(INDIRECT(_xlfn.CONCAT("'",$A83,"'!C10"))&gt;=O$2,"d",IF(INDIRECT(_xlfn.CONCAT("'",$A83,"'!C11"))&gt;=O$2,"i",""))</f>
        <v>d</v>
      </c>
      <c r="P83" s="44" t="str" cm="1">
        <f t="array" aca="1" ref="P83" ca="1">IF(INDIRECT(_xlfn.CONCAT("'",$A83,"'!C10"))&gt;=P$2,"d",IF(INDIRECT(_xlfn.CONCAT("'",$A83,"'!C11"))&gt;=P$2,"i",""))</f>
        <v>d</v>
      </c>
      <c r="Q83" s="44" t="str" cm="1">
        <f t="array" aca="1" ref="Q83" ca="1">IF(INDIRECT(_xlfn.CONCAT("'",$A83,"'!C10"))&gt;=Q$2,"d",IF(INDIRECT(_xlfn.CONCAT("'",$A83,"'!C11"))&gt;=Q$2,"i",""))</f>
        <v>d</v>
      </c>
      <c r="R83" s="44" t="str" cm="1">
        <f t="array" aca="1" ref="R83" ca="1">IF(INDIRECT(_xlfn.CONCAT("'",$A83,"'!C10"))&gt;=R$2,"d",IF(INDIRECT(_xlfn.CONCAT("'",$A83,"'!C11"))&gt;=R$2,"i",""))</f>
        <v>d</v>
      </c>
      <c r="S83" s="156"/>
      <c r="T83" s="44" t="str" cm="1">
        <f t="array" aca="1" ref="T83" ca="1">IF(INDIRECT(_xlfn.CONCAT("'",$A83,"'!F4"))&gt;=T$2,"d",IF(INDIRECT(_xlfn.CONCAT("'",$A83,"'!F5"))&gt;=T$2,"i",""))</f>
        <v>d</v>
      </c>
      <c r="U83" s="44" t="str" cm="1">
        <f t="array" aca="1" ref="U83" ca="1">IF(INDIRECT(_xlfn.CONCAT("'",$A83,"'!F4"))&gt;=U$2,"d",IF(INDIRECT(_xlfn.CONCAT("'",$A83,"'!F5"))&gt;=U$2,"i",""))</f>
        <v>d</v>
      </c>
      <c r="V83" s="44" t="str" cm="1">
        <f t="array" aca="1" ref="V83" ca="1">IF(INDIRECT(_xlfn.CONCAT("'",$A83,"'!F4"))&gt;=V$2,"d",IF(INDIRECT(_xlfn.CONCAT("'",$A83,"'!F5"))&gt;=V$2,"i",""))</f>
        <v>d</v>
      </c>
      <c r="W83" s="44" t="str" cm="1">
        <f t="array" aca="1" ref="W83" ca="1">IF(INDIRECT(_xlfn.CONCAT("'",$A83,"'!F4"))&gt;=W$2,"d",IF(INDIRECT(_xlfn.CONCAT("'",$A83,"'!F5"))&gt;=W$2,"i",""))</f>
        <v>d</v>
      </c>
      <c r="X83" s="44" t="str" cm="1">
        <f t="array" aca="1" ref="X83" ca="1">IF(INDIRECT(_xlfn.CONCAT("'",$A83,"'!F4"))&gt;=X$2,"d",IF(INDIRECT(_xlfn.CONCAT("'",$A83,"'!F5"))&gt;=X$2,"i",""))</f>
        <v>d</v>
      </c>
      <c r="Y83" s="44" t="str" cm="1">
        <f t="array" aca="1" ref="Y83" ca="1">IF(INDIRECT(_xlfn.CONCAT("'",$A83,"'!F4"))&gt;=Y$2,"d",IF(INDIRECT(_xlfn.CONCAT("'",$A83,"'!F5"))&gt;=Y$2,"i",""))</f>
        <v>d</v>
      </c>
      <c r="Z83" s="44" t="str" cm="1">
        <f t="array" aca="1" ref="Z83" ca="1">IF(INDIRECT(_xlfn.CONCAT("'",$A83,"'!F4"))&gt;=Z$2,"d",IF(INDIRECT(_xlfn.CONCAT("'",$A83,"'!F5"))&gt;=Z$2,"i",""))</f>
        <v>d</v>
      </c>
      <c r="AA83" s="44" t="str" cm="1">
        <f t="array" aca="1" ref="AA83" ca="1">IF(INDIRECT(_xlfn.CONCAT("'",$A83,"'!F4"))&gt;=AA$2,"d",IF(INDIRECT(_xlfn.CONCAT("'",$A83,"'!F5"))&gt;=AA$2,"i",""))</f>
        <v>d</v>
      </c>
      <c r="AB83" s="44" t="str" cm="1">
        <f t="array" aca="1" ref="AB83" ca="1">IF(INDIRECT(_xlfn.CONCAT("'",$A83,"'!F4"))&gt;=AB$2,"d",IF(INDIRECT(_xlfn.CONCAT("'",$A83,"'!F5"))&gt;=AB$2,"i",""))</f>
        <v/>
      </c>
      <c r="AC83" s="156"/>
      <c r="AD83" s="44" t="str" cm="1">
        <f t="array" aca="1" ref="AD83" ca="1">IF(INDIRECT(_xlfn.CONCAT("'",$A83,"'!F17"))&gt;=AD$2,"d",IF(INDIRECT(_xlfn.CONCAT("'",$A83,"'!F18"))&gt;=AD$2,"i",""))</f>
        <v>d</v>
      </c>
      <c r="AE83" s="44" t="str" cm="1">
        <f t="array" aca="1" ref="AE83" ca="1">IF(INDIRECT(_xlfn.CONCAT("'",$A83,"'!F17"))&gt;=AE$2,"d",IF(INDIRECT(_xlfn.CONCAT("'",$A83,"'!F18"))&gt;=AE$2,"i",""))</f>
        <v>d</v>
      </c>
      <c r="AF83" s="44" t="str" cm="1">
        <f t="array" aca="1" ref="AF83" ca="1">IF(INDIRECT(_xlfn.CONCAT("'",$A83,"'!F17"))&gt;=AF$2,"d",IF(INDIRECT(_xlfn.CONCAT("'",$A83,"'!F18"))&gt;=AF$2,"i",""))</f>
        <v>d</v>
      </c>
      <c r="AG83" s="44" t="str" cm="1">
        <f t="array" aca="1" ref="AG83" ca="1">IF(INDIRECT(_xlfn.CONCAT("'",$A83,"'!F17"))&gt;=AG$2,"d",IF(INDIRECT(_xlfn.CONCAT("'",$A83,"'!F18"))&gt;=AG$2,"i",""))</f>
        <v>d</v>
      </c>
      <c r="AH83" s="44" t="str" cm="1">
        <f t="array" aca="1" ref="AH83" ca="1">IF(INDIRECT(_xlfn.CONCAT("'",$A83,"'!F17"))&gt;=AH$2,"d",IF(INDIRECT(_xlfn.CONCAT("'",$A83,"'!F18"))&gt;=AH$2,"i",""))</f>
        <v>d</v>
      </c>
      <c r="AI83" s="44" t="str" cm="1">
        <f t="array" aca="1" ref="AI83" ca="1">IF(INDIRECT(_xlfn.CONCAT("'",$A83,"'!F17"))&gt;=AI$2,"d",IF(INDIRECT(_xlfn.CONCAT("'",$A83,"'!F18"))&gt;=AI$2,"i",""))</f>
        <v>d</v>
      </c>
      <c r="AJ83" s="44" t="str" cm="1">
        <f t="array" aca="1" ref="AJ83" ca="1">IF(INDIRECT(_xlfn.CONCAT("'",$A83,"'!F17"))&gt;=AJ$2,"d",IF(INDIRECT(_xlfn.CONCAT("'",$A83,"'!F18"))&gt;=AJ$2,"i",""))</f>
        <v>d</v>
      </c>
      <c r="AK83" s="44" t="str" cm="1">
        <f t="array" aca="1" ref="AK83" ca="1">IF(INDIRECT(_xlfn.CONCAT("'",$A83,"'!F17"))&gt;=AK$2,"d",IF(INDIRECT(_xlfn.CONCAT("'",$A83,"'!F18"))&gt;=AK$2,"i",""))</f>
        <v>d</v>
      </c>
      <c r="AL83" s="44" t="str" cm="1">
        <f t="array" aca="1" ref="AL83" ca="1">IF(INDIRECT(_xlfn.CONCAT("'",$A83,"'!F17"))&gt;=AL$2,"d",IF(INDIRECT(_xlfn.CONCAT("'",$A83,"'!F18"))&gt;=AL$2,"i",""))</f>
        <v/>
      </c>
      <c r="AM83" s="156"/>
      <c r="AN83" s="44" t="str" cm="1">
        <f t="array" aca="1" ref="AN83" ca="1">IF(INDIRECT(_xlfn.CONCAT("'",$A83,"'!F30"))&gt;=AN$2,"d",IF(INDIRECT(_xlfn.CONCAT("'",$A83,"'!F31"))&gt;=AN$2,"i",""))</f>
        <v>d</v>
      </c>
      <c r="AO83" s="44" t="str" cm="1">
        <f t="array" aca="1" ref="AO83" ca="1">IF(INDIRECT(_xlfn.CONCAT("'",$A83,"'!F30"))&gt;=AO$2,"d",IF(INDIRECT(_xlfn.CONCAT("'",$A83,"'!F31"))&gt;=AO$2,"i",""))</f>
        <v>d</v>
      </c>
      <c r="AP83" s="44" t="str" cm="1">
        <f t="array" aca="1" ref="AP83" ca="1">IF(INDIRECT(_xlfn.CONCAT("'",$A83,"'!F30"))&gt;=AP$2,"d",IF(INDIRECT(_xlfn.CONCAT("'",$A83,"'!F31"))&gt;=AP$2,"i",""))</f>
        <v>d</v>
      </c>
      <c r="AQ83" s="44" t="str" cm="1">
        <f t="array" aca="1" ref="AQ83" ca="1">IF(INDIRECT(_xlfn.CONCAT("'",$A83,"'!F30"))&gt;=AQ$2,"d",IF(INDIRECT(_xlfn.CONCAT("'",$A83,"'!F31"))&gt;=AQ$2,"i",""))</f>
        <v>d</v>
      </c>
      <c r="AR83" s="44" t="str" cm="1">
        <f t="array" aca="1" ref="AR83" ca="1">IF(INDIRECT(_xlfn.CONCAT("'",$A83,"'!F30"))&gt;=AR$2,"d",IF(INDIRECT(_xlfn.CONCAT("'",$A83,"'!F31"))&gt;=AR$2,"i",""))</f>
        <v>d</v>
      </c>
      <c r="AS83" s="44" t="str" cm="1">
        <f t="array" aca="1" ref="AS83" ca="1">IF(INDIRECT(_xlfn.CONCAT("'",$A83,"'!F30"))&gt;=AS$2,"d",IF(INDIRECT(_xlfn.CONCAT("'",$A83,"'!F31"))&gt;=AS$2,"i",""))</f>
        <v>d</v>
      </c>
      <c r="AT83" s="44" t="str" cm="1">
        <f t="array" aca="1" ref="AT83" ca="1">IF(INDIRECT(_xlfn.CONCAT("'",$A83,"'!F30"))&gt;=AT$2,"d",IF(INDIRECT(_xlfn.CONCAT("'",$A83,"'!F31"))&gt;=AT$2,"i",""))</f>
        <v>d</v>
      </c>
      <c r="AU83" s="44" t="str" cm="1">
        <f t="array" aca="1" ref="AU83" ca="1">IF(INDIRECT(_xlfn.CONCAT("'",$A83,"'!F30"))&gt;=AU$2,"d",IF(INDIRECT(_xlfn.CONCAT("'",$A83,"'!F31"))&gt;=AU$2,"i",""))</f>
        <v>d</v>
      </c>
      <c r="AV83" s="45" t="str" cm="1">
        <f t="array" aca="1" ref="AV83" ca="1">IF(INDIRECT(_xlfn.CONCAT("'",$A83,"'!F30"))&gt;=AV$2,"d",IF(INDIRECT(_xlfn.CONCAT("'",$A83,"'!F31"))&gt;=AV$2,"i",""))</f>
        <v/>
      </c>
    </row>
    <row r="84" spans="1:48" x14ac:dyDescent="0.25">
      <c r="A84" s="119" t="str">
        <v>Navia</v>
      </c>
      <c r="B84" s="45" t="str">
        <f t="shared" ref="B84:B85" si="39">VLOOKUP(A84,Character_List,2,FALSE)</f>
        <v>Geo</v>
      </c>
      <c r="C84" s="153" t="str">
        <f t="shared" ref="C84:C85" si="40">VLOOKUP(A84,Character_List,7,FALSE)</f>
        <v>Fontaine 1</v>
      </c>
      <c r="D84" s="154" t="str">
        <f t="shared" ref="D84:D85" si="41">VLOOKUP(A84,Character_List,8,FALSE)</f>
        <v>Narwhal 1</v>
      </c>
      <c r="E84" s="19" t="str" cm="1">
        <f t="array" aca="1" ref="E84" ca="1">IF(INDIRECT(_xlfn.CONCAT("'",$A84,"'!B4"))&gt;=E$2,"d",IF(INDIRECT(_xlfn.CONCAT("'",$A84,"'!B5"))&gt;=E$2,"i",""))</f>
        <v>d</v>
      </c>
      <c r="F84" s="44" t="str" cm="1">
        <f t="array" aca="1" ref="F84" ca="1">IF(INDIRECT(_xlfn.CONCAT("'",$A84,"'!B4"))&gt;=F$2,"d",IF(INDIRECT(_xlfn.CONCAT("'",$A84,"'!B5"))&gt;=F$2,"i",""))</f>
        <v>d</v>
      </c>
      <c r="G84" s="44" t="str" cm="1">
        <f t="array" aca="1" ref="G84" ca="1">IF(INDIRECT(_xlfn.CONCAT("'",$A84,"'!B4"))&gt;=G$2,"d",IF(INDIRECT(_xlfn.CONCAT("'",$A84,"'!B5"))&gt;=G$2,"i",""))</f>
        <v>d</v>
      </c>
      <c r="H84" s="44" t="str" cm="1">
        <f t="array" aca="1" ref="H84" ca="1">IF(INDIRECT(_xlfn.CONCAT("'",$A84,"'!B4"))&gt;=H$2,"d",IF(INDIRECT(_xlfn.CONCAT("'",$A84,"'!B5"))&gt;=H$2,"i",""))</f>
        <v>d</v>
      </c>
      <c r="I84" s="44" t="str" cm="1">
        <f t="array" aca="1" ref="I84" ca="1">IF(INDIRECT(_xlfn.CONCAT("'",$A84,"'!B4"))&gt;=I$2,"d",IF(INDIRECT(_xlfn.CONCAT("'",$A84,"'!B5"))&gt;=I$2,"i",""))</f>
        <v>d</v>
      </c>
      <c r="J84" s="44" t="str" cm="1">
        <f t="array" aca="1" ref="J84" ca="1">IF(INDIRECT(_xlfn.CONCAT("'",$A84,"'!B4"))&gt;=J$2,"d",IF(INDIRECT(_xlfn.CONCAT("'",$A84,"'!B5"))&gt;=J$2,"i",""))</f>
        <v>d</v>
      </c>
      <c r="K84" s="45" t="str" cm="1">
        <f t="array" aca="1" ref="K84" ca="1">IF(INDIRECT(_xlfn.CONCAT("'",$A84,"'!B4"))&gt;=K$2,"d",IF(INDIRECT(_xlfn.CONCAT("'",$A84,"'!B5"))&gt;=K$2,"i",""))</f>
        <v>d</v>
      </c>
      <c r="L84" s="155"/>
      <c r="M84" s="44" t="str" cm="1">
        <f t="array" aca="1" ref="M84" ca="1">IF(INDIRECT(_xlfn.CONCAT("'",$A84,"'!C10"))&gt;=M$2,"d",IF(INDIRECT(_xlfn.CONCAT("'",$A84,"'!C11"))&gt;=M$2,"i",""))</f>
        <v>d</v>
      </c>
      <c r="N84" s="44" t="str" cm="1">
        <f t="array" aca="1" ref="N84" ca="1">IF(INDIRECT(_xlfn.CONCAT("'",$A84,"'!C10"))&gt;=N$2,"d",IF(INDIRECT(_xlfn.CONCAT("'",$A84,"'!C11"))&gt;=N$2,"i",""))</f>
        <v>d</v>
      </c>
      <c r="O84" s="44" t="str" cm="1">
        <f t="array" aca="1" ref="O84" ca="1">IF(INDIRECT(_xlfn.CONCAT("'",$A84,"'!C10"))&gt;=O$2,"d",IF(INDIRECT(_xlfn.CONCAT("'",$A84,"'!C11"))&gt;=O$2,"i",""))</f>
        <v>d</v>
      </c>
      <c r="P84" s="44" t="str" cm="1">
        <f t="array" aca="1" ref="P84" ca="1">IF(INDIRECT(_xlfn.CONCAT("'",$A84,"'!C10"))&gt;=P$2,"d",IF(INDIRECT(_xlfn.CONCAT("'",$A84,"'!C11"))&gt;=P$2,"i",""))</f>
        <v>d</v>
      </c>
      <c r="Q84" s="44" t="str" cm="1">
        <f t="array" aca="1" ref="Q84" ca="1">IF(INDIRECT(_xlfn.CONCAT("'",$A84,"'!C10"))&gt;=Q$2,"d",IF(INDIRECT(_xlfn.CONCAT("'",$A84,"'!C11"))&gt;=Q$2,"i",""))</f>
        <v>d</v>
      </c>
      <c r="R84" s="44" t="str" cm="1">
        <f t="array" aca="1" ref="R84" ca="1">IF(INDIRECT(_xlfn.CONCAT("'",$A84,"'!C10"))&gt;=R$2,"d",IF(INDIRECT(_xlfn.CONCAT("'",$A84,"'!C11"))&gt;=R$2,"i",""))</f>
        <v>d</v>
      </c>
      <c r="S84" s="156"/>
      <c r="T84" s="44" t="str" cm="1">
        <f t="array" aca="1" ref="T84" ca="1">IF(INDIRECT(_xlfn.CONCAT("'",$A84,"'!F4"))&gt;=T$2,"d",IF(INDIRECT(_xlfn.CONCAT("'",$A84,"'!F5"))&gt;=T$2,"i",""))</f>
        <v>d</v>
      </c>
      <c r="U84" s="44" t="str" cm="1">
        <f t="array" aca="1" ref="U84" ca="1">IF(INDIRECT(_xlfn.CONCAT("'",$A84,"'!F4"))&gt;=U$2,"d",IF(INDIRECT(_xlfn.CONCAT("'",$A84,"'!F5"))&gt;=U$2,"i",""))</f>
        <v>d</v>
      </c>
      <c r="V84" s="44" t="str" cm="1">
        <f t="array" aca="1" ref="V84" ca="1">IF(INDIRECT(_xlfn.CONCAT("'",$A84,"'!F4"))&gt;=V$2,"d",IF(INDIRECT(_xlfn.CONCAT("'",$A84,"'!F5"))&gt;=V$2,"i",""))</f>
        <v>d</v>
      </c>
      <c r="W84" s="44" t="str" cm="1">
        <f t="array" aca="1" ref="W84" ca="1">IF(INDIRECT(_xlfn.CONCAT("'",$A84,"'!F4"))&gt;=W$2,"d",IF(INDIRECT(_xlfn.CONCAT("'",$A84,"'!F5"))&gt;=W$2,"i",""))</f>
        <v>d</v>
      </c>
      <c r="X84" s="44" t="str" cm="1">
        <f t="array" aca="1" ref="X84" ca="1">IF(INDIRECT(_xlfn.CONCAT("'",$A84,"'!F4"))&gt;=X$2,"d",IF(INDIRECT(_xlfn.CONCAT("'",$A84,"'!F5"))&gt;=X$2,"i",""))</f>
        <v>d</v>
      </c>
      <c r="Y84" s="44" t="str" cm="1">
        <f t="array" aca="1" ref="Y84" ca="1">IF(INDIRECT(_xlfn.CONCAT("'",$A84,"'!F4"))&gt;=Y$2,"d",IF(INDIRECT(_xlfn.CONCAT("'",$A84,"'!F5"))&gt;=Y$2,"i",""))</f>
        <v>d</v>
      </c>
      <c r="Z84" s="44" t="str" cm="1">
        <f t="array" aca="1" ref="Z84" ca="1">IF(INDIRECT(_xlfn.CONCAT("'",$A84,"'!F4"))&gt;=Z$2,"d",IF(INDIRECT(_xlfn.CONCAT("'",$A84,"'!F5"))&gt;=Z$2,"i",""))</f>
        <v>d</v>
      </c>
      <c r="AA84" s="44" t="str" cm="1">
        <f t="array" aca="1" ref="AA84" ca="1">IF(INDIRECT(_xlfn.CONCAT("'",$A84,"'!F4"))&gt;=AA$2,"d",IF(INDIRECT(_xlfn.CONCAT("'",$A84,"'!F5"))&gt;=AA$2,"i",""))</f>
        <v>d</v>
      </c>
      <c r="AB84" s="44" t="str" cm="1">
        <f t="array" aca="1" ref="AB84" ca="1">IF(INDIRECT(_xlfn.CONCAT("'",$A84,"'!F4"))&gt;=AB$2,"d",IF(INDIRECT(_xlfn.CONCAT("'",$A84,"'!F5"))&gt;=AB$2,"i",""))</f>
        <v/>
      </c>
      <c r="AC84" s="156"/>
      <c r="AD84" s="44" t="str" cm="1">
        <f t="array" aca="1" ref="AD84" ca="1">IF(INDIRECT(_xlfn.CONCAT("'",$A84,"'!F17"))&gt;=AD$2,"d",IF(INDIRECT(_xlfn.CONCAT("'",$A84,"'!F18"))&gt;=AD$2,"i",""))</f>
        <v>d</v>
      </c>
      <c r="AE84" s="44" t="str" cm="1">
        <f t="array" aca="1" ref="AE84" ca="1">IF(INDIRECT(_xlfn.CONCAT("'",$A84,"'!F17"))&gt;=AE$2,"d",IF(INDIRECT(_xlfn.CONCAT("'",$A84,"'!F18"))&gt;=AE$2,"i",""))</f>
        <v>d</v>
      </c>
      <c r="AF84" s="44" t="str" cm="1">
        <f t="array" aca="1" ref="AF84" ca="1">IF(INDIRECT(_xlfn.CONCAT("'",$A84,"'!F17"))&gt;=AF$2,"d",IF(INDIRECT(_xlfn.CONCAT("'",$A84,"'!F18"))&gt;=AF$2,"i",""))</f>
        <v>d</v>
      </c>
      <c r="AG84" s="44" t="str" cm="1">
        <f t="array" aca="1" ref="AG84" ca="1">IF(INDIRECT(_xlfn.CONCAT("'",$A84,"'!F17"))&gt;=AG$2,"d",IF(INDIRECT(_xlfn.CONCAT("'",$A84,"'!F18"))&gt;=AG$2,"i",""))</f>
        <v>d</v>
      </c>
      <c r="AH84" s="44" t="str" cm="1">
        <f t="array" aca="1" ref="AH84" ca="1">IF(INDIRECT(_xlfn.CONCAT("'",$A84,"'!F17"))&gt;=AH$2,"d",IF(INDIRECT(_xlfn.CONCAT("'",$A84,"'!F18"))&gt;=AH$2,"i",""))</f>
        <v>d</v>
      </c>
      <c r="AI84" s="44" t="str" cm="1">
        <f t="array" aca="1" ref="AI84" ca="1">IF(INDIRECT(_xlfn.CONCAT("'",$A84,"'!F17"))&gt;=AI$2,"d",IF(INDIRECT(_xlfn.CONCAT("'",$A84,"'!F18"))&gt;=AI$2,"i",""))</f>
        <v>d</v>
      </c>
      <c r="AJ84" s="44" t="str" cm="1">
        <f t="array" aca="1" ref="AJ84" ca="1">IF(INDIRECT(_xlfn.CONCAT("'",$A84,"'!F17"))&gt;=AJ$2,"d",IF(INDIRECT(_xlfn.CONCAT("'",$A84,"'!F18"))&gt;=AJ$2,"i",""))</f>
        <v>d</v>
      </c>
      <c r="AK84" s="44" t="str" cm="1">
        <f t="array" aca="1" ref="AK84" ca="1">IF(INDIRECT(_xlfn.CONCAT("'",$A84,"'!F17"))&gt;=AK$2,"d",IF(INDIRECT(_xlfn.CONCAT("'",$A84,"'!F18"))&gt;=AK$2,"i",""))</f>
        <v>d</v>
      </c>
      <c r="AL84" s="44" t="str" cm="1">
        <f t="array" aca="1" ref="AL84" ca="1">IF(INDIRECT(_xlfn.CONCAT("'",$A84,"'!F17"))&gt;=AL$2,"d",IF(INDIRECT(_xlfn.CONCAT("'",$A84,"'!F18"))&gt;=AL$2,"i",""))</f>
        <v/>
      </c>
      <c r="AM84" s="156"/>
      <c r="AN84" s="44" t="str" cm="1">
        <f t="array" aca="1" ref="AN84" ca="1">IF(INDIRECT(_xlfn.CONCAT("'",$A84,"'!F30"))&gt;=AN$2,"d",IF(INDIRECT(_xlfn.CONCAT("'",$A84,"'!F31"))&gt;=AN$2,"i",""))</f>
        <v>d</v>
      </c>
      <c r="AO84" s="44" t="str" cm="1">
        <f t="array" aca="1" ref="AO84" ca="1">IF(INDIRECT(_xlfn.CONCAT("'",$A84,"'!F30"))&gt;=AO$2,"d",IF(INDIRECT(_xlfn.CONCAT("'",$A84,"'!F31"))&gt;=AO$2,"i",""))</f>
        <v>d</v>
      </c>
      <c r="AP84" s="44" t="str" cm="1">
        <f t="array" aca="1" ref="AP84" ca="1">IF(INDIRECT(_xlfn.CONCAT("'",$A84,"'!F30"))&gt;=AP$2,"d",IF(INDIRECT(_xlfn.CONCAT("'",$A84,"'!F31"))&gt;=AP$2,"i",""))</f>
        <v>d</v>
      </c>
      <c r="AQ84" s="44" t="str" cm="1">
        <f t="array" aca="1" ref="AQ84" ca="1">IF(INDIRECT(_xlfn.CONCAT("'",$A84,"'!F30"))&gt;=AQ$2,"d",IF(INDIRECT(_xlfn.CONCAT("'",$A84,"'!F31"))&gt;=AQ$2,"i",""))</f>
        <v>d</v>
      </c>
      <c r="AR84" s="44" t="str" cm="1">
        <f t="array" aca="1" ref="AR84" ca="1">IF(INDIRECT(_xlfn.CONCAT("'",$A84,"'!F30"))&gt;=AR$2,"d",IF(INDIRECT(_xlfn.CONCAT("'",$A84,"'!F31"))&gt;=AR$2,"i",""))</f>
        <v>d</v>
      </c>
      <c r="AS84" s="44" t="str" cm="1">
        <f t="array" aca="1" ref="AS84" ca="1">IF(INDIRECT(_xlfn.CONCAT("'",$A84,"'!F30"))&gt;=AS$2,"d",IF(INDIRECT(_xlfn.CONCAT("'",$A84,"'!F31"))&gt;=AS$2,"i",""))</f>
        <v>d</v>
      </c>
      <c r="AT84" s="44" t="str" cm="1">
        <f t="array" aca="1" ref="AT84" ca="1">IF(INDIRECT(_xlfn.CONCAT("'",$A84,"'!F30"))&gt;=AT$2,"d",IF(INDIRECT(_xlfn.CONCAT("'",$A84,"'!F31"))&gt;=AT$2,"i",""))</f>
        <v>d</v>
      </c>
      <c r="AU84" s="44" t="str" cm="1">
        <f t="array" aca="1" ref="AU84" ca="1">IF(INDIRECT(_xlfn.CONCAT("'",$A84,"'!F30"))&gt;=AU$2,"d",IF(INDIRECT(_xlfn.CONCAT("'",$A84,"'!F31"))&gt;=AU$2,"i",""))</f>
        <v>d</v>
      </c>
      <c r="AV84" s="45" t="str" cm="1">
        <f t="array" aca="1" ref="AV84" ca="1">IF(INDIRECT(_xlfn.CONCAT("'",$A84,"'!F30"))&gt;=AV$2,"d",IF(INDIRECT(_xlfn.CONCAT("'",$A84,"'!F31"))&gt;=AV$2,"i",""))</f>
        <v/>
      </c>
    </row>
    <row r="85" spans="1:48" x14ac:dyDescent="0.25">
      <c r="A85" s="119" t="str">
        <v>Chevreuse</v>
      </c>
      <c r="B85" s="45" t="str">
        <f t="shared" si="39"/>
        <v>Pyro</v>
      </c>
      <c r="C85" s="153" t="str">
        <f t="shared" si="40"/>
        <v>Fontaine 3</v>
      </c>
      <c r="D85" s="154" t="str">
        <f t="shared" si="41"/>
        <v>Narwhal 2</v>
      </c>
      <c r="E85" s="19" t="str" cm="1">
        <f t="array" aca="1" ref="E85" ca="1">IF(INDIRECT(_xlfn.CONCAT("'",$A85,"'!B4"))&gt;=E$2,"d",IF(INDIRECT(_xlfn.CONCAT("'",$A85,"'!B5"))&gt;=E$2,"i",""))</f>
        <v>d</v>
      </c>
      <c r="F85" s="44" t="str" cm="1">
        <f t="array" aca="1" ref="F85" ca="1">IF(INDIRECT(_xlfn.CONCAT("'",$A85,"'!B4"))&gt;=F$2,"d",IF(INDIRECT(_xlfn.CONCAT("'",$A85,"'!B5"))&gt;=F$2,"i",""))</f>
        <v>d</v>
      </c>
      <c r="G85" s="44" t="str" cm="1">
        <f t="array" aca="1" ref="G85" ca="1">IF(INDIRECT(_xlfn.CONCAT("'",$A85,"'!B4"))&gt;=G$2,"d",IF(INDIRECT(_xlfn.CONCAT("'",$A85,"'!B5"))&gt;=G$2,"i",""))</f>
        <v>d</v>
      </c>
      <c r="H85" s="44" t="str" cm="1">
        <f t="array" aca="1" ref="H85" ca="1">IF(INDIRECT(_xlfn.CONCAT("'",$A85,"'!B4"))&gt;=H$2,"d",IF(INDIRECT(_xlfn.CONCAT("'",$A85,"'!B5"))&gt;=H$2,"i",""))</f>
        <v>d</v>
      </c>
      <c r="I85" s="44" t="str" cm="1">
        <f t="array" aca="1" ref="I85" ca="1">IF(INDIRECT(_xlfn.CONCAT("'",$A85,"'!B4"))&gt;=I$2,"d",IF(INDIRECT(_xlfn.CONCAT("'",$A85,"'!B5"))&gt;=I$2,"i",""))</f>
        <v>d</v>
      </c>
      <c r="J85" s="44" t="str" cm="1">
        <f t="array" aca="1" ref="J85" ca="1">IF(INDIRECT(_xlfn.CONCAT("'",$A85,"'!B4"))&gt;=J$2,"d",IF(INDIRECT(_xlfn.CONCAT("'",$A85,"'!B5"))&gt;=J$2,"i",""))</f>
        <v>d</v>
      </c>
      <c r="K85" s="45" t="str" cm="1">
        <f t="array" aca="1" ref="K85" ca="1">IF(INDIRECT(_xlfn.CONCAT("'",$A85,"'!B4"))&gt;=K$2,"d",IF(INDIRECT(_xlfn.CONCAT("'",$A85,"'!B5"))&gt;=K$2,"i",""))</f>
        <v>d</v>
      </c>
      <c r="L85" s="155"/>
      <c r="M85" s="44" t="str" cm="1">
        <f t="array" aca="1" ref="M85" ca="1">IF(INDIRECT(_xlfn.CONCAT("'",$A85,"'!C10"))&gt;=M$2,"d",IF(INDIRECT(_xlfn.CONCAT("'",$A85,"'!C11"))&gt;=M$2,"i",""))</f>
        <v>d</v>
      </c>
      <c r="N85" s="44" t="str" cm="1">
        <f t="array" aca="1" ref="N85" ca="1">IF(INDIRECT(_xlfn.CONCAT("'",$A85,"'!C10"))&gt;=N$2,"d",IF(INDIRECT(_xlfn.CONCAT("'",$A85,"'!C11"))&gt;=N$2,"i",""))</f>
        <v>d</v>
      </c>
      <c r="O85" s="44" t="str" cm="1">
        <f t="array" aca="1" ref="O85" ca="1">IF(INDIRECT(_xlfn.CONCAT("'",$A85,"'!C10"))&gt;=O$2,"d",IF(INDIRECT(_xlfn.CONCAT("'",$A85,"'!C11"))&gt;=O$2,"i",""))</f>
        <v>d</v>
      </c>
      <c r="P85" s="44" t="str" cm="1">
        <f t="array" aca="1" ref="P85" ca="1">IF(INDIRECT(_xlfn.CONCAT("'",$A85,"'!C10"))&gt;=P$2,"d",IF(INDIRECT(_xlfn.CONCAT("'",$A85,"'!C11"))&gt;=P$2,"i",""))</f>
        <v>d</v>
      </c>
      <c r="Q85" s="44" t="str" cm="1">
        <f t="array" aca="1" ref="Q85" ca="1">IF(INDIRECT(_xlfn.CONCAT("'",$A85,"'!C10"))&gt;=Q$2,"d",IF(INDIRECT(_xlfn.CONCAT("'",$A85,"'!C11"))&gt;=Q$2,"i",""))</f>
        <v>d</v>
      </c>
      <c r="R85" s="44" t="str" cm="1">
        <f t="array" aca="1" ref="R85" ca="1">IF(INDIRECT(_xlfn.CONCAT("'",$A85,"'!C10"))&gt;=R$2,"d",IF(INDIRECT(_xlfn.CONCAT("'",$A85,"'!C11"))&gt;=R$2,"i",""))</f>
        <v>d</v>
      </c>
      <c r="S85" s="156"/>
      <c r="T85" s="44" t="str" cm="1">
        <f t="array" aca="1" ref="T85" ca="1">IF(INDIRECT(_xlfn.CONCAT("'",$A85,"'!F4"))&gt;=T$2,"d",IF(INDIRECT(_xlfn.CONCAT("'",$A85,"'!F5"))&gt;=T$2,"i",""))</f>
        <v>d</v>
      </c>
      <c r="U85" s="44" t="str" cm="1">
        <f t="array" aca="1" ref="U85" ca="1">IF(INDIRECT(_xlfn.CONCAT("'",$A85,"'!F4"))&gt;=U$2,"d",IF(INDIRECT(_xlfn.CONCAT("'",$A85,"'!F5"))&gt;=U$2,"i",""))</f>
        <v>d</v>
      </c>
      <c r="V85" s="44" t="str" cm="1">
        <f t="array" aca="1" ref="V85" ca="1">IF(INDIRECT(_xlfn.CONCAT("'",$A85,"'!F4"))&gt;=V$2,"d",IF(INDIRECT(_xlfn.CONCAT("'",$A85,"'!F5"))&gt;=V$2,"i",""))</f>
        <v>d</v>
      </c>
      <c r="W85" s="44" t="str" cm="1">
        <f t="array" aca="1" ref="W85" ca="1">IF(INDIRECT(_xlfn.CONCAT("'",$A85,"'!F4"))&gt;=W$2,"d",IF(INDIRECT(_xlfn.CONCAT("'",$A85,"'!F5"))&gt;=W$2,"i",""))</f>
        <v>d</v>
      </c>
      <c r="X85" s="44" t="str" cm="1">
        <f t="array" aca="1" ref="X85" ca="1">IF(INDIRECT(_xlfn.CONCAT("'",$A85,"'!F4"))&gt;=X$2,"d",IF(INDIRECT(_xlfn.CONCAT("'",$A85,"'!F5"))&gt;=X$2,"i",""))</f>
        <v>d</v>
      </c>
      <c r="Y85" s="44" t="str" cm="1">
        <f t="array" aca="1" ref="Y85" ca="1">IF(INDIRECT(_xlfn.CONCAT("'",$A85,"'!F4"))&gt;=Y$2,"d",IF(INDIRECT(_xlfn.CONCAT("'",$A85,"'!F5"))&gt;=Y$2,"i",""))</f>
        <v>d</v>
      </c>
      <c r="Z85" s="44" t="str" cm="1">
        <f t="array" aca="1" ref="Z85" ca="1">IF(INDIRECT(_xlfn.CONCAT("'",$A85,"'!F4"))&gt;=Z$2,"d",IF(INDIRECT(_xlfn.CONCAT("'",$A85,"'!F5"))&gt;=Z$2,"i",""))</f>
        <v>d</v>
      </c>
      <c r="AA85" s="44" t="str" cm="1">
        <f t="array" aca="1" ref="AA85" ca="1">IF(INDIRECT(_xlfn.CONCAT("'",$A85,"'!F4"))&gt;=AA$2,"d",IF(INDIRECT(_xlfn.CONCAT("'",$A85,"'!F5"))&gt;=AA$2,"i",""))</f>
        <v>d</v>
      </c>
      <c r="AB85" s="44" t="str" cm="1">
        <f t="array" aca="1" ref="AB85" ca="1">IF(INDIRECT(_xlfn.CONCAT("'",$A85,"'!F4"))&gt;=AB$2,"d",IF(INDIRECT(_xlfn.CONCAT("'",$A85,"'!F5"))&gt;=AB$2,"i",""))</f>
        <v/>
      </c>
      <c r="AC85" s="156"/>
      <c r="AD85" s="44" t="str" cm="1">
        <f t="array" aca="1" ref="AD85" ca="1">IF(INDIRECT(_xlfn.CONCAT("'",$A85,"'!F17"))&gt;=AD$2,"d",IF(INDIRECT(_xlfn.CONCAT("'",$A85,"'!F18"))&gt;=AD$2,"i",""))</f>
        <v>d</v>
      </c>
      <c r="AE85" s="44" t="str" cm="1">
        <f t="array" aca="1" ref="AE85" ca="1">IF(INDIRECT(_xlfn.CONCAT("'",$A85,"'!F17"))&gt;=AE$2,"d",IF(INDIRECT(_xlfn.CONCAT("'",$A85,"'!F18"))&gt;=AE$2,"i",""))</f>
        <v>d</v>
      </c>
      <c r="AF85" s="44" t="str" cm="1">
        <f t="array" aca="1" ref="AF85" ca="1">IF(INDIRECT(_xlfn.CONCAT("'",$A85,"'!F17"))&gt;=AF$2,"d",IF(INDIRECT(_xlfn.CONCAT("'",$A85,"'!F18"))&gt;=AF$2,"i",""))</f>
        <v>d</v>
      </c>
      <c r="AG85" s="44" t="str" cm="1">
        <f t="array" aca="1" ref="AG85" ca="1">IF(INDIRECT(_xlfn.CONCAT("'",$A85,"'!F17"))&gt;=AG$2,"d",IF(INDIRECT(_xlfn.CONCAT("'",$A85,"'!F18"))&gt;=AG$2,"i",""))</f>
        <v>d</v>
      </c>
      <c r="AH85" s="44" t="str" cm="1">
        <f t="array" aca="1" ref="AH85" ca="1">IF(INDIRECT(_xlfn.CONCAT("'",$A85,"'!F17"))&gt;=AH$2,"d",IF(INDIRECT(_xlfn.CONCAT("'",$A85,"'!F18"))&gt;=AH$2,"i",""))</f>
        <v>d</v>
      </c>
      <c r="AI85" s="44" t="str" cm="1">
        <f t="array" aca="1" ref="AI85" ca="1">IF(INDIRECT(_xlfn.CONCAT("'",$A85,"'!F17"))&gt;=AI$2,"d",IF(INDIRECT(_xlfn.CONCAT("'",$A85,"'!F18"))&gt;=AI$2,"i",""))</f>
        <v>d</v>
      </c>
      <c r="AJ85" s="44" t="str" cm="1">
        <f t="array" aca="1" ref="AJ85" ca="1">IF(INDIRECT(_xlfn.CONCAT("'",$A85,"'!F17"))&gt;=AJ$2,"d",IF(INDIRECT(_xlfn.CONCAT("'",$A85,"'!F18"))&gt;=AJ$2,"i",""))</f>
        <v>d</v>
      </c>
      <c r="AK85" s="44" t="str" cm="1">
        <f t="array" aca="1" ref="AK85" ca="1">IF(INDIRECT(_xlfn.CONCAT("'",$A85,"'!F17"))&gt;=AK$2,"d",IF(INDIRECT(_xlfn.CONCAT("'",$A85,"'!F18"))&gt;=AK$2,"i",""))</f>
        <v>d</v>
      </c>
      <c r="AL85" s="44" t="str" cm="1">
        <f t="array" aca="1" ref="AL85" ca="1">IF(INDIRECT(_xlfn.CONCAT("'",$A85,"'!F17"))&gt;=AL$2,"d",IF(INDIRECT(_xlfn.CONCAT("'",$A85,"'!F18"))&gt;=AL$2,"i",""))</f>
        <v/>
      </c>
      <c r="AM85" s="156"/>
      <c r="AN85" s="44" t="str" cm="1">
        <f t="array" aca="1" ref="AN85" ca="1">IF(INDIRECT(_xlfn.CONCAT("'",$A85,"'!F30"))&gt;=AN$2,"d",IF(INDIRECT(_xlfn.CONCAT("'",$A85,"'!F31"))&gt;=AN$2,"i",""))</f>
        <v>d</v>
      </c>
      <c r="AO85" s="44" t="str" cm="1">
        <f t="array" aca="1" ref="AO85" ca="1">IF(INDIRECT(_xlfn.CONCAT("'",$A85,"'!F30"))&gt;=AO$2,"d",IF(INDIRECT(_xlfn.CONCAT("'",$A85,"'!F31"))&gt;=AO$2,"i",""))</f>
        <v>d</v>
      </c>
      <c r="AP85" s="44" t="str" cm="1">
        <f t="array" aca="1" ref="AP85" ca="1">IF(INDIRECT(_xlfn.CONCAT("'",$A85,"'!F30"))&gt;=AP$2,"d",IF(INDIRECT(_xlfn.CONCAT("'",$A85,"'!F31"))&gt;=AP$2,"i",""))</f>
        <v>d</v>
      </c>
      <c r="AQ85" s="44" t="str" cm="1">
        <f t="array" aca="1" ref="AQ85" ca="1">IF(INDIRECT(_xlfn.CONCAT("'",$A85,"'!F30"))&gt;=AQ$2,"d",IF(INDIRECT(_xlfn.CONCAT("'",$A85,"'!F31"))&gt;=AQ$2,"i",""))</f>
        <v>d</v>
      </c>
      <c r="AR85" s="44" t="str" cm="1">
        <f t="array" aca="1" ref="AR85" ca="1">IF(INDIRECT(_xlfn.CONCAT("'",$A85,"'!F30"))&gt;=AR$2,"d",IF(INDIRECT(_xlfn.CONCAT("'",$A85,"'!F31"))&gt;=AR$2,"i",""))</f>
        <v>d</v>
      </c>
      <c r="AS85" s="44" t="str" cm="1">
        <f t="array" aca="1" ref="AS85" ca="1">IF(INDIRECT(_xlfn.CONCAT("'",$A85,"'!F30"))&gt;=AS$2,"d",IF(INDIRECT(_xlfn.CONCAT("'",$A85,"'!F31"))&gt;=AS$2,"i",""))</f>
        <v>d</v>
      </c>
      <c r="AT85" s="44" t="str" cm="1">
        <f t="array" aca="1" ref="AT85" ca="1">IF(INDIRECT(_xlfn.CONCAT("'",$A85,"'!F30"))&gt;=AT$2,"d",IF(INDIRECT(_xlfn.CONCAT("'",$A85,"'!F31"))&gt;=AT$2,"i",""))</f>
        <v>d</v>
      </c>
      <c r="AU85" s="44" t="str" cm="1">
        <f t="array" aca="1" ref="AU85" ca="1">IF(INDIRECT(_xlfn.CONCAT("'",$A85,"'!F30"))&gt;=AU$2,"d",IF(INDIRECT(_xlfn.CONCAT("'",$A85,"'!F31"))&gt;=AU$2,"i",""))</f>
        <v>d</v>
      </c>
      <c r="AV85" s="45" t="str" cm="1">
        <f t="array" aca="1" ref="AV85" ca="1">IF(INDIRECT(_xlfn.CONCAT("'",$A85,"'!F30"))&gt;=AV$2,"d",IF(INDIRECT(_xlfn.CONCAT("'",$A85,"'!F31"))&gt;=AV$2,"i",""))</f>
        <v/>
      </c>
    </row>
    <row r="86" spans="1:48" x14ac:dyDescent="0.25">
      <c r="A86" s="119" t="str">
        <v>Xianyun</v>
      </c>
      <c r="B86" s="45" t="str">
        <f t="shared" ref="B86:B87" si="42">VLOOKUP(A86,Character_List,2,FALSE)</f>
        <v>Anemo</v>
      </c>
      <c r="C86" s="153" t="str">
        <f t="shared" ref="C86:C87" si="43">VLOOKUP(A86,Character_List,7,FALSE)</f>
        <v>Liyue 3</v>
      </c>
      <c r="D86" s="154" t="str">
        <f t="shared" ref="D86:D87" si="44">VLOOKUP(A86,Character_List,8,FALSE)</f>
        <v>Narwhal 2</v>
      </c>
      <c r="E86" s="19" t="str" cm="1">
        <f t="array" aca="1" ref="E86" ca="1">IF(INDIRECT(_xlfn.CONCAT("'",$A86,"'!B4"))&gt;=E$2,"d",IF(INDIRECT(_xlfn.CONCAT("'",$A86,"'!B5"))&gt;=E$2,"i",""))</f>
        <v>d</v>
      </c>
      <c r="F86" s="44" t="str" cm="1">
        <f t="array" aca="1" ref="F86" ca="1">IF(INDIRECT(_xlfn.CONCAT("'",$A86,"'!B4"))&gt;=F$2,"d",IF(INDIRECT(_xlfn.CONCAT("'",$A86,"'!B5"))&gt;=F$2,"i",""))</f>
        <v>d</v>
      </c>
      <c r="G86" s="44" t="str" cm="1">
        <f t="array" aca="1" ref="G86" ca="1">IF(INDIRECT(_xlfn.CONCAT("'",$A86,"'!B4"))&gt;=G$2,"d",IF(INDIRECT(_xlfn.CONCAT("'",$A86,"'!B5"))&gt;=G$2,"i",""))</f>
        <v>d</v>
      </c>
      <c r="H86" s="44" t="str" cm="1">
        <f t="array" aca="1" ref="H86" ca="1">IF(INDIRECT(_xlfn.CONCAT("'",$A86,"'!B4"))&gt;=H$2,"d",IF(INDIRECT(_xlfn.CONCAT("'",$A86,"'!B5"))&gt;=H$2,"i",""))</f>
        <v>d</v>
      </c>
      <c r="I86" s="44" t="str" cm="1">
        <f t="array" aca="1" ref="I86" ca="1">IF(INDIRECT(_xlfn.CONCAT("'",$A86,"'!B4"))&gt;=I$2,"d",IF(INDIRECT(_xlfn.CONCAT("'",$A86,"'!B5"))&gt;=I$2,"i",""))</f>
        <v>d</v>
      </c>
      <c r="J86" s="44" t="str" cm="1">
        <f t="array" aca="1" ref="J86" ca="1">IF(INDIRECT(_xlfn.CONCAT("'",$A86,"'!B4"))&gt;=J$2,"d",IF(INDIRECT(_xlfn.CONCAT("'",$A86,"'!B5"))&gt;=J$2,"i",""))</f>
        <v>d</v>
      </c>
      <c r="K86" s="45" t="str" cm="1">
        <f t="array" aca="1" ref="K86" ca="1">IF(INDIRECT(_xlfn.CONCAT("'",$A86,"'!B4"))&gt;=K$2,"d",IF(INDIRECT(_xlfn.CONCAT("'",$A86,"'!B5"))&gt;=K$2,"i",""))</f>
        <v>d</v>
      </c>
      <c r="L86" s="155"/>
      <c r="M86" s="44" t="str" cm="1">
        <f t="array" aca="1" ref="M86" ca="1">IF(INDIRECT(_xlfn.CONCAT("'",$A86,"'!C10"))&gt;=M$2,"d",IF(INDIRECT(_xlfn.CONCAT("'",$A86,"'!C11"))&gt;=M$2,"i",""))</f>
        <v>d</v>
      </c>
      <c r="N86" s="44" t="str" cm="1">
        <f t="array" aca="1" ref="N86" ca="1">IF(INDIRECT(_xlfn.CONCAT("'",$A86,"'!C10"))&gt;=N$2,"d",IF(INDIRECT(_xlfn.CONCAT("'",$A86,"'!C11"))&gt;=N$2,"i",""))</f>
        <v>d</v>
      </c>
      <c r="O86" s="44" t="str" cm="1">
        <f t="array" aca="1" ref="O86" ca="1">IF(INDIRECT(_xlfn.CONCAT("'",$A86,"'!C10"))&gt;=O$2,"d",IF(INDIRECT(_xlfn.CONCAT("'",$A86,"'!C11"))&gt;=O$2,"i",""))</f>
        <v>d</v>
      </c>
      <c r="P86" s="44" t="str" cm="1">
        <f t="array" aca="1" ref="P86" ca="1">IF(INDIRECT(_xlfn.CONCAT("'",$A86,"'!C10"))&gt;=P$2,"d",IF(INDIRECT(_xlfn.CONCAT("'",$A86,"'!C11"))&gt;=P$2,"i",""))</f>
        <v>d</v>
      </c>
      <c r="Q86" s="44" t="str" cm="1">
        <f t="array" aca="1" ref="Q86" ca="1">IF(INDIRECT(_xlfn.CONCAT("'",$A86,"'!C10"))&gt;=Q$2,"d",IF(INDIRECT(_xlfn.CONCAT("'",$A86,"'!C11"))&gt;=Q$2,"i",""))</f>
        <v>d</v>
      </c>
      <c r="R86" s="44" t="str" cm="1">
        <f t="array" aca="1" ref="R86" ca="1">IF(INDIRECT(_xlfn.CONCAT("'",$A86,"'!C10"))&gt;=R$2,"d",IF(INDIRECT(_xlfn.CONCAT("'",$A86,"'!C11"))&gt;=R$2,"i",""))</f>
        <v>d</v>
      </c>
      <c r="S86" s="156"/>
      <c r="T86" s="44" t="str" cm="1">
        <f t="array" aca="1" ref="T86" ca="1">IF(INDIRECT(_xlfn.CONCAT("'",$A86,"'!F4"))&gt;=T$2,"d",IF(INDIRECT(_xlfn.CONCAT("'",$A86,"'!F5"))&gt;=T$2,"i",""))</f>
        <v>d</v>
      </c>
      <c r="U86" s="44" t="str" cm="1">
        <f t="array" aca="1" ref="U86" ca="1">IF(INDIRECT(_xlfn.CONCAT("'",$A86,"'!F4"))&gt;=U$2,"d",IF(INDIRECT(_xlfn.CONCAT("'",$A86,"'!F5"))&gt;=U$2,"i",""))</f>
        <v>d</v>
      </c>
      <c r="V86" s="44" t="str" cm="1">
        <f t="array" aca="1" ref="V86" ca="1">IF(INDIRECT(_xlfn.CONCAT("'",$A86,"'!F4"))&gt;=V$2,"d",IF(INDIRECT(_xlfn.CONCAT("'",$A86,"'!F5"))&gt;=V$2,"i",""))</f>
        <v>d</v>
      </c>
      <c r="W86" s="44" t="str" cm="1">
        <f t="array" aca="1" ref="W86" ca="1">IF(INDIRECT(_xlfn.CONCAT("'",$A86,"'!F4"))&gt;=W$2,"d",IF(INDIRECT(_xlfn.CONCAT("'",$A86,"'!F5"))&gt;=W$2,"i",""))</f>
        <v>d</v>
      </c>
      <c r="X86" s="44" t="str" cm="1">
        <f t="array" aca="1" ref="X86" ca="1">IF(INDIRECT(_xlfn.CONCAT("'",$A86,"'!F4"))&gt;=X$2,"d",IF(INDIRECT(_xlfn.CONCAT("'",$A86,"'!F5"))&gt;=X$2,"i",""))</f>
        <v>d</v>
      </c>
      <c r="Y86" s="44" t="str" cm="1">
        <f t="array" aca="1" ref="Y86" ca="1">IF(INDIRECT(_xlfn.CONCAT("'",$A86,"'!F4"))&gt;=Y$2,"d",IF(INDIRECT(_xlfn.CONCAT("'",$A86,"'!F5"))&gt;=Y$2,"i",""))</f>
        <v>d</v>
      </c>
      <c r="Z86" s="44" t="str" cm="1">
        <f t="array" aca="1" ref="Z86" ca="1">IF(INDIRECT(_xlfn.CONCAT("'",$A86,"'!F4"))&gt;=Z$2,"d",IF(INDIRECT(_xlfn.CONCAT("'",$A86,"'!F5"))&gt;=Z$2,"i",""))</f>
        <v>d</v>
      </c>
      <c r="AA86" s="44" t="str" cm="1">
        <f t="array" aca="1" ref="AA86" ca="1">IF(INDIRECT(_xlfn.CONCAT("'",$A86,"'!F4"))&gt;=AA$2,"d",IF(INDIRECT(_xlfn.CONCAT("'",$A86,"'!F5"))&gt;=AA$2,"i",""))</f>
        <v>d</v>
      </c>
      <c r="AB86" s="44" t="str" cm="1">
        <f t="array" aca="1" ref="AB86" ca="1">IF(INDIRECT(_xlfn.CONCAT("'",$A86,"'!F4"))&gt;=AB$2,"d",IF(INDIRECT(_xlfn.CONCAT("'",$A86,"'!F5"))&gt;=AB$2,"i",""))</f>
        <v/>
      </c>
      <c r="AC86" s="156"/>
      <c r="AD86" s="44" t="str" cm="1">
        <f t="array" aca="1" ref="AD86" ca="1">IF(INDIRECT(_xlfn.CONCAT("'",$A86,"'!F17"))&gt;=AD$2,"d",IF(INDIRECT(_xlfn.CONCAT("'",$A86,"'!F18"))&gt;=AD$2,"i",""))</f>
        <v>d</v>
      </c>
      <c r="AE86" s="44" t="str" cm="1">
        <f t="array" aca="1" ref="AE86" ca="1">IF(INDIRECT(_xlfn.CONCAT("'",$A86,"'!F17"))&gt;=AE$2,"d",IF(INDIRECT(_xlfn.CONCAT("'",$A86,"'!F18"))&gt;=AE$2,"i",""))</f>
        <v>d</v>
      </c>
      <c r="AF86" s="44" t="str" cm="1">
        <f t="array" aca="1" ref="AF86" ca="1">IF(INDIRECT(_xlfn.CONCAT("'",$A86,"'!F17"))&gt;=AF$2,"d",IF(INDIRECT(_xlfn.CONCAT("'",$A86,"'!F18"))&gt;=AF$2,"i",""))</f>
        <v>d</v>
      </c>
      <c r="AG86" s="44" t="str" cm="1">
        <f t="array" aca="1" ref="AG86" ca="1">IF(INDIRECT(_xlfn.CONCAT("'",$A86,"'!F17"))&gt;=AG$2,"d",IF(INDIRECT(_xlfn.CONCAT("'",$A86,"'!F18"))&gt;=AG$2,"i",""))</f>
        <v>d</v>
      </c>
      <c r="AH86" s="44" t="str" cm="1">
        <f t="array" aca="1" ref="AH86" ca="1">IF(INDIRECT(_xlfn.CONCAT("'",$A86,"'!F17"))&gt;=AH$2,"d",IF(INDIRECT(_xlfn.CONCAT("'",$A86,"'!F18"))&gt;=AH$2,"i",""))</f>
        <v>d</v>
      </c>
      <c r="AI86" s="44" t="str" cm="1">
        <f t="array" aca="1" ref="AI86" ca="1">IF(INDIRECT(_xlfn.CONCAT("'",$A86,"'!F17"))&gt;=AI$2,"d",IF(INDIRECT(_xlfn.CONCAT("'",$A86,"'!F18"))&gt;=AI$2,"i",""))</f>
        <v>d</v>
      </c>
      <c r="AJ86" s="44" t="str" cm="1">
        <f t="array" aca="1" ref="AJ86" ca="1">IF(INDIRECT(_xlfn.CONCAT("'",$A86,"'!F17"))&gt;=AJ$2,"d",IF(INDIRECT(_xlfn.CONCAT("'",$A86,"'!F18"))&gt;=AJ$2,"i",""))</f>
        <v>d</v>
      </c>
      <c r="AK86" s="44" t="str" cm="1">
        <f t="array" aca="1" ref="AK86" ca="1">IF(INDIRECT(_xlfn.CONCAT("'",$A86,"'!F17"))&gt;=AK$2,"d",IF(INDIRECT(_xlfn.CONCAT("'",$A86,"'!F18"))&gt;=AK$2,"i",""))</f>
        <v>d</v>
      </c>
      <c r="AL86" s="44" t="str" cm="1">
        <f t="array" aca="1" ref="AL86" ca="1">IF(INDIRECT(_xlfn.CONCAT("'",$A86,"'!F17"))&gt;=AL$2,"d",IF(INDIRECT(_xlfn.CONCAT("'",$A86,"'!F18"))&gt;=AL$2,"i",""))</f>
        <v/>
      </c>
      <c r="AM86" s="156"/>
      <c r="AN86" s="44" t="str" cm="1">
        <f t="array" aca="1" ref="AN86" ca="1">IF(INDIRECT(_xlfn.CONCAT("'",$A86,"'!F30"))&gt;=AN$2,"d",IF(INDIRECT(_xlfn.CONCAT("'",$A86,"'!F31"))&gt;=AN$2,"i",""))</f>
        <v>d</v>
      </c>
      <c r="AO86" s="44" t="str" cm="1">
        <f t="array" aca="1" ref="AO86" ca="1">IF(INDIRECT(_xlfn.CONCAT("'",$A86,"'!F30"))&gt;=AO$2,"d",IF(INDIRECT(_xlfn.CONCAT("'",$A86,"'!F31"))&gt;=AO$2,"i",""))</f>
        <v>d</v>
      </c>
      <c r="AP86" s="44" t="str" cm="1">
        <f t="array" aca="1" ref="AP86" ca="1">IF(INDIRECT(_xlfn.CONCAT("'",$A86,"'!F30"))&gt;=AP$2,"d",IF(INDIRECT(_xlfn.CONCAT("'",$A86,"'!F31"))&gt;=AP$2,"i",""))</f>
        <v>d</v>
      </c>
      <c r="AQ86" s="44" t="str" cm="1">
        <f t="array" aca="1" ref="AQ86" ca="1">IF(INDIRECT(_xlfn.CONCAT("'",$A86,"'!F30"))&gt;=AQ$2,"d",IF(INDIRECT(_xlfn.CONCAT("'",$A86,"'!F31"))&gt;=AQ$2,"i",""))</f>
        <v>d</v>
      </c>
      <c r="AR86" s="44" t="str" cm="1">
        <f t="array" aca="1" ref="AR86" ca="1">IF(INDIRECT(_xlfn.CONCAT("'",$A86,"'!F30"))&gt;=AR$2,"d",IF(INDIRECT(_xlfn.CONCAT("'",$A86,"'!F31"))&gt;=AR$2,"i",""))</f>
        <v>d</v>
      </c>
      <c r="AS86" s="44" t="str" cm="1">
        <f t="array" aca="1" ref="AS86" ca="1">IF(INDIRECT(_xlfn.CONCAT("'",$A86,"'!F30"))&gt;=AS$2,"d",IF(INDIRECT(_xlfn.CONCAT("'",$A86,"'!F31"))&gt;=AS$2,"i",""))</f>
        <v>d</v>
      </c>
      <c r="AT86" s="44" t="str" cm="1">
        <f t="array" aca="1" ref="AT86" ca="1">IF(INDIRECT(_xlfn.CONCAT("'",$A86,"'!F30"))&gt;=AT$2,"d",IF(INDIRECT(_xlfn.CONCAT("'",$A86,"'!F31"))&gt;=AT$2,"i",""))</f>
        <v>d</v>
      </c>
      <c r="AU86" s="44" t="str" cm="1">
        <f t="array" aca="1" ref="AU86" ca="1">IF(INDIRECT(_xlfn.CONCAT("'",$A86,"'!F30"))&gt;=AU$2,"d",IF(INDIRECT(_xlfn.CONCAT("'",$A86,"'!F31"))&gt;=AU$2,"i",""))</f>
        <v>d</v>
      </c>
      <c r="AV86" s="45" t="str" cm="1">
        <f t="array" aca="1" ref="AV86" ca="1">IF(INDIRECT(_xlfn.CONCAT("'",$A86,"'!F30"))&gt;=AV$2,"d",IF(INDIRECT(_xlfn.CONCAT("'",$A86,"'!F31"))&gt;=AV$2,"i",""))</f>
        <v/>
      </c>
    </row>
    <row r="87" spans="1:48" x14ac:dyDescent="0.25">
      <c r="A87" s="119" t="str">
        <v>Gaming</v>
      </c>
      <c r="B87" s="45" t="str">
        <f t="shared" si="42"/>
        <v>Pyro</v>
      </c>
      <c r="C87" s="153" t="str">
        <f t="shared" si="43"/>
        <v>Liyue 1</v>
      </c>
      <c r="D87" s="154" t="str">
        <f t="shared" si="44"/>
        <v>Narwhal 3</v>
      </c>
      <c r="E87" s="19" t="str" cm="1">
        <f t="array" aca="1" ref="E87" ca="1">IF(INDIRECT(_xlfn.CONCAT("'",$A87,"'!B4"))&gt;=E$2,"d",IF(INDIRECT(_xlfn.CONCAT("'",$A87,"'!B5"))&gt;=E$2,"i",""))</f>
        <v>d</v>
      </c>
      <c r="F87" s="44" t="str" cm="1">
        <f t="array" aca="1" ref="F87" ca="1">IF(INDIRECT(_xlfn.CONCAT("'",$A87,"'!B4"))&gt;=F$2,"d",IF(INDIRECT(_xlfn.CONCAT("'",$A87,"'!B5"))&gt;=F$2,"i",""))</f>
        <v>d</v>
      </c>
      <c r="G87" s="44" t="str" cm="1">
        <f t="array" aca="1" ref="G87" ca="1">IF(INDIRECT(_xlfn.CONCAT("'",$A87,"'!B4"))&gt;=G$2,"d",IF(INDIRECT(_xlfn.CONCAT("'",$A87,"'!B5"))&gt;=G$2,"i",""))</f>
        <v>d</v>
      </c>
      <c r="H87" s="44" t="str" cm="1">
        <f t="array" aca="1" ref="H87" ca="1">IF(INDIRECT(_xlfn.CONCAT("'",$A87,"'!B4"))&gt;=H$2,"d",IF(INDIRECT(_xlfn.CONCAT("'",$A87,"'!B5"))&gt;=H$2,"i",""))</f>
        <v>d</v>
      </c>
      <c r="I87" s="44" t="str" cm="1">
        <f t="array" aca="1" ref="I87" ca="1">IF(INDIRECT(_xlfn.CONCAT("'",$A87,"'!B4"))&gt;=I$2,"d",IF(INDIRECT(_xlfn.CONCAT("'",$A87,"'!B5"))&gt;=I$2,"i",""))</f>
        <v>d</v>
      </c>
      <c r="J87" s="44" t="str" cm="1">
        <f t="array" aca="1" ref="J87" ca="1">IF(INDIRECT(_xlfn.CONCAT("'",$A87,"'!B4"))&gt;=J$2,"d",IF(INDIRECT(_xlfn.CONCAT("'",$A87,"'!B5"))&gt;=J$2,"i",""))</f>
        <v>d</v>
      </c>
      <c r="K87" s="45" t="str" cm="1">
        <f t="array" aca="1" ref="K87" ca="1">IF(INDIRECT(_xlfn.CONCAT("'",$A87,"'!B4"))&gt;=K$2,"d",IF(INDIRECT(_xlfn.CONCAT("'",$A87,"'!B5"))&gt;=K$2,"i",""))</f>
        <v>d</v>
      </c>
      <c r="L87" s="155"/>
      <c r="M87" s="44" t="str" cm="1">
        <f t="array" aca="1" ref="M87" ca="1">IF(INDIRECT(_xlfn.CONCAT("'",$A87,"'!C10"))&gt;=M$2,"d",IF(INDIRECT(_xlfn.CONCAT("'",$A87,"'!C11"))&gt;=M$2,"i",""))</f>
        <v>d</v>
      </c>
      <c r="N87" s="44" t="str" cm="1">
        <f t="array" aca="1" ref="N87" ca="1">IF(INDIRECT(_xlfn.CONCAT("'",$A87,"'!C10"))&gt;=N$2,"d",IF(INDIRECT(_xlfn.CONCAT("'",$A87,"'!C11"))&gt;=N$2,"i",""))</f>
        <v>d</v>
      </c>
      <c r="O87" s="44" t="str" cm="1">
        <f t="array" aca="1" ref="O87" ca="1">IF(INDIRECT(_xlfn.CONCAT("'",$A87,"'!C10"))&gt;=O$2,"d",IF(INDIRECT(_xlfn.CONCAT("'",$A87,"'!C11"))&gt;=O$2,"i",""))</f>
        <v>d</v>
      </c>
      <c r="P87" s="44" t="str" cm="1">
        <f t="array" aca="1" ref="P87" ca="1">IF(INDIRECT(_xlfn.CONCAT("'",$A87,"'!C10"))&gt;=P$2,"d",IF(INDIRECT(_xlfn.CONCAT("'",$A87,"'!C11"))&gt;=P$2,"i",""))</f>
        <v>d</v>
      </c>
      <c r="Q87" s="44" t="str" cm="1">
        <f t="array" aca="1" ref="Q87" ca="1">IF(INDIRECT(_xlfn.CONCAT("'",$A87,"'!C10"))&gt;=Q$2,"d",IF(INDIRECT(_xlfn.CONCAT("'",$A87,"'!C11"))&gt;=Q$2,"i",""))</f>
        <v>d</v>
      </c>
      <c r="R87" s="44" t="str" cm="1">
        <f t="array" aca="1" ref="R87" ca="1">IF(INDIRECT(_xlfn.CONCAT("'",$A87,"'!C10"))&gt;=R$2,"d",IF(INDIRECT(_xlfn.CONCAT("'",$A87,"'!C11"))&gt;=R$2,"i",""))</f>
        <v>d</v>
      </c>
      <c r="S87" s="156"/>
      <c r="T87" s="44" t="str" cm="1">
        <f t="array" aca="1" ref="T87" ca="1">IF(INDIRECT(_xlfn.CONCAT("'",$A87,"'!F4"))&gt;=T$2,"d",IF(INDIRECT(_xlfn.CONCAT("'",$A87,"'!F5"))&gt;=T$2,"i",""))</f>
        <v>d</v>
      </c>
      <c r="U87" s="44" t="str" cm="1">
        <f t="array" aca="1" ref="U87" ca="1">IF(INDIRECT(_xlfn.CONCAT("'",$A87,"'!F4"))&gt;=U$2,"d",IF(INDIRECT(_xlfn.CONCAT("'",$A87,"'!F5"))&gt;=U$2,"i",""))</f>
        <v>d</v>
      </c>
      <c r="V87" s="44" t="str" cm="1">
        <f t="array" aca="1" ref="V87" ca="1">IF(INDIRECT(_xlfn.CONCAT("'",$A87,"'!F4"))&gt;=V$2,"d",IF(INDIRECT(_xlfn.CONCAT("'",$A87,"'!F5"))&gt;=V$2,"i",""))</f>
        <v>d</v>
      </c>
      <c r="W87" s="44" t="str" cm="1">
        <f t="array" aca="1" ref="W87" ca="1">IF(INDIRECT(_xlfn.CONCAT("'",$A87,"'!F4"))&gt;=W$2,"d",IF(INDIRECT(_xlfn.CONCAT("'",$A87,"'!F5"))&gt;=W$2,"i",""))</f>
        <v>d</v>
      </c>
      <c r="X87" s="44" t="str" cm="1">
        <f t="array" aca="1" ref="X87" ca="1">IF(INDIRECT(_xlfn.CONCAT("'",$A87,"'!F4"))&gt;=X$2,"d",IF(INDIRECT(_xlfn.CONCAT("'",$A87,"'!F5"))&gt;=X$2,"i",""))</f>
        <v>d</v>
      </c>
      <c r="Y87" s="44" t="str" cm="1">
        <f t="array" aca="1" ref="Y87" ca="1">IF(INDIRECT(_xlfn.CONCAT("'",$A87,"'!F4"))&gt;=Y$2,"d",IF(INDIRECT(_xlfn.CONCAT("'",$A87,"'!F5"))&gt;=Y$2,"i",""))</f>
        <v>d</v>
      </c>
      <c r="Z87" s="44" t="str" cm="1">
        <f t="array" aca="1" ref="Z87" ca="1">IF(INDIRECT(_xlfn.CONCAT("'",$A87,"'!F4"))&gt;=Z$2,"d",IF(INDIRECT(_xlfn.CONCAT("'",$A87,"'!F5"))&gt;=Z$2,"i",""))</f>
        <v>d</v>
      </c>
      <c r="AA87" s="44" t="str" cm="1">
        <f t="array" aca="1" ref="AA87" ca="1">IF(INDIRECT(_xlfn.CONCAT("'",$A87,"'!F4"))&gt;=AA$2,"d",IF(INDIRECT(_xlfn.CONCAT("'",$A87,"'!F5"))&gt;=AA$2,"i",""))</f>
        <v>d</v>
      </c>
      <c r="AB87" s="44" t="str" cm="1">
        <f t="array" aca="1" ref="AB87" ca="1">IF(INDIRECT(_xlfn.CONCAT("'",$A87,"'!F4"))&gt;=AB$2,"d",IF(INDIRECT(_xlfn.CONCAT("'",$A87,"'!F5"))&gt;=AB$2,"i",""))</f>
        <v/>
      </c>
      <c r="AC87" s="156"/>
      <c r="AD87" s="44" t="str" cm="1">
        <f t="array" aca="1" ref="AD87" ca="1">IF(INDIRECT(_xlfn.CONCAT("'",$A87,"'!F17"))&gt;=AD$2,"d",IF(INDIRECT(_xlfn.CONCAT("'",$A87,"'!F18"))&gt;=AD$2,"i",""))</f>
        <v>d</v>
      </c>
      <c r="AE87" s="44" t="str" cm="1">
        <f t="array" aca="1" ref="AE87" ca="1">IF(INDIRECT(_xlfn.CONCAT("'",$A87,"'!F17"))&gt;=AE$2,"d",IF(INDIRECT(_xlfn.CONCAT("'",$A87,"'!F18"))&gt;=AE$2,"i",""))</f>
        <v>d</v>
      </c>
      <c r="AF87" s="44" t="str" cm="1">
        <f t="array" aca="1" ref="AF87" ca="1">IF(INDIRECT(_xlfn.CONCAT("'",$A87,"'!F17"))&gt;=AF$2,"d",IF(INDIRECT(_xlfn.CONCAT("'",$A87,"'!F18"))&gt;=AF$2,"i",""))</f>
        <v>d</v>
      </c>
      <c r="AG87" s="44" t="str" cm="1">
        <f t="array" aca="1" ref="AG87" ca="1">IF(INDIRECT(_xlfn.CONCAT("'",$A87,"'!F17"))&gt;=AG$2,"d",IF(INDIRECT(_xlfn.CONCAT("'",$A87,"'!F18"))&gt;=AG$2,"i",""))</f>
        <v>d</v>
      </c>
      <c r="AH87" s="44" t="str" cm="1">
        <f t="array" aca="1" ref="AH87" ca="1">IF(INDIRECT(_xlfn.CONCAT("'",$A87,"'!F17"))&gt;=AH$2,"d",IF(INDIRECT(_xlfn.CONCAT("'",$A87,"'!F18"))&gt;=AH$2,"i",""))</f>
        <v>d</v>
      </c>
      <c r="AI87" s="44" t="str" cm="1">
        <f t="array" aca="1" ref="AI87" ca="1">IF(INDIRECT(_xlfn.CONCAT("'",$A87,"'!F17"))&gt;=AI$2,"d",IF(INDIRECT(_xlfn.CONCAT("'",$A87,"'!F18"))&gt;=AI$2,"i",""))</f>
        <v>d</v>
      </c>
      <c r="AJ87" s="44" t="str" cm="1">
        <f t="array" aca="1" ref="AJ87" ca="1">IF(INDIRECT(_xlfn.CONCAT("'",$A87,"'!F17"))&gt;=AJ$2,"d",IF(INDIRECT(_xlfn.CONCAT("'",$A87,"'!F18"))&gt;=AJ$2,"i",""))</f>
        <v>d</v>
      </c>
      <c r="AK87" s="44" t="str" cm="1">
        <f t="array" aca="1" ref="AK87" ca="1">IF(INDIRECT(_xlfn.CONCAT("'",$A87,"'!F17"))&gt;=AK$2,"d",IF(INDIRECT(_xlfn.CONCAT("'",$A87,"'!F18"))&gt;=AK$2,"i",""))</f>
        <v>d</v>
      </c>
      <c r="AL87" s="44" t="str" cm="1">
        <f t="array" aca="1" ref="AL87" ca="1">IF(INDIRECT(_xlfn.CONCAT("'",$A87,"'!F17"))&gt;=AL$2,"d",IF(INDIRECT(_xlfn.CONCAT("'",$A87,"'!F18"))&gt;=AL$2,"i",""))</f>
        <v/>
      </c>
      <c r="AM87" s="156"/>
      <c r="AN87" s="44" t="str" cm="1">
        <f t="array" aca="1" ref="AN87" ca="1">IF(INDIRECT(_xlfn.CONCAT("'",$A87,"'!F30"))&gt;=AN$2,"d",IF(INDIRECT(_xlfn.CONCAT("'",$A87,"'!F31"))&gt;=AN$2,"i",""))</f>
        <v>d</v>
      </c>
      <c r="AO87" s="44" t="str" cm="1">
        <f t="array" aca="1" ref="AO87" ca="1">IF(INDIRECT(_xlfn.CONCAT("'",$A87,"'!F30"))&gt;=AO$2,"d",IF(INDIRECT(_xlfn.CONCAT("'",$A87,"'!F31"))&gt;=AO$2,"i",""))</f>
        <v>d</v>
      </c>
      <c r="AP87" s="44" t="str" cm="1">
        <f t="array" aca="1" ref="AP87" ca="1">IF(INDIRECT(_xlfn.CONCAT("'",$A87,"'!F30"))&gt;=AP$2,"d",IF(INDIRECT(_xlfn.CONCAT("'",$A87,"'!F31"))&gt;=AP$2,"i",""))</f>
        <v>d</v>
      </c>
      <c r="AQ87" s="44" t="str" cm="1">
        <f t="array" aca="1" ref="AQ87" ca="1">IF(INDIRECT(_xlfn.CONCAT("'",$A87,"'!F30"))&gt;=AQ$2,"d",IF(INDIRECT(_xlfn.CONCAT("'",$A87,"'!F31"))&gt;=AQ$2,"i",""))</f>
        <v>d</v>
      </c>
      <c r="AR87" s="44" t="str" cm="1">
        <f t="array" aca="1" ref="AR87" ca="1">IF(INDIRECT(_xlfn.CONCAT("'",$A87,"'!F30"))&gt;=AR$2,"d",IF(INDIRECT(_xlfn.CONCAT("'",$A87,"'!F31"))&gt;=AR$2,"i",""))</f>
        <v>d</v>
      </c>
      <c r="AS87" s="44" t="str" cm="1">
        <f t="array" aca="1" ref="AS87" ca="1">IF(INDIRECT(_xlfn.CONCAT("'",$A87,"'!F30"))&gt;=AS$2,"d",IF(INDIRECT(_xlfn.CONCAT("'",$A87,"'!F31"))&gt;=AS$2,"i",""))</f>
        <v>d</v>
      </c>
      <c r="AT87" s="44" t="str" cm="1">
        <f t="array" aca="1" ref="AT87" ca="1">IF(INDIRECT(_xlfn.CONCAT("'",$A87,"'!F30"))&gt;=AT$2,"d",IF(INDIRECT(_xlfn.CONCAT("'",$A87,"'!F31"))&gt;=AT$2,"i",""))</f>
        <v>d</v>
      </c>
      <c r="AU87" s="44" t="str" cm="1">
        <f t="array" aca="1" ref="AU87" ca="1">IF(INDIRECT(_xlfn.CONCAT("'",$A87,"'!F30"))&gt;=AU$2,"d",IF(INDIRECT(_xlfn.CONCAT("'",$A87,"'!F31"))&gt;=AU$2,"i",""))</f>
        <v>d</v>
      </c>
      <c r="AV87" s="45" t="str" cm="1">
        <f t="array" aca="1" ref="AV87" ca="1">IF(INDIRECT(_xlfn.CONCAT("'",$A87,"'!F30"))&gt;=AV$2,"d",IF(INDIRECT(_xlfn.CONCAT("'",$A87,"'!F31"))&gt;=AV$2,"i",""))</f>
        <v/>
      </c>
    </row>
    <row r="88" spans="1:48" x14ac:dyDescent="0.25">
      <c r="A88" s="119" t="str">
        <v>Chiori</v>
      </c>
      <c r="B88" s="45" t="str">
        <f t="shared" ref="B88" si="45">VLOOKUP(A88,Character_List,2,FALSE)</f>
        <v>Geo</v>
      </c>
      <c r="C88" s="153" t="str">
        <f t="shared" ref="C88" si="46">VLOOKUP(A88,Character_List,7,FALSE)</f>
        <v>Inazuma 3</v>
      </c>
      <c r="D88" s="154" t="str">
        <f t="shared" ref="D88" si="47">VLOOKUP(A88,Character_List,8,FALSE)</f>
        <v>Narwhal 1</v>
      </c>
      <c r="E88" s="19" t="str" cm="1">
        <f t="array" aca="1" ref="E88" ca="1">IF(INDIRECT(_xlfn.CONCAT("'",$A88,"'!B4"))&gt;=E$2,"d",IF(INDIRECT(_xlfn.CONCAT("'",$A88,"'!B5"))&gt;=E$2,"i",""))</f>
        <v>d</v>
      </c>
      <c r="F88" s="44" t="str" cm="1">
        <f t="array" aca="1" ref="F88" ca="1">IF(INDIRECT(_xlfn.CONCAT("'",$A88,"'!B4"))&gt;=F$2,"d",IF(INDIRECT(_xlfn.CONCAT("'",$A88,"'!B5"))&gt;=F$2,"i",""))</f>
        <v>d</v>
      </c>
      <c r="G88" s="44" t="str" cm="1">
        <f t="array" aca="1" ref="G88" ca="1">IF(INDIRECT(_xlfn.CONCAT("'",$A88,"'!B4"))&gt;=G$2,"d",IF(INDIRECT(_xlfn.CONCAT("'",$A88,"'!B5"))&gt;=G$2,"i",""))</f>
        <v>d</v>
      </c>
      <c r="H88" s="44" t="str" cm="1">
        <f t="array" aca="1" ref="H88" ca="1">IF(INDIRECT(_xlfn.CONCAT("'",$A88,"'!B4"))&gt;=H$2,"d",IF(INDIRECT(_xlfn.CONCAT("'",$A88,"'!B5"))&gt;=H$2,"i",""))</f>
        <v>d</v>
      </c>
      <c r="I88" s="44" t="str" cm="1">
        <f t="array" aca="1" ref="I88" ca="1">IF(INDIRECT(_xlfn.CONCAT("'",$A88,"'!B4"))&gt;=I$2,"d",IF(INDIRECT(_xlfn.CONCAT("'",$A88,"'!B5"))&gt;=I$2,"i",""))</f>
        <v>d</v>
      </c>
      <c r="J88" s="44" t="str" cm="1">
        <f t="array" aca="1" ref="J88" ca="1">IF(INDIRECT(_xlfn.CONCAT("'",$A88,"'!B4"))&gt;=J$2,"d",IF(INDIRECT(_xlfn.CONCAT("'",$A88,"'!B5"))&gt;=J$2,"i",""))</f>
        <v>d</v>
      </c>
      <c r="K88" s="45" t="str" cm="1">
        <f t="array" aca="1" ref="K88" ca="1">IF(INDIRECT(_xlfn.CONCAT("'",$A88,"'!B4"))&gt;=K$2,"d",IF(INDIRECT(_xlfn.CONCAT("'",$A88,"'!B5"))&gt;=K$2,"i",""))</f>
        <v>d</v>
      </c>
      <c r="L88" s="155"/>
      <c r="M88" s="44" t="str" cm="1">
        <f t="array" aca="1" ref="M88" ca="1">IF(INDIRECT(_xlfn.CONCAT("'",$A88,"'!C10"))&gt;=M$2,"d",IF(INDIRECT(_xlfn.CONCAT("'",$A88,"'!C11"))&gt;=M$2,"i",""))</f>
        <v>d</v>
      </c>
      <c r="N88" s="44" t="str" cm="1">
        <f t="array" aca="1" ref="N88" ca="1">IF(INDIRECT(_xlfn.CONCAT("'",$A88,"'!C10"))&gt;=N$2,"d",IF(INDIRECT(_xlfn.CONCAT("'",$A88,"'!C11"))&gt;=N$2,"i",""))</f>
        <v>d</v>
      </c>
      <c r="O88" s="44" t="str" cm="1">
        <f t="array" aca="1" ref="O88" ca="1">IF(INDIRECT(_xlfn.CONCAT("'",$A88,"'!C10"))&gt;=O$2,"d",IF(INDIRECT(_xlfn.CONCAT("'",$A88,"'!C11"))&gt;=O$2,"i",""))</f>
        <v>d</v>
      </c>
      <c r="P88" s="44" t="str" cm="1">
        <f t="array" aca="1" ref="P88" ca="1">IF(INDIRECT(_xlfn.CONCAT("'",$A88,"'!C10"))&gt;=P$2,"d",IF(INDIRECT(_xlfn.CONCAT("'",$A88,"'!C11"))&gt;=P$2,"i",""))</f>
        <v>d</v>
      </c>
      <c r="Q88" s="44" t="str" cm="1">
        <f t="array" aca="1" ref="Q88" ca="1">IF(INDIRECT(_xlfn.CONCAT("'",$A88,"'!C10"))&gt;=Q$2,"d",IF(INDIRECT(_xlfn.CONCAT("'",$A88,"'!C11"))&gt;=Q$2,"i",""))</f>
        <v>d</v>
      </c>
      <c r="R88" s="44" t="str" cm="1">
        <f t="array" aca="1" ref="R88" ca="1">IF(INDIRECT(_xlfn.CONCAT("'",$A88,"'!C10"))&gt;=R$2,"d",IF(INDIRECT(_xlfn.CONCAT("'",$A88,"'!C11"))&gt;=R$2,"i",""))</f>
        <v>d</v>
      </c>
      <c r="S88" s="156"/>
      <c r="T88" s="44" t="str" cm="1">
        <f t="array" aca="1" ref="T88" ca="1">IF(INDIRECT(_xlfn.CONCAT("'",$A88,"'!F4"))&gt;=T$2,"d",IF(INDIRECT(_xlfn.CONCAT("'",$A88,"'!F5"))&gt;=T$2,"i",""))</f>
        <v>d</v>
      </c>
      <c r="U88" s="44" t="str" cm="1">
        <f t="array" aca="1" ref="U88" ca="1">IF(INDIRECT(_xlfn.CONCAT("'",$A88,"'!F4"))&gt;=U$2,"d",IF(INDIRECT(_xlfn.CONCAT("'",$A88,"'!F5"))&gt;=U$2,"i",""))</f>
        <v>d</v>
      </c>
      <c r="V88" s="44" t="str" cm="1">
        <f t="array" aca="1" ref="V88" ca="1">IF(INDIRECT(_xlfn.CONCAT("'",$A88,"'!F4"))&gt;=V$2,"d",IF(INDIRECT(_xlfn.CONCAT("'",$A88,"'!F5"))&gt;=V$2,"i",""))</f>
        <v>d</v>
      </c>
      <c r="W88" s="44" t="str" cm="1">
        <f t="array" aca="1" ref="W88" ca="1">IF(INDIRECT(_xlfn.CONCAT("'",$A88,"'!F4"))&gt;=W$2,"d",IF(INDIRECT(_xlfn.CONCAT("'",$A88,"'!F5"))&gt;=W$2,"i",""))</f>
        <v>d</v>
      </c>
      <c r="X88" s="44" t="str" cm="1">
        <f t="array" aca="1" ref="X88" ca="1">IF(INDIRECT(_xlfn.CONCAT("'",$A88,"'!F4"))&gt;=X$2,"d",IF(INDIRECT(_xlfn.CONCAT("'",$A88,"'!F5"))&gt;=X$2,"i",""))</f>
        <v>d</v>
      </c>
      <c r="Y88" s="44" t="str" cm="1">
        <f t="array" aca="1" ref="Y88" ca="1">IF(INDIRECT(_xlfn.CONCAT("'",$A88,"'!F4"))&gt;=Y$2,"d",IF(INDIRECT(_xlfn.CONCAT("'",$A88,"'!F5"))&gt;=Y$2,"i",""))</f>
        <v>d</v>
      </c>
      <c r="Z88" s="44" t="str" cm="1">
        <f t="array" aca="1" ref="Z88" ca="1">IF(INDIRECT(_xlfn.CONCAT("'",$A88,"'!F4"))&gt;=Z$2,"d",IF(INDIRECT(_xlfn.CONCAT("'",$A88,"'!F5"))&gt;=Z$2,"i",""))</f>
        <v>d</v>
      </c>
      <c r="AA88" s="44" t="str" cm="1">
        <f t="array" aca="1" ref="AA88" ca="1">IF(INDIRECT(_xlfn.CONCAT("'",$A88,"'!F4"))&gt;=AA$2,"d",IF(INDIRECT(_xlfn.CONCAT("'",$A88,"'!F5"))&gt;=AA$2,"i",""))</f>
        <v>d</v>
      </c>
      <c r="AB88" s="44" t="str" cm="1">
        <f t="array" aca="1" ref="AB88" ca="1">IF(INDIRECT(_xlfn.CONCAT("'",$A88,"'!F4"))&gt;=AB$2,"d",IF(INDIRECT(_xlfn.CONCAT("'",$A88,"'!F5"))&gt;=AB$2,"i",""))</f>
        <v/>
      </c>
      <c r="AC88" s="156"/>
      <c r="AD88" s="44" t="str" cm="1">
        <f t="array" aca="1" ref="AD88" ca="1">IF(INDIRECT(_xlfn.CONCAT("'",$A88,"'!F17"))&gt;=AD$2,"d",IF(INDIRECT(_xlfn.CONCAT("'",$A88,"'!F18"))&gt;=AD$2,"i",""))</f>
        <v>d</v>
      </c>
      <c r="AE88" s="44" t="str" cm="1">
        <f t="array" aca="1" ref="AE88" ca="1">IF(INDIRECT(_xlfn.CONCAT("'",$A88,"'!F17"))&gt;=AE$2,"d",IF(INDIRECT(_xlfn.CONCAT("'",$A88,"'!F18"))&gt;=AE$2,"i",""))</f>
        <v>d</v>
      </c>
      <c r="AF88" s="44" t="str" cm="1">
        <f t="array" aca="1" ref="AF88" ca="1">IF(INDIRECT(_xlfn.CONCAT("'",$A88,"'!F17"))&gt;=AF$2,"d",IF(INDIRECT(_xlfn.CONCAT("'",$A88,"'!F18"))&gt;=AF$2,"i",""))</f>
        <v>d</v>
      </c>
      <c r="AG88" s="44" t="str" cm="1">
        <f t="array" aca="1" ref="AG88" ca="1">IF(INDIRECT(_xlfn.CONCAT("'",$A88,"'!F17"))&gt;=AG$2,"d",IF(INDIRECT(_xlfn.CONCAT("'",$A88,"'!F18"))&gt;=AG$2,"i",""))</f>
        <v>d</v>
      </c>
      <c r="AH88" s="44" t="str" cm="1">
        <f t="array" aca="1" ref="AH88" ca="1">IF(INDIRECT(_xlfn.CONCAT("'",$A88,"'!F17"))&gt;=AH$2,"d",IF(INDIRECT(_xlfn.CONCAT("'",$A88,"'!F18"))&gt;=AH$2,"i",""))</f>
        <v>d</v>
      </c>
      <c r="AI88" s="44" t="str" cm="1">
        <f t="array" aca="1" ref="AI88" ca="1">IF(INDIRECT(_xlfn.CONCAT("'",$A88,"'!F17"))&gt;=AI$2,"d",IF(INDIRECT(_xlfn.CONCAT("'",$A88,"'!F18"))&gt;=AI$2,"i",""))</f>
        <v>d</v>
      </c>
      <c r="AJ88" s="44" t="str" cm="1">
        <f t="array" aca="1" ref="AJ88" ca="1">IF(INDIRECT(_xlfn.CONCAT("'",$A88,"'!F17"))&gt;=AJ$2,"d",IF(INDIRECT(_xlfn.CONCAT("'",$A88,"'!F18"))&gt;=AJ$2,"i",""))</f>
        <v>d</v>
      </c>
      <c r="AK88" s="44" t="str" cm="1">
        <f t="array" aca="1" ref="AK88" ca="1">IF(INDIRECT(_xlfn.CONCAT("'",$A88,"'!F17"))&gt;=AK$2,"d",IF(INDIRECT(_xlfn.CONCAT("'",$A88,"'!F18"))&gt;=AK$2,"i",""))</f>
        <v>d</v>
      </c>
      <c r="AL88" s="44" t="str" cm="1">
        <f t="array" aca="1" ref="AL88" ca="1">IF(INDIRECT(_xlfn.CONCAT("'",$A88,"'!F17"))&gt;=AL$2,"d",IF(INDIRECT(_xlfn.CONCAT("'",$A88,"'!F18"))&gt;=AL$2,"i",""))</f>
        <v/>
      </c>
      <c r="AM88" s="156"/>
      <c r="AN88" s="44" t="str" cm="1">
        <f t="array" aca="1" ref="AN88" ca="1">IF(INDIRECT(_xlfn.CONCAT("'",$A88,"'!F30"))&gt;=AN$2,"d",IF(INDIRECT(_xlfn.CONCAT("'",$A88,"'!F31"))&gt;=AN$2,"i",""))</f>
        <v>d</v>
      </c>
      <c r="AO88" s="44" t="str" cm="1">
        <f t="array" aca="1" ref="AO88" ca="1">IF(INDIRECT(_xlfn.CONCAT("'",$A88,"'!F30"))&gt;=AO$2,"d",IF(INDIRECT(_xlfn.CONCAT("'",$A88,"'!F31"))&gt;=AO$2,"i",""))</f>
        <v>d</v>
      </c>
      <c r="AP88" s="44" t="str" cm="1">
        <f t="array" aca="1" ref="AP88" ca="1">IF(INDIRECT(_xlfn.CONCAT("'",$A88,"'!F30"))&gt;=AP$2,"d",IF(INDIRECT(_xlfn.CONCAT("'",$A88,"'!F31"))&gt;=AP$2,"i",""))</f>
        <v>d</v>
      </c>
      <c r="AQ88" s="44" t="str" cm="1">
        <f t="array" aca="1" ref="AQ88" ca="1">IF(INDIRECT(_xlfn.CONCAT("'",$A88,"'!F30"))&gt;=AQ$2,"d",IF(INDIRECT(_xlfn.CONCAT("'",$A88,"'!F31"))&gt;=AQ$2,"i",""))</f>
        <v>d</v>
      </c>
      <c r="AR88" s="44" t="str" cm="1">
        <f t="array" aca="1" ref="AR88" ca="1">IF(INDIRECT(_xlfn.CONCAT("'",$A88,"'!F30"))&gt;=AR$2,"d",IF(INDIRECT(_xlfn.CONCAT("'",$A88,"'!F31"))&gt;=AR$2,"i",""))</f>
        <v>d</v>
      </c>
      <c r="AS88" s="44" t="str" cm="1">
        <f t="array" aca="1" ref="AS88" ca="1">IF(INDIRECT(_xlfn.CONCAT("'",$A88,"'!F30"))&gt;=AS$2,"d",IF(INDIRECT(_xlfn.CONCAT("'",$A88,"'!F31"))&gt;=AS$2,"i",""))</f>
        <v>d</v>
      </c>
      <c r="AT88" s="44" t="str" cm="1">
        <f t="array" aca="1" ref="AT88" ca="1">IF(INDIRECT(_xlfn.CONCAT("'",$A88,"'!F30"))&gt;=AT$2,"d",IF(INDIRECT(_xlfn.CONCAT("'",$A88,"'!F31"))&gt;=AT$2,"i",""))</f>
        <v>d</v>
      </c>
      <c r="AU88" s="44" t="str" cm="1">
        <f t="array" aca="1" ref="AU88" ca="1">IF(INDIRECT(_xlfn.CONCAT("'",$A88,"'!F30"))&gt;=AU$2,"d",IF(INDIRECT(_xlfn.CONCAT("'",$A88,"'!F31"))&gt;=AU$2,"i",""))</f>
        <v>d</v>
      </c>
      <c r="AV88" s="45" t="str" cm="1">
        <f t="array" aca="1" ref="AV88" ca="1">IF(INDIRECT(_xlfn.CONCAT("'",$A88,"'!F30"))&gt;=AV$2,"d",IF(INDIRECT(_xlfn.CONCAT("'",$A88,"'!F31"))&gt;=AV$2,"i",""))</f>
        <v/>
      </c>
    </row>
    <row r="89" spans="1:48" x14ac:dyDescent="0.25">
      <c r="A89" s="119" t="str">
        <v>Arlecchino</v>
      </c>
      <c r="B89" s="45" t="str">
        <f t="shared" ref="B89" si="48">VLOOKUP(A89,Character_List,2,FALSE)</f>
        <v>Pyro</v>
      </c>
      <c r="C89" s="153" t="str">
        <f t="shared" ref="C89" si="49">VLOOKUP(A89,Character_List,7,FALSE)</f>
        <v>Fontaine 3</v>
      </c>
      <c r="D89" s="154" t="str">
        <f t="shared" ref="D89" si="50">VLOOKUP(A89,Character_List,8,FALSE)</f>
        <v>Knave 1</v>
      </c>
      <c r="E89" s="19" t="str" cm="1">
        <f t="array" aca="1" ref="E89" ca="1">IF(INDIRECT(_xlfn.CONCAT("'",$A89,"'!B4"))&gt;=E$2,"d",IF(INDIRECT(_xlfn.CONCAT("'",$A89,"'!B5"))&gt;=E$2,"i",""))</f>
        <v>d</v>
      </c>
      <c r="F89" s="44" t="str" cm="1">
        <f t="array" aca="1" ref="F89" ca="1">IF(INDIRECT(_xlfn.CONCAT("'",$A89,"'!B4"))&gt;=F$2,"d",IF(INDIRECT(_xlfn.CONCAT("'",$A89,"'!B5"))&gt;=F$2,"i",""))</f>
        <v>d</v>
      </c>
      <c r="G89" s="44" t="str" cm="1">
        <f t="array" aca="1" ref="G89" ca="1">IF(INDIRECT(_xlfn.CONCAT("'",$A89,"'!B4"))&gt;=G$2,"d",IF(INDIRECT(_xlfn.CONCAT("'",$A89,"'!B5"))&gt;=G$2,"i",""))</f>
        <v>d</v>
      </c>
      <c r="H89" s="44" t="str" cm="1">
        <f t="array" aca="1" ref="H89" ca="1">IF(INDIRECT(_xlfn.CONCAT("'",$A89,"'!B4"))&gt;=H$2,"d",IF(INDIRECT(_xlfn.CONCAT("'",$A89,"'!B5"))&gt;=H$2,"i",""))</f>
        <v>d</v>
      </c>
      <c r="I89" s="44" t="str" cm="1">
        <f t="array" aca="1" ref="I89" ca="1">IF(INDIRECT(_xlfn.CONCAT("'",$A89,"'!B4"))&gt;=I$2,"d",IF(INDIRECT(_xlfn.CONCAT("'",$A89,"'!B5"))&gt;=I$2,"i",""))</f>
        <v>d</v>
      </c>
      <c r="J89" s="44" t="str" cm="1">
        <f t="array" aca="1" ref="J89" ca="1">IF(INDIRECT(_xlfn.CONCAT("'",$A89,"'!B4"))&gt;=J$2,"d",IF(INDIRECT(_xlfn.CONCAT("'",$A89,"'!B5"))&gt;=J$2,"i",""))</f>
        <v>d</v>
      </c>
      <c r="K89" s="45" t="str" cm="1">
        <f t="array" aca="1" ref="K89" ca="1">IF(INDIRECT(_xlfn.CONCAT("'",$A89,"'!B4"))&gt;=K$2,"d",IF(INDIRECT(_xlfn.CONCAT("'",$A89,"'!B5"))&gt;=K$2,"i",""))</f>
        <v>d</v>
      </c>
      <c r="L89" s="155"/>
      <c r="M89" s="44" t="str" cm="1">
        <f t="array" aca="1" ref="M89" ca="1">IF(INDIRECT(_xlfn.CONCAT("'",$A89,"'!C10"))&gt;=M$2,"d",IF(INDIRECT(_xlfn.CONCAT("'",$A89,"'!C11"))&gt;=M$2,"i",""))</f>
        <v>d</v>
      </c>
      <c r="N89" s="44" t="str" cm="1">
        <f t="array" aca="1" ref="N89" ca="1">IF(INDIRECT(_xlfn.CONCAT("'",$A89,"'!C10"))&gt;=N$2,"d",IF(INDIRECT(_xlfn.CONCAT("'",$A89,"'!C11"))&gt;=N$2,"i",""))</f>
        <v>d</v>
      </c>
      <c r="O89" s="44" t="str" cm="1">
        <f t="array" aca="1" ref="O89" ca="1">IF(INDIRECT(_xlfn.CONCAT("'",$A89,"'!C10"))&gt;=O$2,"d",IF(INDIRECT(_xlfn.CONCAT("'",$A89,"'!C11"))&gt;=O$2,"i",""))</f>
        <v>d</v>
      </c>
      <c r="P89" s="44" t="str" cm="1">
        <f t="array" aca="1" ref="P89" ca="1">IF(INDIRECT(_xlfn.CONCAT("'",$A89,"'!C10"))&gt;=P$2,"d",IF(INDIRECT(_xlfn.CONCAT("'",$A89,"'!C11"))&gt;=P$2,"i",""))</f>
        <v>d</v>
      </c>
      <c r="Q89" s="44" t="str" cm="1">
        <f t="array" aca="1" ref="Q89" ca="1">IF(INDIRECT(_xlfn.CONCAT("'",$A89,"'!C10"))&gt;=Q$2,"d",IF(INDIRECT(_xlfn.CONCAT("'",$A89,"'!C11"))&gt;=Q$2,"i",""))</f>
        <v>d</v>
      </c>
      <c r="R89" s="44" t="str" cm="1">
        <f t="array" aca="1" ref="R89" ca="1">IF(INDIRECT(_xlfn.CONCAT("'",$A89,"'!C10"))&gt;=R$2,"d",IF(INDIRECT(_xlfn.CONCAT("'",$A89,"'!C11"))&gt;=R$2,"i",""))</f>
        <v>d</v>
      </c>
      <c r="S89" s="156"/>
      <c r="T89" s="44" t="str" cm="1">
        <f t="array" aca="1" ref="T89" ca="1">IF(INDIRECT(_xlfn.CONCAT("'",$A89,"'!F4"))&gt;=T$2,"d",IF(INDIRECT(_xlfn.CONCAT("'",$A89,"'!F5"))&gt;=T$2,"i",""))</f>
        <v>d</v>
      </c>
      <c r="U89" s="44" t="str" cm="1">
        <f t="array" aca="1" ref="U89" ca="1">IF(INDIRECT(_xlfn.CONCAT("'",$A89,"'!F4"))&gt;=U$2,"d",IF(INDIRECT(_xlfn.CONCAT("'",$A89,"'!F5"))&gt;=U$2,"i",""))</f>
        <v>d</v>
      </c>
      <c r="V89" s="44" t="str" cm="1">
        <f t="array" aca="1" ref="V89" ca="1">IF(INDIRECT(_xlfn.CONCAT("'",$A89,"'!F4"))&gt;=V$2,"d",IF(INDIRECT(_xlfn.CONCAT("'",$A89,"'!F5"))&gt;=V$2,"i",""))</f>
        <v>d</v>
      </c>
      <c r="W89" s="44" t="str" cm="1">
        <f t="array" aca="1" ref="W89" ca="1">IF(INDIRECT(_xlfn.CONCAT("'",$A89,"'!F4"))&gt;=W$2,"d",IF(INDIRECT(_xlfn.CONCAT("'",$A89,"'!F5"))&gt;=W$2,"i",""))</f>
        <v>d</v>
      </c>
      <c r="X89" s="44" t="str" cm="1">
        <f t="array" aca="1" ref="X89" ca="1">IF(INDIRECT(_xlfn.CONCAT("'",$A89,"'!F4"))&gt;=X$2,"d",IF(INDIRECT(_xlfn.CONCAT("'",$A89,"'!F5"))&gt;=X$2,"i",""))</f>
        <v>d</v>
      </c>
      <c r="Y89" s="44" t="str" cm="1">
        <f t="array" aca="1" ref="Y89" ca="1">IF(INDIRECT(_xlfn.CONCAT("'",$A89,"'!F4"))&gt;=Y$2,"d",IF(INDIRECT(_xlfn.CONCAT("'",$A89,"'!F5"))&gt;=Y$2,"i",""))</f>
        <v>d</v>
      </c>
      <c r="Z89" s="44" t="str" cm="1">
        <f t="array" aca="1" ref="Z89" ca="1">IF(INDIRECT(_xlfn.CONCAT("'",$A89,"'!F4"))&gt;=Z$2,"d",IF(INDIRECT(_xlfn.CONCAT("'",$A89,"'!F5"))&gt;=Z$2,"i",""))</f>
        <v>d</v>
      </c>
      <c r="AA89" s="44" t="str" cm="1">
        <f t="array" aca="1" ref="AA89" ca="1">IF(INDIRECT(_xlfn.CONCAT("'",$A89,"'!F4"))&gt;=AA$2,"d",IF(INDIRECT(_xlfn.CONCAT("'",$A89,"'!F5"))&gt;=AA$2,"i",""))</f>
        <v>d</v>
      </c>
      <c r="AB89" s="44" t="str" cm="1">
        <f t="array" aca="1" ref="AB89" ca="1">IF(INDIRECT(_xlfn.CONCAT("'",$A89,"'!F4"))&gt;=AB$2,"d",IF(INDIRECT(_xlfn.CONCAT("'",$A89,"'!F5"))&gt;=AB$2,"i",""))</f>
        <v/>
      </c>
      <c r="AC89" s="156"/>
      <c r="AD89" s="44" t="str" cm="1">
        <f t="array" aca="1" ref="AD89" ca="1">IF(INDIRECT(_xlfn.CONCAT("'",$A89,"'!F17"))&gt;=AD$2,"d",IF(INDIRECT(_xlfn.CONCAT("'",$A89,"'!F18"))&gt;=AD$2,"i",""))</f>
        <v>d</v>
      </c>
      <c r="AE89" s="44" t="str" cm="1">
        <f t="array" aca="1" ref="AE89" ca="1">IF(INDIRECT(_xlfn.CONCAT("'",$A89,"'!F17"))&gt;=AE$2,"d",IF(INDIRECT(_xlfn.CONCAT("'",$A89,"'!F18"))&gt;=AE$2,"i",""))</f>
        <v>d</v>
      </c>
      <c r="AF89" s="44" t="str" cm="1">
        <f t="array" aca="1" ref="AF89" ca="1">IF(INDIRECT(_xlfn.CONCAT("'",$A89,"'!F17"))&gt;=AF$2,"d",IF(INDIRECT(_xlfn.CONCAT("'",$A89,"'!F18"))&gt;=AF$2,"i",""))</f>
        <v>d</v>
      </c>
      <c r="AG89" s="44" t="str" cm="1">
        <f t="array" aca="1" ref="AG89" ca="1">IF(INDIRECT(_xlfn.CONCAT("'",$A89,"'!F17"))&gt;=AG$2,"d",IF(INDIRECT(_xlfn.CONCAT("'",$A89,"'!F18"))&gt;=AG$2,"i",""))</f>
        <v>d</v>
      </c>
      <c r="AH89" s="44" t="str" cm="1">
        <f t="array" aca="1" ref="AH89" ca="1">IF(INDIRECT(_xlfn.CONCAT("'",$A89,"'!F17"))&gt;=AH$2,"d",IF(INDIRECT(_xlfn.CONCAT("'",$A89,"'!F18"))&gt;=AH$2,"i",""))</f>
        <v>d</v>
      </c>
      <c r="AI89" s="44" t="str" cm="1">
        <f t="array" aca="1" ref="AI89" ca="1">IF(INDIRECT(_xlfn.CONCAT("'",$A89,"'!F17"))&gt;=AI$2,"d",IF(INDIRECT(_xlfn.CONCAT("'",$A89,"'!F18"))&gt;=AI$2,"i",""))</f>
        <v>d</v>
      </c>
      <c r="AJ89" s="44" t="str" cm="1">
        <f t="array" aca="1" ref="AJ89" ca="1">IF(INDIRECT(_xlfn.CONCAT("'",$A89,"'!F17"))&gt;=AJ$2,"d",IF(INDIRECT(_xlfn.CONCAT("'",$A89,"'!F18"))&gt;=AJ$2,"i",""))</f>
        <v>d</v>
      </c>
      <c r="AK89" s="44" t="str" cm="1">
        <f t="array" aca="1" ref="AK89" ca="1">IF(INDIRECT(_xlfn.CONCAT("'",$A89,"'!F17"))&gt;=AK$2,"d",IF(INDIRECT(_xlfn.CONCAT("'",$A89,"'!F18"))&gt;=AK$2,"i",""))</f>
        <v>d</v>
      </c>
      <c r="AL89" s="44" t="str" cm="1">
        <f t="array" aca="1" ref="AL89" ca="1">IF(INDIRECT(_xlfn.CONCAT("'",$A89,"'!F17"))&gt;=AL$2,"d",IF(INDIRECT(_xlfn.CONCAT("'",$A89,"'!F18"))&gt;=AL$2,"i",""))</f>
        <v/>
      </c>
      <c r="AM89" s="156"/>
      <c r="AN89" s="44" t="str" cm="1">
        <f t="array" aca="1" ref="AN89" ca="1">IF(INDIRECT(_xlfn.CONCAT("'",$A89,"'!F30"))&gt;=AN$2,"d",IF(INDIRECT(_xlfn.CONCAT("'",$A89,"'!F31"))&gt;=AN$2,"i",""))</f>
        <v>d</v>
      </c>
      <c r="AO89" s="44" t="str" cm="1">
        <f t="array" aca="1" ref="AO89" ca="1">IF(INDIRECT(_xlfn.CONCAT("'",$A89,"'!F30"))&gt;=AO$2,"d",IF(INDIRECT(_xlfn.CONCAT("'",$A89,"'!F31"))&gt;=AO$2,"i",""))</f>
        <v>d</v>
      </c>
      <c r="AP89" s="44" t="str" cm="1">
        <f t="array" aca="1" ref="AP89" ca="1">IF(INDIRECT(_xlfn.CONCAT("'",$A89,"'!F30"))&gt;=AP$2,"d",IF(INDIRECT(_xlfn.CONCAT("'",$A89,"'!F31"))&gt;=AP$2,"i",""))</f>
        <v>d</v>
      </c>
      <c r="AQ89" s="44" t="str" cm="1">
        <f t="array" aca="1" ref="AQ89" ca="1">IF(INDIRECT(_xlfn.CONCAT("'",$A89,"'!F30"))&gt;=AQ$2,"d",IF(INDIRECT(_xlfn.CONCAT("'",$A89,"'!F31"))&gt;=AQ$2,"i",""))</f>
        <v>d</v>
      </c>
      <c r="AR89" s="44" t="str" cm="1">
        <f t="array" aca="1" ref="AR89" ca="1">IF(INDIRECT(_xlfn.CONCAT("'",$A89,"'!F30"))&gt;=AR$2,"d",IF(INDIRECT(_xlfn.CONCAT("'",$A89,"'!F31"))&gt;=AR$2,"i",""))</f>
        <v>d</v>
      </c>
      <c r="AS89" s="44" t="str" cm="1">
        <f t="array" aca="1" ref="AS89" ca="1">IF(INDIRECT(_xlfn.CONCAT("'",$A89,"'!F30"))&gt;=AS$2,"d",IF(INDIRECT(_xlfn.CONCAT("'",$A89,"'!F31"))&gt;=AS$2,"i",""))</f>
        <v>d</v>
      </c>
      <c r="AT89" s="44" t="str" cm="1">
        <f t="array" aca="1" ref="AT89" ca="1">IF(INDIRECT(_xlfn.CONCAT("'",$A89,"'!F30"))&gt;=AT$2,"d",IF(INDIRECT(_xlfn.CONCAT("'",$A89,"'!F31"))&gt;=AT$2,"i",""))</f>
        <v>d</v>
      </c>
      <c r="AU89" s="44" t="str" cm="1">
        <f t="array" aca="1" ref="AU89" ca="1">IF(INDIRECT(_xlfn.CONCAT("'",$A89,"'!F30"))&gt;=AU$2,"d",IF(INDIRECT(_xlfn.CONCAT("'",$A89,"'!F31"))&gt;=AU$2,"i",""))</f>
        <v>d</v>
      </c>
      <c r="AV89" s="45" t="str" cm="1">
        <f t="array" aca="1" ref="AV89" ca="1">IF(INDIRECT(_xlfn.CONCAT("'",$A89,"'!F30"))&gt;=AV$2,"d",IF(INDIRECT(_xlfn.CONCAT("'",$A89,"'!F31"))&gt;=AV$2,"i",""))</f>
        <v/>
      </c>
    </row>
    <row r="90" spans="1:48" x14ac:dyDescent="0.25">
      <c r="A90" s="119" t="str">
        <v>Clorinde</v>
      </c>
      <c r="B90" s="45" t="str">
        <f t="shared" ref="B90:B92" si="51">VLOOKUP(A90,Character_List,2,FALSE)</f>
        <v>Electro</v>
      </c>
      <c r="C90" s="153" t="str">
        <f t="shared" ref="C90:C92" si="52">VLOOKUP(A90,Character_List,7,FALSE)</f>
        <v>Fontaine 2</v>
      </c>
      <c r="D90" s="154" t="str">
        <f t="shared" ref="D90:D92" si="53">VLOOKUP(A90,Character_List,8,FALSE)</f>
        <v>Apep 3</v>
      </c>
      <c r="E90" s="19" t="str" cm="1">
        <f t="array" aca="1" ref="E90" ca="1">IF(INDIRECT(_xlfn.CONCAT("'",$A90,"'!B4"))&gt;=E$2,"d",IF(INDIRECT(_xlfn.CONCAT("'",$A90,"'!B5"))&gt;=E$2,"i",""))</f>
        <v>d</v>
      </c>
      <c r="F90" s="44" t="str" cm="1">
        <f t="array" aca="1" ref="F90" ca="1">IF(INDIRECT(_xlfn.CONCAT("'",$A90,"'!B4"))&gt;=F$2,"d",IF(INDIRECT(_xlfn.CONCAT("'",$A90,"'!B5"))&gt;=F$2,"i",""))</f>
        <v>d</v>
      </c>
      <c r="G90" s="44" t="str" cm="1">
        <f t="array" aca="1" ref="G90" ca="1">IF(INDIRECT(_xlfn.CONCAT("'",$A90,"'!B4"))&gt;=G$2,"d",IF(INDIRECT(_xlfn.CONCAT("'",$A90,"'!B5"))&gt;=G$2,"i",""))</f>
        <v>d</v>
      </c>
      <c r="H90" s="44" t="str" cm="1">
        <f t="array" aca="1" ref="H90" ca="1">IF(INDIRECT(_xlfn.CONCAT("'",$A90,"'!B4"))&gt;=H$2,"d",IF(INDIRECT(_xlfn.CONCAT("'",$A90,"'!B5"))&gt;=H$2,"i",""))</f>
        <v>d</v>
      </c>
      <c r="I90" s="44" t="str" cm="1">
        <f t="array" aca="1" ref="I90" ca="1">IF(INDIRECT(_xlfn.CONCAT("'",$A90,"'!B4"))&gt;=I$2,"d",IF(INDIRECT(_xlfn.CONCAT("'",$A90,"'!B5"))&gt;=I$2,"i",""))</f>
        <v>d</v>
      </c>
      <c r="J90" s="44" t="str" cm="1">
        <f t="array" aca="1" ref="J90" ca="1">IF(INDIRECT(_xlfn.CONCAT("'",$A90,"'!B4"))&gt;=J$2,"d",IF(INDIRECT(_xlfn.CONCAT("'",$A90,"'!B5"))&gt;=J$2,"i",""))</f>
        <v>d</v>
      </c>
      <c r="K90" s="45" t="str" cm="1">
        <f t="array" aca="1" ref="K90" ca="1">IF(INDIRECT(_xlfn.CONCAT("'",$A90,"'!B4"))&gt;=K$2,"d",IF(INDIRECT(_xlfn.CONCAT("'",$A90,"'!B5"))&gt;=K$2,"i",""))</f>
        <v>d</v>
      </c>
      <c r="L90" s="155"/>
      <c r="M90" s="44" t="str" cm="1">
        <f t="array" aca="1" ref="M90" ca="1">IF(INDIRECT(_xlfn.CONCAT("'",$A90,"'!C10"))&gt;=M$2,"d",IF(INDIRECT(_xlfn.CONCAT("'",$A90,"'!C11"))&gt;=M$2,"i",""))</f>
        <v>d</v>
      </c>
      <c r="N90" s="44" t="str" cm="1">
        <f t="array" aca="1" ref="N90" ca="1">IF(INDIRECT(_xlfn.CONCAT("'",$A90,"'!C10"))&gt;=N$2,"d",IF(INDIRECT(_xlfn.CONCAT("'",$A90,"'!C11"))&gt;=N$2,"i",""))</f>
        <v>d</v>
      </c>
      <c r="O90" s="44" t="str" cm="1">
        <f t="array" aca="1" ref="O90" ca="1">IF(INDIRECT(_xlfn.CONCAT("'",$A90,"'!C10"))&gt;=O$2,"d",IF(INDIRECT(_xlfn.CONCAT("'",$A90,"'!C11"))&gt;=O$2,"i",""))</f>
        <v>d</v>
      </c>
      <c r="P90" s="44" t="str" cm="1">
        <f t="array" aca="1" ref="P90" ca="1">IF(INDIRECT(_xlfn.CONCAT("'",$A90,"'!C10"))&gt;=P$2,"d",IF(INDIRECT(_xlfn.CONCAT("'",$A90,"'!C11"))&gt;=P$2,"i",""))</f>
        <v>d</v>
      </c>
      <c r="Q90" s="44" t="str" cm="1">
        <f t="array" aca="1" ref="Q90" ca="1">IF(INDIRECT(_xlfn.CONCAT("'",$A90,"'!C10"))&gt;=Q$2,"d",IF(INDIRECT(_xlfn.CONCAT("'",$A90,"'!C11"))&gt;=Q$2,"i",""))</f>
        <v>d</v>
      </c>
      <c r="R90" s="44" t="str" cm="1">
        <f t="array" aca="1" ref="R90" ca="1">IF(INDIRECT(_xlfn.CONCAT("'",$A90,"'!C10"))&gt;=R$2,"d",IF(INDIRECT(_xlfn.CONCAT("'",$A90,"'!C11"))&gt;=R$2,"i",""))</f>
        <v>d</v>
      </c>
      <c r="S90" s="156"/>
      <c r="T90" s="44" t="str" cm="1">
        <f t="array" aca="1" ref="T90" ca="1">IF(INDIRECT(_xlfn.CONCAT("'",$A90,"'!F4"))&gt;=T$2,"d",IF(INDIRECT(_xlfn.CONCAT("'",$A90,"'!F5"))&gt;=T$2,"i",""))</f>
        <v>d</v>
      </c>
      <c r="U90" s="44" t="str" cm="1">
        <f t="array" aca="1" ref="U90" ca="1">IF(INDIRECT(_xlfn.CONCAT("'",$A90,"'!F4"))&gt;=U$2,"d",IF(INDIRECT(_xlfn.CONCAT("'",$A90,"'!F5"))&gt;=U$2,"i",""))</f>
        <v>d</v>
      </c>
      <c r="V90" s="44" t="str" cm="1">
        <f t="array" aca="1" ref="V90" ca="1">IF(INDIRECT(_xlfn.CONCAT("'",$A90,"'!F4"))&gt;=V$2,"d",IF(INDIRECT(_xlfn.CONCAT("'",$A90,"'!F5"))&gt;=V$2,"i",""))</f>
        <v>d</v>
      </c>
      <c r="W90" s="44" t="str" cm="1">
        <f t="array" aca="1" ref="W90" ca="1">IF(INDIRECT(_xlfn.CONCAT("'",$A90,"'!F4"))&gt;=W$2,"d",IF(INDIRECT(_xlfn.CONCAT("'",$A90,"'!F5"))&gt;=W$2,"i",""))</f>
        <v>d</v>
      </c>
      <c r="X90" s="44" t="str" cm="1">
        <f t="array" aca="1" ref="X90" ca="1">IF(INDIRECT(_xlfn.CONCAT("'",$A90,"'!F4"))&gt;=X$2,"d",IF(INDIRECT(_xlfn.CONCAT("'",$A90,"'!F5"))&gt;=X$2,"i",""))</f>
        <v>d</v>
      </c>
      <c r="Y90" s="44" t="str" cm="1">
        <f t="array" aca="1" ref="Y90" ca="1">IF(INDIRECT(_xlfn.CONCAT("'",$A90,"'!F4"))&gt;=Y$2,"d",IF(INDIRECT(_xlfn.CONCAT("'",$A90,"'!F5"))&gt;=Y$2,"i",""))</f>
        <v>d</v>
      </c>
      <c r="Z90" s="44" t="str" cm="1">
        <f t="array" aca="1" ref="Z90" ca="1">IF(INDIRECT(_xlfn.CONCAT("'",$A90,"'!F4"))&gt;=Z$2,"d",IF(INDIRECT(_xlfn.CONCAT("'",$A90,"'!F5"))&gt;=Z$2,"i",""))</f>
        <v>d</v>
      </c>
      <c r="AA90" s="44" t="str" cm="1">
        <f t="array" aca="1" ref="AA90" ca="1">IF(INDIRECT(_xlfn.CONCAT("'",$A90,"'!F4"))&gt;=AA$2,"d",IF(INDIRECT(_xlfn.CONCAT("'",$A90,"'!F5"))&gt;=AA$2,"i",""))</f>
        <v>d</v>
      </c>
      <c r="AB90" s="44" t="str" cm="1">
        <f t="array" aca="1" ref="AB90" ca="1">IF(INDIRECT(_xlfn.CONCAT("'",$A90,"'!F4"))&gt;=AB$2,"d",IF(INDIRECT(_xlfn.CONCAT("'",$A90,"'!F5"))&gt;=AB$2,"i",""))</f>
        <v/>
      </c>
      <c r="AC90" s="156"/>
      <c r="AD90" s="44" t="str" cm="1">
        <f t="array" aca="1" ref="AD90" ca="1">IF(INDIRECT(_xlfn.CONCAT("'",$A90,"'!F17"))&gt;=AD$2,"d",IF(INDIRECT(_xlfn.CONCAT("'",$A90,"'!F18"))&gt;=AD$2,"i",""))</f>
        <v>d</v>
      </c>
      <c r="AE90" s="44" t="str" cm="1">
        <f t="array" aca="1" ref="AE90" ca="1">IF(INDIRECT(_xlfn.CONCAT("'",$A90,"'!F17"))&gt;=AE$2,"d",IF(INDIRECT(_xlfn.CONCAT("'",$A90,"'!F18"))&gt;=AE$2,"i",""))</f>
        <v>d</v>
      </c>
      <c r="AF90" s="44" t="str" cm="1">
        <f t="array" aca="1" ref="AF90" ca="1">IF(INDIRECT(_xlfn.CONCAT("'",$A90,"'!F17"))&gt;=AF$2,"d",IF(INDIRECT(_xlfn.CONCAT("'",$A90,"'!F18"))&gt;=AF$2,"i",""))</f>
        <v>d</v>
      </c>
      <c r="AG90" s="44" t="str" cm="1">
        <f t="array" aca="1" ref="AG90" ca="1">IF(INDIRECT(_xlfn.CONCAT("'",$A90,"'!F17"))&gt;=AG$2,"d",IF(INDIRECT(_xlfn.CONCAT("'",$A90,"'!F18"))&gt;=AG$2,"i",""))</f>
        <v>d</v>
      </c>
      <c r="AH90" s="44" t="str" cm="1">
        <f t="array" aca="1" ref="AH90" ca="1">IF(INDIRECT(_xlfn.CONCAT("'",$A90,"'!F17"))&gt;=AH$2,"d",IF(INDIRECT(_xlfn.CONCAT("'",$A90,"'!F18"))&gt;=AH$2,"i",""))</f>
        <v>d</v>
      </c>
      <c r="AI90" s="44" t="str" cm="1">
        <f t="array" aca="1" ref="AI90" ca="1">IF(INDIRECT(_xlfn.CONCAT("'",$A90,"'!F17"))&gt;=AI$2,"d",IF(INDIRECT(_xlfn.CONCAT("'",$A90,"'!F18"))&gt;=AI$2,"i",""))</f>
        <v>d</v>
      </c>
      <c r="AJ90" s="44" t="str" cm="1">
        <f t="array" aca="1" ref="AJ90" ca="1">IF(INDIRECT(_xlfn.CONCAT("'",$A90,"'!F17"))&gt;=AJ$2,"d",IF(INDIRECT(_xlfn.CONCAT("'",$A90,"'!F18"))&gt;=AJ$2,"i",""))</f>
        <v>d</v>
      </c>
      <c r="AK90" s="44" t="str" cm="1">
        <f t="array" aca="1" ref="AK90" ca="1">IF(INDIRECT(_xlfn.CONCAT("'",$A90,"'!F17"))&gt;=AK$2,"d",IF(INDIRECT(_xlfn.CONCAT("'",$A90,"'!F18"))&gt;=AK$2,"i",""))</f>
        <v>d</v>
      </c>
      <c r="AL90" s="44" t="str" cm="1">
        <f t="array" aca="1" ref="AL90" ca="1">IF(INDIRECT(_xlfn.CONCAT("'",$A90,"'!F17"))&gt;=AL$2,"d",IF(INDIRECT(_xlfn.CONCAT("'",$A90,"'!F18"))&gt;=AL$2,"i",""))</f>
        <v/>
      </c>
      <c r="AM90" s="156"/>
      <c r="AN90" s="44" t="str" cm="1">
        <f t="array" aca="1" ref="AN90" ca="1">IF(INDIRECT(_xlfn.CONCAT("'",$A90,"'!F30"))&gt;=AN$2,"d",IF(INDIRECT(_xlfn.CONCAT("'",$A90,"'!F31"))&gt;=AN$2,"i",""))</f>
        <v>d</v>
      </c>
      <c r="AO90" s="44" t="str" cm="1">
        <f t="array" aca="1" ref="AO90" ca="1">IF(INDIRECT(_xlfn.CONCAT("'",$A90,"'!F30"))&gt;=AO$2,"d",IF(INDIRECT(_xlfn.CONCAT("'",$A90,"'!F31"))&gt;=AO$2,"i",""))</f>
        <v>d</v>
      </c>
      <c r="AP90" s="44" t="str" cm="1">
        <f t="array" aca="1" ref="AP90" ca="1">IF(INDIRECT(_xlfn.CONCAT("'",$A90,"'!F30"))&gt;=AP$2,"d",IF(INDIRECT(_xlfn.CONCAT("'",$A90,"'!F31"))&gt;=AP$2,"i",""))</f>
        <v>d</v>
      </c>
      <c r="AQ90" s="44" t="str" cm="1">
        <f t="array" aca="1" ref="AQ90" ca="1">IF(INDIRECT(_xlfn.CONCAT("'",$A90,"'!F30"))&gt;=AQ$2,"d",IF(INDIRECT(_xlfn.CONCAT("'",$A90,"'!F31"))&gt;=AQ$2,"i",""))</f>
        <v>d</v>
      </c>
      <c r="AR90" s="44" t="str" cm="1">
        <f t="array" aca="1" ref="AR90" ca="1">IF(INDIRECT(_xlfn.CONCAT("'",$A90,"'!F30"))&gt;=AR$2,"d",IF(INDIRECT(_xlfn.CONCAT("'",$A90,"'!F31"))&gt;=AR$2,"i",""))</f>
        <v>d</v>
      </c>
      <c r="AS90" s="44" t="str" cm="1">
        <f t="array" aca="1" ref="AS90" ca="1">IF(INDIRECT(_xlfn.CONCAT("'",$A90,"'!F30"))&gt;=AS$2,"d",IF(INDIRECT(_xlfn.CONCAT("'",$A90,"'!F31"))&gt;=AS$2,"i",""))</f>
        <v>d</v>
      </c>
      <c r="AT90" s="44" t="str" cm="1">
        <f t="array" aca="1" ref="AT90" ca="1">IF(INDIRECT(_xlfn.CONCAT("'",$A90,"'!F30"))&gt;=AT$2,"d",IF(INDIRECT(_xlfn.CONCAT("'",$A90,"'!F31"))&gt;=AT$2,"i",""))</f>
        <v>d</v>
      </c>
      <c r="AU90" s="44" t="str" cm="1">
        <f t="array" aca="1" ref="AU90" ca="1">IF(INDIRECT(_xlfn.CONCAT("'",$A90,"'!F30"))&gt;=AU$2,"d",IF(INDIRECT(_xlfn.CONCAT("'",$A90,"'!F31"))&gt;=AU$2,"i",""))</f>
        <v>d</v>
      </c>
      <c r="AV90" s="45" t="str" cm="1">
        <f t="array" aca="1" ref="AV90" ca="1">IF(INDIRECT(_xlfn.CONCAT("'",$A90,"'!F30"))&gt;=AV$2,"d",IF(INDIRECT(_xlfn.CONCAT("'",$A90,"'!F31"))&gt;=AV$2,"i",""))</f>
        <v/>
      </c>
    </row>
    <row r="91" spans="1:48" x14ac:dyDescent="0.25">
      <c r="A91" s="119" t="str">
        <v>Sethos</v>
      </c>
      <c r="B91" s="45" t="str">
        <f t="shared" si="51"/>
        <v>Electro</v>
      </c>
      <c r="C91" s="153" t="str">
        <f t="shared" si="52"/>
        <v>Sumeru 3</v>
      </c>
      <c r="D91" s="154" t="str">
        <f t="shared" si="53"/>
        <v>Scaramouche 3</v>
      </c>
      <c r="E91" s="19" t="str" cm="1">
        <f t="array" aca="1" ref="E91" ca="1">IF(INDIRECT(_xlfn.CONCAT("'",$A91,"'!B4"))&gt;=E$2,"d",IF(INDIRECT(_xlfn.CONCAT("'",$A91,"'!B5"))&gt;=E$2,"i",""))</f>
        <v>d</v>
      </c>
      <c r="F91" s="44" t="str" cm="1">
        <f t="array" aca="1" ref="F91" ca="1">IF(INDIRECT(_xlfn.CONCAT("'",$A91,"'!B4"))&gt;=F$2,"d",IF(INDIRECT(_xlfn.CONCAT("'",$A91,"'!B5"))&gt;=F$2,"i",""))</f>
        <v>d</v>
      </c>
      <c r="G91" s="44" t="str" cm="1">
        <f t="array" aca="1" ref="G91" ca="1">IF(INDIRECT(_xlfn.CONCAT("'",$A91,"'!B4"))&gt;=G$2,"d",IF(INDIRECT(_xlfn.CONCAT("'",$A91,"'!B5"))&gt;=G$2,"i",""))</f>
        <v>d</v>
      </c>
      <c r="H91" s="44" t="str" cm="1">
        <f t="array" aca="1" ref="H91" ca="1">IF(INDIRECT(_xlfn.CONCAT("'",$A91,"'!B4"))&gt;=H$2,"d",IF(INDIRECT(_xlfn.CONCAT("'",$A91,"'!B5"))&gt;=H$2,"i",""))</f>
        <v>d</v>
      </c>
      <c r="I91" s="44" t="str" cm="1">
        <f t="array" aca="1" ref="I91" ca="1">IF(INDIRECT(_xlfn.CONCAT("'",$A91,"'!B4"))&gt;=I$2,"d",IF(INDIRECT(_xlfn.CONCAT("'",$A91,"'!B5"))&gt;=I$2,"i",""))</f>
        <v>d</v>
      </c>
      <c r="J91" s="44" t="str" cm="1">
        <f t="array" aca="1" ref="J91" ca="1">IF(INDIRECT(_xlfn.CONCAT("'",$A91,"'!B4"))&gt;=J$2,"d",IF(INDIRECT(_xlfn.CONCAT("'",$A91,"'!B5"))&gt;=J$2,"i",""))</f>
        <v>d</v>
      </c>
      <c r="K91" s="45" t="str" cm="1">
        <f t="array" aca="1" ref="K91" ca="1">IF(INDIRECT(_xlfn.CONCAT("'",$A91,"'!B4"))&gt;=K$2,"d",IF(INDIRECT(_xlfn.CONCAT("'",$A91,"'!B5"))&gt;=K$2,"i",""))</f>
        <v>d</v>
      </c>
      <c r="L91" s="155"/>
      <c r="M91" s="44" t="str" cm="1">
        <f t="array" aca="1" ref="M91" ca="1">IF(INDIRECT(_xlfn.CONCAT("'",$A91,"'!C10"))&gt;=M$2,"d",IF(INDIRECT(_xlfn.CONCAT("'",$A91,"'!C11"))&gt;=M$2,"i",""))</f>
        <v>d</v>
      </c>
      <c r="N91" s="44" t="str" cm="1">
        <f t="array" aca="1" ref="N91" ca="1">IF(INDIRECT(_xlfn.CONCAT("'",$A91,"'!C10"))&gt;=N$2,"d",IF(INDIRECT(_xlfn.CONCAT("'",$A91,"'!C11"))&gt;=N$2,"i",""))</f>
        <v>d</v>
      </c>
      <c r="O91" s="44" t="str" cm="1">
        <f t="array" aca="1" ref="O91" ca="1">IF(INDIRECT(_xlfn.CONCAT("'",$A91,"'!C10"))&gt;=O$2,"d",IF(INDIRECT(_xlfn.CONCAT("'",$A91,"'!C11"))&gt;=O$2,"i",""))</f>
        <v>d</v>
      </c>
      <c r="P91" s="44" t="str" cm="1">
        <f t="array" aca="1" ref="P91" ca="1">IF(INDIRECT(_xlfn.CONCAT("'",$A91,"'!C10"))&gt;=P$2,"d",IF(INDIRECT(_xlfn.CONCAT("'",$A91,"'!C11"))&gt;=P$2,"i",""))</f>
        <v>d</v>
      </c>
      <c r="Q91" s="44" t="str" cm="1">
        <f t="array" aca="1" ref="Q91" ca="1">IF(INDIRECT(_xlfn.CONCAT("'",$A91,"'!C10"))&gt;=Q$2,"d",IF(INDIRECT(_xlfn.CONCAT("'",$A91,"'!C11"))&gt;=Q$2,"i",""))</f>
        <v>d</v>
      </c>
      <c r="R91" s="44" t="str" cm="1">
        <f t="array" aca="1" ref="R91" ca="1">IF(INDIRECT(_xlfn.CONCAT("'",$A91,"'!C10"))&gt;=R$2,"d",IF(INDIRECT(_xlfn.CONCAT("'",$A91,"'!C11"))&gt;=R$2,"i",""))</f>
        <v>d</v>
      </c>
      <c r="S91" s="156"/>
      <c r="T91" s="44" t="str" cm="1">
        <f t="array" aca="1" ref="T91" ca="1">IF(INDIRECT(_xlfn.CONCAT("'",$A91,"'!F4"))&gt;=T$2,"d",IF(INDIRECT(_xlfn.CONCAT("'",$A91,"'!F5"))&gt;=T$2,"i",""))</f>
        <v>d</v>
      </c>
      <c r="U91" s="44" t="str" cm="1">
        <f t="array" aca="1" ref="U91" ca="1">IF(INDIRECT(_xlfn.CONCAT("'",$A91,"'!F4"))&gt;=U$2,"d",IF(INDIRECT(_xlfn.CONCAT("'",$A91,"'!F5"))&gt;=U$2,"i",""))</f>
        <v>d</v>
      </c>
      <c r="V91" s="44" t="str" cm="1">
        <f t="array" aca="1" ref="V91" ca="1">IF(INDIRECT(_xlfn.CONCAT("'",$A91,"'!F4"))&gt;=V$2,"d",IF(INDIRECT(_xlfn.CONCAT("'",$A91,"'!F5"))&gt;=V$2,"i",""))</f>
        <v>d</v>
      </c>
      <c r="W91" s="44" t="str" cm="1">
        <f t="array" aca="1" ref="W91" ca="1">IF(INDIRECT(_xlfn.CONCAT("'",$A91,"'!F4"))&gt;=W$2,"d",IF(INDIRECT(_xlfn.CONCAT("'",$A91,"'!F5"))&gt;=W$2,"i",""))</f>
        <v>d</v>
      </c>
      <c r="X91" s="44" t="str" cm="1">
        <f t="array" aca="1" ref="X91" ca="1">IF(INDIRECT(_xlfn.CONCAT("'",$A91,"'!F4"))&gt;=X$2,"d",IF(INDIRECT(_xlfn.CONCAT("'",$A91,"'!F5"))&gt;=X$2,"i",""))</f>
        <v>d</v>
      </c>
      <c r="Y91" s="44" t="str" cm="1">
        <f t="array" aca="1" ref="Y91" ca="1">IF(INDIRECT(_xlfn.CONCAT("'",$A91,"'!F4"))&gt;=Y$2,"d",IF(INDIRECT(_xlfn.CONCAT("'",$A91,"'!F5"))&gt;=Y$2,"i",""))</f>
        <v>d</v>
      </c>
      <c r="Z91" s="44" t="str" cm="1">
        <f t="array" aca="1" ref="Z91" ca="1">IF(INDIRECT(_xlfn.CONCAT("'",$A91,"'!F4"))&gt;=Z$2,"d",IF(INDIRECT(_xlfn.CONCAT("'",$A91,"'!F5"))&gt;=Z$2,"i",""))</f>
        <v>d</v>
      </c>
      <c r="AA91" s="44" t="str" cm="1">
        <f t="array" aca="1" ref="AA91" ca="1">IF(INDIRECT(_xlfn.CONCAT("'",$A91,"'!F4"))&gt;=AA$2,"d",IF(INDIRECT(_xlfn.CONCAT("'",$A91,"'!F5"))&gt;=AA$2,"i",""))</f>
        <v>d</v>
      </c>
      <c r="AB91" s="44" t="str" cm="1">
        <f t="array" aca="1" ref="AB91" ca="1">IF(INDIRECT(_xlfn.CONCAT("'",$A91,"'!F4"))&gt;=AB$2,"d",IF(INDIRECT(_xlfn.CONCAT("'",$A91,"'!F5"))&gt;=AB$2,"i",""))</f>
        <v/>
      </c>
      <c r="AC91" s="156"/>
      <c r="AD91" s="44" t="str" cm="1">
        <f t="array" aca="1" ref="AD91" ca="1">IF(INDIRECT(_xlfn.CONCAT("'",$A91,"'!F17"))&gt;=AD$2,"d",IF(INDIRECT(_xlfn.CONCAT("'",$A91,"'!F18"))&gt;=AD$2,"i",""))</f>
        <v>d</v>
      </c>
      <c r="AE91" s="44" t="str" cm="1">
        <f t="array" aca="1" ref="AE91" ca="1">IF(INDIRECT(_xlfn.CONCAT("'",$A91,"'!F17"))&gt;=AE$2,"d",IF(INDIRECT(_xlfn.CONCAT("'",$A91,"'!F18"))&gt;=AE$2,"i",""))</f>
        <v>d</v>
      </c>
      <c r="AF91" s="44" t="str" cm="1">
        <f t="array" aca="1" ref="AF91" ca="1">IF(INDIRECT(_xlfn.CONCAT("'",$A91,"'!F17"))&gt;=AF$2,"d",IF(INDIRECT(_xlfn.CONCAT("'",$A91,"'!F18"))&gt;=AF$2,"i",""))</f>
        <v>d</v>
      </c>
      <c r="AG91" s="44" t="str" cm="1">
        <f t="array" aca="1" ref="AG91" ca="1">IF(INDIRECT(_xlfn.CONCAT("'",$A91,"'!F17"))&gt;=AG$2,"d",IF(INDIRECT(_xlfn.CONCAT("'",$A91,"'!F18"))&gt;=AG$2,"i",""))</f>
        <v>d</v>
      </c>
      <c r="AH91" s="44" t="str" cm="1">
        <f t="array" aca="1" ref="AH91" ca="1">IF(INDIRECT(_xlfn.CONCAT("'",$A91,"'!F17"))&gt;=AH$2,"d",IF(INDIRECT(_xlfn.CONCAT("'",$A91,"'!F18"))&gt;=AH$2,"i",""))</f>
        <v>d</v>
      </c>
      <c r="AI91" s="44" t="str" cm="1">
        <f t="array" aca="1" ref="AI91" ca="1">IF(INDIRECT(_xlfn.CONCAT("'",$A91,"'!F17"))&gt;=AI$2,"d",IF(INDIRECT(_xlfn.CONCAT("'",$A91,"'!F18"))&gt;=AI$2,"i",""))</f>
        <v>d</v>
      </c>
      <c r="AJ91" s="44" t="str" cm="1">
        <f t="array" aca="1" ref="AJ91" ca="1">IF(INDIRECT(_xlfn.CONCAT("'",$A91,"'!F17"))&gt;=AJ$2,"d",IF(INDIRECT(_xlfn.CONCAT("'",$A91,"'!F18"))&gt;=AJ$2,"i",""))</f>
        <v>d</v>
      </c>
      <c r="AK91" s="44" t="str" cm="1">
        <f t="array" aca="1" ref="AK91" ca="1">IF(INDIRECT(_xlfn.CONCAT("'",$A91,"'!F17"))&gt;=AK$2,"d",IF(INDIRECT(_xlfn.CONCAT("'",$A91,"'!F18"))&gt;=AK$2,"i",""))</f>
        <v>d</v>
      </c>
      <c r="AL91" s="44" t="str" cm="1">
        <f t="array" aca="1" ref="AL91" ca="1">IF(INDIRECT(_xlfn.CONCAT("'",$A91,"'!F17"))&gt;=AL$2,"d",IF(INDIRECT(_xlfn.CONCAT("'",$A91,"'!F18"))&gt;=AL$2,"i",""))</f>
        <v/>
      </c>
      <c r="AM91" s="156"/>
      <c r="AN91" s="44" t="str" cm="1">
        <f t="array" aca="1" ref="AN91" ca="1">IF(INDIRECT(_xlfn.CONCAT("'",$A91,"'!F30"))&gt;=AN$2,"d",IF(INDIRECT(_xlfn.CONCAT("'",$A91,"'!F31"))&gt;=AN$2,"i",""))</f>
        <v>d</v>
      </c>
      <c r="AO91" s="44" t="str" cm="1">
        <f t="array" aca="1" ref="AO91" ca="1">IF(INDIRECT(_xlfn.CONCAT("'",$A91,"'!F30"))&gt;=AO$2,"d",IF(INDIRECT(_xlfn.CONCAT("'",$A91,"'!F31"))&gt;=AO$2,"i",""))</f>
        <v>d</v>
      </c>
      <c r="AP91" s="44" t="str" cm="1">
        <f t="array" aca="1" ref="AP91" ca="1">IF(INDIRECT(_xlfn.CONCAT("'",$A91,"'!F30"))&gt;=AP$2,"d",IF(INDIRECT(_xlfn.CONCAT("'",$A91,"'!F31"))&gt;=AP$2,"i",""))</f>
        <v>d</v>
      </c>
      <c r="AQ91" s="44" t="str" cm="1">
        <f t="array" aca="1" ref="AQ91" ca="1">IF(INDIRECT(_xlfn.CONCAT("'",$A91,"'!F30"))&gt;=AQ$2,"d",IF(INDIRECT(_xlfn.CONCAT("'",$A91,"'!F31"))&gt;=AQ$2,"i",""))</f>
        <v>d</v>
      </c>
      <c r="AR91" s="44" t="str" cm="1">
        <f t="array" aca="1" ref="AR91" ca="1">IF(INDIRECT(_xlfn.CONCAT("'",$A91,"'!F30"))&gt;=AR$2,"d",IF(INDIRECT(_xlfn.CONCAT("'",$A91,"'!F31"))&gt;=AR$2,"i",""))</f>
        <v>d</v>
      </c>
      <c r="AS91" s="44" t="str" cm="1">
        <f t="array" aca="1" ref="AS91" ca="1">IF(INDIRECT(_xlfn.CONCAT("'",$A91,"'!F30"))&gt;=AS$2,"d",IF(INDIRECT(_xlfn.CONCAT("'",$A91,"'!F31"))&gt;=AS$2,"i",""))</f>
        <v>d</v>
      </c>
      <c r="AT91" s="44" t="str" cm="1">
        <f t="array" aca="1" ref="AT91" ca="1">IF(INDIRECT(_xlfn.CONCAT("'",$A91,"'!F30"))&gt;=AT$2,"d",IF(INDIRECT(_xlfn.CONCAT("'",$A91,"'!F31"))&gt;=AT$2,"i",""))</f>
        <v>d</v>
      </c>
      <c r="AU91" s="44" t="str" cm="1">
        <f t="array" aca="1" ref="AU91" ca="1">IF(INDIRECT(_xlfn.CONCAT("'",$A91,"'!F30"))&gt;=AU$2,"d",IF(INDIRECT(_xlfn.CONCAT("'",$A91,"'!F31"))&gt;=AU$2,"i",""))</f>
        <v>d</v>
      </c>
      <c r="AV91" s="45" t="str" cm="1">
        <f t="array" aca="1" ref="AV91" ca="1">IF(INDIRECT(_xlfn.CONCAT("'",$A91,"'!F30"))&gt;=AV$2,"d",IF(INDIRECT(_xlfn.CONCAT("'",$A91,"'!F31"))&gt;=AV$2,"i",""))</f>
        <v/>
      </c>
    </row>
    <row r="92" spans="1:48" x14ac:dyDescent="0.25">
      <c r="A92" s="119" t="str">
        <v>Sigewinne</v>
      </c>
      <c r="B92" s="45" t="str">
        <f t="shared" si="51"/>
        <v>Hydro</v>
      </c>
      <c r="C92" s="153" t="str">
        <f t="shared" si="52"/>
        <v>Fontaine 1</v>
      </c>
      <c r="D92" s="154" t="str">
        <f t="shared" si="53"/>
        <v>Narwhal 2</v>
      </c>
      <c r="E92" s="19" t="str" cm="1">
        <f t="array" aca="1" ref="E92" ca="1">IF(INDIRECT(_xlfn.CONCAT("'",$A92,"'!B4"))&gt;=E$2,"d",IF(INDIRECT(_xlfn.CONCAT("'",$A92,"'!B5"))&gt;=E$2,"i",""))</f>
        <v>d</v>
      </c>
      <c r="F92" s="44" t="str" cm="1">
        <f t="array" aca="1" ref="F92" ca="1">IF(INDIRECT(_xlfn.CONCAT("'",$A92,"'!B4"))&gt;=F$2,"d",IF(INDIRECT(_xlfn.CONCAT("'",$A92,"'!B5"))&gt;=F$2,"i",""))</f>
        <v>d</v>
      </c>
      <c r="G92" s="44" t="str" cm="1">
        <f t="array" aca="1" ref="G92" ca="1">IF(INDIRECT(_xlfn.CONCAT("'",$A92,"'!B4"))&gt;=G$2,"d",IF(INDIRECT(_xlfn.CONCAT("'",$A92,"'!B5"))&gt;=G$2,"i",""))</f>
        <v>d</v>
      </c>
      <c r="H92" s="44" t="str" cm="1">
        <f t="array" aca="1" ref="H92" ca="1">IF(INDIRECT(_xlfn.CONCAT("'",$A92,"'!B4"))&gt;=H$2,"d",IF(INDIRECT(_xlfn.CONCAT("'",$A92,"'!B5"))&gt;=H$2,"i",""))</f>
        <v>d</v>
      </c>
      <c r="I92" s="44" t="str" cm="1">
        <f t="array" aca="1" ref="I92" ca="1">IF(INDIRECT(_xlfn.CONCAT("'",$A92,"'!B4"))&gt;=I$2,"d",IF(INDIRECT(_xlfn.CONCAT("'",$A92,"'!B5"))&gt;=I$2,"i",""))</f>
        <v>d</v>
      </c>
      <c r="J92" s="44" t="str" cm="1">
        <f t="array" aca="1" ref="J92" ca="1">IF(INDIRECT(_xlfn.CONCAT("'",$A92,"'!B4"))&gt;=J$2,"d",IF(INDIRECT(_xlfn.CONCAT("'",$A92,"'!B5"))&gt;=J$2,"i",""))</f>
        <v>d</v>
      </c>
      <c r="K92" s="45" t="str" cm="1">
        <f t="array" aca="1" ref="K92" ca="1">IF(INDIRECT(_xlfn.CONCAT("'",$A92,"'!B4"))&gt;=K$2,"d",IF(INDIRECT(_xlfn.CONCAT("'",$A92,"'!B5"))&gt;=K$2,"i",""))</f>
        <v>d</v>
      </c>
      <c r="L92" s="155"/>
      <c r="M92" s="44" t="str" cm="1">
        <f t="array" aca="1" ref="M92" ca="1">IF(INDIRECT(_xlfn.CONCAT("'",$A92,"'!C10"))&gt;=M$2,"d",IF(INDIRECT(_xlfn.CONCAT("'",$A92,"'!C11"))&gt;=M$2,"i",""))</f>
        <v>d</v>
      </c>
      <c r="N92" s="44" t="str" cm="1">
        <f t="array" aca="1" ref="N92" ca="1">IF(INDIRECT(_xlfn.CONCAT("'",$A92,"'!C10"))&gt;=N$2,"d",IF(INDIRECT(_xlfn.CONCAT("'",$A92,"'!C11"))&gt;=N$2,"i",""))</f>
        <v>d</v>
      </c>
      <c r="O92" s="44" t="str" cm="1">
        <f t="array" aca="1" ref="O92" ca="1">IF(INDIRECT(_xlfn.CONCAT("'",$A92,"'!C10"))&gt;=O$2,"d",IF(INDIRECT(_xlfn.CONCAT("'",$A92,"'!C11"))&gt;=O$2,"i",""))</f>
        <v>d</v>
      </c>
      <c r="P92" s="44" t="str" cm="1">
        <f t="array" aca="1" ref="P92" ca="1">IF(INDIRECT(_xlfn.CONCAT("'",$A92,"'!C10"))&gt;=P$2,"d",IF(INDIRECT(_xlfn.CONCAT("'",$A92,"'!C11"))&gt;=P$2,"i",""))</f>
        <v>d</v>
      </c>
      <c r="Q92" s="44" t="str" cm="1">
        <f t="array" aca="1" ref="Q92" ca="1">IF(INDIRECT(_xlfn.CONCAT("'",$A92,"'!C10"))&gt;=Q$2,"d",IF(INDIRECT(_xlfn.CONCAT("'",$A92,"'!C11"))&gt;=Q$2,"i",""))</f>
        <v>d</v>
      </c>
      <c r="R92" s="44" t="str" cm="1">
        <f t="array" aca="1" ref="R92" ca="1">IF(INDIRECT(_xlfn.CONCAT("'",$A92,"'!C10"))&gt;=R$2,"d",IF(INDIRECT(_xlfn.CONCAT("'",$A92,"'!C11"))&gt;=R$2,"i",""))</f>
        <v>d</v>
      </c>
      <c r="S92" s="156"/>
      <c r="T92" s="44" t="str" cm="1">
        <f t="array" aca="1" ref="T92" ca="1">IF(INDIRECT(_xlfn.CONCAT("'",$A92,"'!F4"))&gt;=T$2,"d",IF(INDIRECT(_xlfn.CONCAT("'",$A92,"'!F5"))&gt;=T$2,"i",""))</f>
        <v>d</v>
      </c>
      <c r="U92" s="44" t="str" cm="1">
        <f t="array" aca="1" ref="U92" ca="1">IF(INDIRECT(_xlfn.CONCAT("'",$A92,"'!F4"))&gt;=U$2,"d",IF(INDIRECT(_xlfn.CONCAT("'",$A92,"'!F5"))&gt;=U$2,"i",""))</f>
        <v>d</v>
      </c>
      <c r="V92" s="44" t="str" cm="1">
        <f t="array" aca="1" ref="V92" ca="1">IF(INDIRECT(_xlfn.CONCAT("'",$A92,"'!F4"))&gt;=V$2,"d",IF(INDIRECT(_xlfn.CONCAT("'",$A92,"'!F5"))&gt;=V$2,"i",""))</f>
        <v>d</v>
      </c>
      <c r="W92" s="44" t="str" cm="1">
        <f t="array" aca="1" ref="W92" ca="1">IF(INDIRECT(_xlfn.CONCAT("'",$A92,"'!F4"))&gt;=W$2,"d",IF(INDIRECT(_xlfn.CONCAT("'",$A92,"'!F5"))&gt;=W$2,"i",""))</f>
        <v>d</v>
      </c>
      <c r="X92" s="44" t="str" cm="1">
        <f t="array" aca="1" ref="X92" ca="1">IF(INDIRECT(_xlfn.CONCAT("'",$A92,"'!F4"))&gt;=X$2,"d",IF(INDIRECT(_xlfn.CONCAT("'",$A92,"'!F5"))&gt;=X$2,"i",""))</f>
        <v>d</v>
      </c>
      <c r="Y92" s="44" t="str" cm="1">
        <f t="array" aca="1" ref="Y92" ca="1">IF(INDIRECT(_xlfn.CONCAT("'",$A92,"'!F4"))&gt;=Y$2,"d",IF(INDIRECT(_xlfn.CONCAT("'",$A92,"'!F5"))&gt;=Y$2,"i",""))</f>
        <v>d</v>
      </c>
      <c r="Z92" s="44" t="str" cm="1">
        <f t="array" aca="1" ref="Z92" ca="1">IF(INDIRECT(_xlfn.CONCAT("'",$A92,"'!F4"))&gt;=Z$2,"d",IF(INDIRECT(_xlfn.CONCAT("'",$A92,"'!F5"))&gt;=Z$2,"i",""))</f>
        <v>d</v>
      </c>
      <c r="AA92" s="44" t="str" cm="1">
        <f t="array" aca="1" ref="AA92" ca="1">IF(INDIRECT(_xlfn.CONCAT("'",$A92,"'!F4"))&gt;=AA$2,"d",IF(INDIRECT(_xlfn.CONCAT("'",$A92,"'!F5"))&gt;=AA$2,"i",""))</f>
        <v>d</v>
      </c>
      <c r="AB92" s="44" t="str" cm="1">
        <f t="array" aca="1" ref="AB92" ca="1">IF(INDIRECT(_xlfn.CONCAT("'",$A92,"'!F4"))&gt;=AB$2,"d",IF(INDIRECT(_xlfn.CONCAT("'",$A92,"'!F5"))&gt;=AB$2,"i",""))</f>
        <v/>
      </c>
      <c r="AC92" s="156"/>
      <c r="AD92" s="44" t="str" cm="1">
        <f t="array" aca="1" ref="AD92" ca="1">IF(INDIRECT(_xlfn.CONCAT("'",$A92,"'!F17"))&gt;=AD$2,"d",IF(INDIRECT(_xlfn.CONCAT("'",$A92,"'!F18"))&gt;=AD$2,"i",""))</f>
        <v>d</v>
      </c>
      <c r="AE92" s="44" t="str" cm="1">
        <f t="array" aca="1" ref="AE92" ca="1">IF(INDIRECT(_xlfn.CONCAT("'",$A92,"'!F17"))&gt;=AE$2,"d",IF(INDIRECT(_xlfn.CONCAT("'",$A92,"'!F18"))&gt;=AE$2,"i",""))</f>
        <v>d</v>
      </c>
      <c r="AF92" s="44" t="str" cm="1">
        <f t="array" aca="1" ref="AF92" ca="1">IF(INDIRECT(_xlfn.CONCAT("'",$A92,"'!F17"))&gt;=AF$2,"d",IF(INDIRECT(_xlfn.CONCAT("'",$A92,"'!F18"))&gt;=AF$2,"i",""))</f>
        <v>d</v>
      </c>
      <c r="AG92" s="44" t="str" cm="1">
        <f t="array" aca="1" ref="AG92" ca="1">IF(INDIRECT(_xlfn.CONCAT("'",$A92,"'!F17"))&gt;=AG$2,"d",IF(INDIRECT(_xlfn.CONCAT("'",$A92,"'!F18"))&gt;=AG$2,"i",""))</f>
        <v>d</v>
      </c>
      <c r="AH92" s="44" t="str" cm="1">
        <f t="array" aca="1" ref="AH92" ca="1">IF(INDIRECT(_xlfn.CONCAT("'",$A92,"'!F17"))&gt;=AH$2,"d",IF(INDIRECT(_xlfn.CONCAT("'",$A92,"'!F18"))&gt;=AH$2,"i",""))</f>
        <v>d</v>
      </c>
      <c r="AI92" s="44" t="str" cm="1">
        <f t="array" aca="1" ref="AI92" ca="1">IF(INDIRECT(_xlfn.CONCAT("'",$A92,"'!F17"))&gt;=AI$2,"d",IF(INDIRECT(_xlfn.CONCAT("'",$A92,"'!F18"))&gt;=AI$2,"i",""))</f>
        <v>d</v>
      </c>
      <c r="AJ92" s="44" t="str" cm="1">
        <f t="array" aca="1" ref="AJ92" ca="1">IF(INDIRECT(_xlfn.CONCAT("'",$A92,"'!F17"))&gt;=AJ$2,"d",IF(INDIRECT(_xlfn.CONCAT("'",$A92,"'!F18"))&gt;=AJ$2,"i",""))</f>
        <v>d</v>
      </c>
      <c r="AK92" s="44" t="str" cm="1">
        <f t="array" aca="1" ref="AK92" ca="1">IF(INDIRECT(_xlfn.CONCAT("'",$A92,"'!F17"))&gt;=AK$2,"d",IF(INDIRECT(_xlfn.CONCAT("'",$A92,"'!F18"))&gt;=AK$2,"i",""))</f>
        <v>d</v>
      </c>
      <c r="AL92" s="44" t="str" cm="1">
        <f t="array" aca="1" ref="AL92" ca="1">IF(INDIRECT(_xlfn.CONCAT("'",$A92,"'!F17"))&gt;=AL$2,"d",IF(INDIRECT(_xlfn.CONCAT("'",$A92,"'!F18"))&gt;=AL$2,"i",""))</f>
        <v/>
      </c>
      <c r="AM92" s="156"/>
      <c r="AN92" s="44" t="str" cm="1">
        <f t="array" aca="1" ref="AN92" ca="1">IF(INDIRECT(_xlfn.CONCAT("'",$A92,"'!F30"))&gt;=AN$2,"d",IF(INDIRECT(_xlfn.CONCAT("'",$A92,"'!F31"))&gt;=AN$2,"i",""))</f>
        <v>d</v>
      </c>
      <c r="AO92" s="44" t="str" cm="1">
        <f t="array" aca="1" ref="AO92" ca="1">IF(INDIRECT(_xlfn.CONCAT("'",$A92,"'!F30"))&gt;=AO$2,"d",IF(INDIRECT(_xlfn.CONCAT("'",$A92,"'!F31"))&gt;=AO$2,"i",""))</f>
        <v>d</v>
      </c>
      <c r="AP92" s="44" t="str" cm="1">
        <f t="array" aca="1" ref="AP92" ca="1">IF(INDIRECT(_xlfn.CONCAT("'",$A92,"'!F30"))&gt;=AP$2,"d",IF(INDIRECT(_xlfn.CONCAT("'",$A92,"'!F31"))&gt;=AP$2,"i",""))</f>
        <v>d</v>
      </c>
      <c r="AQ92" s="44" t="str" cm="1">
        <f t="array" aca="1" ref="AQ92" ca="1">IF(INDIRECT(_xlfn.CONCAT("'",$A92,"'!F30"))&gt;=AQ$2,"d",IF(INDIRECT(_xlfn.CONCAT("'",$A92,"'!F31"))&gt;=AQ$2,"i",""))</f>
        <v>d</v>
      </c>
      <c r="AR92" s="44" t="str" cm="1">
        <f t="array" aca="1" ref="AR92" ca="1">IF(INDIRECT(_xlfn.CONCAT("'",$A92,"'!F30"))&gt;=AR$2,"d",IF(INDIRECT(_xlfn.CONCAT("'",$A92,"'!F31"))&gt;=AR$2,"i",""))</f>
        <v>d</v>
      </c>
      <c r="AS92" s="44" t="str" cm="1">
        <f t="array" aca="1" ref="AS92" ca="1">IF(INDIRECT(_xlfn.CONCAT("'",$A92,"'!F30"))&gt;=AS$2,"d",IF(INDIRECT(_xlfn.CONCAT("'",$A92,"'!F31"))&gt;=AS$2,"i",""))</f>
        <v>d</v>
      </c>
      <c r="AT92" s="44" t="str" cm="1">
        <f t="array" aca="1" ref="AT92" ca="1">IF(INDIRECT(_xlfn.CONCAT("'",$A92,"'!F30"))&gt;=AT$2,"d",IF(INDIRECT(_xlfn.CONCAT("'",$A92,"'!F31"))&gt;=AT$2,"i",""))</f>
        <v>d</v>
      </c>
      <c r="AU92" s="44" t="str" cm="1">
        <f t="array" aca="1" ref="AU92" ca="1">IF(INDIRECT(_xlfn.CONCAT("'",$A92,"'!F30"))&gt;=AU$2,"d",IF(INDIRECT(_xlfn.CONCAT("'",$A92,"'!F31"))&gt;=AU$2,"i",""))</f>
        <v>d</v>
      </c>
      <c r="AV92" s="45" t="str" cm="1">
        <f t="array" aca="1" ref="AV92" ca="1">IF(INDIRECT(_xlfn.CONCAT("'",$A92,"'!F30"))&gt;=AV$2,"d",IF(INDIRECT(_xlfn.CONCAT("'",$A92,"'!F31"))&gt;=AV$2,"i",""))</f>
        <v/>
      </c>
    </row>
    <row r="93" spans="1:48" x14ac:dyDescent="0.25">
      <c r="A93" s="119" t="str">
        <v>Emilie</v>
      </c>
      <c r="B93" s="45" t="str">
        <f t="shared" ref="B93" si="54">VLOOKUP(A93,Character_List,2,FALSE)</f>
        <v>Dendro</v>
      </c>
      <c r="C93" s="153" t="str">
        <f t="shared" ref="C93" si="55">VLOOKUP(A93,Character_List,7,FALSE)</f>
        <v>Fontaine 3</v>
      </c>
      <c r="D93" s="154" t="str">
        <f t="shared" ref="D93" si="56">VLOOKUP(A93,Character_List,8,FALSE)</f>
        <v>Knave 2</v>
      </c>
      <c r="E93" s="19" t="str" cm="1">
        <f t="array" aca="1" ref="E93" ca="1">IF(INDIRECT(_xlfn.CONCAT("'",$A93,"'!B4"))&gt;=E$2,"d",IF(INDIRECT(_xlfn.CONCAT("'",$A93,"'!B5"))&gt;=E$2,"i",""))</f>
        <v>d</v>
      </c>
      <c r="F93" s="44" t="str" cm="1">
        <f t="array" aca="1" ref="F93" ca="1">IF(INDIRECT(_xlfn.CONCAT("'",$A93,"'!B4"))&gt;=F$2,"d",IF(INDIRECT(_xlfn.CONCAT("'",$A93,"'!B5"))&gt;=F$2,"i",""))</f>
        <v>d</v>
      </c>
      <c r="G93" s="44" t="str" cm="1">
        <f t="array" aca="1" ref="G93" ca="1">IF(INDIRECT(_xlfn.CONCAT("'",$A93,"'!B4"))&gt;=G$2,"d",IF(INDIRECT(_xlfn.CONCAT("'",$A93,"'!B5"))&gt;=G$2,"i",""))</f>
        <v>d</v>
      </c>
      <c r="H93" s="44" t="str" cm="1">
        <f t="array" aca="1" ref="H93" ca="1">IF(INDIRECT(_xlfn.CONCAT("'",$A93,"'!B4"))&gt;=H$2,"d",IF(INDIRECT(_xlfn.CONCAT("'",$A93,"'!B5"))&gt;=H$2,"i",""))</f>
        <v>d</v>
      </c>
      <c r="I93" s="44" t="str" cm="1">
        <f t="array" aca="1" ref="I93" ca="1">IF(INDIRECT(_xlfn.CONCAT("'",$A93,"'!B4"))&gt;=I$2,"d",IF(INDIRECT(_xlfn.CONCAT("'",$A93,"'!B5"))&gt;=I$2,"i",""))</f>
        <v>d</v>
      </c>
      <c r="J93" s="44" t="str" cm="1">
        <f t="array" aca="1" ref="J93" ca="1">IF(INDIRECT(_xlfn.CONCAT("'",$A93,"'!B4"))&gt;=J$2,"d",IF(INDIRECT(_xlfn.CONCAT("'",$A93,"'!B5"))&gt;=J$2,"i",""))</f>
        <v>d</v>
      </c>
      <c r="K93" s="45" t="str" cm="1">
        <f t="array" aca="1" ref="K93" ca="1">IF(INDIRECT(_xlfn.CONCAT("'",$A93,"'!B4"))&gt;=K$2,"d",IF(INDIRECT(_xlfn.CONCAT("'",$A93,"'!B5"))&gt;=K$2,"i",""))</f>
        <v>d</v>
      </c>
      <c r="L93" s="155"/>
      <c r="M93" s="44" t="str" cm="1">
        <f t="array" aca="1" ref="M93" ca="1">IF(INDIRECT(_xlfn.CONCAT("'",$A93,"'!C10"))&gt;=M$2,"d",IF(INDIRECT(_xlfn.CONCAT("'",$A93,"'!C11"))&gt;=M$2,"i",""))</f>
        <v>d</v>
      </c>
      <c r="N93" s="44" t="str" cm="1">
        <f t="array" aca="1" ref="N93" ca="1">IF(INDIRECT(_xlfn.CONCAT("'",$A93,"'!C10"))&gt;=N$2,"d",IF(INDIRECT(_xlfn.CONCAT("'",$A93,"'!C11"))&gt;=N$2,"i",""))</f>
        <v>d</v>
      </c>
      <c r="O93" s="44" t="str" cm="1">
        <f t="array" aca="1" ref="O93" ca="1">IF(INDIRECT(_xlfn.CONCAT("'",$A93,"'!C10"))&gt;=O$2,"d",IF(INDIRECT(_xlfn.CONCAT("'",$A93,"'!C11"))&gt;=O$2,"i",""))</f>
        <v>d</v>
      </c>
      <c r="P93" s="44" t="str" cm="1">
        <f t="array" aca="1" ref="P93" ca="1">IF(INDIRECT(_xlfn.CONCAT("'",$A93,"'!C10"))&gt;=P$2,"d",IF(INDIRECT(_xlfn.CONCAT("'",$A93,"'!C11"))&gt;=P$2,"i",""))</f>
        <v>d</v>
      </c>
      <c r="Q93" s="44" t="str" cm="1">
        <f t="array" aca="1" ref="Q93" ca="1">IF(INDIRECT(_xlfn.CONCAT("'",$A93,"'!C10"))&gt;=Q$2,"d",IF(INDIRECT(_xlfn.CONCAT("'",$A93,"'!C11"))&gt;=Q$2,"i",""))</f>
        <v>d</v>
      </c>
      <c r="R93" s="44" t="str" cm="1">
        <f t="array" aca="1" ref="R93" ca="1">IF(INDIRECT(_xlfn.CONCAT("'",$A93,"'!C10"))&gt;=R$2,"d",IF(INDIRECT(_xlfn.CONCAT("'",$A93,"'!C11"))&gt;=R$2,"i",""))</f>
        <v>d</v>
      </c>
      <c r="S93" s="156"/>
      <c r="T93" s="44" t="str" cm="1">
        <f t="array" aca="1" ref="T93" ca="1">IF(INDIRECT(_xlfn.CONCAT("'",$A93,"'!F4"))&gt;=T$2,"d",IF(INDIRECT(_xlfn.CONCAT("'",$A93,"'!F5"))&gt;=T$2,"i",""))</f>
        <v>d</v>
      </c>
      <c r="U93" s="44" t="str" cm="1">
        <f t="array" aca="1" ref="U93" ca="1">IF(INDIRECT(_xlfn.CONCAT("'",$A93,"'!F4"))&gt;=U$2,"d",IF(INDIRECT(_xlfn.CONCAT("'",$A93,"'!F5"))&gt;=U$2,"i",""))</f>
        <v>d</v>
      </c>
      <c r="V93" s="44" t="str" cm="1">
        <f t="array" aca="1" ref="V93" ca="1">IF(INDIRECT(_xlfn.CONCAT("'",$A93,"'!F4"))&gt;=V$2,"d",IF(INDIRECT(_xlfn.CONCAT("'",$A93,"'!F5"))&gt;=V$2,"i",""))</f>
        <v>d</v>
      </c>
      <c r="W93" s="44" t="str" cm="1">
        <f t="array" aca="1" ref="W93" ca="1">IF(INDIRECT(_xlfn.CONCAT("'",$A93,"'!F4"))&gt;=W$2,"d",IF(INDIRECT(_xlfn.CONCAT("'",$A93,"'!F5"))&gt;=W$2,"i",""))</f>
        <v>d</v>
      </c>
      <c r="X93" s="44" t="str" cm="1">
        <f t="array" aca="1" ref="X93" ca="1">IF(INDIRECT(_xlfn.CONCAT("'",$A93,"'!F4"))&gt;=X$2,"d",IF(INDIRECT(_xlfn.CONCAT("'",$A93,"'!F5"))&gt;=X$2,"i",""))</f>
        <v>d</v>
      </c>
      <c r="Y93" s="44" t="str" cm="1">
        <f t="array" aca="1" ref="Y93" ca="1">IF(INDIRECT(_xlfn.CONCAT("'",$A93,"'!F4"))&gt;=Y$2,"d",IF(INDIRECT(_xlfn.CONCAT("'",$A93,"'!F5"))&gt;=Y$2,"i",""))</f>
        <v>d</v>
      </c>
      <c r="Z93" s="44" t="str" cm="1">
        <f t="array" aca="1" ref="Z93" ca="1">IF(INDIRECT(_xlfn.CONCAT("'",$A93,"'!F4"))&gt;=Z$2,"d",IF(INDIRECT(_xlfn.CONCAT("'",$A93,"'!F5"))&gt;=Z$2,"i",""))</f>
        <v>d</v>
      </c>
      <c r="AA93" s="44" t="str" cm="1">
        <f t="array" aca="1" ref="AA93" ca="1">IF(INDIRECT(_xlfn.CONCAT("'",$A93,"'!F4"))&gt;=AA$2,"d",IF(INDIRECT(_xlfn.CONCAT("'",$A93,"'!F5"))&gt;=AA$2,"i",""))</f>
        <v>d</v>
      </c>
      <c r="AB93" s="44" t="str" cm="1">
        <f t="array" aca="1" ref="AB93" ca="1">IF(INDIRECT(_xlfn.CONCAT("'",$A93,"'!F4"))&gt;=AB$2,"d",IF(INDIRECT(_xlfn.CONCAT("'",$A93,"'!F5"))&gt;=AB$2,"i",""))</f>
        <v/>
      </c>
      <c r="AC93" s="156"/>
      <c r="AD93" s="44" t="str" cm="1">
        <f t="array" aca="1" ref="AD93" ca="1">IF(INDIRECT(_xlfn.CONCAT("'",$A93,"'!F17"))&gt;=AD$2,"d",IF(INDIRECT(_xlfn.CONCAT("'",$A93,"'!F18"))&gt;=AD$2,"i",""))</f>
        <v>d</v>
      </c>
      <c r="AE93" s="44" t="str" cm="1">
        <f t="array" aca="1" ref="AE93" ca="1">IF(INDIRECT(_xlfn.CONCAT("'",$A93,"'!F17"))&gt;=AE$2,"d",IF(INDIRECT(_xlfn.CONCAT("'",$A93,"'!F18"))&gt;=AE$2,"i",""))</f>
        <v>d</v>
      </c>
      <c r="AF93" s="44" t="str" cm="1">
        <f t="array" aca="1" ref="AF93" ca="1">IF(INDIRECT(_xlfn.CONCAT("'",$A93,"'!F17"))&gt;=AF$2,"d",IF(INDIRECT(_xlfn.CONCAT("'",$A93,"'!F18"))&gt;=AF$2,"i",""))</f>
        <v>d</v>
      </c>
      <c r="AG93" s="44" t="str" cm="1">
        <f t="array" aca="1" ref="AG93" ca="1">IF(INDIRECT(_xlfn.CONCAT("'",$A93,"'!F17"))&gt;=AG$2,"d",IF(INDIRECT(_xlfn.CONCAT("'",$A93,"'!F18"))&gt;=AG$2,"i",""))</f>
        <v>d</v>
      </c>
      <c r="AH93" s="44" t="str" cm="1">
        <f t="array" aca="1" ref="AH93" ca="1">IF(INDIRECT(_xlfn.CONCAT("'",$A93,"'!F17"))&gt;=AH$2,"d",IF(INDIRECT(_xlfn.CONCAT("'",$A93,"'!F18"))&gt;=AH$2,"i",""))</f>
        <v>d</v>
      </c>
      <c r="AI93" s="44" t="str" cm="1">
        <f t="array" aca="1" ref="AI93" ca="1">IF(INDIRECT(_xlfn.CONCAT("'",$A93,"'!F17"))&gt;=AI$2,"d",IF(INDIRECT(_xlfn.CONCAT("'",$A93,"'!F18"))&gt;=AI$2,"i",""))</f>
        <v>d</v>
      </c>
      <c r="AJ93" s="44" t="str" cm="1">
        <f t="array" aca="1" ref="AJ93" ca="1">IF(INDIRECT(_xlfn.CONCAT("'",$A93,"'!F17"))&gt;=AJ$2,"d",IF(INDIRECT(_xlfn.CONCAT("'",$A93,"'!F18"))&gt;=AJ$2,"i",""))</f>
        <v>d</v>
      </c>
      <c r="AK93" s="44" t="str" cm="1">
        <f t="array" aca="1" ref="AK93" ca="1">IF(INDIRECT(_xlfn.CONCAT("'",$A93,"'!F17"))&gt;=AK$2,"d",IF(INDIRECT(_xlfn.CONCAT("'",$A93,"'!F18"))&gt;=AK$2,"i",""))</f>
        <v>d</v>
      </c>
      <c r="AL93" s="44" t="str" cm="1">
        <f t="array" aca="1" ref="AL93" ca="1">IF(INDIRECT(_xlfn.CONCAT("'",$A93,"'!F17"))&gt;=AL$2,"d",IF(INDIRECT(_xlfn.CONCAT("'",$A93,"'!F18"))&gt;=AL$2,"i",""))</f>
        <v/>
      </c>
      <c r="AM93" s="156"/>
      <c r="AN93" s="44" t="str" cm="1">
        <f t="array" aca="1" ref="AN93" ca="1">IF(INDIRECT(_xlfn.CONCAT("'",$A93,"'!F30"))&gt;=AN$2,"d",IF(INDIRECT(_xlfn.CONCAT("'",$A93,"'!F31"))&gt;=AN$2,"i",""))</f>
        <v>d</v>
      </c>
      <c r="AO93" s="44" t="str" cm="1">
        <f t="array" aca="1" ref="AO93" ca="1">IF(INDIRECT(_xlfn.CONCAT("'",$A93,"'!F30"))&gt;=AO$2,"d",IF(INDIRECT(_xlfn.CONCAT("'",$A93,"'!F31"))&gt;=AO$2,"i",""))</f>
        <v>d</v>
      </c>
      <c r="AP93" s="44" t="str" cm="1">
        <f t="array" aca="1" ref="AP93" ca="1">IF(INDIRECT(_xlfn.CONCAT("'",$A93,"'!F30"))&gt;=AP$2,"d",IF(INDIRECT(_xlfn.CONCAT("'",$A93,"'!F31"))&gt;=AP$2,"i",""))</f>
        <v>d</v>
      </c>
      <c r="AQ93" s="44" t="str" cm="1">
        <f t="array" aca="1" ref="AQ93" ca="1">IF(INDIRECT(_xlfn.CONCAT("'",$A93,"'!F30"))&gt;=AQ$2,"d",IF(INDIRECT(_xlfn.CONCAT("'",$A93,"'!F31"))&gt;=AQ$2,"i",""))</f>
        <v>d</v>
      </c>
      <c r="AR93" s="44" t="str" cm="1">
        <f t="array" aca="1" ref="AR93" ca="1">IF(INDIRECT(_xlfn.CONCAT("'",$A93,"'!F30"))&gt;=AR$2,"d",IF(INDIRECT(_xlfn.CONCAT("'",$A93,"'!F31"))&gt;=AR$2,"i",""))</f>
        <v>d</v>
      </c>
      <c r="AS93" s="44" t="str" cm="1">
        <f t="array" aca="1" ref="AS93" ca="1">IF(INDIRECT(_xlfn.CONCAT("'",$A93,"'!F30"))&gt;=AS$2,"d",IF(INDIRECT(_xlfn.CONCAT("'",$A93,"'!F31"))&gt;=AS$2,"i",""))</f>
        <v>d</v>
      </c>
      <c r="AT93" s="44" t="str" cm="1">
        <f t="array" aca="1" ref="AT93" ca="1">IF(INDIRECT(_xlfn.CONCAT("'",$A93,"'!F30"))&gt;=AT$2,"d",IF(INDIRECT(_xlfn.CONCAT("'",$A93,"'!F31"))&gt;=AT$2,"i",""))</f>
        <v>d</v>
      </c>
      <c r="AU93" s="44" t="str" cm="1">
        <f t="array" aca="1" ref="AU93" ca="1">IF(INDIRECT(_xlfn.CONCAT("'",$A93,"'!F30"))&gt;=AU$2,"d",IF(INDIRECT(_xlfn.CONCAT("'",$A93,"'!F31"))&gt;=AU$2,"i",""))</f>
        <v>d</v>
      </c>
      <c r="AV93" s="45" t="str" cm="1">
        <f t="array" aca="1" ref="AV93" ca="1">IF(INDIRECT(_xlfn.CONCAT("'",$A93,"'!F30"))&gt;=AV$2,"d",IF(INDIRECT(_xlfn.CONCAT("'",$A93,"'!F31"))&gt;=AV$2,"i",""))</f>
        <v/>
      </c>
    </row>
    <row r="94" spans="1:48" x14ac:dyDescent="0.25">
      <c r="A94" s="119" t="str">
        <v>Mualani</v>
      </c>
      <c r="B94" s="45" t="str">
        <f t="shared" ref="B94:B97" si="57">VLOOKUP(A94,Character_List,2,FALSE)</f>
        <v>Hydro</v>
      </c>
      <c r="C94" s="153" t="str">
        <f t="shared" ref="C94:C96" si="58">VLOOKUP(A94,Character_List,7,FALSE)</f>
        <v>Natlan 1</v>
      </c>
      <c r="D94" s="154" t="str">
        <f t="shared" ref="D94:D96" si="59">VLOOKUP(A94,Character_List,8,FALSE)</f>
        <v>Narwhal 3</v>
      </c>
      <c r="E94" s="19" t="str" cm="1">
        <f t="array" aca="1" ref="E94" ca="1">IF(INDIRECT(_xlfn.CONCAT("'",$A94,"'!B4"))&gt;=E$2,"d",IF(INDIRECT(_xlfn.CONCAT("'",$A94,"'!B5"))&gt;=E$2,"i",""))</f>
        <v>d</v>
      </c>
      <c r="F94" s="44" t="str" cm="1">
        <f t="array" aca="1" ref="F94" ca="1">IF(INDIRECT(_xlfn.CONCAT("'",$A94,"'!B4"))&gt;=F$2,"d",IF(INDIRECT(_xlfn.CONCAT("'",$A94,"'!B5"))&gt;=F$2,"i",""))</f>
        <v>d</v>
      </c>
      <c r="G94" s="44" t="str" cm="1">
        <f t="array" aca="1" ref="G94" ca="1">IF(INDIRECT(_xlfn.CONCAT("'",$A94,"'!B4"))&gt;=G$2,"d",IF(INDIRECT(_xlfn.CONCAT("'",$A94,"'!B5"))&gt;=G$2,"i",""))</f>
        <v>d</v>
      </c>
      <c r="H94" s="44" t="str" cm="1">
        <f t="array" aca="1" ref="H94" ca="1">IF(INDIRECT(_xlfn.CONCAT("'",$A94,"'!B4"))&gt;=H$2,"d",IF(INDIRECT(_xlfn.CONCAT("'",$A94,"'!B5"))&gt;=H$2,"i",""))</f>
        <v>d</v>
      </c>
      <c r="I94" s="44" t="str" cm="1">
        <f t="array" aca="1" ref="I94" ca="1">IF(INDIRECT(_xlfn.CONCAT("'",$A94,"'!B4"))&gt;=I$2,"d",IF(INDIRECT(_xlfn.CONCAT("'",$A94,"'!B5"))&gt;=I$2,"i",""))</f>
        <v>d</v>
      </c>
      <c r="J94" s="44" t="str" cm="1">
        <f t="array" aca="1" ref="J94" ca="1">IF(INDIRECT(_xlfn.CONCAT("'",$A94,"'!B4"))&gt;=J$2,"d",IF(INDIRECT(_xlfn.CONCAT("'",$A94,"'!B5"))&gt;=J$2,"i",""))</f>
        <v>d</v>
      </c>
      <c r="K94" s="45" t="str" cm="1">
        <f t="array" aca="1" ref="K94" ca="1">IF(INDIRECT(_xlfn.CONCAT("'",$A94,"'!B4"))&gt;=K$2,"d",IF(INDIRECT(_xlfn.CONCAT("'",$A94,"'!B5"))&gt;=K$2,"i",""))</f>
        <v>d</v>
      </c>
      <c r="L94" s="155"/>
      <c r="M94" s="44" t="str" cm="1">
        <f t="array" aca="1" ref="M94" ca="1">IF(INDIRECT(_xlfn.CONCAT("'",$A94,"'!C10"))&gt;=M$2,"d",IF(INDIRECT(_xlfn.CONCAT("'",$A94,"'!C11"))&gt;=M$2,"i",""))</f>
        <v>d</v>
      </c>
      <c r="N94" s="44" t="str" cm="1">
        <f t="array" aca="1" ref="N94" ca="1">IF(INDIRECT(_xlfn.CONCAT("'",$A94,"'!C10"))&gt;=N$2,"d",IF(INDIRECT(_xlfn.CONCAT("'",$A94,"'!C11"))&gt;=N$2,"i",""))</f>
        <v>d</v>
      </c>
      <c r="O94" s="44" t="str" cm="1">
        <f t="array" aca="1" ref="O94" ca="1">IF(INDIRECT(_xlfn.CONCAT("'",$A94,"'!C10"))&gt;=O$2,"d",IF(INDIRECT(_xlfn.CONCAT("'",$A94,"'!C11"))&gt;=O$2,"i",""))</f>
        <v>d</v>
      </c>
      <c r="P94" s="44" t="str" cm="1">
        <f t="array" aca="1" ref="P94" ca="1">IF(INDIRECT(_xlfn.CONCAT("'",$A94,"'!C10"))&gt;=P$2,"d",IF(INDIRECT(_xlfn.CONCAT("'",$A94,"'!C11"))&gt;=P$2,"i",""))</f>
        <v>d</v>
      </c>
      <c r="Q94" s="44" t="str" cm="1">
        <f t="array" aca="1" ref="Q94" ca="1">IF(INDIRECT(_xlfn.CONCAT("'",$A94,"'!C10"))&gt;=Q$2,"d",IF(INDIRECT(_xlfn.CONCAT("'",$A94,"'!C11"))&gt;=Q$2,"i",""))</f>
        <v>d</v>
      </c>
      <c r="R94" s="44" t="str" cm="1">
        <f t="array" aca="1" ref="R94" ca="1">IF(INDIRECT(_xlfn.CONCAT("'",$A94,"'!C10"))&gt;=R$2,"d",IF(INDIRECT(_xlfn.CONCAT("'",$A94,"'!C11"))&gt;=R$2,"i",""))</f>
        <v>d</v>
      </c>
      <c r="S94" s="156"/>
      <c r="T94" s="44" t="str" cm="1">
        <f t="array" aca="1" ref="T94" ca="1">IF(INDIRECT(_xlfn.CONCAT("'",$A94,"'!F4"))&gt;=T$2,"d",IF(INDIRECT(_xlfn.CONCAT("'",$A94,"'!F5"))&gt;=T$2,"i",""))</f>
        <v>d</v>
      </c>
      <c r="U94" s="44" t="str" cm="1">
        <f t="array" aca="1" ref="U94" ca="1">IF(INDIRECT(_xlfn.CONCAT("'",$A94,"'!F4"))&gt;=U$2,"d",IF(INDIRECT(_xlfn.CONCAT("'",$A94,"'!F5"))&gt;=U$2,"i",""))</f>
        <v>d</v>
      </c>
      <c r="V94" s="44" t="str" cm="1">
        <f t="array" aca="1" ref="V94" ca="1">IF(INDIRECT(_xlfn.CONCAT("'",$A94,"'!F4"))&gt;=V$2,"d",IF(INDIRECT(_xlfn.CONCAT("'",$A94,"'!F5"))&gt;=V$2,"i",""))</f>
        <v>d</v>
      </c>
      <c r="W94" s="44" t="str" cm="1">
        <f t="array" aca="1" ref="W94" ca="1">IF(INDIRECT(_xlfn.CONCAT("'",$A94,"'!F4"))&gt;=W$2,"d",IF(INDIRECT(_xlfn.CONCAT("'",$A94,"'!F5"))&gt;=W$2,"i",""))</f>
        <v>d</v>
      </c>
      <c r="X94" s="44" t="str" cm="1">
        <f t="array" aca="1" ref="X94" ca="1">IF(INDIRECT(_xlfn.CONCAT("'",$A94,"'!F4"))&gt;=X$2,"d",IF(INDIRECT(_xlfn.CONCAT("'",$A94,"'!F5"))&gt;=X$2,"i",""))</f>
        <v>d</v>
      </c>
      <c r="Y94" s="44" t="str" cm="1">
        <f t="array" aca="1" ref="Y94" ca="1">IF(INDIRECT(_xlfn.CONCAT("'",$A94,"'!F4"))&gt;=Y$2,"d",IF(INDIRECT(_xlfn.CONCAT("'",$A94,"'!F5"))&gt;=Y$2,"i",""))</f>
        <v>d</v>
      </c>
      <c r="Z94" s="44" t="str" cm="1">
        <f t="array" aca="1" ref="Z94" ca="1">IF(INDIRECT(_xlfn.CONCAT("'",$A94,"'!F4"))&gt;=Z$2,"d",IF(INDIRECT(_xlfn.CONCAT("'",$A94,"'!F5"))&gt;=Z$2,"i",""))</f>
        <v>d</v>
      </c>
      <c r="AA94" s="44" t="str" cm="1">
        <f t="array" aca="1" ref="AA94" ca="1">IF(INDIRECT(_xlfn.CONCAT("'",$A94,"'!F4"))&gt;=AA$2,"d",IF(INDIRECT(_xlfn.CONCAT("'",$A94,"'!F5"))&gt;=AA$2,"i",""))</f>
        <v>d</v>
      </c>
      <c r="AB94" s="44" t="str" cm="1">
        <f t="array" aca="1" ref="AB94" ca="1">IF(INDIRECT(_xlfn.CONCAT("'",$A94,"'!F4"))&gt;=AB$2,"d",IF(INDIRECT(_xlfn.CONCAT("'",$A94,"'!F5"))&gt;=AB$2,"i",""))</f>
        <v/>
      </c>
      <c r="AC94" s="156"/>
      <c r="AD94" s="44" t="str" cm="1">
        <f t="array" aca="1" ref="AD94" ca="1">IF(INDIRECT(_xlfn.CONCAT("'",$A94,"'!F17"))&gt;=AD$2,"d",IF(INDIRECT(_xlfn.CONCAT("'",$A94,"'!F18"))&gt;=AD$2,"i",""))</f>
        <v>d</v>
      </c>
      <c r="AE94" s="44" t="str" cm="1">
        <f t="array" aca="1" ref="AE94" ca="1">IF(INDIRECT(_xlfn.CONCAT("'",$A94,"'!F17"))&gt;=AE$2,"d",IF(INDIRECT(_xlfn.CONCAT("'",$A94,"'!F18"))&gt;=AE$2,"i",""))</f>
        <v>d</v>
      </c>
      <c r="AF94" s="44" t="str" cm="1">
        <f t="array" aca="1" ref="AF94" ca="1">IF(INDIRECT(_xlfn.CONCAT("'",$A94,"'!F17"))&gt;=AF$2,"d",IF(INDIRECT(_xlfn.CONCAT("'",$A94,"'!F18"))&gt;=AF$2,"i",""))</f>
        <v>d</v>
      </c>
      <c r="AG94" s="44" t="str" cm="1">
        <f t="array" aca="1" ref="AG94" ca="1">IF(INDIRECT(_xlfn.CONCAT("'",$A94,"'!F17"))&gt;=AG$2,"d",IF(INDIRECT(_xlfn.CONCAT("'",$A94,"'!F18"))&gt;=AG$2,"i",""))</f>
        <v>d</v>
      </c>
      <c r="AH94" s="44" t="str" cm="1">
        <f t="array" aca="1" ref="AH94" ca="1">IF(INDIRECT(_xlfn.CONCAT("'",$A94,"'!F17"))&gt;=AH$2,"d",IF(INDIRECT(_xlfn.CONCAT("'",$A94,"'!F18"))&gt;=AH$2,"i",""))</f>
        <v>d</v>
      </c>
      <c r="AI94" s="44" t="str" cm="1">
        <f t="array" aca="1" ref="AI94" ca="1">IF(INDIRECT(_xlfn.CONCAT("'",$A94,"'!F17"))&gt;=AI$2,"d",IF(INDIRECT(_xlfn.CONCAT("'",$A94,"'!F18"))&gt;=AI$2,"i",""))</f>
        <v>d</v>
      </c>
      <c r="AJ94" s="44" t="str" cm="1">
        <f t="array" aca="1" ref="AJ94" ca="1">IF(INDIRECT(_xlfn.CONCAT("'",$A94,"'!F17"))&gt;=AJ$2,"d",IF(INDIRECT(_xlfn.CONCAT("'",$A94,"'!F18"))&gt;=AJ$2,"i",""))</f>
        <v>d</v>
      </c>
      <c r="AK94" s="44" t="str" cm="1">
        <f t="array" aca="1" ref="AK94" ca="1">IF(INDIRECT(_xlfn.CONCAT("'",$A94,"'!F17"))&gt;=AK$2,"d",IF(INDIRECT(_xlfn.CONCAT("'",$A94,"'!F18"))&gt;=AK$2,"i",""))</f>
        <v>d</v>
      </c>
      <c r="AL94" s="44" t="str" cm="1">
        <f t="array" aca="1" ref="AL94" ca="1">IF(INDIRECT(_xlfn.CONCAT("'",$A94,"'!F17"))&gt;=AL$2,"d",IF(INDIRECT(_xlfn.CONCAT("'",$A94,"'!F18"))&gt;=AL$2,"i",""))</f>
        <v/>
      </c>
      <c r="AM94" s="156"/>
      <c r="AN94" s="44" t="str" cm="1">
        <f t="array" aca="1" ref="AN94" ca="1">IF(INDIRECT(_xlfn.CONCAT("'",$A94,"'!F30"))&gt;=AN$2,"d",IF(INDIRECT(_xlfn.CONCAT("'",$A94,"'!F31"))&gt;=AN$2,"i",""))</f>
        <v>d</v>
      </c>
      <c r="AO94" s="44" t="str" cm="1">
        <f t="array" aca="1" ref="AO94" ca="1">IF(INDIRECT(_xlfn.CONCAT("'",$A94,"'!F30"))&gt;=AO$2,"d",IF(INDIRECT(_xlfn.CONCAT("'",$A94,"'!F31"))&gt;=AO$2,"i",""))</f>
        <v>d</v>
      </c>
      <c r="AP94" s="44" t="str" cm="1">
        <f t="array" aca="1" ref="AP94" ca="1">IF(INDIRECT(_xlfn.CONCAT("'",$A94,"'!F30"))&gt;=AP$2,"d",IF(INDIRECT(_xlfn.CONCAT("'",$A94,"'!F31"))&gt;=AP$2,"i",""))</f>
        <v>d</v>
      </c>
      <c r="AQ94" s="44" t="str" cm="1">
        <f t="array" aca="1" ref="AQ94" ca="1">IF(INDIRECT(_xlfn.CONCAT("'",$A94,"'!F30"))&gt;=AQ$2,"d",IF(INDIRECT(_xlfn.CONCAT("'",$A94,"'!F31"))&gt;=AQ$2,"i",""))</f>
        <v>d</v>
      </c>
      <c r="AR94" s="44" t="str" cm="1">
        <f t="array" aca="1" ref="AR94" ca="1">IF(INDIRECT(_xlfn.CONCAT("'",$A94,"'!F30"))&gt;=AR$2,"d",IF(INDIRECT(_xlfn.CONCAT("'",$A94,"'!F31"))&gt;=AR$2,"i",""))</f>
        <v>d</v>
      </c>
      <c r="AS94" s="44" t="str" cm="1">
        <f t="array" aca="1" ref="AS94" ca="1">IF(INDIRECT(_xlfn.CONCAT("'",$A94,"'!F30"))&gt;=AS$2,"d",IF(INDIRECT(_xlfn.CONCAT("'",$A94,"'!F31"))&gt;=AS$2,"i",""))</f>
        <v>d</v>
      </c>
      <c r="AT94" s="44" t="str" cm="1">
        <f t="array" aca="1" ref="AT94" ca="1">IF(INDIRECT(_xlfn.CONCAT("'",$A94,"'!F30"))&gt;=AT$2,"d",IF(INDIRECT(_xlfn.CONCAT("'",$A94,"'!F31"))&gt;=AT$2,"i",""))</f>
        <v>d</v>
      </c>
      <c r="AU94" s="44" t="str" cm="1">
        <f t="array" aca="1" ref="AU94" ca="1">IF(INDIRECT(_xlfn.CONCAT("'",$A94,"'!F30"))&gt;=AU$2,"d",IF(INDIRECT(_xlfn.CONCAT("'",$A94,"'!F31"))&gt;=AU$2,"i",""))</f>
        <v>d</v>
      </c>
      <c r="AV94" s="45" t="str" cm="1">
        <f t="array" aca="1" ref="AV94" ca="1">IF(INDIRECT(_xlfn.CONCAT("'",$A94,"'!F30"))&gt;=AV$2,"d",IF(INDIRECT(_xlfn.CONCAT("'",$A94,"'!F31"))&gt;=AV$2,"i",""))</f>
        <v/>
      </c>
    </row>
    <row r="95" spans="1:48" x14ac:dyDescent="0.25">
      <c r="A95" s="119" t="str">
        <v>Kachina</v>
      </c>
      <c r="B95" s="45" t="str">
        <f t="shared" si="57"/>
        <v>Geo</v>
      </c>
      <c r="C95" s="153" t="str">
        <f t="shared" si="58"/>
        <v>Natlan 3</v>
      </c>
      <c r="D95" s="154" t="str">
        <f t="shared" si="59"/>
        <v>Knave 1</v>
      </c>
      <c r="E95" s="19" t="str" cm="1">
        <f t="array" aca="1" ref="E95" ca="1">IF(INDIRECT(_xlfn.CONCAT("'",$A95,"'!B4"))&gt;=E$2,"d",IF(INDIRECT(_xlfn.CONCAT("'",$A95,"'!B5"))&gt;=E$2,"i",""))</f>
        <v>d</v>
      </c>
      <c r="F95" s="44" t="str" cm="1">
        <f t="array" aca="1" ref="F95" ca="1">IF(INDIRECT(_xlfn.CONCAT("'",$A95,"'!B4"))&gt;=F$2,"d",IF(INDIRECT(_xlfn.CONCAT("'",$A95,"'!B5"))&gt;=F$2,"i",""))</f>
        <v>d</v>
      </c>
      <c r="G95" s="44" t="str" cm="1">
        <f t="array" aca="1" ref="G95" ca="1">IF(INDIRECT(_xlfn.CONCAT("'",$A95,"'!B4"))&gt;=G$2,"d",IF(INDIRECT(_xlfn.CONCAT("'",$A95,"'!B5"))&gt;=G$2,"i",""))</f>
        <v>d</v>
      </c>
      <c r="H95" s="44" t="str" cm="1">
        <f t="array" aca="1" ref="H95" ca="1">IF(INDIRECT(_xlfn.CONCAT("'",$A95,"'!B4"))&gt;=H$2,"d",IF(INDIRECT(_xlfn.CONCAT("'",$A95,"'!B5"))&gt;=H$2,"i",""))</f>
        <v>d</v>
      </c>
      <c r="I95" s="44" t="str" cm="1">
        <f t="array" aca="1" ref="I95" ca="1">IF(INDIRECT(_xlfn.CONCAT("'",$A95,"'!B4"))&gt;=I$2,"d",IF(INDIRECT(_xlfn.CONCAT("'",$A95,"'!B5"))&gt;=I$2,"i",""))</f>
        <v>d</v>
      </c>
      <c r="J95" s="44" t="str" cm="1">
        <f t="array" aca="1" ref="J95" ca="1">IF(INDIRECT(_xlfn.CONCAT("'",$A95,"'!B4"))&gt;=J$2,"d",IF(INDIRECT(_xlfn.CONCAT("'",$A95,"'!B5"))&gt;=J$2,"i",""))</f>
        <v>d</v>
      </c>
      <c r="K95" s="45" t="str" cm="1">
        <f t="array" aca="1" ref="K95" ca="1">IF(INDIRECT(_xlfn.CONCAT("'",$A95,"'!B4"))&gt;=K$2,"d",IF(INDIRECT(_xlfn.CONCAT("'",$A95,"'!B5"))&gt;=K$2,"i",""))</f>
        <v>d</v>
      </c>
      <c r="L95" s="155"/>
      <c r="M95" s="44" t="str" cm="1">
        <f t="array" aca="1" ref="M95" ca="1">IF(INDIRECT(_xlfn.CONCAT("'",$A95,"'!C10"))&gt;=M$2,"d",IF(INDIRECT(_xlfn.CONCAT("'",$A95,"'!C11"))&gt;=M$2,"i",""))</f>
        <v>d</v>
      </c>
      <c r="N95" s="44" t="str" cm="1">
        <f t="array" aca="1" ref="N95" ca="1">IF(INDIRECT(_xlfn.CONCAT("'",$A95,"'!C10"))&gt;=N$2,"d",IF(INDIRECT(_xlfn.CONCAT("'",$A95,"'!C11"))&gt;=N$2,"i",""))</f>
        <v>d</v>
      </c>
      <c r="O95" s="44" t="str" cm="1">
        <f t="array" aca="1" ref="O95" ca="1">IF(INDIRECT(_xlfn.CONCAT("'",$A95,"'!C10"))&gt;=O$2,"d",IF(INDIRECT(_xlfn.CONCAT("'",$A95,"'!C11"))&gt;=O$2,"i",""))</f>
        <v>d</v>
      </c>
      <c r="P95" s="44" t="str" cm="1">
        <f t="array" aca="1" ref="P95" ca="1">IF(INDIRECT(_xlfn.CONCAT("'",$A95,"'!C10"))&gt;=P$2,"d",IF(INDIRECT(_xlfn.CONCAT("'",$A95,"'!C11"))&gt;=P$2,"i",""))</f>
        <v>d</v>
      </c>
      <c r="Q95" s="44" t="str" cm="1">
        <f t="array" aca="1" ref="Q95" ca="1">IF(INDIRECT(_xlfn.CONCAT("'",$A95,"'!C10"))&gt;=Q$2,"d",IF(INDIRECT(_xlfn.CONCAT("'",$A95,"'!C11"))&gt;=Q$2,"i",""))</f>
        <v>d</v>
      </c>
      <c r="R95" s="44" t="str" cm="1">
        <f t="array" aca="1" ref="R95" ca="1">IF(INDIRECT(_xlfn.CONCAT("'",$A95,"'!C10"))&gt;=R$2,"d",IF(INDIRECT(_xlfn.CONCAT("'",$A95,"'!C11"))&gt;=R$2,"i",""))</f>
        <v>d</v>
      </c>
      <c r="S95" s="156"/>
      <c r="T95" s="44" t="str" cm="1">
        <f t="array" aca="1" ref="T95" ca="1">IF(INDIRECT(_xlfn.CONCAT("'",$A95,"'!F4"))&gt;=T$2,"d",IF(INDIRECT(_xlfn.CONCAT("'",$A95,"'!F5"))&gt;=T$2,"i",""))</f>
        <v>d</v>
      </c>
      <c r="U95" s="44" t="str" cm="1">
        <f t="array" aca="1" ref="U95" ca="1">IF(INDIRECT(_xlfn.CONCAT("'",$A95,"'!F4"))&gt;=U$2,"d",IF(INDIRECT(_xlfn.CONCAT("'",$A95,"'!F5"))&gt;=U$2,"i",""))</f>
        <v>d</v>
      </c>
      <c r="V95" s="44" t="str" cm="1">
        <f t="array" aca="1" ref="V95" ca="1">IF(INDIRECT(_xlfn.CONCAT("'",$A95,"'!F4"))&gt;=V$2,"d",IF(INDIRECT(_xlfn.CONCAT("'",$A95,"'!F5"))&gt;=V$2,"i",""))</f>
        <v>d</v>
      </c>
      <c r="W95" s="44" t="str" cm="1">
        <f t="array" aca="1" ref="W95" ca="1">IF(INDIRECT(_xlfn.CONCAT("'",$A95,"'!F4"))&gt;=W$2,"d",IF(INDIRECT(_xlfn.CONCAT("'",$A95,"'!F5"))&gt;=W$2,"i",""))</f>
        <v>d</v>
      </c>
      <c r="X95" s="44" t="str" cm="1">
        <f t="array" aca="1" ref="X95" ca="1">IF(INDIRECT(_xlfn.CONCAT("'",$A95,"'!F4"))&gt;=X$2,"d",IF(INDIRECT(_xlfn.CONCAT("'",$A95,"'!F5"))&gt;=X$2,"i",""))</f>
        <v>d</v>
      </c>
      <c r="Y95" s="44" t="str" cm="1">
        <f t="array" aca="1" ref="Y95" ca="1">IF(INDIRECT(_xlfn.CONCAT("'",$A95,"'!F4"))&gt;=Y$2,"d",IF(INDIRECT(_xlfn.CONCAT("'",$A95,"'!F5"))&gt;=Y$2,"i",""))</f>
        <v>d</v>
      </c>
      <c r="Z95" s="44" t="str" cm="1">
        <f t="array" aca="1" ref="Z95" ca="1">IF(INDIRECT(_xlfn.CONCAT("'",$A95,"'!F4"))&gt;=Z$2,"d",IF(INDIRECT(_xlfn.CONCAT("'",$A95,"'!F5"))&gt;=Z$2,"i",""))</f>
        <v>d</v>
      </c>
      <c r="AA95" s="44" t="str" cm="1">
        <f t="array" aca="1" ref="AA95" ca="1">IF(INDIRECT(_xlfn.CONCAT("'",$A95,"'!F4"))&gt;=AA$2,"d",IF(INDIRECT(_xlfn.CONCAT("'",$A95,"'!F5"))&gt;=AA$2,"i",""))</f>
        <v>d</v>
      </c>
      <c r="AB95" s="44" t="str" cm="1">
        <f t="array" aca="1" ref="AB95" ca="1">IF(INDIRECT(_xlfn.CONCAT("'",$A95,"'!F4"))&gt;=AB$2,"d",IF(INDIRECT(_xlfn.CONCAT("'",$A95,"'!F5"))&gt;=AB$2,"i",""))</f>
        <v/>
      </c>
      <c r="AC95" s="156"/>
      <c r="AD95" s="44" t="str" cm="1">
        <f t="array" aca="1" ref="AD95" ca="1">IF(INDIRECT(_xlfn.CONCAT("'",$A95,"'!F17"))&gt;=AD$2,"d",IF(INDIRECT(_xlfn.CONCAT("'",$A95,"'!F18"))&gt;=AD$2,"i",""))</f>
        <v>d</v>
      </c>
      <c r="AE95" s="44" t="str" cm="1">
        <f t="array" aca="1" ref="AE95" ca="1">IF(INDIRECT(_xlfn.CONCAT("'",$A95,"'!F17"))&gt;=AE$2,"d",IF(INDIRECT(_xlfn.CONCAT("'",$A95,"'!F18"))&gt;=AE$2,"i",""))</f>
        <v>d</v>
      </c>
      <c r="AF95" s="44" t="str" cm="1">
        <f t="array" aca="1" ref="AF95" ca="1">IF(INDIRECT(_xlfn.CONCAT("'",$A95,"'!F17"))&gt;=AF$2,"d",IF(INDIRECT(_xlfn.CONCAT("'",$A95,"'!F18"))&gt;=AF$2,"i",""))</f>
        <v>d</v>
      </c>
      <c r="AG95" s="44" t="str" cm="1">
        <f t="array" aca="1" ref="AG95" ca="1">IF(INDIRECT(_xlfn.CONCAT("'",$A95,"'!F17"))&gt;=AG$2,"d",IF(INDIRECT(_xlfn.CONCAT("'",$A95,"'!F18"))&gt;=AG$2,"i",""))</f>
        <v>d</v>
      </c>
      <c r="AH95" s="44" t="str" cm="1">
        <f t="array" aca="1" ref="AH95" ca="1">IF(INDIRECT(_xlfn.CONCAT("'",$A95,"'!F17"))&gt;=AH$2,"d",IF(INDIRECT(_xlfn.CONCAT("'",$A95,"'!F18"))&gt;=AH$2,"i",""))</f>
        <v>d</v>
      </c>
      <c r="AI95" s="44" t="str" cm="1">
        <f t="array" aca="1" ref="AI95" ca="1">IF(INDIRECT(_xlfn.CONCAT("'",$A95,"'!F17"))&gt;=AI$2,"d",IF(INDIRECT(_xlfn.CONCAT("'",$A95,"'!F18"))&gt;=AI$2,"i",""))</f>
        <v>d</v>
      </c>
      <c r="AJ95" s="44" t="str" cm="1">
        <f t="array" aca="1" ref="AJ95" ca="1">IF(INDIRECT(_xlfn.CONCAT("'",$A95,"'!F17"))&gt;=AJ$2,"d",IF(INDIRECT(_xlfn.CONCAT("'",$A95,"'!F18"))&gt;=AJ$2,"i",""))</f>
        <v>d</v>
      </c>
      <c r="AK95" s="44" t="str" cm="1">
        <f t="array" aca="1" ref="AK95" ca="1">IF(INDIRECT(_xlfn.CONCAT("'",$A95,"'!F17"))&gt;=AK$2,"d",IF(INDIRECT(_xlfn.CONCAT("'",$A95,"'!F18"))&gt;=AK$2,"i",""))</f>
        <v>d</v>
      </c>
      <c r="AL95" s="44" t="str" cm="1">
        <f t="array" aca="1" ref="AL95" ca="1">IF(INDIRECT(_xlfn.CONCAT("'",$A95,"'!F17"))&gt;=AL$2,"d",IF(INDIRECT(_xlfn.CONCAT("'",$A95,"'!F18"))&gt;=AL$2,"i",""))</f>
        <v/>
      </c>
      <c r="AM95" s="156"/>
      <c r="AN95" s="44" t="str" cm="1">
        <f t="array" aca="1" ref="AN95" ca="1">IF(INDIRECT(_xlfn.CONCAT("'",$A95,"'!F30"))&gt;=AN$2,"d",IF(INDIRECT(_xlfn.CONCAT("'",$A95,"'!F31"))&gt;=AN$2,"i",""))</f>
        <v>d</v>
      </c>
      <c r="AO95" s="44" t="str" cm="1">
        <f t="array" aca="1" ref="AO95" ca="1">IF(INDIRECT(_xlfn.CONCAT("'",$A95,"'!F30"))&gt;=AO$2,"d",IF(INDIRECT(_xlfn.CONCAT("'",$A95,"'!F31"))&gt;=AO$2,"i",""))</f>
        <v>d</v>
      </c>
      <c r="AP95" s="44" t="str" cm="1">
        <f t="array" aca="1" ref="AP95" ca="1">IF(INDIRECT(_xlfn.CONCAT("'",$A95,"'!F30"))&gt;=AP$2,"d",IF(INDIRECT(_xlfn.CONCAT("'",$A95,"'!F31"))&gt;=AP$2,"i",""))</f>
        <v>d</v>
      </c>
      <c r="AQ95" s="44" t="str" cm="1">
        <f t="array" aca="1" ref="AQ95" ca="1">IF(INDIRECT(_xlfn.CONCAT("'",$A95,"'!F30"))&gt;=AQ$2,"d",IF(INDIRECT(_xlfn.CONCAT("'",$A95,"'!F31"))&gt;=AQ$2,"i",""))</f>
        <v>d</v>
      </c>
      <c r="AR95" s="44" t="str" cm="1">
        <f t="array" aca="1" ref="AR95" ca="1">IF(INDIRECT(_xlfn.CONCAT("'",$A95,"'!F30"))&gt;=AR$2,"d",IF(INDIRECT(_xlfn.CONCAT("'",$A95,"'!F31"))&gt;=AR$2,"i",""))</f>
        <v>d</v>
      </c>
      <c r="AS95" s="44" t="str" cm="1">
        <f t="array" aca="1" ref="AS95" ca="1">IF(INDIRECT(_xlfn.CONCAT("'",$A95,"'!F30"))&gt;=AS$2,"d",IF(INDIRECT(_xlfn.CONCAT("'",$A95,"'!F31"))&gt;=AS$2,"i",""))</f>
        <v>d</v>
      </c>
      <c r="AT95" s="44" t="str" cm="1">
        <f t="array" aca="1" ref="AT95" ca="1">IF(INDIRECT(_xlfn.CONCAT("'",$A95,"'!F30"))&gt;=AT$2,"d",IF(INDIRECT(_xlfn.CONCAT("'",$A95,"'!F31"))&gt;=AT$2,"i",""))</f>
        <v>d</v>
      </c>
      <c r="AU95" s="44" t="str" cm="1">
        <f t="array" aca="1" ref="AU95" ca="1">IF(INDIRECT(_xlfn.CONCAT("'",$A95,"'!F30"))&gt;=AU$2,"d",IF(INDIRECT(_xlfn.CONCAT("'",$A95,"'!F31"))&gt;=AU$2,"i",""))</f>
        <v>d</v>
      </c>
      <c r="AV95" s="45" t="str" cm="1">
        <f t="array" aca="1" ref="AV95" ca="1">IF(INDIRECT(_xlfn.CONCAT("'",$A95,"'!F30"))&gt;=AV$2,"d",IF(INDIRECT(_xlfn.CONCAT("'",$A95,"'!F31"))&gt;=AV$2,"i",""))</f>
        <v/>
      </c>
    </row>
    <row r="96" spans="1:48" x14ac:dyDescent="0.25">
      <c r="A96" s="119" t="str">
        <v>Kinich</v>
      </c>
      <c r="B96" s="45" t="str">
        <f t="shared" si="57"/>
        <v>Dendro</v>
      </c>
      <c r="C96" s="153" t="str">
        <f t="shared" si="58"/>
        <v>Natlan 2</v>
      </c>
      <c r="D96" s="154" t="str">
        <f t="shared" si="59"/>
        <v>Knave 3</v>
      </c>
      <c r="E96" s="19" t="str" cm="1">
        <f t="array" aca="1" ref="E96" ca="1">IF(INDIRECT(_xlfn.CONCAT("'",$A96,"'!B4"))&gt;=E$2,"d",IF(INDIRECT(_xlfn.CONCAT("'",$A96,"'!B5"))&gt;=E$2,"i",""))</f>
        <v>d</v>
      </c>
      <c r="F96" s="44" t="str" cm="1">
        <f t="array" aca="1" ref="F96" ca="1">IF(INDIRECT(_xlfn.CONCAT("'",$A96,"'!B4"))&gt;=F$2,"d",IF(INDIRECT(_xlfn.CONCAT("'",$A96,"'!B5"))&gt;=F$2,"i",""))</f>
        <v>d</v>
      </c>
      <c r="G96" s="44" t="str" cm="1">
        <f t="array" aca="1" ref="G96" ca="1">IF(INDIRECT(_xlfn.CONCAT("'",$A96,"'!B4"))&gt;=G$2,"d",IF(INDIRECT(_xlfn.CONCAT("'",$A96,"'!B5"))&gt;=G$2,"i",""))</f>
        <v>d</v>
      </c>
      <c r="H96" s="44" t="str" cm="1">
        <f t="array" aca="1" ref="H96" ca="1">IF(INDIRECT(_xlfn.CONCAT("'",$A96,"'!B4"))&gt;=H$2,"d",IF(INDIRECT(_xlfn.CONCAT("'",$A96,"'!B5"))&gt;=H$2,"i",""))</f>
        <v>d</v>
      </c>
      <c r="I96" s="44" t="str" cm="1">
        <f t="array" aca="1" ref="I96" ca="1">IF(INDIRECT(_xlfn.CONCAT("'",$A96,"'!B4"))&gt;=I$2,"d",IF(INDIRECT(_xlfn.CONCAT("'",$A96,"'!B5"))&gt;=I$2,"i",""))</f>
        <v>d</v>
      </c>
      <c r="J96" s="44" t="str" cm="1">
        <f t="array" aca="1" ref="J96" ca="1">IF(INDIRECT(_xlfn.CONCAT("'",$A96,"'!B4"))&gt;=J$2,"d",IF(INDIRECT(_xlfn.CONCAT("'",$A96,"'!B5"))&gt;=J$2,"i",""))</f>
        <v>d</v>
      </c>
      <c r="K96" s="45" t="str" cm="1">
        <f t="array" aca="1" ref="K96" ca="1">IF(INDIRECT(_xlfn.CONCAT("'",$A96,"'!B4"))&gt;=K$2,"d",IF(INDIRECT(_xlfn.CONCAT("'",$A96,"'!B5"))&gt;=K$2,"i",""))</f>
        <v>d</v>
      </c>
      <c r="L96" s="155"/>
      <c r="M96" s="44" t="str" cm="1">
        <f t="array" aca="1" ref="M96" ca="1">IF(INDIRECT(_xlfn.CONCAT("'",$A96,"'!C10"))&gt;=M$2,"d",IF(INDIRECT(_xlfn.CONCAT("'",$A96,"'!C11"))&gt;=M$2,"i",""))</f>
        <v>d</v>
      </c>
      <c r="N96" s="44" t="str" cm="1">
        <f t="array" aca="1" ref="N96" ca="1">IF(INDIRECT(_xlfn.CONCAT("'",$A96,"'!C10"))&gt;=N$2,"d",IF(INDIRECT(_xlfn.CONCAT("'",$A96,"'!C11"))&gt;=N$2,"i",""))</f>
        <v>d</v>
      </c>
      <c r="O96" s="44" t="str" cm="1">
        <f t="array" aca="1" ref="O96" ca="1">IF(INDIRECT(_xlfn.CONCAT("'",$A96,"'!C10"))&gt;=O$2,"d",IF(INDIRECT(_xlfn.CONCAT("'",$A96,"'!C11"))&gt;=O$2,"i",""))</f>
        <v>d</v>
      </c>
      <c r="P96" s="44" t="str" cm="1">
        <f t="array" aca="1" ref="P96" ca="1">IF(INDIRECT(_xlfn.CONCAT("'",$A96,"'!C10"))&gt;=P$2,"d",IF(INDIRECT(_xlfn.CONCAT("'",$A96,"'!C11"))&gt;=P$2,"i",""))</f>
        <v>d</v>
      </c>
      <c r="Q96" s="44" t="str" cm="1">
        <f t="array" aca="1" ref="Q96" ca="1">IF(INDIRECT(_xlfn.CONCAT("'",$A96,"'!C10"))&gt;=Q$2,"d",IF(INDIRECT(_xlfn.CONCAT("'",$A96,"'!C11"))&gt;=Q$2,"i",""))</f>
        <v>d</v>
      </c>
      <c r="R96" s="44" t="str" cm="1">
        <f t="array" aca="1" ref="R96" ca="1">IF(INDIRECT(_xlfn.CONCAT("'",$A96,"'!C10"))&gt;=R$2,"d",IF(INDIRECT(_xlfn.CONCAT("'",$A96,"'!C11"))&gt;=R$2,"i",""))</f>
        <v>d</v>
      </c>
      <c r="S96" s="156"/>
      <c r="T96" s="44" t="str" cm="1">
        <f t="array" aca="1" ref="T96" ca="1">IF(INDIRECT(_xlfn.CONCAT("'",$A96,"'!F4"))&gt;=T$2,"d",IF(INDIRECT(_xlfn.CONCAT("'",$A96,"'!F5"))&gt;=T$2,"i",""))</f>
        <v>d</v>
      </c>
      <c r="U96" s="44" t="str" cm="1">
        <f t="array" aca="1" ref="U96" ca="1">IF(INDIRECT(_xlfn.CONCAT("'",$A96,"'!F4"))&gt;=U$2,"d",IF(INDIRECT(_xlfn.CONCAT("'",$A96,"'!F5"))&gt;=U$2,"i",""))</f>
        <v>d</v>
      </c>
      <c r="V96" s="44" t="str" cm="1">
        <f t="array" aca="1" ref="V96" ca="1">IF(INDIRECT(_xlfn.CONCAT("'",$A96,"'!F4"))&gt;=V$2,"d",IF(INDIRECT(_xlfn.CONCAT("'",$A96,"'!F5"))&gt;=V$2,"i",""))</f>
        <v>d</v>
      </c>
      <c r="W96" s="44" t="str" cm="1">
        <f t="array" aca="1" ref="W96" ca="1">IF(INDIRECT(_xlfn.CONCAT("'",$A96,"'!F4"))&gt;=W$2,"d",IF(INDIRECT(_xlfn.CONCAT("'",$A96,"'!F5"))&gt;=W$2,"i",""))</f>
        <v>d</v>
      </c>
      <c r="X96" s="44" t="str" cm="1">
        <f t="array" aca="1" ref="X96" ca="1">IF(INDIRECT(_xlfn.CONCAT("'",$A96,"'!F4"))&gt;=X$2,"d",IF(INDIRECT(_xlfn.CONCAT("'",$A96,"'!F5"))&gt;=X$2,"i",""))</f>
        <v>d</v>
      </c>
      <c r="Y96" s="44" t="str" cm="1">
        <f t="array" aca="1" ref="Y96" ca="1">IF(INDIRECT(_xlfn.CONCAT("'",$A96,"'!F4"))&gt;=Y$2,"d",IF(INDIRECT(_xlfn.CONCAT("'",$A96,"'!F5"))&gt;=Y$2,"i",""))</f>
        <v>d</v>
      </c>
      <c r="Z96" s="44" t="str" cm="1">
        <f t="array" aca="1" ref="Z96" ca="1">IF(INDIRECT(_xlfn.CONCAT("'",$A96,"'!F4"))&gt;=Z$2,"d",IF(INDIRECT(_xlfn.CONCAT("'",$A96,"'!F5"))&gt;=Z$2,"i",""))</f>
        <v>d</v>
      </c>
      <c r="AA96" s="44" t="str" cm="1">
        <f t="array" aca="1" ref="AA96" ca="1">IF(INDIRECT(_xlfn.CONCAT("'",$A96,"'!F4"))&gt;=AA$2,"d",IF(INDIRECT(_xlfn.CONCAT("'",$A96,"'!F5"))&gt;=AA$2,"i",""))</f>
        <v>d</v>
      </c>
      <c r="AB96" s="44" t="str" cm="1">
        <f t="array" aca="1" ref="AB96" ca="1">IF(INDIRECT(_xlfn.CONCAT("'",$A96,"'!F4"))&gt;=AB$2,"d",IF(INDIRECT(_xlfn.CONCAT("'",$A96,"'!F5"))&gt;=AB$2,"i",""))</f>
        <v/>
      </c>
      <c r="AC96" s="156"/>
      <c r="AD96" s="44" t="str" cm="1">
        <f t="array" aca="1" ref="AD96" ca="1">IF(INDIRECT(_xlfn.CONCAT("'",$A96,"'!F17"))&gt;=AD$2,"d",IF(INDIRECT(_xlfn.CONCAT("'",$A96,"'!F18"))&gt;=AD$2,"i",""))</f>
        <v>d</v>
      </c>
      <c r="AE96" s="44" t="str" cm="1">
        <f t="array" aca="1" ref="AE96" ca="1">IF(INDIRECT(_xlfn.CONCAT("'",$A96,"'!F17"))&gt;=AE$2,"d",IF(INDIRECT(_xlfn.CONCAT("'",$A96,"'!F18"))&gt;=AE$2,"i",""))</f>
        <v>d</v>
      </c>
      <c r="AF96" s="44" t="str" cm="1">
        <f t="array" aca="1" ref="AF96" ca="1">IF(INDIRECT(_xlfn.CONCAT("'",$A96,"'!F17"))&gt;=AF$2,"d",IF(INDIRECT(_xlfn.CONCAT("'",$A96,"'!F18"))&gt;=AF$2,"i",""))</f>
        <v>d</v>
      </c>
      <c r="AG96" s="44" t="str" cm="1">
        <f t="array" aca="1" ref="AG96" ca="1">IF(INDIRECT(_xlfn.CONCAT("'",$A96,"'!F17"))&gt;=AG$2,"d",IF(INDIRECT(_xlfn.CONCAT("'",$A96,"'!F18"))&gt;=AG$2,"i",""))</f>
        <v>d</v>
      </c>
      <c r="AH96" s="44" t="str" cm="1">
        <f t="array" aca="1" ref="AH96" ca="1">IF(INDIRECT(_xlfn.CONCAT("'",$A96,"'!F17"))&gt;=AH$2,"d",IF(INDIRECT(_xlfn.CONCAT("'",$A96,"'!F18"))&gt;=AH$2,"i",""))</f>
        <v>d</v>
      </c>
      <c r="AI96" s="44" t="str" cm="1">
        <f t="array" aca="1" ref="AI96" ca="1">IF(INDIRECT(_xlfn.CONCAT("'",$A96,"'!F17"))&gt;=AI$2,"d",IF(INDIRECT(_xlfn.CONCAT("'",$A96,"'!F18"))&gt;=AI$2,"i",""))</f>
        <v>d</v>
      </c>
      <c r="AJ96" s="44" t="str" cm="1">
        <f t="array" aca="1" ref="AJ96" ca="1">IF(INDIRECT(_xlfn.CONCAT("'",$A96,"'!F17"))&gt;=AJ$2,"d",IF(INDIRECT(_xlfn.CONCAT("'",$A96,"'!F18"))&gt;=AJ$2,"i",""))</f>
        <v>d</v>
      </c>
      <c r="AK96" s="44" t="str" cm="1">
        <f t="array" aca="1" ref="AK96" ca="1">IF(INDIRECT(_xlfn.CONCAT("'",$A96,"'!F17"))&gt;=AK$2,"d",IF(INDIRECT(_xlfn.CONCAT("'",$A96,"'!F18"))&gt;=AK$2,"i",""))</f>
        <v>d</v>
      </c>
      <c r="AL96" s="44" t="str" cm="1">
        <f t="array" aca="1" ref="AL96" ca="1">IF(INDIRECT(_xlfn.CONCAT("'",$A96,"'!F17"))&gt;=AL$2,"d",IF(INDIRECT(_xlfn.CONCAT("'",$A96,"'!F18"))&gt;=AL$2,"i",""))</f>
        <v/>
      </c>
      <c r="AM96" s="156"/>
      <c r="AN96" s="44" t="str" cm="1">
        <f t="array" aca="1" ref="AN96" ca="1">IF(INDIRECT(_xlfn.CONCAT("'",$A96,"'!F30"))&gt;=AN$2,"d",IF(INDIRECT(_xlfn.CONCAT("'",$A96,"'!F31"))&gt;=AN$2,"i",""))</f>
        <v>d</v>
      </c>
      <c r="AO96" s="44" t="str" cm="1">
        <f t="array" aca="1" ref="AO96" ca="1">IF(INDIRECT(_xlfn.CONCAT("'",$A96,"'!F30"))&gt;=AO$2,"d",IF(INDIRECT(_xlfn.CONCAT("'",$A96,"'!F31"))&gt;=AO$2,"i",""))</f>
        <v>d</v>
      </c>
      <c r="AP96" s="44" t="str" cm="1">
        <f t="array" aca="1" ref="AP96" ca="1">IF(INDIRECT(_xlfn.CONCAT("'",$A96,"'!F30"))&gt;=AP$2,"d",IF(INDIRECT(_xlfn.CONCAT("'",$A96,"'!F31"))&gt;=AP$2,"i",""))</f>
        <v>d</v>
      </c>
      <c r="AQ96" s="44" t="str" cm="1">
        <f t="array" aca="1" ref="AQ96" ca="1">IF(INDIRECT(_xlfn.CONCAT("'",$A96,"'!F30"))&gt;=AQ$2,"d",IF(INDIRECT(_xlfn.CONCAT("'",$A96,"'!F31"))&gt;=AQ$2,"i",""))</f>
        <v>d</v>
      </c>
      <c r="AR96" s="44" t="str" cm="1">
        <f t="array" aca="1" ref="AR96" ca="1">IF(INDIRECT(_xlfn.CONCAT("'",$A96,"'!F30"))&gt;=AR$2,"d",IF(INDIRECT(_xlfn.CONCAT("'",$A96,"'!F31"))&gt;=AR$2,"i",""))</f>
        <v>d</v>
      </c>
      <c r="AS96" s="44" t="str" cm="1">
        <f t="array" aca="1" ref="AS96" ca="1">IF(INDIRECT(_xlfn.CONCAT("'",$A96,"'!F30"))&gt;=AS$2,"d",IF(INDIRECT(_xlfn.CONCAT("'",$A96,"'!F31"))&gt;=AS$2,"i",""))</f>
        <v>d</v>
      </c>
      <c r="AT96" s="44" t="str" cm="1">
        <f t="array" aca="1" ref="AT96" ca="1">IF(INDIRECT(_xlfn.CONCAT("'",$A96,"'!F30"))&gt;=AT$2,"d",IF(INDIRECT(_xlfn.CONCAT("'",$A96,"'!F31"))&gt;=AT$2,"i",""))</f>
        <v>d</v>
      </c>
      <c r="AU96" s="44" t="str" cm="1">
        <f t="array" aca="1" ref="AU96" ca="1">IF(INDIRECT(_xlfn.CONCAT("'",$A96,"'!F30"))&gt;=AU$2,"d",IF(INDIRECT(_xlfn.CONCAT("'",$A96,"'!F31"))&gt;=AU$2,"i",""))</f>
        <v>d</v>
      </c>
      <c r="AV96" s="45" t="str" cm="1">
        <f t="array" aca="1" ref="AV96" ca="1">IF(INDIRECT(_xlfn.CONCAT("'",$A96,"'!F30"))&gt;=AV$2,"d",IF(INDIRECT(_xlfn.CONCAT("'",$A96,"'!F31"))&gt;=AV$2,"i",""))</f>
        <v/>
      </c>
    </row>
    <row r="97" spans="1:48" x14ac:dyDescent="0.25">
      <c r="A97" s="119" t="str">
        <v>Xilonen</v>
      </c>
      <c r="B97" s="45" t="str">
        <f t="shared" si="57"/>
        <v>Geo</v>
      </c>
      <c r="C97" s="153" t="str">
        <f t="shared" ref="C97" si="60">VLOOKUP(A97,Character_List,7,FALSE)</f>
        <v>Natlan 2</v>
      </c>
      <c r="D97" s="154" t="str">
        <f t="shared" ref="D97" si="61">VLOOKUP(A97,Character_List,8,FALSE)</f>
        <v>Scaramouche 2</v>
      </c>
      <c r="E97" s="19" t="str" cm="1">
        <f t="array" aca="1" ref="E97" ca="1">IF(INDIRECT(_xlfn.CONCAT("'",$A97,"'!B4"))&gt;=E$2,"d",IF(INDIRECT(_xlfn.CONCAT("'",$A97,"'!B5"))&gt;=E$2,"i",""))</f>
        <v>d</v>
      </c>
      <c r="F97" s="44" t="str" cm="1">
        <f t="array" aca="1" ref="F97" ca="1">IF(INDIRECT(_xlfn.CONCAT("'",$A97,"'!B4"))&gt;=F$2,"d",IF(INDIRECT(_xlfn.CONCAT("'",$A97,"'!B5"))&gt;=F$2,"i",""))</f>
        <v>d</v>
      </c>
      <c r="G97" s="44" t="str" cm="1">
        <f t="array" aca="1" ref="G97" ca="1">IF(INDIRECT(_xlfn.CONCAT("'",$A97,"'!B4"))&gt;=G$2,"d",IF(INDIRECT(_xlfn.CONCAT("'",$A97,"'!B5"))&gt;=G$2,"i",""))</f>
        <v>d</v>
      </c>
      <c r="H97" s="44" t="str" cm="1">
        <f t="array" aca="1" ref="H97" ca="1">IF(INDIRECT(_xlfn.CONCAT("'",$A97,"'!B4"))&gt;=H$2,"d",IF(INDIRECT(_xlfn.CONCAT("'",$A97,"'!B5"))&gt;=H$2,"i",""))</f>
        <v>d</v>
      </c>
      <c r="I97" s="44" t="str" cm="1">
        <f t="array" aca="1" ref="I97" ca="1">IF(INDIRECT(_xlfn.CONCAT("'",$A97,"'!B4"))&gt;=I$2,"d",IF(INDIRECT(_xlfn.CONCAT("'",$A97,"'!B5"))&gt;=I$2,"i",""))</f>
        <v>d</v>
      </c>
      <c r="J97" s="44" t="str" cm="1">
        <f t="array" aca="1" ref="J97" ca="1">IF(INDIRECT(_xlfn.CONCAT("'",$A97,"'!B4"))&gt;=J$2,"d",IF(INDIRECT(_xlfn.CONCAT("'",$A97,"'!B5"))&gt;=J$2,"i",""))</f>
        <v>d</v>
      </c>
      <c r="K97" s="45" t="str" cm="1">
        <f t="array" aca="1" ref="K97" ca="1">IF(INDIRECT(_xlfn.CONCAT("'",$A97,"'!B4"))&gt;=K$2,"d",IF(INDIRECT(_xlfn.CONCAT("'",$A97,"'!B5"))&gt;=K$2,"i",""))</f>
        <v>d</v>
      </c>
      <c r="L97" s="155"/>
      <c r="M97" s="44" t="str" cm="1">
        <f t="array" aca="1" ref="M97" ca="1">IF(INDIRECT(_xlfn.CONCAT("'",$A97,"'!C10"))&gt;=M$2,"d",IF(INDIRECT(_xlfn.CONCAT("'",$A97,"'!C11"))&gt;=M$2,"i",""))</f>
        <v>d</v>
      </c>
      <c r="N97" s="44" t="str" cm="1">
        <f t="array" aca="1" ref="N97" ca="1">IF(INDIRECT(_xlfn.CONCAT("'",$A97,"'!C10"))&gt;=N$2,"d",IF(INDIRECT(_xlfn.CONCAT("'",$A97,"'!C11"))&gt;=N$2,"i",""))</f>
        <v>d</v>
      </c>
      <c r="O97" s="44" t="str" cm="1">
        <f t="array" aca="1" ref="O97" ca="1">IF(INDIRECT(_xlfn.CONCAT("'",$A97,"'!C10"))&gt;=O$2,"d",IF(INDIRECT(_xlfn.CONCAT("'",$A97,"'!C11"))&gt;=O$2,"i",""))</f>
        <v>d</v>
      </c>
      <c r="P97" s="44" t="str" cm="1">
        <f t="array" aca="1" ref="P97" ca="1">IF(INDIRECT(_xlfn.CONCAT("'",$A97,"'!C10"))&gt;=P$2,"d",IF(INDIRECT(_xlfn.CONCAT("'",$A97,"'!C11"))&gt;=P$2,"i",""))</f>
        <v>d</v>
      </c>
      <c r="Q97" s="44" t="str" cm="1">
        <f t="array" aca="1" ref="Q97" ca="1">IF(INDIRECT(_xlfn.CONCAT("'",$A97,"'!C10"))&gt;=Q$2,"d",IF(INDIRECT(_xlfn.CONCAT("'",$A97,"'!C11"))&gt;=Q$2,"i",""))</f>
        <v>d</v>
      </c>
      <c r="R97" s="44" t="str" cm="1">
        <f t="array" aca="1" ref="R97" ca="1">IF(INDIRECT(_xlfn.CONCAT("'",$A97,"'!C10"))&gt;=R$2,"d",IF(INDIRECT(_xlfn.CONCAT("'",$A97,"'!C11"))&gt;=R$2,"i",""))</f>
        <v>d</v>
      </c>
      <c r="S97" s="156"/>
      <c r="T97" s="44" t="str" cm="1">
        <f t="array" aca="1" ref="T97" ca="1">IF(INDIRECT(_xlfn.CONCAT("'",$A97,"'!F4"))&gt;=T$2,"d",IF(INDIRECT(_xlfn.CONCAT("'",$A97,"'!F5"))&gt;=T$2,"i",""))</f>
        <v>d</v>
      </c>
      <c r="U97" s="44" t="str" cm="1">
        <f t="array" aca="1" ref="U97" ca="1">IF(INDIRECT(_xlfn.CONCAT("'",$A97,"'!F4"))&gt;=U$2,"d",IF(INDIRECT(_xlfn.CONCAT("'",$A97,"'!F5"))&gt;=U$2,"i",""))</f>
        <v>d</v>
      </c>
      <c r="V97" s="44" t="str" cm="1">
        <f t="array" aca="1" ref="V97" ca="1">IF(INDIRECT(_xlfn.CONCAT("'",$A97,"'!F4"))&gt;=V$2,"d",IF(INDIRECT(_xlfn.CONCAT("'",$A97,"'!F5"))&gt;=V$2,"i",""))</f>
        <v>d</v>
      </c>
      <c r="W97" s="44" t="str" cm="1">
        <f t="array" aca="1" ref="W97" ca="1">IF(INDIRECT(_xlfn.CONCAT("'",$A97,"'!F4"))&gt;=W$2,"d",IF(INDIRECT(_xlfn.CONCAT("'",$A97,"'!F5"))&gt;=W$2,"i",""))</f>
        <v>d</v>
      </c>
      <c r="X97" s="44" t="str" cm="1">
        <f t="array" aca="1" ref="X97" ca="1">IF(INDIRECT(_xlfn.CONCAT("'",$A97,"'!F4"))&gt;=X$2,"d",IF(INDIRECT(_xlfn.CONCAT("'",$A97,"'!F5"))&gt;=X$2,"i",""))</f>
        <v>d</v>
      </c>
      <c r="Y97" s="44" t="str" cm="1">
        <f t="array" aca="1" ref="Y97" ca="1">IF(INDIRECT(_xlfn.CONCAT("'",$A97,"'!F4"))&gt;=Y$2,"d",IF(INDIRECT(_xlfn.CONCAT("'",$A97,"'!F5"))&gt;=Y$2,"i",""))</f>
        <v>d</v>
      </c>
      <c r="Z97" s="44" t="str" cm="1">
        <f t="array" aca="1" ref="Z97" ca="1">IF(INDIRECT(_xlfn.CONCAT("'",$A97,"'!F4"))&gt;=Z$2,"d",IF(INDIRECT(_xlfn.CONCAT("'",$A97,"'!F5"))&gt;=Z$2,"i",""))</f>
        <v>d</v>
      </c>
      <c r="AA97" s="44" t="str" cm="1">
        <f t="array" aca="1" ref="AA97" ca="1">IF(INDIRECT(_xlfn.CONCAT("'",$A97,"'!F4"))&gt;=AA$2,"d",IF(INDIRECT(_xlfn.CONCAT("'",$A97,"'!F5"))&gt;=AA$2,"i",""))</f>
        <v>d</v>
      </c>
      <c r="AB97" s="44" t="str" cm="1">
        <f t="array" aca="1" ref="AB97" ca="1">IF(INDIRECT(_xlfn.CONCAT("'",$A97,"'!F4"))&gt;=AB$2,"d",IF(INDIRECT(_xlfn.CONCAT("'",$A97,"'!F5"))&gt;=AB$2,"i",""))</f>
        <v/>
      </c>
      <c r="AC97" s="156"/>
      <c r="AD97" s="44" t="str" cm="1">
        <f t="array" aca="1" ref="AD97" ca="1">IF(INDIRECT(_xlfn.CONCAT("'",$A97,"'!F17"))&gt;=AD$2,"d",IF(INDIRECT(_xlfn.CONCAT("'",$A97,"'!F18"))&gt;=AD$2,"i",""))</f>
        <v>d</v>
      </c>
      <c r="AE97" s="44" t="str" cm="1">
        <f t="array" aca="1" ref="AE97" ca="1">IF(INDIRECT(_xlfn.CONCAT("'",$A97,"'!F17"))&gt;=AE$2,"d",IF(INDIRECT(_xlfn.CONCAT("'",$A97,"'!F18"))&gt;=AE$2,"i",""))</f>
        <v>d</v>
      </c>
      <c r="AF97" s="44" t="str" cm="1">
        <f t="array" aca="1" ref="AF97" ca="1">IF(INDIRECT(_xlfn.CONCAT("'",$A97,"'!F17"))&gt;=AF$2,"d",IF(INDIRECT(_xlfn.CONCAT("'",$A97,"'!F18"))&gt;=AF$2,"i",""))</f>
        <v>d</v>
      </c>
      <c r="AG97" s="44" t="str" cm="1">
        <f t="array" aca="1" ref="AG97" ca="1">IF(INDIRECT(_xlfn.CONCAT("'",$A97,"'!F17"))&gt;=AG$2,"d",IF(INDIRECT(_xlfn.CONCAT("'",$A97,"'!F18"))&gt;=AG$2,"i",""))</f>
        <v>d</v>
      </c>
      <c r="AH97" s="44" t="str" cm="1">
        <f t="array" aca="1" ref="AH97" ca="1">IF(INDIRECT(_xlfn.CONCAT("'",$A97,"'!F17"))&gt;=AH$2,"d",IF(INDIRECT(_xlfn.CONCAT("'",$A97,"'!F18"))&gt;=AH$2,"i",""))</f>
        <v>d</v>
      </c>
      <c r="AI97" s="44" t="str" cm="1">
        <f t="array" aca="1" ref="AI97" ca="1">IF(INDIRECT(_xlfn.CONCAT("'",$A97,"'!F17"))&gt;=AI$2,"d",IF(INDIRECT(_xlfn.CONCAT("'",$A97,"'!F18"))&gt;=AI$2,"i",""))</f>
        <v>d</v>
      </c>
      <c r="AJ97" s="44" t="str" cm="1">
        <f t="array" aca="1" ref="AJ97" ca="1">IF(INDIRECT(_xlfn.CONCAT("'",$A97,"'!F17"))&gt;=AJ$2,"d",IF(INDIRECT(_xlfn.CONCAT("'",$A97,"'!F18"))&gt;=AJ$2,"i",""))</f>
        <v>d</v>
      </c>
      <c r="AK97" s="44" t="str" cm="1">
        <f t="array" aca="1" ref="AK97" ca="1">IF(INDIRECT(_xlfn.CONCAT("'",$A97,"'!F17"))&gt;=AK$2,"d",IF(INDIRECT(_xlfn.CONCAT("'",$A97,"'!F18"))&gt;=AK$2,"i",""))</f>
        <v>d</v>
      </c>
      <c r="AL97" s="44" t="str" cm="1">
        <f t="array" aca="1" ref="AL97" ca="1">IF(INDIRECT(_xlfn.CONCAT("'",$A97,"'!F17"))&gt;=AL$2,"d",IF(INDIRECT(_xlfn.CONCAT("'",$A97,"'!F18"))&gt;=AL$2,"i",""))</f>
        <v/>
      </c>
      <c r="AM97" s="156"/>
      <c r="AN97" s="44" t="str" cm="1">
        <f t="array" aca="1" ref="AN97" ca="1">IF(INDIRECT(_xlfn.CONCAT("'",$A97,"'!F30"))&gt;=AN$2,"d",IF(INDIRECT(_xlfn.CONCAT("'",$A97,"'!F31"))&gt;=AN$2,"i",""))</f>
        <v>d</v>
      </c>
      <c r="AO97" s="44" t="str" cm="1">
        <f t="array" aca="1" ref="AO97" ca="1">IF(INDIRECT(_xlfn.CONCAT("'",$A97,"'!F30"))&gt;=AO$2,"d",IF(INDIRECT(_xlfn.CONCAT("'",$A97,"'!F31"))&gt;=AO$2,"i",""))</f>
        <v>d</v>
      </c>
      <c r="AP97" s="44" t="str" cm="1">
        <f t="array" aca="1" ref="AP97" ca="1">IF(INDIRECT(_xlfn.CONCAT("'",$A97,"'!F30"))&gt;=AP$2,"d",IF(INDIRECT(_xlfn.CONCAT("'",$A97,"'!F31"))&gt;=AP$2,"i",""))</f>
        <v>d</v>
      </c>
      <c r="AQ97" s="44" t="str" cm="1">
        <f t="array" aca="1" ref="AQ97" ca="1">IF(INDIRECT(_xlfn.CONCAT("'",$A97,"'!F30"))&gt;=AQ$2,"d",IF(INDIRECT(_xlfn.CONCAT("'",$A97,"'!F31"))&gt;=AQ$2,"i",""))</f>
        <v>d</v>
      </c>
      <c r="AR97" s="44" t="str" cm="1">
        <f t="array" aca="1" ref="AR97" ca="1">IF(INDIRECT(_xlfn.CONCAT("'",$A97,"'!F30"))&gt;=AR$2,"d",IF(INDIRECT(_xlfn.CONCAT("'",$A97,"'!F31"))&gt;=AR$2,"i",""))</f>
        <v>d</v>
      </c>
      <c r="AS97" s="44" t="str" cm="1">
        <f t="array" aca="1" ref="AS97" ca="1">IF(INDIRECT(_xlfn.CONCAT("'",$A97,"'!F30"))&gt;=AS$2,"d",IF(INDIRECT(_xlfn.CONCAT("'",$A97,"'!F31"))&gt;=AS$2,"i",""))</f>
        <v>d</v>
      </c>
      <c r="AT97" s="44" t="str" cm="1">
        <f t="array" aca="1" ref="AT97" ca="1">IF(INDIRECT(_xlfn.CONCAT("'",$A97,"'!F30"))&gt;=AT$2,"d",IF(INDIRECT(_xlfn.CONCAT("'",$A97,"'!F31"))&gt;=AT$2,"i",""))</f>
        <v>d</v>
      </c>
      <c r="AU97" s="44" t="str" cm="1">
        <f t="array" aca="1" ref="AU97" ca="1">IF(INDIRECT(_xlfn.CONCAT("'",$A97,"'!F30"))&gt;=AU$2,"d",IF(INDIRECT(_xlfn.CONCAT("'",$A97,"'!F31"))&gt;=AU$2,"i",""))</f>
        <v>d</v>
      </c>
      <c r="AV97" s="45" t="str" cm="1">
        <f t="array" aca="1" ref="AV97" ca="1">IF(INDIRECT(_xlfn.CONCAT("'",$A97,"'!F30"))&gt;=AV$2,"d",IF(INDIRECT(_xlfn.CONCAT("'",$A97,"'!F31"))&gt;=AV$2,"i",""))</f>
        <v/>
      </c>
    </row>
    <row r="98" spans="1:48" x14ac:dyDescent="0.25">
      <c r="A98" s="119" t="str">
        <v>Chasca</v>
      </c>
      <c r="B98" s="45" t="str">
        <f t="shared" ref="B98" si="62">VLOOKUP(A98,Character_List,2,FALSE)</f>
        <v>Pyro</v>
      </c>
      <c r="C98" s="153" t="str">
        <f t="shared" ref="C98" si="63">VLOOKUP(A98,Character_List,7,FALSE)</f>
        <v>Natlan 3</v>
      </c>
      <c r="D98" s="154" t="str">
        <f t="shared" ref="D98" si="64">VLOOKUP(A98,Character_List,8,FALSE)</f>
        <v>Knave 2</v>
      </c>
      <c r="E98" s="19" t="str" cm="1">
        <f t="array" aca="1" ref="E98" ca="1">IF(INDIRECT(_xlfn.CONCAT("'",$A98,"'!B4"))&gt;=E$2,"d",IF(INDIRECT(_xlfn.CONCAT("'",$A98,"'!B5"))&gt;=E$2,"i",""))</f>
        <v>d</v>
      </c>
      <c r="F98" s="44" t="str" cm="1">
        <f t="array" aca="1" ref="F98" ca="1">IF(INDIRECT(_xlfn.CONCAT("'",$A98,"'!B4"))&gt;=F$2,"d",IF(INDIRECT(_xlfn.CONCAT("'",$A98,"'!B5"))&gt;=F$2,"i",""))</f>
        <v>d</v>
      </c>
      <c r="G98" s="44" t="str" cm="1">
        <f t="array" aca="1" ref="G98" ca="1">IF(INDIRECT(_xlfn.CONCAT("'",$A98,"'!B4"))&gt;=G$2,"d",IF(INDIRECT(_xlfn.CONCAT("'",$A98,"'!B5"))&gt;=G$2,"i",""))</f>
        <v>d</v>
      </c>
      <c r="H98" s="44" t="str" cm="1">
        <f t="array" aca="1" ref="H98" ca="1">IF(INDIRECT(_xlfn.CONCAT("'",$A98,"'!B4"))&gt;=H$2,"d",IF(INDIRECT(_xlfn.CONCAT("'",$A98,"'!B5"))&gt;=H$2,"i",""))</f>
        <v>d</v>
      </c>
      <c r="I98" s="44" t="str" cm="1">
        <f t="array" aca="1" ref="I98" ca="1">IF(INDIRECT(_xlfn.CONCAT("'",$A98,"'!B4"))&gt;=I$2,"d",IF(INDIRECT(_xlfn.CONCAT("'",$A98,"'!B5"))&gt;=I$2,"i",""))</f>
        <v>d</v>
      </c>
      <c r="J98" s="44" t="str" cm="1">
        <f t="array" aca="1" ref="J98" ca="1">IF(INDIRECT(_xlfn.CONCAT("'",$A98,"'!B4"))&gt;=J$2,"d",IF(INDIRECT(_xlfn.CONCAT("'",$A98,"'!B5"))&gt;=J$2,"i",""))</f>
        <v>d</v>
      </c>
      <c r="K98" s="45" t="str" cm="1">
        <f t="array" aca="1" ref="K98" ca="1">IF(INDIRECT(_xlfn.CONCAT("'",$A98,"'!B4"))&gt;=K$2,"d",IF(INDIRECT(_xlfn.CONCAT("'",$A98,"'!B5"))&gt;=K$2,"i",""))</f>
        <v>d</v>
      </c>
      <c r="L98" s="155"/>
      <c r="M98" s="44" t="str" cm="1">
        <f t="array" aca="1" ref="M98" ca="1">IF(INDIRECT(_xlfn.CONCAT("'",$A98,"'!C10"))&gt;=M$2,"d",IF(INDIRECT(_xlfn.CONCAT("'",$A98,"'!C11"))&gt;=M$2,"i",""))</f>
        <v>d</v>
      </c>
      <c r="N98" s="44" t="str" cm="1">
        <f t="array" aca="1" ref="N98" ca="1">IF(INDIRECT(_xlfn.CONCAT("'",$A98,"'!C10"))&gt;=N$2,"d",IF(INDIRECT(_xlfn.CONCAT("'",$A98,"'!C11"))&gt;=N$2,"i",""))</f>
        <v>d</v>
      </c>
      <c r="O98" s="44" t="str" cm="1">
        <f t="array" aca="1" ref="O98" ca="1">IF(INDIRECT(_xlfn.CONCAT("'",$A98,"'!C10"))&gt;=O$2,"d",IF(INDIRECT(_xlfn.CONCAT("'",$A98,"'!C11"))&gt;=O$2,"i",""))</f>
        <v>d</v>
      </c>
      <c r="P98" s="44" t="str" cm="1">
        <f t="array" aca="1" ref="P98" ca="1">IF(INDIRECT(_xlfn.CONCAT("'",$A98,"'!C10"))&gt;=P$2,"d",IF(INDIRECT(_xlfn.CONCAT("'",$A98,"'!C11"))&gt;=P$2,"i",""))</f>
        <v>d</v>
      </c>
      <c r="Q98" s="44" t="str" cm="1">
        <f t="array" aca="1" ref="Q98" ca="1">IF(INDIRECT(_xlfn.CONCAT("'",$A98,"'!C10"))&gt;=Q$2,"d",IF(INDIRECT(_xlfn.CONCAT("'",$A98,"'!C11"))&gt;=Q$2,"i",""))</f>
        <v>d</v>
      </c>
      <c r="R98" s="44" t="str" cm="1">
        <f t="array" aca="1" ref="R98" ca="1">IF(INDIRECT(_xlfn.CONCAT("'",$A98,"'!C10"))&gt;=R$2,"d",IF(INDIRECT(_xlfn.CONCAT("'",$A98,"'!C11"))&gt;=R$2,"i",""))</f>
        <v>d</v>
      </c>
      <c r="S98" s="156"/>
      <c r="T98" s="44" t="str" cm="1">
        <f t="array" aca="1" ref="T98" ca="1">IF(INDIRECT(_xlfn.CONCAT("'",$A98,"'!F4"))&gt;=T$2,"d",IF(INDIRECT(_xlfn.CONCAT("'",$A98,"'!F5"))&gt;=T$2,"i",""))</f>
        <v>d</v>
      </c>
      <c r="U98" s="44" t="str" cm="1">
        <f t="array" aca="1" ref="U98" ca="1">IF(INDIRECT(_xlfn.CONCAT("'",$A98,"'!F4"))&gt;=U$2,"d",IF(INDIRECT(_xlfn.CONCAT("'",$A98,"'!F5"))&gt;=U$2,"i",""))</f>
        <v>d</v>
      </c>
      <c r="V98" s="44" t="str" cm="1">
        <f t="array" aca="1" ref="V98" ca="1">IF(INDIRECT(_xlfn.CONCAT("'",$A98,"'!F4"))&gt;=V$2,"d",IF(INDIRECT(_xlfn.CONCAT("'",$A98,"'!F5"))&gt;=V$2,"i",""))</f>
        <v>d</v>
      </c>
      <c r="W98" s="44" t="str" cm="1">
        <f t="array" aca="1" ref="W98" ca="1">IF(INDIRECT(_xlfn.CONCAT("'",$A98,"'!F4"))&gt;=W$2,"d",IF(INDIRECT(_xlfn.CONCAT("'",$A98,"'!F5"))&gt;=W$2,"i",""))</f>
        <v>d</v>
      </c>
      <c r="X98" s="44" t="str" cm="1">
        <f t="array" aca="1" ref="X98" ca="1">IF(INDIRECT(_xlfn.CONCAT("'",$A98,"'!F4"))&gt;=X$2,"d",IF(INDIRECT(_xlfn.CONCAT("'",$A98,"'!F5"))&gt;=X$2,"i",""))</f>
        <v>d</v>
      </c>
      <c r="Y98" s="44" t="str" cm="1">
        <f t="array" aca="1" ref="Y98" ca="1">IF(INDIRECT(_xlfn.CONCAT("'",$A98,"'!F4"))&gt;=Y$2,"d",IF(INDIRECT(_xlfn.CONCAT("'",$A98,"'!F5"))&gt;=Y$2,"i",""))</f>
        <v>d</v>
      </c>
      <c r="Z98" s="44" t="str" cm="1">
        <f t="array" aca="1" ref="Z98" ca="1">IF(INDIRECT(_xlfn.CONCAT("'",$A98,"'!F4"))&gt;=Z$2,"d",IF(INDIRECT(_xlfn.CONCAT("'",$A98,"'!F5"))&gt;=Z$2,"i",""))</f>
        <v>d</v>
      </c>
      <c r="AA98" s="44" t="str" cm="1">
        <f t="array" aca="1" ref="AA98" ca="1">IF(INDIRECT(_xlfn.CONCAT("'",$A98,"'!F4"))&gt;=AA$2,"d",IF(INDIRECT(_xlfn.CONCAT("'",$A98,"'!F5"))&gt;=AA$2,"i",""))</f>
        <v>d</v>
      </c>
      <c r="AB98" s="44" t="str" cm="1">
        <f t="array" aca="1" ref="AB98" ca="1">IF(INDIRECT(_xlfn.CONCAT("'",$A98,"'!F4"))&gt;=AB$2,"d",IF(INDIRECT(_xlfn.CONCAT("'",$A98,"'!F5"))&gt;=AB$2,"i",""))</f>
        <v/>
      </c>
      <c r="AC98" s="156"/>
      <c r="AD98" s="44" t="str" cm="1">
        <f t="array" aca="1" ref="AD98" ca="1">IF(INDIRECT(_xlfn.CONCAT("'",$A98,"'!F17"))&gt;=AD$2,"d",IF(INDIRECT(_xlfn.CONCAT("'",$A98,"'!F18"))&gt;=AD$2,"i",""))</f>
        <v>d</v>
      </c>
      <c r="AE98" s="44" t="str" cm="1">
        <f t="array" aca="1" ref="AE98" ca="1">IF(INDIRECT(_xlfn.CONCAT("'",$A98,"'!F17"))&gt;=AE$2,"d",IF(INDIRECT(_xlfn.CONCAT("'",$A98,"'!F18"))&gt;=AE$2,"i",""))</f>
        <v>d</v>
      </c>
      <c r="AF98" s="44" t="str" cm="1">
        <f t="array" aca="1" ref="AF98" ca="1">IF(INDIRECT(_xlfn.CONCAT("'",$A98,"'!F17"))&gt;=AF$2,"d",IF(INDIRECT(_xlfn.CONCAT("'",$A98,"'!F18"))&gt;=AF$2,"i",""))</f>
        <v>d</v>
      </c>
      <c r="AG98" s="44" t="str" cm="1">
        <f t="array" aca="1" ref="AG98" ca="1">IF(INDIRECT(_xlfn.CONCAT("'",$A98,"'!F17"))&gt;=AG$2,"d",IF(INDIRECT(_xlfn.CONCAT("'",$A98,"'!F18"))&gt;=AG$2,"i",""))</f>
        <v>d</v>
      </c>
      <c r="AH98" s="44" t="str" cm="1">
        <f t="array" aca="1" ref="AH98" ca="1">IF(INDIRECT(_xlfn.CONCAT("'",$A98,"'!F17"))&gt;=AH$2,"d",IF(INDIRECT(_xlfn.CONCAT("'",$A98,"'!F18"))&gt;=AH$2,"i",""))</f>
        <v>d</v>
      </c>
      <c r="AI98" s="44" t="str" cm="1">
        <f t="array" aca="1" ref="AI98" ca="1">IF(INDIRECT(_xlfn.CONCAT("'",$A98,"'!F17"))&gt;=AI$2,"d",IF(INDIRECT(_xlfn.CONCAT("'",$A98,"'!F18"))&gt;=AI$2,"i",""))</f>
        <v>d</v>
      </c>
      <c r="AJ98" s="44" t="str" cm="1">
        <f t="array" aca="1" ref="AJ98" ca="1">IF(INDIRECT(_xlfn.CONCAT("'",$A98,"'!F17"))&gt;=AJ$2,"d",IF(INDIRECT(_xlfn.CONCAT("'",$A98,"'!F18"))&gt;=AJ$2,"i",""))</f>
        <v>d</v>
      </c>
      <c r="AK98" s="44" t="str" cm="1">
        <f t="array" aca="1" ref="AK98" ca="1">IF(INDIRECT(_xlfn.CONCAT("'",$A98,"'!F17"))&gt;=AK$2,"d",IF(INDIRECT(_xlfn.CONCAT("'",$A98,"'!F18"))&gt;=AK$2,"i",""))</f>
        <v>d</v>
      </c>
      <c r="AL98" s="44" t="str" cm="1">
        <f t="array" aca="1" ref="AL98" ca="1">IF(INDIRECT(_xlfn.CONCAT("'",$A98,"'!F17"))&gt;=AL$2,"d",IF(INDIRECT(_xlfn.CONCAT("'",$A98,"'!F18"))&gt;=AL$2,"i",""))</f>
        <v/>
      </c>
      <c r="AM98" s="156"/>
      <c r="AN98" s="44" t="str" cm="1">
        <f t="array" aca="1" ref="AN98" ca="1">IF(INDIRECT(_xlfn.CONCAT("'",$A98,"'!F30"))&gt;=AN$2,"d",IF(INDIRECT(_xlfn.CONCAT("'",$A98,"'!F31"))&gt;=AN$2,"i",""))</f>
        <v>d</v>
      </c>
      <c r="AO98" s="44" t="str" cm="1">
        <f t="array" aca="1" ref="AO98" ca="1">IF(INDIRECT(_xlfn.CONCAT("'",$A98,"'!F30"))&gt;=AO$2,"d",IF(INDIRECT(_xlfn.CONCAT("'",$A98,"'!F31"))&gt;=AO$2,"i",""))</f>
        <v>d</v>
      </c>
      <c r="AP98" s="44" t="str" cm="1">
        <f t="array" aca="1" ref="AP98" ca="1">IF(INDIRECT(_xlfn.CONCAT("'",$A98,"'!F30"))&gt;=AP$2,"d",IF(INDIRECT(_xlfn.CONCAT("'",$A98,"'!F31"))&gt;=AP$2,"i",""))</f>
        <v>d</v>
      </c>
      <c r="AQ98" s="44" t="str" cm="1">
        <f t="array" aca="1" ref="AQ98" ca="1">IF(INDIRECT(_xlfn.CONCAT("'",$A98,"'!F30"))&gt;=AQ$2,"d",IF(INDIRECT(_xlfn.CONCAT("'",$A98,"'!F31"))&gt;=AQ$2,"i",""))</f>
        <v>d</v>
      </c>
      <c r="AR98" s="44" t="str" cm="1">
        <f t="array" aca="1" ref="AR98" ca="1">IF(INDIRECT(_xlfn.CONCAT("'",$A98,"'!F30"))&gt;=AR$2,"d",IF(INDIRECT(_xlfn.CONCAT("'",$A98,"'!F31"))&gt;=AR$2,"i",""))</f>
        <v>d</v>
      </c>
      <c r="AS98" s="44" t="str" cm="1">
        <f t="array" aca="1" ref="AS98" ca="1">IF(INDIRECT(_xlfn.CONCAT("'",$A98,"'!F30"))&gt;=AS$2,"d",IF(INDIRECT(_xlfn.CONCAT("'",$A98,"'!F31"))&gt;=AS$2,"i",""))</f>
        <v>d</v>
      </c>
      <c r="AT98" s="44" t="str" cm="1">
        <f t="array" aca="1" ref="AT98" ca="1">IF(INDIRECT(_xlfn.CONCAT("'",$A98,"'!F30"))&gt;=AT$2,"d",IF(INDIRECT(_xlfn.CONCAT("'",$A98,"'!F31"))&gt;=AT$2,"i",""))</f>
        <v>d</v>
      </c>
      <c r="AU98" s="44" t="str" cm="1">
        <f t="array" aca="1" ref="AU98" ca="1">IF(INDIRECT(_xlfn.CONCAT("'",$A98,"'!F30"))&gt;=AU$2,"d",IF(INDIRECT(_xlfn.CONCAT("'",$A98,"'!F31"))&gt;=AU$2,"i",""))</f>
        <v>d</v>
      </c>
      <c r="AV98" s="45" t="str" cm="1">
        <f t="array" aca="1" ref="AV98" ca="1">IF(INDIRECT(_xlfn.CONCAT("'",$A98,"'!F30"))&gt;=AV$2,"d",IF(INDIRECT(_xlfn.CONCAT("'",$A98,"'!F31"))&gt;=AV$2,"i",""))</f>
        <v/>
      </c>
    </row>
    <row r="99" spans="1:48" x14ac:dyDescent="0.25">
      <c r="A99" s="119" t="str">
        <v>Ororon</v>
      </c>
      <c r="B99" s="45" t="str">
        <f t="shared" ref="B99" si="65">VLOOKUP(A99,Character_List,2,FALSE)</f>
        <v>Electro</v>
      </c>
      <c r="C99" s="153" t="str">
        <f t="shared" ref="C99" si="66">VLOOKUP(A99,Character_List,7,FALSE)</f>
        <v>Natlan 2</v>
      </c>
      <c r="D99" s="154" t="str">
        <f t="shared" ref="D99" si="67">VLOOKUP(A99,Character_List,8,FALSE)</f>
        <v>Narwhal 1</v>
      </c>
      <c r="E99" s="19" t="str" cm="1">
        <f t="array" aca="1" ref="E99" ca="1">IF(INDIRECT(_xlfn.CONCAT("'",$A99,"'!B4"))&gt;=E$2,"d",IF(INDIRECT(_xlfn.CONCAT("'",$A99,"'!B5"))&gt;=E$2,"i",""))</f>
        <v>d</v>
      </c>
      <c r="F99" s="44" t="str" cm="1">
        <f t="array" aca="1" ref="F99" ca="1">IF(INDIRECT(_xlfn.CONCAT("'",$A99,"'!B4"))&gt;=F$2,"d",IF(INDIRECT(_xlfn.CONCAT("'",$A99,"'!B5"))&gt;=F$2,"i",""))</f>
        <v>d</v>
      </c>
      <c r="G99" s="44" t="str" cm="1">
        <f t="array" aca="1" ref="G99" ca="1">IF(INDIRECT(_xlfn.CONCAT("'",$A99,"'!B4"))&gt;=G$2,"d",IF(INDIRECT(_xlfn.CONCAT("'",$A99,"'!B5"))&gt;=G$2,"i",""))</f>
        <v>d</v>
      </c>
      <c r="H99" s="44" t="str" cm="1">
        <f t="array" aca="1" ref="H99" ca="1">IF(INDIRECT(_xlfn.CONCAT("'",$A99,"'!B4"))&gt;=H$2,"d",IF(INDIRECT(_xlfn.CONCAT("'",$A99,"'!B5"))&gt;=H$2,"i",""))</f>
        <v>d</v>
      </c>
      <c r="I99" s="44" t="str" cm="1">
        <f t="array" aca="1" ref="I99" ca="1">IF(INDIRECT(_xlfn.CONCAT("'",$A99,"'!B4"))&gt;=I$2,"d",IF(INDIRECT(_xlfn.CONCAT("'",$A99,"'!B5"))&gt;=I$2,"i",""))</f>
        <v>d</v>
      </c>
      <c r="J99" s="44" t="str" cm="1">
        <f t="array" aca="1" ref="J99" ca="1">IF(INDIRECT(_xlfn.CONCAT("'",$A99,"'!B4"))&gt;=J$2,"d",IF(INDIRECT(_xlfn.CONCAT("'",$A99,"'!B5"))&gt;=J$2,"i",""))</f>
        <v>d</v>
      </c>
      <c r="K99" s="45" t="str" cm="1">
        <f t="array" aca="1" ref="K99" ca="1">IF(INDIRECT(_xlfn.CONCAT("'",$A99,"'!B4"))&gt;=K$2,"d",IF(INDIRECT(_xlfn.CONCAT("'",$A99,"'!B5"))&gt;=K$2,"i",""))</f>
        <v>d</v>
      </c>
      <c r="L99" s="155"/>
      <c r="M99" s="44" t="str" cm="1">
        <f t="array" aca="1" ref="M99" ca="1">IF(INDIRECT(_xlfn.CONCAT("'",$A99,"'!C10"))&gt;=M$2,"d",IF(INDIRECT(_xlfn.CONCAT("'",$A99,"'!C11"))&gt;=M$2,"i",""))</f>
        <v>d</v>
      </c>
      <c r="N99" s="44" t="str" cm="1">
        <f t="array" aca="1" ref="N99" ca="1">IF(INDIRECT(_xlfn.CONCAT("'",$A99,"'!C10"))&gt;=N$2,"d",IF(INDIRECT(_xlfn.CONCAT("'",$A99,"'!C11"))&gt;=N$2,"i",""))</f>
        <v>d</v>
      </c>
      <c r="O99" s="44" t="str" cm="1">
        <f t="array" aca="1" ref="O99" ca="1">IF(INDIRECT(_xlfn.CONCAT("'",$A99,"'!C10"))&gt;=O$2,"d",IF(INDIRECT(_xlfn.CONCAT("'",$A99,"'!C11"))&gt;=O$2,"i",""))</f>
        <v>d</v>
      </c>
      <c r="P99" s="44" t="str" cm="1">
        <f t="array" aca="1" ref="P99" ca="1">IF(INDIRECT(_xlfn.CONCAT("'",$A99,"'!C10"))&gt;=P$2,"d",IF(INDIRECT(_xlfn.CONCAT("'",$A99,"'!C11"))&gt;=P$2,"i",""))</f>
        <v>d</v>
      </c>
      <c r="Q99" s="44" t="str" cm="1">
        <f t="array" aca="1" ref="Q99" ca="1">IF(INDIRECT(_xlfn.CONCAT("'",$A99,"'!C10"))&gt;=Q$2,"d",IF(INDIRECT(_xlfn.CONCAT("'",$A99,"'!C11"))&gt;=Q$2,"i",""))</f>
        <v>d</v>
      </c>
      <c r="R99" s="44" t="str" cm="1">
        <f t="array" aca="1" ref="R99" ca="1">IF(INDIRECT(_xlfn.CONCAT("'",$A99,"'!C10"))&gt;=R$2,"d",IF(INDIRECT(_xlfn.CONCAT("'",$A99,"'!C11"))&gt;=R$2,"i",""))</f>
        <v>d</v>
      </c>
      <c r="S99" s="156"/>
      <c r="T99" s="44" t="str" cm="1">
        <f t="array" aca="1" ref="T99" ca="1">IF(INDIRECT(_xlfn.CONCAT("'",$A99,"'!F4"))&gt;=T$2,"d",IF(INDIRECT(_xlfn.CONCAT("'",$A99,"'!F5"))&gt;=T$2,"i",""))</f>
        <v>d</v>
      </c>
      <c r="U99" s="44" t="str" cm="1">
        <f t="array" aca="1" ref="U99" ca="1">IF(INDIRECT(_xlfn.CONCAT("'",$A99,"'!F4"))&gt;=U$2,"d",IF(INDIRECT(_xlfn.CONCAT("'",$A99,"'!F5"))&gt;=U$2,"i",""))</f>
        <v>d</v>
      </c>
      <c r="V99" s="44" t="str" cm="1">
        <f t="array" aca="1" ref="V99" ca="1">IF(INDIRECT(_xlfn.CONCAT("'",$A99,"'!F4"))&gt;=V$2,"d",IF(INDIRECT(_xlfn.CONCAT("'",$A99,"'!F5"))&gt;=V$2,"i",""))</f>
        <v>d</v>
      </c>
      <c r="W99" s="44" t="str" cm="1">
        <f t="array" aca="1" ref="W99" ca="1">IF(INDIRECT(_xlfn.CONCAT("'",$A99,"'!F4"))&gt;=W$2,"d",IF(INDIRECT(_xlfn.CONCAT("'",$A99,"'!F5"))&gt;=W$2,"i",""))</f>
        <v>d</v>
      </c>
      <c r="X99" s="44" t="str" cm="1">
        <f t="array" aca="1" ref="X99" ca="1">IF(INDIRECT(_xlfn.CONCAT("'",$A99,"'!F4"))&gt;=X$2,"d",IF(INDIRECT(_xlfn.CONCAT("'",$A99,"'!F5"))&gt;=X$2,"i",""))</f>
        <v>d</v>
      </c>
      <c r="Y99" s="44" t="str" cm="1">
        <f t="array" aca="1" ref="Y99" ca="1">IF(INDIRECT(_xlfn.CONCAT("'",$A99,"'!F4"))&gt;=Y$2,"d",IF(INDIRECT(_xlfn.CONCAT("'",$A99,"'!F5"))&gt;=Y$2,"i",""))</f>
        <v>d</v>
      </c>
      <c r="Z99" s="44" t="str" cm="1">
        <f t="array" aca="1" ref="Z99" ca="1">IF(INDIRECT(_xlfn.CONCAT("'",$A99,"'!F4"))&gt;=Z$2,"d",IF(INDIRECT(_xlfn.CONCAT("'",$A99,"'!F5"))&gt;=Z$2,"i",""))</f>
        <v>d</v>
      </c>
      <c r="AA99" s="44" t="str" cm="1">
        <f t="array" aca="1" ref="AA99" ca="1">IF(INDIRECT(_xlfn.CONCAT("'",$A99,"'!F4"))&gt;=AA$2,"d",IF(INDIRECT(_xlfn.CONCAT("'",$A99,"'!F5"))&gt;=AA$2,"i",""))</f>
        <v>d</v>
      </c>
      <c r="AB99" s="44" t="str" cm="1">
        <f t="array" aca="1" ref="AB99" ca="1">IF(INDIRECT(_xlfn.CONCAT("'",$A99,"'!F4"))&gt;=AB$2,"d",IF(INDIRECT(_xlfn.CONCAT("'",$A99,"'!F5"))&gt;=AB$2,"i",""))</f>
        <v/>
      </c>
      <c r="AC99" s="156"/>
      <c r="AD99" s="44" t="str" cm="1">
        <f t="array" aca="1" ref="AD99" ca="1">IF(INDIRECT(_xlfn.CONCAT("'",$A99,"'!F17"))&gt;=AD$2,"d",IF(INDIRECT(_xlfn.CONCAT("'",$A99,"'!F18"))&gt;=AD$2,"i",""))</f>
        <v>d</v>
      </c>
      <c r="AE99" s="44" t="str" cm="1">
        <f t="array" aca="1" ref="AE99" ca="1">IF(INDIRECT(_xlfn.CONCAT("'",$A99,"'!F17"))&gt;=AE$2,"d",IF(INDIRECT(_xlfn.CONCAT("'",$A99,"'!F18"))&gt;=AE$2,"i",""))</f>
        <v>d</v>
      </c>
      <c r="AF99" s="44" t="str" cm="1">
        <f t="array" aca="1" ref="AF99" ca="1">IF(INDIRECT(_xlfn.CONCAT("'",$A99,"'!F17"))&gt;=AF$2,"d",IF(INDIRECT(_xlfn.CONCAT("'",$A99,"'!F18"))&gt;=AF$2,"i",""))</f>
        <v>d</v>
      </c>
      <c r="AG99" s="44" t="str" cm="1">
        <f t="array" aca="1" ref="AG99" ca="1">IF(INDIRECT(_xlfn.CONCAT("'",$A99,"'!F17"))&gt;=AG$2,"d",IF(INDIRECT(_xlfn.CONCAT("'",$A99,"'!F18"))&gt;=AG$2,"i",""))</f>
        <v>d</v>
      </c>
      <c r="AH99" s="44" t="str" cm="1">
        <f t="array" aca="1" ref="AH99" ca="1">IF(INDIRECT(_xlfn.CONCAT("'",$A99,"'!F17"))&gt;=AH$2,"d",IF(INDIRECT(_xlfn.CONCAT("'",$A99,"'!F18"))&gt;=AH$2,"i",""))</f>
        <v>d</v>
      </c>
      <c r="AI99" s="44" t="str" cm="1">
        <f t="array" aca="1" ref="AI99" ca="1">IF(INDIRECT(_xlfn.CONCAT("'",$A99,"'!F17"))&gt;=AI$2,"d",IF(INDIRECT(_xlfn.CONCAT("'",$A99,"'!F18"))&gt;=AI$2,"i",""))</f>
        <v>d</v>
      </c>
      <c r="AJ99" s="44" t="str" cm="1">
        <f t="array" aca="1" ref="AJ99" ca="1">IF(INDIRECT(_xlfn.CONCAT("'",$A99,"'!F17"))&gt;=AJ$2,"d",IF(INDIRECT(_xlfn.CONCAT("'",$A99,"'!F18"))&gt;=AJ$2,"i",""))</f>
        <v>d</v>
      </c>
      <c r="AK99" s="44" t="str" cm="1">
        <f t="array" aca="1" ref="AK99" ca="1">IF(INDIRECT(_xlfn.CONCAT("'",$A99,"'!F17"))&gt;=AK$2,"d",IF(INDIRECT(_xlfn.CONCAT("'",$A99,"'!F18"))&gt;=AK$2,"i",""))</f>
        <v>d</v>
      </c>
      <c r="AL99" s="44" t="str" cm="1">
        <f t="array" aca="1" ref="AL99" ca="1">IF(INDIRECT(_xlfn.CONCAT("'",$A99,"'!F17"))&gt;=AL$2,"d",IF(INDIRECT(_xlfn.CONCAT("'",$A99,"'!F18"))&gt;=AL$2,"i",""))</f>
        <v/>
      </c>
      <c r="AM99" s="156"/>
      <c r="AN99" s="44" t="str" cm="1">
        <f t="array" aca="1" ref="AN99" ca="1">IF(INDIRECT(_xlfn.CONCAT("'",$A99,"'!F30"))&gt;=AN$2,"d",IF(INDIRECT(_xlfn.CONCAT("'",$A99,"'!F31"))&gt;=AN$2,"i",""))</f>
        <v>d</v>
      </c>
      <c r="AO99" s="44" t="str" cm="1">
        <f t="array" aca="1" ref="AO99" ca="1">IF(INDIRECT(_xlfn.CONCAT("'",$A99,"'!F30"))&gt;=AO$2,"d",IF(INDIRECT(_xlfn.CONCAT("'",$A99,"'!F31"))&gt;=AO$2,"i",""))</f>
        <v>d</v>
      </c>
      <c r="AP99" s="44" t="str" cm="1">
        <f t="array" aca="1" ref="AP99" ca="1">IF(INDIRECT(_xlfn.CONCAT("'",$A99,"'!F30"))&gt;=AP$2,"d",IF(INDIRECT(_xlfn.CONCAT("'",$A99,"'!F31"))&gt;=AP$2,"i",""))</f>
        <v>d</v>
      </c>
      <c r="AQ99" s="44" t="str" cm="1">
        <f t="array" aca="1" ref="AQ99" ca="1">IF(INDIRECT(_xlfn.CONCAT("'",$A99,"'!F30"))&gt;=AQ$2,"d",IF(INDIRECT(_xlfn.CONCAT("'",$A99,"'!F31"))&gt;=AQ$2,"i",""))</f>
        <v>d</v>
      </c>
      <c r="AR99" s="44" t="str" cm="1">
        <f t="array" aca="1" ref="AR99" ca="1">IF(INDIRECT(_xlfn.CONCAT("'",$A99,"'!F30"))&gt;=AR$2,"d",IF(INDIRECT(_xlfn.CONCAT("'",$A99,"'!F31"))&gt;=AR$2,"i",""))</f>
        <v>d</v>
      </c>
      <c r="AS99" s="44" t="str" cm="1">
        <f t="array" aca="1" ref="AS99" ca="1">IF(INDIRECT(_xlfn.CONCAT("'",$A99,"'!F30"))&gt;=AS$2,"d",IF(INDIRECT(_xlfn.CONCAT("'",$A99,"'!F31"))&gt;=AS$2,"i",""))</f>
        <v>d</v>
      </c>
      <c r="AT99" s="44" t="str" cm="1">
        <f t="array" aca="1" ref="AT99" ca="1">IF(INDIRECT(_xlfn.CONCAT("'",$A99,"'!F30"))&gt;=AT$2,"d",IF(INDIRECT(_xlfn.CONCAT("'",$A99,"'!F31"))&gt;=AT$2,"i",""))</f>
        <v>d</v>
      </c>
      <c r="AU99" s="44" t="str" cm="1">
        <f t="array" aca="1" ref="AU99" ca="1">IF(INDIRECT(_xlfn.CONCAT("'",$A99,"'!F30"))&gt;=AU$2,"d",IF(INDIRECT(_xlfn.CONCAT("'",$A99,"'!F31"))&gt;=AU$2,"i",""))</f>
        <v>d</v>
      </c>
      <c r="AV99" s="45" t="str" cm="1">
        <f t="array" aca="1" ref="AV99" ca="1">IF(INDIRECT(_xlfn.CONCAT("'",$A99,"'!F30"))&gt;=AV$2,"d",IF(INDIRECT(_xlfn.CONCAT("'",$A99,"'!F31"))&gt;=AV$2,"i",""))</f>
        <v/>
      </c>
    </row>
    <row r="100" spans="1:48" x14ac:dyDescent="0.25">
      <c r="A100" s="119" t="str">
        <v>Mavuika</v>
      </c>
      <c r="B100" s="45" t="str">
        <f t="shared" ref="B100:B102" si="68">VLOOKUP(A100,Character_List,2,FALSE)</f>
        <v>Pyro</v>
      </c>
      <c r="C100" s="153" t="str">
        <f t="shared" ref="C100:C102" si="69">VLOOKUP(A100,Character_List,7,FALSE)</f>
        <v>Natlan 1</v>
      </c>
      <c r="D100" s="154" t="str">
        <f t="shared" ref="D100:D102" si="70">VLOOKUP(A100,Character_List,8,FALSE)</f>
        <v>Eroded Primal Fire 1</v>
      </c>
      <c r="E100" s="19" t="str" cm="1">
        <f t="array" aca="1" ref="E100" ca="1">IF(INDIRECT(_xlfn.CONCAT("'",$A100,"'!B4"))&gt;=E$2,"d",IF(INDIRECT(_xlfn.CONCAT("'",$A100,"'!B5"))&gt;=E$2,"i",""))</f>
        <v>d</v>
      </c>
      <c r="F100" s="44" t="str" cm="1">
        <f t="array" aca="1" ref="F100" ca="1">IF(INDIRECT(_xlfn.CONCAT("'",$A100,"'!B4"))&gt;=F$2,"d",IF(INDIRECT(_xlfn.CONCAT("'",$A100,"'!B5"))&gt;=F$2,"i",""))</f>
        <v>d</v>
      </c>
      <c r="G100" s="44" t="str" cm="1">
        <f t="array" aca="1" ref="G100" ca="1">IF(INDIRECT(_xlfn.CONCAT("'",$A100,"'!B4"))&gt;=G$2,"d",IF(INDIRECT(_xlfn.CONCAT("'",$A100,"'!B5"))&gt;=G$2,"i",""))</f>
        <v>d</v>
      </c>
      <c r="H100" s="44" t="str" cm="1">
        <f t="array" aca="1" ref="H100" ca="1">IF(INDIRECT(_xlfn.CONCAT("'",$A100,"'!B4"))&gt;=H$2,"d",IF(INDIRECT(_xlfn.CONCAT("'",$A100,"'!B5"))&gt;=H$2,"i",""))</f>
        <v>d</v>
      </c>
      <c r="I100" s="44" t="str" cm="1">
        <f t="array" aca="1" ref="I100" ca="1">IF(INDIRECT(_xlfn.CONCAT("'",$A100,"'!B4"))&gt;=I$2,"d",IF(INDIRECT(_xlfn.CONCAT("'",$A100,"'!B5"))&gt;=I$2,"i",""))</f>
        <v>d</v>
      </c>
      <c r="J100" s="44" t="str" cm="1">
        <f t="array" aca="1" ref="J100" ca="1">IF(INDIRECT(_xlfn.CONCAT("'",$A100,"'!B4"))&gt;=J$2,"d",IF(INDIRECT(_xlfn.CONCAT("'",$A100,"'!B5"))&gt;=J$2,"i",""))</f>
        <v>d</v>
      </c>
      <c r="K100" s="45" t="str" cm="1">
        <f t="array" aca="1" ref="K100" ca="1">IF(INDIRECT(_xlfn.CONCAT("'",$A100,"'!B4"))&gt;=K$2,"d",IF(INDIRECT(_xlfn.CONCAT("'",$A100,"'!B5"))&gt;=K$2,"i",""))</f>
        <v>d</v>
      </c>
      <c r="L100" s="155"/>
      <c r="M100" s="44" t="str" cm="1">
        <f t="array" aca="1" ref="M100" ca="1">IF(INDIRECT(_xlfn.CONCAT("'",$A100,"'!C10"))&gt;=M$2,"d",IF(INDIRECT(_xlfn.CONCAT("'",$A100,"'!C11"))&gt;=M$2,"i",""))</f>
        <v>d</v>
      </c>
      <c r="N100" s="44" t="str" cm="1">
        <f t="array" aca="1" ref="N100" ca="1">IF(INDIRECT(_xlfn.CONCAT("'",$A100,"'!C10"))&gt;=N$2,"d",IF(INDIRECT(_xlfn.CONCAT("'",$A100,"'!C11"))&gt;=N$2,"i",""))</f>
        <v>d</v>
      </c>
      <c r="O100" s="44" t="str" cm="1">
        <f t="array" aca="1" ref="O100" ca="1">IF(INDIRECT(_xlfn.CONCAT("'",$A100,"'!C10"))&gt;=O$2,"d",IF(INDIRECT(_xlfn.CONCAT("'",$A100,"'!C11"))&gt;=O$2,"i",""))</f>
        <v>d</v>
      </c>
      <c r="P100" s="44" t="str" cm="1">
        <f t="array" aca="1" ref="P100" ca="1">IF(INDIRECT(_xlfn.CONCAT("'",$A100,"'!C10"))&gt;=P$2,"d",IF(INDIRECT(_xlfn.CONCAT("'",$A100,"'!C11"))&gt;=P$2,"i",""))</f>
        <v>d</v>
      </c>
      <c r="Q100" s="44" t="str" cm="1">
        <f t="array" aca="1" ref="Q100" ca="1">IF(INDIRECT(_xlfn.CONCAT("'",$A100,"'!C10"))&gt;=Q$2,"d",IF(INDIRECT(_xlfn.CONCAT("'",$A100,"'!C11"))&gt;=Q$2,"i",""))</f>
        <v>d</v>
      </c>
      <c r="R100" s="44" t="str" cm="1">
        <f t="array" aca="1" ref="R100" ca="1">IF(INDIRECT(_xlfn.CONCAT("'",$A100,"'!C10"))&gt;=R$2,"d",IF(INDIRECT(_xlfn.CONCAT("'",$A100,"'!C11"))&gt;=R$2,"i",""))</f>
        <v>d</v>
      </c>
      <c r="S100" s="156"/>
      <c r="T100" s="44" t="str" cm="1">
        <f t="array" aca="1" ref="T100" ca="1">IF(INDIRECT(_xlfn.CONCAT("'",$A100,"'!F4"))&gt;=T$2,"d",IF(INDIRECT(_xlfn.CONCAT("'",$A100,"'!F5"))&gt;=T$2,"i",""))</f>
        <v>d</v>
      </c>
      <c r="U100" s="44" t="str" cm="1">
        <f t="array" aca="1" ref="U100" ca="1">IF(INDIRECT(_xlfn.CONCAT("'",$A100,"'!F4"))&gt;=U$2,"d",IF(INDIRECT(_xlfn.CONCAT("'",$A100,"'!F5"))&gt;=U$2,"i",""))</f>
        <v>d</v>
      </c>
      <c r="V100" s="44" t="str" cm="1">
        <f t="array" aca="1" ref="V100" ca="1">IF(INDIRECT(_xlfn.CONCAT("'",$A100,"'!F4"))&gt;=V$2,"d",IF(INDIRECT(_xlfn.CONCAT("'",$A100,"'!F5"))&gt;=V$2,"i",""))</f>
        <v>d</v>
      </c>
      <c r="W100" s="44" t="str" cm="1">
        <f t="array" aca="1" ref="W100" ca="1">IF(INDIRECT(_xlfn.CONCAT("'",$A100,"'!F4"))&gt;=W$2,"d",IF(INDIRECT(_xlfn.CONCAT("'",$A100,"'!F5"))&gt;=W$2,"i",""))</f>
        <v>d</v>
      </c>
      <c r="X100" s="44" t="str" cm="1">
        <f t="array" aca="1" ref="X100" ca="1">IF(INDIRECT(_xlfn.CONCAT("'",$A100,"'!F4"))&gt;=X$2,"d",IF(INDIRECT(_xlfn.CONCAT("'",$A100,"'!F5"))&gt;=X$2,"i",""))</f>
        <v>d</v>
      </c>
      <c r="Y100" s="44" t="str" cm="1">
        <f t="array" aca="1" ref="Y100" ca="1">IF(INDIRECT(_xlfn.CONCAT("'",$A100,"'!F4"))&gt;=Y$2,"d",IF(INDIRECT(_xlfn.CONCAT("'",$A100,"'!F5"))&gt;=Y$2,"i",""))</f>
        <v>d</v>
      </c>
      <c r="Z100" s="44" t="str" cm="1">
        <f t="array" aca="1" ref="Z100" ca="1">IF(INDIRECT(_xlfn.CONCAT("'",$A100,"'!F4"))&gt;=Z$2,"d",IF(INDIRECT(_xlfn.CONCAT("'",$A100,"'!F5"))&gt;=Z$2,"i",""))</f>
        <v>d</v>
      </c>
      <c r="AA100" s="44" t="str" cm="1">
        <f t="array" aca="1" ref="AA100" ca="1">IF(INDIRECT(_xlfn.CONCAT("'",$A100,"'!F4"))&gt;=AA$2,"d",IF(INDIRECT(_xlfn.CONCAT("'",$A100,"'!F5"))&gt;=AA$2,"i",""))</f>
        <v>d</v>
      </c>
      <c r="AB100" s="44" t="str" cm="1">
        <f t="array" aca="1" ref="AB100" ca="1">IF(INDIRECT(_xlfn.CONCAT("'",$A100,"'!F4"))&gt;=AB$2,"d",IF(INDIRECT(_xlfn.CONCAT("'",$A100,"'!F5"))&gt;=AB$2,"i",""))</f>
        <v/>
      </c>
      <c r="AC100" s="156"/>
      <c r="AD100" s="44" t="str" cm="1">
        <f t="array" aca="1" ref="AD100" ca="1">IF(INDIRECT(_xlfn.CONCAT("'",$A100,"'!F17"))&gt;=AD$2,"d",IF(INDIRECT(_xlfn.CONCAT("'",$A100,"'!F18"))&gt;=AD$2,"i",""))</f>
        <v>d</v>
      </c>
      <c r="AE100" s="44" t="str" cm="1">
        <f t="array" aca="1" ref="AE100" ca="1">IF(INDIRECT(_xlfn.CONCAT("'",$A100,"'!F17"))&gt;=AE$2,"d",IF(INDIRECT(_xlfn.CONCAT("'",$A100,"'!F18"))&gt;=AE$2,"i",""))</f>
        <v>d</v>
      </c>
      <c r="AF100" s="44" t="str" cm="1">
        <f t="array" aca="1" ref="AF100" ca="1">IF(INDIRECT(_xlfn.CONCAT("'",$A100,"'!F17"))&gt;=AF$2,"d",IF(INDIRECT(_xlfn.CONCAT("'",$A100,"'!F18"))&gt;=AF$2,"i",""))</f>
        <v>d</v>
      </c>
      <c r="AG100" s="44" t="str" cm="1">
        <f t="array" aca="1" ref="AG100" ca="1">IF(INDIRECT(_xlfn.CONCAT("'",$A100,"'!F17"))&gt;=AG$2,"d",IF(INDIRECT(_xlfn.CONCAT("'",$A100,"'!F18"))&gt;=AG$2,"i",""))</f>
        <v>d</v>
      </c>
      <c r="AH100" s="44" t="str" cm="1">
        <f t="array" aca="1" ref="AH100" ca="1">IF(INDIRECT(_xlfn.CONCAT("'",$A100,"'!F17"))&gt;=AH$2,"d",IF(INDIRECT(_xlfn.CONCAT("'",$A100,"'!F18"))&gt;=AH$2,"i",""))</f>
        <v>d</v>
      </c>
      <c r="AI100" s="44" t="str" cm="1">
        <f t="array" aca="1" ref="AI100" ca="1">IF(INDIRECT(_xlfn.CONCAT("'",$A100,"'!F17"))&gt;=AI$2,"d",IF(INDIRECT(_xlfn.CONCAT("'",$A100,"'!F18"))&gt;=AI$2,"i",""))</f>
        <v>d</v>
      </c>
      <c r="AJ100" s="44" t="str" cm="1">
        <f t="array" aca="1" ref="AJ100" ca="1">IF(INDIRECT(_xlfn.CONCAT("'",$A100,"'!F17"))&gt;=AJ$2,"d",IF(INDIRECT(_xlfn.CONCAT("'",$A100,"'!F18"))&gt;=AJ$2,"i",""))</f>
        <v>d</v>
      </c>
      <c r="AK100" s="44" t="str" cm="1">
        <f t="array" aca="1" ref="AK100" ca="1">IF(INDIRECT(_xlfn.CONCAT("'",$A100,"'!F17"))&gt;=AK$2,"d",IF(INDIRECT(_xlfn.CONCAT("'",$A100,"'!F18"))&gt;=AK$2,"i",""))</f>
        <v>d</v>
      </c>
      <c r="AL100" s="44" t="str" cm="1">
        <f t="array" aca="1" ref="AL100" ca="1">IF(INDIRECT(_xlfn.CONCAT("'",$A100,"'!F17"))&gt;=AL$2,"d",IF(INDIRECT(_xlfn.CONCAT("'",$A100,"'!F18"))&gt;=AL$2,"i",""))</f>
        <v/>
      </c>
      <c r="AM100" s="156"/>
      <c r="AN100" s="44" t="str" cm="1">
        <f t="array" aca="1" ref="AN100" ca="1">IF(INDIRECT(_xlfn.CONCAT("'",$A100,"'!F30"))&gt;=AN$2,"d",IF(INDIRECT(_xlfn.CONCAT("'",$A100,"'!F31"))&gt;=AN$2,"i",""))</f>
        <v>d</v>
      </c>
      <c r="AO100" s="44" t="str" cm="1">
        <f t="array" aca="1" ref="AO100" ca="1">IF(INDIRECT(_xlfn.CONCAT("'",$A100,"'!F30"))&gt;=AO$2,"d",IF(INDIRECT(_xlfn.CONCAT("'",$A100,"'!F31"))&gt;=AO$2,"i",""))</f>
        <v>d</v>
      </c>
      <c r="AP100" s="44" t="str" cm="1">
        <f t="array" aca="1" ref="AP100" ca="1">IF(INDIRECT(_xlfn.CONCAT("'",$A100,"'!F30"))&gt;=AP$2,"d",IF(INDIRECT(_xlfn.CONCAT("'",$A100,"'!F31"))&gt;=AP$2,"i",""))</f>
        <v>d</v>
      </c>
      <c r="AQ100" s="44" t="str" cm="1">
        <f t="array" aca="1" ref="AQ100" ca="1">IF(INDIRECT(_xlfn.CONCAT("'",$A100,"'!F30"))&gt;=AQ$2,"d",IF(INDIRECT(_xlfn.CONCAT("'",$A100,"'!F31"))&gt;=AQ$2,"i",""))</f>
        <v>d</v>
      </c>
      <c r="AR100" s="44" t="str" cm="1">
        <f t="array" aca="1" ref="AR100" ca="1">IF(INDIRECT(_xlfn.CONCAT("'",$A100,"'!F30"))&gt;=AR$2,"d",IF(INDIRECT(_xlfn.CONCAT("'",$A100,"'!F31"))&gt;=AR$2,"i",""))</f>
        <v>d</v>
      </c>
      <c r="AS100" s="44" t="str" cm="1">
        <f t="array" aca="1" ref="AS100" ca="1">IF(INDIRECT(_xlfn.CONCAT("'",$A100,"'!F30"))&gt;=AS$2,"d",IF(INDIRECT(_xlfn.CONCAT("'",$A100,"'!F31"))&gt;=AS$2,"i",""))</f>
        <v>d</v>
      </c>
      <c r="AT100" s="44" t="str" cm="1">
        <f t="array" aca="1" ref="AT100" ca="1">IF(INDIRECT(_xlfn.CONCAT("'",$A100,"'!F30"))&gt;=AT$2,"d",IF(INDIRECT(_xlfn.CONCAT("'",$A100,"'!F31"))&gt;=AT$2,"i",""))</f>
        <v>d</v>
      </c>
      <c r="AU100" s="44" t="str" cm="1">
        <f t="array" aca="1" ref="AU100" ca="1">IF(INDIRECT(_xlfn.CONCAT("'",$A100,"'!F30"))&gt;=AU$2,"d",IF(INDIRECT(_xlfn.CONCAT("'",$A100,"'!F31"))&gt;=AU$2,"i",""))</f>
        <v>d</v>
      </c>
      <c r="AV100" s="45" t="str" cm="1">
        <f t="array" aca="1" ref="AV100" ca="1">IF(INDIRECT(_xlfn.CONCAT("'",$A100,"'!F30"))&gt;=AV$2,"d",IF(INDIRECT(_xlfn.CONCAT("'",$A100,"'!F31"))&gt;=AV$2,"i",""))</f>
        <v/>
      </c>
    </row>
    <row r="101" spans="1:48" x14ac:dyDescent="0.25">
      <c r="A101" s="119" t="str">
        <v>Citlali</v>
      </c>
      <c r="B101" s="45" t="str">
        <f t="shared" si="68"/>
        <v>Cryo</v>
      </c>
      <c r="C101" s="153" t="str">
        <f t="shared" si="69"/>
        <v>Natlan 2</v>
      </c>
      <c r="D101" s="154" t="str">
        <f t="shared" si="70"/>
        <v>Knave 3</v>
      </c>
      <c r="E101" s="19" t="str" cm="1">
        <f t="array" aca="1" ref="E101" ca="1">IF(INDIRECT(_xlfn.CONCAT("'",$A101,"'!B4"))&gt;=E$2,"d",IF(INDIRECT(_xlfn.CONCAT("'",$A101,"'!B5"))&gt;=E$2,"i",""))</f>
        <v>d</v>
      </c>
      <c r="F101" s="44" t="str" cm="1">
        <f t="array" aca="1" ref="F101" ca="1">IF(INDIRECT(_xlfn.CONCAT("'",$A101,"'!B4"))&gt;=F$2,"d",IF(INDIRECT(_xlfn.CONCAT("'",$A101,"'!B5"))&gt;=F$2,"i",""))</f>
        <v>d</v>
      </c>
      <c r="G101" s="44" t="str" cm="1">
        <f t="array" aca="1" ref="G101" ca="1">IF(INDIRECT(_xlfn.CONCAT("'",$A101,"'!B4"))&gt;=G$2,"d",IF(INDIRECT(_xlfn.CONCAT("'",$A101,"'!B5"))&gt;=G$2,"i",""))</f>
        <v>d</v>
      </c>
      <c r="H101" s="44" t="str" cm="1">
        <f t="array" aca="1" ref="H101" ca="1">IF(INDIRECT(_xlfn.CONCAT("'",$A101,"'!B4"))&gt;=H$2,"d",IF(INDIRECT(_xlfn.CONCAT("'",$A101,"'!B5"))&gt;=H$2,"i",""))</f>
        <v>d</v>
      </c>
      <c r="I101" s="44" t="str" cm="1">
        <f t="array" aca="1" ref="I101" ca="1">IF(INDIRECT(_xlfn.CONCAT("'",$A101,"'!B4"))&gt;=I$2,"d",IF(INDIRECT(_xlfn.CONCAT("'",$A101,"'!B5"))&gt;=I$2,"i",""))</f>
        <v>d</v>
      </c>
      <c r="J101" s="44" t="str" cm="1">
        <f t="array" aca="1" ref="J101" ca="1">IF(INDIRECT(_xlfn.CONCAT("'",$A101,"'!B4"))&gt;=J$2,"d",IF(INDIRECT(_xlfn.CONCAT("'",$A101,"'!B5"))&gt;=J$2,"i",""))</f>
        <v>d</v>
      </c>
      <c r="K101" s="45" t="str" cm="1">
        <f t="array" aca="1" ref="K101" ca="1">IF(INDIRECT(_xlfn.CONCAT("'",$A101,"'!B4"))&gt;=K$2,"d",IF(INDIRECT(_xlfn.CONCAT("'",$A101,"'!B5"))&gt;=K$2,"i",""))</f>
        <v>d</v>
      </c>
      <c r="L101" s="155"/>
      <c r="M101" s="44" t="str" cm="1">
        <f t="array" aca="1" ref="M101" ca="1">IF(INDIRECT(_xlfn.CONCAT("'",$A101,"'!C10"))&gt;=M$2,"d",IF(INDIRECT(_xlfn.CONCAT("'",$A101,"'!C11"))&gt;=M$2,"i",""))</f>
        <v>d</v>
      </c>
      <c r="N101" s="44" t="str" cm="1">
        <f t="array" aca="1" ref="N101" ca="1">IF(INDIRECT(_xlfn.CONCAT("'",$A101,"'!C10"))&gt;=N$2,"d",IF(INDIRECT(_xlfn.CONCAT("'",$A101,"'!C11"))&gt;=N$2,"i",""))</f>
        <v>d</v>
      </c>
      <c r="O101" s="44" t="str" cm="1">
        <f t="array" aca="1" ref="O101" ca="1">IF(INDIRECT(_xlfn.CONCAT("'",$A101,"'!C10"))&gt;=O$2,"d",IF(INDIRECT(_xlfn.CONCAT("'",$A101,"'!C11"))&gt;=O$2,"i",""))</f>
        <v>d</v>
      </c>
      <c r="P101" s="44" t="str" cm="1">
        <f t="array" aca="1" ref="P101" ca="1">IF(INDIRECT(_xlfn.CONCAT("'",$A101,"'!C10"))&gt;=P$2,"d",IF(INDIRECT(_xlfn.CONCAT("'",$A101,"'!C11"))&gt;=P$2,"i",""))</f>
        <v>d</v>
      </c>
      <c r="Q101" s="44" t="str" cm="1">
        <f t="array" aca="1" ref="Q101" ca="1">IF(INDIRECT(_xlfn.CONCAT("'",$A101,"'!C10"))&gt;=Q$2,"d",IF(INDIRECT(_xlfn.CONCAT("'",$A101,"'!C11"))&gt;=Q$2,"i",""))</f>
        <v>d</v>
      </c>
      <c r="R101" s="44" t="str" cm="1">
        <f t="array" aca="1" ref="R101" ca="1">IF(INDIRECT(_xlfn.CONCAT("'",$A101,"'!C10"))&gt;=R$2,"d",IF(INDIRECT(_xlfn.CONCAT("'",$A101,"'!C11"))&gt;=R$2,"i",""))</f>
        <v>d</v>
      </c>
      <c r="S101" s="156"/>
      <c r="T101" s="44" t="str" cm="1">
        <f t="array" aca="1" ref="T101" ca="1">IF(INDIRECT(_xlfn.CONCAT("'",$A101,"'!F4"))&gt;=T$2,"d",IF(INDIRECT(_xlfn.CONCAT("'",$A101,"'!F5"))&gt;=T$2,"i",""))</f>
        <v>d</v>
      </c>
      <c r="U101" s="44" t="str" cm="1">
        <f t="array" aca="1" ref="U101" ca="1">IF(INDIRECT(_xlfn.CONCAT("'",$A101,"'!F4"))&gt;=U$2,"d",IF(INDIRECT(_xlfn.CONCAT("'",$A101,"'!F5"))&gt;=U$2,"i",""))</f>
        <v>d</v>
      </c>
      <c r="V101" s="44" t="str" cm="1">
        <f t="array" aca="1" ref="V101" ca="1">IF(INDIRECT(_xlfn.CONCAT("'",$A101,"'!F4"))&gt;=V$2,"d",IF(INDIRECT(_xlfn.CONCAT("'",$A101,"'!F5"))&gt;=V$2,"i",""))</f>
        <v>d</v>
      </c>
      <c r="W101" s="44" t="str" cm="1">
        <f t="array" aca="1" ref="W101" ca="1">IF(INDIRECT(_xlfn.CONCAT("'",$A101,"'!F4"))&gt;=W$2,"d",IF(INDIRECT(_xlfn.CONCAT("'",$A101,"'!F5"))&gt;=W$2,"i",""))</f>
        <v>d</v>
      </c>
      <c r="X101" s="44" t="str" cm="1">
        <f t="array" aca="1" ref="X101" ca="1">IF(INDIRECT(_xlfn.CONCAT("'",$A101,"'!F4"))&gt;=X$2,"d",IF(INDIRECT(_xlfn.CONCAT("'",$A101,"'!F5"))&gt;=X$2,"i",""))</f>
        <v>d</v>
      </c>
      <c r="Y101" s="44" t="str" cm="1">
        <f t="array" aca="1" ref="Y101" ca="1">IF(INDIRECT(_xlfn.CONCAT("'",$A101,"'!F4"))&gt;=Y$2,"d",IF(INDIRECT(_xlfn.CONCAT("'",$A101,"'!F5"))&gt;=Y$2,"i",""))</f>
        <v>d</v>
      </c>
      <c r="Z101" s="44" t="str" cm="1">
        <f t="array" aca="1" ref="Z101" ca="1">IF(INDIRECT(_xlfn.CONCAT("'",$A101,"'!F4"))&gt;=Z$2,"d",IF(INDIRECT(_xlfn.CONCAT("'",$A101,"'!F5"))&gt;=Z$2,"i",""))</f>
        <v>d</v>
      </c>
      <c r="AA101" s="44" t="str" cm="1">
        <f t="array" aca="1" ref="AA101" ca="1">IF(INDIRECT(_xlfn.CONCAT("'",$A101,"'!F4"))&gt;=AA$2,"d",IF(INDIRECT(_xlfn.CONCAT("'",$A101,"'!F5"))&gt;=AA$2,"i",""))</f>
        <v>d</v>
      </c>
      <c r="AB101" s="44" t="str" cm="1">
        <f t="array" aca="1" ref="AB101" ca="1">IF(INDIRECT(_xlfn.CONCAT("'",$A101,"'!F4"))&gt;=AB$2,"d",IF(INDIRECT(_xlfn.CONCAT("'",$A101,"'!F5"))&gt;=AB$2,"i",""))</f>
        <v/>
      </c>
      <c r="AC101" s="156"/>
      <c r="AD101" s="44" t="str" cm="1">
        <f t="array" aca="1" ref="AD101" ca="1">IF(INDIRECT(_xlfn.CONCAT("'",$A101,"'!F17"))&gt;=AD$2,"d",IF(INDIRECT(_xlfn.CONCAT("'",$A101,"'!F18"))&gt;=AD$2,"i",""))</f>
        <v>d</v>
      </c>
      <c r="AE101" s="44" t="str" cm="1">
        <f t="array" aca="1" ref="AE101" ca="1">IF(INDIRECT(_xlfn.CONCAT("'",$A101,"'!F17"))&gt;=AE$2,"d",IF(INDIRECT(_xlfn.CONCAT("'",$A101,"'!F18"))&gt;=AE$2,"i",""))</f>
        <v>d</v>
      </c>
      <c r="AF101" s="44" t="str" cm="1">
        <f t="array" aca="1" ref="AF101" ca="1">IF(INDIRECT(_xlfn.CONCAT("'",$A101,"'!F17"))&gt;=AF$2,"d",IF(INDIRECT(_xlfn.CONCAT("'",$A101,"'!F18"))&gt;=AF$2,"i",""))</f>
        <v>d</v>
      </c>
      <c r="AG101" s="44" t="str" cm="1">
        <f t="array" aca="1" ref="AG101" ca="1">IF(INDIRECT(_xlfn.CONCAT("'",$A101,"'!F17"))&gt;=AG$2,"d",IF(INDIRECT(_xlfn.CONCAT("'",$A101,"'!F18"))&gt;=AG$2,"i",""))</f>
        <v>d</v>
      </c>
      <c r="AH101" s="44" t="str" cm="1">
        <f t="array" aca="1" ref="AH101" ca="1">IF(INDIRECT(_xlfn.CONCAT("'",$A101,"'!F17"))&gt;=AH$2,"d",IF(INDIRECT(_xlfn.CONCAT("'",$A101,"'!F18"))&gt;=AH$2,"i",""))</f>
        <v>d</v>
      </c>
      <c r="AI101" s="44" t="str" cm="1">
        <f t="array" aca="1" ref="AI101" ca="1">IF(INDIRECT(_xlfn.CONCAT("'",$A101,"'!F17"))&gt;=AI$2,"d",IF(INDIRECT(_xlfn.CONCAT("'",$A101,"'!F18"))&gt;=AI$2,"i",""))</f>
        <v>d</v>
      </c>
      <c r="AJ101" s="44" t="str" cm="1">
        <f t="array" aca="1" ref="AJ101" ca="1">IF(INDIRECT(_xlfn.CONCAT("'",$A101,"'!F17"))&gt;=AJ$2,"d",IF(INDIRECT(_xlfn.CONCAT("'",$A101,"'!F18"))&gt;=AJ$2,"i",""))</f>
        <v>d</v>
      </c>
      <c r="AK101" s="44" t="str" cm="1">
        <f t="array" aca="1" ref="AK101" ca="1">IF(INDIRECT(_xlfn.CONCAT("'",$A101,"'!F17"))&gt;=AK$2,"d",IF(INDIRECT(_xlfn.CONCAT("'",$A101,"'!F18"))&gt;=AK$2,"i",""))</f>
        <v>d</v>
      </c>
      <c r="AL101" s="44" t="str" cm="1">
        <f t="array" aca="1" ref="AL101" ca="1">IF(INDIRECT(_xlfn.CONCAT("'",$A101,"'!F17"))&gt;=AL$2,"d",IF(INDIRECT(_xlfn.CONCAT("'",$A101,"'!F18"))&gt;=AL$2,"i",""))</f>
        <v/>
      </c>
      <c r="AM101" s="156"/>
      <c r="AN101" s="44" t="str" cm="1">
        <f t="array" aca="1" ref="AN101" ca="1">IF(INDIRECT(_xlfn.CONCAT("'",$A101,"'!F30"))&gt;=AN$2,"d",IF(INDIRECT(_xlfn.CONCAT("'",$A101,"'!F31"))&gt;=AN$2,"i",""))</f>
        <v>d</v>
      </c>
      <c r="AO101" s="44" t="str" cm="1">
        <f t="array" aca="1" ref="AO101" ca="1">IF(INDIRECT(_xlfn.CONCAT("'",$A101,"'!F30"))&gt;=AO$2,"d",IF(INDIRECT(_xlfn.CONCAT("'",$A101,"'!F31"))&gt;=AO$2,"i",""))</f>
        <v>d</v>
      </c>
      <c r="AP101" s="44" t="str" cm="1">
        <f t="array" aca="1" ref="AP101" ca="1">IF(INDIRECT(_xlfn.CONCAT("'",$A101,"'!F30"))&gt;=AP$2,"d",IF(INDIRECT(_xlfn.CONCAT("'",$A101,"'!F31"))&gt;=AP$2,"i",""))</f>
        <v>d</v>
      </c>
      <c r="AQ101" s="44" t="str" cm="1">
        <f t="array" aca="1" ref="AQ101" ca="1">IF(INDIRECT(_xlfn.CONCAT("'",$A101,"'!F30"))&gt;=AQ$2,"d",IF(INDIRECT(_xlfn.CONCAT("'",$A101,"'!F31"))&gt;=AQ$2,"i",""))</f>
        <v>d</v>
      </c>
      <c r="AR101" s="44" t="str" cm="1">
        <f t="array" aca="1" ref="AR101" ca="1">IF(INDIRECT(_xlfn.CONCAT("'",$A101,"'!F30"))&gt;=AR$2,"d",IF(INDIRECT(_xlfn.CONCAT("'",$A101,"'!F31"))&gt;=AR$2,"i",""))</f>
        <v>d</v>
      </c>
      <c r="AS101" s="44" t="str" cm="1">
        <f t="array" aca="1" ref="AS101" ca="1">IF(INDIRECT(_xlfn.CONCAT("'",$A101,"'!F30"))&gt;=AS$2,"d",IF(INDIRECT(_xlfn.CONCAT("'",$A101,"'!F31"))&gt;=AS$2,"i",""))</f>
        <v>d</v>
      </c>
      <c r="AT101" s="44" t="str" cm="1">
        <f t="array" aca="1" ref="AT101" ca="1">IF(INDIRECT(_xlfn.CONCAT("'",$A101,"'!F30"))&gt;=AT$2,"d",IF(INDIRECT(_xlfn.CONCAT("'",$A101,"'!F31"))&gt;=AT$2,"i",""))</f>
        <v>d</v>
      </c>
      <c r="AU101" s="44" t="str" cm="1">
        <f t="array" aca="1" ref="AU101" ca="1">IF(INDIRECT(_xlfn.CONCAT("'",$A101,"'!F30"))&gt;=AU$2,"d",IF(INDIRECT(_xlfn.CONCAT("'",$A101,"'!F31"))&gt;=AU$2,"i",""))</f>
        <v>d</v>
      </c>
      <c r="AV101" s="45" t="str" cm="1">
        <f t="array" aca="1" ref="AV101" ca="1">IF(INDIRECT(_xlfn.CONCAT("'",$A101,"'!F30"))&gt;=AV$2,"d",IF(INDIRECT(_xlfn.CONCAT("'",$A101,"'!F31"))&gt;=AV$2,"i",""))</f>
        <v/>
      </c>
    </row>
    <row r="102" spans="1:48" x14ac:dyDescent="0.25">
      <c r="A102" s="119" t="str">
        <v>Lan Yan</v>
      </c>
      <c r="B102" s="45" t="str">
        <f t="shared" si="68"/>
        <v>Anemo</v>
      </c>
      <c r="C102" s="153" t="str">
        <f t="shared" si="69"/>
        <v>Liyue 2</v>
      </c>
      <c r="D102" s="154" t="str">
        <f t="shared" si="70"/>
        <v>Eroded Primal Fire 2</v>
      </c>
      <c r="E102" s="19" t="str" cm="1">
        <f t="array" aca="1" ref="E102" ca="1">IF(INDIRECT(_xlfn.CONCAT("'",$A102,"'!B4"))&gt;=E$2,"d",IF(INDIRECT(_xlfn.CONCAT("'",$A102,"'!B5"))&gt;=E$2,"i",""))</f>
        <v>d</v>
      </c>
      <c r="F102" s="44" t="str" cm="1">
        <f t="array" aca="1" ref="F102" ca="1">IF(INDIRECT(_xlfn.CONCAT("'",$A102,"'!B4"))&gt;=F$2,"d",IF(INDIRECT(_xlfn.CONCAT("'",$A102,"'!B5"))&gt;=F$2,"i",""))</f>
        <v>d</v>
      </c>
      <c r="G102" s="44" t="str" cm="1">
        <f t="array" aca="1" ref="G102" ca="1">IF(INDIRECT(_xlfn.CONCAT("'",$A102,"'!B4"))&gt;=G$2,"d",IF(INDIRECT(_xlfn.CONCAT("'",$A102,"'!B5"))&gt;=G$2,"i",""))</f>
        <v>d</v>
      </c>
      <c r="H102" s="44" t="str" cm="1">
        <f t="array" aca="1" ref="H102" ca="1">IF(INDIRECT(_xlfn.CONCAT("'",$A102,"'!B4"))&gt;=H$2,"d",IF(INDIRECT(_xlfn.CONCAT("'",$A102,"'!B5"))&gt;=H$2,"i",""))</f>
        <v>d</v>
      </c>
      <c r="I102" s="44" t="str" cm="1">
        <f t="array" aca="1" ref="I102" ca="1">IF(INDIRECT(_xlfn.CONCAT("'",$A102,"'!B4"))&gt;=I$2,"d",IF(INDIRECT(_xlfn.CONCAT("'",$A102,"'!B5"))&gt;=I$2,"i",""))</f>
        <v>d</v>
      </c>
      <c r="J102" s="44" t="str" cm="1">
        <f t="array" aca="1" ref="J102" ca="1">IF(INDIRECT(_xlfn.CONCAT("'",$A102,"'!B4"))&gt;=J$2,"d",IF(INDIRECT(_xlfn.CONCAT("'",$A102,"'!B5"))&gt;=J$2,"i",""))</f>
        <v>d</v>
      </c>
      <c r="K102" s="45" t="str" cm="1">
        <f t="array" aca="1" ref="K102" ca="1">IF(INDIRECT(_xlfn.CONCAT("'",$A102,"'!B4"))&gt;=K$2,"d",IF(INDIRECT(_xlfn.CONCAT("'",$A102,"'!B5"))&gt;=K$2,"i",""))</f>
        <v>d</v>
      </c>
      <c r="L102" s="155"/>
      <c r="M102" s="44" t="str" cm="1">
        <f t="array" aca="1" ref="M102" ca="1">IF(INDIRECT(_xlfn.CONCAT("'",$A102,"'!C10"))&gt;=M$2,"d",IF(INDIRECT(_xlfn.CONCAT("'",$A102,"'!C11"))&gt;=M$2,"i",""))</f>
        <v>d</v>
      </c>
      <c r="N102" s="44" t="str" cm="1">
        <f t="array" aca="1" ref="N102" ca="1">IF(INDIRECT(_xlfn.CONCAT("'",$A102,"'!C10"))&gt;=N$2,"d",IF(INDIRECT(_xlfn.CONCAT("'",$A102,"'!C11"))&gt;=N$2,"i",""))</f>
        <v>d</v>
      </c>
      <c r="O102" s="44" t="str" cm="1">
        <f t="array" aca="1" ref="O102" ca="1">IF(INDIRECT(_xlfn.CONCAT("'",$A102,"'!C10"))&gt;=O$2,"d",IF(INDIRECT(_xlfn.CONCAT("'",$A102,"'!C11"))&gt;=O$2,"i",""))</f>
        <v>d</v>
      </c>
      <c r="P102" s="44" t="str" cm="1">
        <f t="array" aca="1" ref="P102" ca="1">IF(INDIRECT(_xlfn.CONCAT("'",$A102,"'!C10"))&gt;=P$2,"d",IF(INDIRECT(_xlfn.CONCAT("'",$A102,"'!C11"))&gt;=P$2,"i",""))</f>
        <v>d</v>
      </c>
      <c r="Q102" s="44" t="str" cm="1">
        <f t="array" aca="1" ref="Q102" ca="1">IF(INDIRECT(_xlfn.CONCAT("'",$A102,"'!C10"))&gt;=Q$2,"d",IF(INDIRECT(_xlfn.CONCAT("'",$A102,"'!C11"))&gt;=Q$2,"i",""))</f>
        <v>d</v>
      </c>
      <c r="R102" s="44" t="str" cm="1">
        <f t="array" aca="1" ref="R102" ca="1">IF(INDIRECT(_xlfn.CONCAT("'",$A102,"'!C10"))&gt;=R$2,"d",IF(INDIRECT(_xlfn.CONCAT("'",$A102,"'!C11"))&gt;=R$2,"i",""))</f>
        <v>d</v>
      </c>
      <c r="S102" s="156"/>
      <c r="T102" s="44" t="str" cm="1">
        <f t="array" aca="1" ref="T102" ca="1">IF(INDIRECT(_xlfn.CONCAT("'",$A102,"'!F4"))&gt;=T$2,"d",IF(INDIRECT(_xlfn.CONCAT("'",$A102,"'!F5"))&gt;=T$2,"i",""))</f>
        <v>d</v>
      </c>
      <c r="U102" s="44" t="str" cm="1">
        <f t="array" aca="1" ref="U102" ca="1">IF(INDIRECT(_xlfn.CONCAT("'",$A102,"'!F4"))&gt;=U$2,"d",IF(INDIRECT(_xlfn.CONCAT("'",$A102,"'!F5"))&gt;=U$2,"i",""))</f>
        <v>d</v>
      </c>
      <c r="V102" s="44" t="str" cm="1">
        <f t="array" aca="1" ref="V102" ca="1">IF(INDIRECT(_xlfn.CONCAT("'",$A102,"'!F4"))&gt;=V$2,"d",IF(INDIRECT(_xlfn.CONCAT("'",$A102,"'!F5"))&gt;=V$2,"i",""))</f>
        <v>d</v>
      </c>
      <c r="W102" s="44" t="str" cm="1">
        <f t="array" aca="1" ref="W102" ca="1">IF(INDIRECT(_xlfn.CONCAT("'",$A102,"'!F4"))&gt;=W$2,"d",IF(INDIRECT(_xlfn.CONCAT("'",$A102,"'!F5"))&gt;=W$2,"i",""))</f>
        <v>d</v>
      </c>
      <c r="X102" s="44" t="str" cm="1">
        <f t="array" aca="1" ref="X102" ca="1">IF(INDIRECT(_xlfn.CONCAT("'",$A102,"'!F4"))&gt;=X$2,"d",IF(INDIRECT(_xlfn.CONCAT("'",$A102,"'!F5"))&gt;=X$2,"i",""))</f>
        <v>d</v>
      </c>
      <c r="Y102" s="44" t="str" cm="1">
        <f t="array" aca="1" ref="Y102" ca="1">IF(INDIRECT(_xlfn.CONCAT("'",$A102,"'!F4"))&gt;=Y$2,"d",IF(INDIRECT(_xlfn.CONCAT("'",$A102,"'!F5"))&gt;=Y$2,"i",""))</f>
        <v>d</v>
      </c>
      <c r="Z102" s="44" t="str" cm="1">
        <f t="array" aca="1" ref="Z102" ca="1">IF(INDIRECT(_xlfn.CONCAT("'",$A102,"'!F4"))&gt;=Z$2,"d",IF(INDIRECT(_xlfn.CONCAT("'",$A102,"'!F5"))&gt;=Z$2,"i",""))</f>
        <v>d</v>
      </c>
      <c r="AA102" s="44" t="str" cm="1">
        <f t="array" aca="1" ref="AA102" ca="1">IF(INDIRECT(_xlfn.CONCAT("'",$A102,"'!F4"))&gt;=AA$2,"d",IF(INDIRECT(_xlfn.CONCAT("'",$A102,"'!F5"))&gt;=AA$2,"i",""))</f>
        <v>d</v>
      </c>
      <c r="AB102" s="44" t="str" cm="1">
        <f t="array" aca="1" ref="AB102" ca="1">IF(INDIRECT(_xlfn.CONCAT("'",$A102,"'!F4"))&gt;=AB$2,"d",IF(INDIRECT(_xlfn.CONCAT("'",$A102,"'!F5"))&gt;=AB$2,"i",""))</f>
        <v/>
      </c>
      <c r="AC102" s="156"/>
      <c r="AD102" s="44" t="str" cm="1">
        <f t="array" aca="1" ref="AD102" ca="1">IF(INDIRECT(_xlfn.CONCAT("'",$A102,"'!F17"))&gt;=AD$2,"d",IF(INDIRECT(_xlfn.CONCAT("'",$A102,"'!F18"))&gt;=AD$2,"i",""))</f>
        <v>d</v>
      </c>
      <c r="AE102" s="44" t="str" cm="1">
        <f t="array" aca="1" ref="AE102" ca="1">IF(INDIRECT(_xlfn.CONCAT("'",$A102,"'!F17"))&gt;=AE$2,"d",IF(INDIRECT(_xlfn.CONCAT("'",$A102,"'!F18"))&gt;=AE$2,"i",""))</f>
        <v>d</v>
      </c>
      <c r="AF102" s="44" t="str" cm="1">
        <f t="array" aca="1" ref="AF102" ca="1">IF(INDIRECT(_xlfn.CONCAT("'",$A102,"'!F17"))&gt;=AF$2,"d",IF(INDIRECT(_xlfn.CONCAT("'",$A102,"'!F18"))&gt;=AF$2,"i",""))</f>
        <v>d</v>
      </c>
      <c r="AG102" s="44" t="str" cm="1">
        <f t="array" aca="1" ref="AG102" ca="1">IF(INDIRECT(_xlfn.CONCAT("'",$A102,"'!F17"))&gt;=AG$2,"d",IF(INDIRECT(_xlfn.CONCAT("'",$A102,"'!F18"))&gt;=AG$2,"i",""))</f>
        <v>d</v>
      </c>
      <c r="AH102" s="44" t="str" cm="1">
        <f t="array" aca="1" ref="AH102" ca="1">IF(INDIRECT(_xlfn.CONCAT("'",$A102,"'!F17"))&gt;=AH$2,"d",IF(INDIRECT(_xlfn.CONCAT("'",$A102,"'!F18"))&gt;=AH$2,"i",""))</f>
        <v>d</v>
      </c>
      <c r="AI102" s="44" t="str" cm="1">
        <f t="array" aca="1" ref="AI102" ca="1">IF(INDIRECT(_xlfn.CONCAT("'",$A102,"'!F17"))&gt;=AI$2,"d",IF(INDIRECT(_xlfn.CONCAT("'",$A102,"'!F18"))&gt;=AI$2,"i",""))</f>
        <v>d</v>
      </c>
      <c r="AJ102" s="44" t="str" cm="1">
        <f t="array" aca="1" ref="AJ102" ca="1">IF(INDIRECT(_xlfn.CONCAT("'",$A102,"'!F17"))&gt;=AJ$2,"d",IF(INDIRECT(_xlfn.CONCAT("'",$A102,"'!F18"))&gt;=AJ$2,"i",""))</f>
        <v>d</v>
      </c>
      <c r="AK102" s="44" t="str" cm="1">
        <f t="array" aca="1" ref="AK102" ca="1">IF(INDIRECT(_xlfn.CONCAT("'",$A102,"'!F17"))&gt;=AK$2,"d",IF(INDIRECT(_xlfn.CONCAT("'",$A102,"'!F18"))&gt;=AK$2,"i",""))</f>
        <v>d</v>
      </c>
      <c r="AL102" s="44" t="str" cm="1">
        <f t="array" aca="1" ref="AL102" ca="1">IF(INDIRECT(_xlfn.CONCAT("'",$A102,"'!F17"))&gt;=AL$2,"d",IF(INDIRECT(_xlfn.CONCAT("'",$A102,"'!F18"))&gt;=AL$2,"i",""))</f>
        <v/>
      </c>
      <c r="AM102" s="156"/>
      <c r="AN102" s="44" t="str" cm="1">
        <f t="array" aca="1" ref="AN102" ca="1">IF(INDIRECT(_xlfn.CONCAT("'",$A102,"'!F30"))&gt;=AN$2,"d",IF(INDIRECT(_xlfn.CONCAT("'",$A102,"'!F31"))&gt;=AN$2,"i",""))</f>
        <v>d</v>
      </c>
      <c r="AO102" s="44" t="str" cm="1">
        <f t="array" aca="1" ref="AO102" ca="1">IF(INDIRECT(_xlfn.CONCAT("'",$A102,"'!F30"))&gt;=AO$2,"d",IF(INDIRECT(_xlfn.CONCAT("'",$A102,"'!F31"))&gt;=AO$2,"i",""))</f>
        <v>d</v>
      </c>
      <c r="AP102" s="44" t="str" cm="1">
        <f t="array" aca="1" ref="AP102" ca="1">IF(INDIRECT(_xlfn.CONCAT("'",$A102,"'!F30"))&gt;=AP$2,"d",IF(INDIRECT(_xlfn.CONCAT("'",$A102,"'!F31"))&gt;=AP$2,"i",""))</f>
        <v>d</v>
      </c>
      <c r="AQ102" s="44" t="str" cm="1">
        <f t="array" aca="1" ref="AQ102" ca="1">IF(INDIRECT(_xlfn.CONCAT("'",$A102,"'!F30"))&gt;=AQ$2,"d",IF(INDIRECT(_xlfn.CONCAT("'",$A102,"'!F31"))&gt;=AQ$2,"i",""))</f>
        <v>d</v>
      </c>
      <c r="AR102" s="44" t="str" cm="1">
        <f t="array" aca="1" ref="AR102" ca="1">IF(INDIRECT(_xlfn.CONCAT("'",$A102,"'!F30"))&gt;=AR$2,"d",IF(INDIRECT(_xlfn.CONCAT("'",$A102,"'!F31"))&gt;=AR$2,"i",""))</f>
        <v>d</v>
      </c>
      <c r="AS102" s="44" t="str" cm="1">
        <f t="array" aca="1" ref="AS102" ca="1">IF(INDIRECT(_xlfn.CONCAT("'",$A102,"'!F30"))&gt;=AS$2,"d",IF(INDIRECT(_xlfn.CONCAT("'",$A102,"'!F31"))&gt;=AS$2,"i",""))</f>
        <v>d</v>
      </c>
      <c r="AT102" s="44" t="str" cm="1">
        <f t="array" aca="1" ref="AT102" ca="1">IF(INDIRECT(_xlfn.CONCAT("'",$A102,"'!F30"))&gt;=AT$2,"d",IF(INDIRECT(_xlfn.CONCAT("'",$A102,"'!F31"))&gt;=AT$2,"i",""))</f>
        <v>d</v>
      </c>
      <c r="AU102" s="44" t="str" cm="1">
        <f t="array" aca="1" ref="AU102" ca="1">IF(INDIRECT(_xlfn.CONCAT("'",$A102,"'!F30"))&gt;=AU$2,"d",IF(INDIRECT(_xlfn.CONCAT("'",$A102,"'!F31"))&gt;=AU$2,"i",""))</f>
        <v>d</v>
      </c>
      <c r="AV102" s="45" t="str" cm="1">
        <f t="array" aca="1" ref="AV102" ca="1">IF(INDIRECT(_xlfn.CONCAT("'",$A102,"'!F30"))&gt;=AV$2,"d",IF(INDIRECT(_xlfn.CONCAT("'",$A102,"'!F31"))&gt;=AV$2,"i",""))</f>
        <v/>
      </c>
    </row>
    <row r="103" spans="1:48" x14ac:dyDescent="0.25">
      <c r="A103" s="119" t="str">
        <v>Yumemizuki Mizuki</v>
      </c>
      <c r="B103" s="45" t="str">
        <f t="shared" ref="B103" si="71">VLOOKUP(A103,Character_List,2,FALSE)</f>
        <v>Anemo</v>
      </c>
      <c r="C103" s="153" t="str">
        <f t="shared" ref="C103" si="72">VLOOKUP(A103,Character_List,7,FALSE)</f>
        <v>Inazuma 1</v>
      </c>
      <c r="D103" s="154" t="str">
        <f t="shared" ref="D103" si="73">VLOOKUP(A103,Character_List,8,FALSE)</f>
        <v>Knave 1</v>
      </c>
      <c r="E103" s="19" t="str" cm="1">
        <f t="array" aca="1" ref="E103" ca="1">IF(INDIRECT(_xlfn.CONCAT("'",$A103,"'!B4"))&gt;=E$2,"d",IF(INDIRECT(_xlfn.CONCAT("'",$A103,"'!B5"))&gt;=E$2,"i",""))</f>
        <v>d</v>
      </c>
      <c r="F103" s="44" t="str" cm="1">
        <f t="array" aca="1" ref="F103" ca="1">IF(INDIRECT(_xlfn.CONCAT("'",$A103,"'!B4"))&gt;=F$2,"d",IF(INDIRECT(_xlfn.CONCAT("'",$A103,"'!B5"))&gt;=F$2,"i",""))</f>
        <v>d</v>
      </c>
      <c r="G103" s="44" t="str" cm="1">
        <f t="array" aca="1" ref="G103" ca="1">IF(INDIRECT(_xlfn.CONCAT("'",$A103,"'!B4"))&gt;=G$2,"d",IF(INDIRECT(_xlfn.CONCAT("'",$A103,"'!B5"))&gt;=G$2,"i",""))</f>
        <v>d</v>
      </c>
      <c r="H103" s="44" t="str" cm="1">
        <f t="array" aca="1" ref="H103" ca="1">IF(INDIRECT(_xlfn.CONCAT("'",$A103,"'!B4"))&gt;=H$2,"d",IF(INDIRECT(_xlfn.CONCAT("'",$A103,"'!B5"))&gt;=H$2,"i",""))</f>
        <v>d</v>
      </c>
      <c r="I103" s="44" t="str" cm="1">
        <f t="array" aca="1" ref="I103" ca="1">IF(INDIRECT(_xlfn.CONCAT("'",$A103,"'!B4"))&gt;=I$2,"d",IF(INDIRECT(_xlfn.CONCAT("'",$A103,"'!B5"))&gt;=I$2,"i",""))</f>
        <v>d</v>
      </c>
      <c r="J103" s="44" t="str" cm="1">
        <f t="array" aca="1" ref="J103" ca="1">IF(INDIRECT(_xlfn.CONCAT("'",$A103,"'!B4"))&gt;=J$2,"d",IF(INDIRECT(_xlfn.CONCAT("'",$A103,"'!B5"))&gt;=J$2,"i",""))</f>
        <v>d</v>
      </c>
      <c r="K103" s="45" t="str" cm="1">
        <f t="array" aca="1" ref="K103" ca="1">IF(INDIRECT(_xlfn.CONCAT("'",$A103,"'!B4"))&gt;=K$2,"d",IF(INDIRECT(_xlfn.CONCAT("'",$A103,"'!B5"))&gt;=K$2,"i",""))</f>
        <v>d</v>
      </c>
      <c r="L103" s="155"/>
      <c r="M103" s="44" t="str" cm="1">
        <f t="array" aca="1" ref="M103" ca="1">IF(INDIRECT(_xlfn.CONCAT("'",$A103,"'!C10"))&gt;=M$2,"d",IF(INDIRECT(_xlfn.CONCAT("'",$A103,"'!C11"))&gt;=M$2,"i",""))</f>
        <v>d</v>
      </c>
      <c r="N103" s="44" t="str" cm="1">
        <f t="array" aca="1" ref="N103" ca="1">IF(INDIRECT(_xlfn.CONCAT("'",$A103,"'!C10"))&gt;=N$2,"d",IF(INDIRECT(_xlfn.CONCAT("'",$A103,"'!C11"))&gt;=N$2,"i",""))</f>
        <v>d</v>
      </c>
      <c r="O103" s="44" t="str" cm="1">
        <f t="array" aca="1" ref="O103" ca="1">IF(INDIRECT(_xlfn.CONCAT("'",$A103,"'!C10"))&gt;=O$2,"d",IF(INDIRECT(_xlfn.CONCAT("'",$A103,"'!C11"))&gt;=O$2,"i",""))</f>
        <v>d</v>
      </c>
      <c r="P103" s="44" t="str" cm="1">
        <f t="array" aca="1" ref="P103" ca="1">IF(INDIRECT(_xlfn.CONCAT("'",$A103,"'!C10"))&gt;=P$2,"d",IF(INDIRECT(_xlfn.CONCAT("'",$A103,"'!C11"))&gt;=P$2,"i",""))</f>
        <v>d</v>
      </c>
      <c r="Q103" s="44" t="str" cm="1">
        <f t="array" aca="1" ref="Q103" ca="1">IF(INDIRECT(_xlfn.CONCAT("'",$A103,"'!C10"))&gt;=Q$2,"d",IF(INDIRECT(_xlfn.CONCAT("'",$A103,"'!C11"))&gt;=Q$2,"i",""))</f>
        <v>d</v>
      </c>
      <c r="R103" s="44" t="str" cm="1">
        <f t="array" aca="1" ref="R103" ca="1">IF(INDIRECT(_xlfn.CONCAT("'",$A103,"'!C10"))&gt;=R$2,"d",IF(INDIRECT(_xlfn.CONCAT("'",$A103,"'!C11"))&gt;=R$2,"i",""))</f>
        <v>d</v>
      </c>
      <c r="S103" s="156"/>
      <c r="T103" s="44" t="str" cm="1">
        <f t="array" aca="1" ref="T103" ca="1">IF(INDIRECT(_xlfn.CONCAT("'",$A103,"'!F4"))&gt;=T$2,"d",IF(INDIRECT(_xlfn.CONCAT("'",$A103,"'!F5"))&gt;=T$2,"i",""))</f>
        <v>d</v>
      </c>
      <c r="U103" s="44" t="str" cm="1">
        <f t="array" aca="1" ref="U103" ca="1">IF(INDIRECT(_xlfn.CONCAT("'",$A103,"'!F4"))&gt;=U$2,"d",IF(INDIRECT(_xlfn.CONCAT("'",$A103,"'!F5"))&gt;=U$2,"i",""))</f>
        <v>d</v>
      </c>
      <c r="V103" s="44" t="str" cm="1">
        <f t="array" aca="1" ref="V103" ca="1">IF(INDIRECT(_xlfn.CONCAT("'",$A103,"'!F4"))&gt;=V$2,"d",IF(INDIRECT(_xlfn.CONCAT("'",$A103,"'!F5"))&gt;=V$2,"i",""))</f>
        <v>d</v>
      </c>
      <c r="W103" s="44" t="str" cm="1">
        <f t="array" aca="1" ref="W103" ca="1">IF(INDIRECT(_xlfn.CONCAT("'",$A103,"'!F4"))&gt;=W$2,"d",IF(INDIRECT(_xlfn.CONCAT("'",$A103,"'!F5"))&gt;=W$2,"i",""))</f>
        <v>d</v>
      </c>
      <c r="X103" s="44" t="str" cm="1">
        <f t="array" aca="1" ref="X103" ca="1">IF(INDIRECT(_xlfn.CONCAT("'",$A103,"'!F4"))&gt;=X$2,"d",IF(INDIRECT(_xlfn.CONCAT("'",$A103,"'!F5"))&gt;=X$2,"i",""))</f>
        <v>d</v>
      </c>
      <c r="Y103" s="44" t="str" cm="1">
        <f t="array" aca="1" ref="Y103" ca="1">IF(INDIRECT(_xlfn.CONCAT("'",$A103,"'!F4"))&gt;=Y$2,"d",IF(INDIRECT(_xlfn.CONCAT("'",$A103,"'!F5"))&gt;=Y$2,"i",""))</f>
        <v>d</v>
      </c>
      <c r="Z103" s="44" t="str" cm="1">
        <f t="array" aca="1" ref="Z103" ca="1">IF(INDIRECT(_xlfn.CONCAT("'",$A103,"'!F4"))&gt;=Z$2,"d",IF(INDIRECT(_xlfn.CONCAT("'",$A103,"'!F5"))&gt;=Z$2,"i",""))</f>
        <v>d</v>
      </c>
      <c r="AA103" s="44" t="str" cm="1">
        <f t="array" aca="1" ref="AA103" ca="1">IF(INDIRECT(_xlfn.CONCAT("'",$A103,"'!F4"))&gt;=AA$2,"d",IF(INDIRECT(_xlfn.CONCAT("'",$A103,"'!F5"))&gt;=AA$2,"i",""))</f>
        <v>d</v>
      </c>
      <c r="AB103" s="44" t="str" cm="1">
        <f t="array" aca="1" ref="AB103" ca="1">IF(INDIRECT(_xlfn.CONCAT("'",$A103,"'!F4"))&gt;=AB$2,"d",IF(INDIRECT(_xlfn.CONCAT("'",$A103,"'!F5"))&gt;=AB$2,"i",""))</f>
        <v/>
      </c>
      <c r="AC103" s="156"/>
      <c r="AD103" s="44" t="str" cm="1">
        <f t="array" aca="1" ref="AD103" ca="1">IF(INDIRECT(_xlfn.CONCAT("'",$A103,"'!F17"))&gt;=AD$2,"d",IF(INDIRECT(_xlfn.CONCAT("'",$A103,"'!F18"))&gt;=AD$2,"i",""))</f>
        <v>d</v>
      </c>
      <c r="AE103" s="44" t="str" cm="1">
        <f t="array" aca="1" ref="AE103" ca="1">IF(INDIRECT(_xlfn.CONCAT("'",$A103,"'!F17"))&gt;=AE$2,"d",IF(INDIRECT(_xlfn.CONCAT("'",$A103,"'!F18"))&gt;=AE$2,"i",""))</f>
        <v>d</v>
      </c>
      <c r="AF103" s="44" t="str" cm="1">
        <f t="array" aca="1" ref="AF103" ca="1">IF(INDIRECT(_xlfn.CONCAT("'",$A103,"'!F17"))&gt;=AF$2,"d",IF(INDIRECT(_xlfn.CONCAT("'",$A103,"'!F18"))&gt;=AF$2,"i",""))</f>
        <v>d</v>
      </c>
      <c r="AG103" s="44" t="str" cm="1">
        <f t="array" aca="1" ref="AG103" ca="1">IF(INDIRECT(_xlfn.CONCAT("'",$A103,"'!F17"))&gt;=AG$2,"d",IF(INDIRECT(_xlfn.CONCAT("'",$A103,"'!F18"))&gt;=AG$2,"i",""))</f>
        <v>d</v>
      </c>
      <c r="AH103" s="44" t="str" cm="1">
        <f t="array" aca="1" ref="AH103" ca="1">IF(INDIRECT(_xlfn.CONCAT("'",$A103,"'!F17"))&gt;=AH$2,"d",IF(INDIRECT(_xlfn.CONCAT("'",$A103,"'!F18"))&gt;=AH$2,"i",""))</f>
        <v>d</v>
      </c>
      <c r="AI103" s="44" t="str" cm="1">
        <f t="array" aca="1" ref="AI103" ca="1">IF(INDIRECT(_xlfn.CONCAT("'",$A103,"'!F17"))&gt;=AI$2,"d",IF(INDIRECT(_xlfn.CONCAT("'",$A103,"'!F18"))&gt;=AI$2,"i",""))</f>
        <v>d</v>
      </c>
      <c r="AJ103" s="44" t="str" cm="1">
        <f t="array" aca="1" ref="AJ103" ca="1">IF(INDIRECT(_xlfn.CONCAT("'",$A103,"'!F17"))&gt;=AJ$2,"d",IF(INDIRECT(_xlfn.CONCAT("'",$A103,"'!F18"))&gt;=AJ$2,"i",""))</f>
        <v>d</v>
      </c>
      <c r="AK103" s="44" t="str" cm="1">
        <f t="array" aca="1" ref="AK103" ca="1">IF(INDIRECT(_xlfn.CONCAT("'",$A103,"'!F17"))&gt;=AK$2,"d",IF(INDIRECT(_xlfn.CONCAT("'",$A103,"'!F18"))&gt;=AK$2,"i",""))</f>
        <v>d</v>
      </c>
      <c r="AL103" s="44" t="str" cm="1">
        <f t="array" aca="1" ref="AL103" ca="1">IF(INDIRECT(_xlfn.CONCAT("'",$A103,"'!F17"))&gt;=AL$2,"d",IF(INDIRECT(_xlfn.CONCAT("'",$A103,"'!F18"))&gt;=AL$2,"i",""))</f>
        <v/>
      </c>
      <c r="AM103" s="156"/>
      <c r="AN103" s="44" t="str" cm="1">
        <f t="array" aca="1" ref="AN103" ca="1">IF(INDIRECT(_xlfn.CONCAT("'",$A103,"'!F30"))&gt;=AN$2,"d",IF(INDIRECT(_xlfn.CONCAT("'",$A103,"'!F31"))&gt;=AN$2,"i",""))</f>
        <v>d</v>
      </c>
      <c r="AO103" s="44" t="str" cm="1">
        <f t="array" aca="1" ref="AO103" ca="1">IF(INDIRECT(_xlfn.CONCAT("'",$A103,"'!F30"))&gt;=AO$2,"d",IF(INDIRECT(_xlfn.CONCAT("'",$A103,"'!F31"))&gt;=AO$2,"i",""))</f>
        <v>d</v>
      </c>
      <c r="AP103" s="44" t="str" cm="1">
        <f t="array" aca="1" ref="AP103" ca="1">IF(INDIRECT(_xlfn.CONCAT("'",$A103,"'!F30"))&gt;=AP$2,"d",IF(INDIRECT(_xlfn.CONCAT("'",$A103,"'!F31"))&gt;=AP$2,"i",""))</f>
        <v>d</v>
      </c>
      <c r="AQ103" s="44" t="str" cm="1">
        <f t="array" aca="1" ref="AQ103" ca="1">IF(INDIRECT(_xlfn.CONCAT("'",$A103,"'!F30"))&gt;=AQ$2,"d",IF(INDIRECT(_xlfn.CONCAT("'",$A103,"'!F31"))&gt;=AQ$2,"i",""))</f>
        <v>d</v>
      </c>
      <c r="AR103" s="44" t="str" cm="1">
        <f t="array" aca="1" ref="AR103" ca="1">IF(INDIRECT(_xlfn.CONCAT("'",$A103,"'!F30"))&gt;=AR$2,"d",IF(INDIRECT(_xlfn.CONCAT("'",$A103,"'!F31"))&gt;=AR$2,"i",""))</f>
        <v>d</v>
      </c>
      <c r="AS103" s="44" t="str" cm="1">
        <f t="array" aca="1" ref="AS103" ca="1">IF(INDIRECT(_xlfn.CONCAT("'",$A103,"'!F30"))&gt;=AS$2,"d",IF(INDIRECT(_xlfn.CONCAT("'",$A103,"'!F31"))&gt;=AS$2,"i",""))</f>
        <v>d</v>
      </c>
      <c r="AT103" s="44" t="str" cm="1">
        <f t="array" aca="1" ref="AT103" ca="1">IF(INDIRECT(_xlfn.CONCAT("'",$A103,"'!F30"))&gt;=AT$2,"d",IF(INDIRECT(_xlfn.CONCAT("'",$A103,"'!F31"))&gt;=AT$2,"i",""))</f>
        <v>d</v>
      </c>
      <c r="AU103" s="44" t="str" cm="1">
        <f t="array" aca="1" ref="AU103" ca="1">IF(INDIRECT(_xlfn.CONCAT("'",$A103,"'!F30"))&gt;=AU$2,"d",IF(INDIRECT(_xlfn.CONCAT("'",$A103,"'!F31"))&gt;=AU$2,"i",""))</f>
        <v>d</v>
      </c>
      <c r="AV103" s="45" t="str" cm="1">
        <f t="array" aca="1" ref="AV103" ca="1">IF(INDIRECT(_xlfn.CONCAT("'",$A103,"'!F30"))&gt;=AV$2,"d",IF(INDIRECT(_xlfn.CONCAT("'",$A103,"'!F31"))&gt;=AV$2,"i",""))</f>
        <v/>
      </c>
    </row>
    <row r="104" spans="1:48" x14ac:dyDescent="0.25">
      <c r="A104" s="119" t="str">
        <v>Varesa</v>
      </c>
      <c r="B104" s="45" t="str">
        <f t="shared" ref="B104" si="74">VLOOKUP(A104,Character_List,2,FALSE)</f>
        <v>Electro</v>
      </c>
      <c r="C104" s="153" t="str">
        <f t="shared" ref="C104" si="75">VLOOKUP(A104,Character_List,7,FALSE)</f>
        <v>Natlan 3</v>
      </c>
      <c r="D104" s="154" t="str">
        <f t="shared" ref="D104" si="76">VLOOKUP(A104,Character_List,8,FALSE)</f>
        <v>Eroded Primal Fire 3</v>
      </c>
      <c r="E104" s="19" t="str" cm="1">
        <f t="array" aca="1" ref="E104" ca="1">IF(INDIRECT(_xlfn.CONCAT("'",$A104,"'!B4"))&gt;=E$2,"d",IF(INDIRECT(_xlfn.CONCAT("'",$A104,"'!B5"))&gt;=E$2,"i",""))</f>
        <v>d</v>
      </c>
      <c r="F104" s="44" t="str" cm="1">
        <f t="array" aca="1" ref="F104" ca="1">IF(INDIRECT(_xlfn.CONCAT("'",$A104,"'!B4"))&gt;=F$2,"d",IF(INDIRECT(_xlfn.CONCAT("'",$A104,"'!B5"))&gt;=F$2,"i",""))</f>
        <v>d</v>
      </c>
      <c r="G104" s="44" t="str" cm="1">
        <f t="array" aca="1" ref="G104" ca="1">IF(INDIRECT(_xlfn.CONCAT("'",$A104,"'!B4"))&gt;=G$2,"d",IF(INDIRECT(_xlfn.CONCAT("'",$A104,"'!B5"))&gt;=G$2,"i",""))</f>
        <v>d</v>
      </c>
      <c r="H104" s="44" t="str" cm="1">
        <f t="array" aca="1" ref="H104" ca="1">IF(INDIRECT(_xlfn.CONCAT("'",$A104,"'!B4"))&gt;=H$2,"d",IF(INDIRECT(_xlfn.CONCAT("'",$A104,"'!B5"))&gt;=H$2,"i",""))</f>
        <v>d</v>
      </c>
      <c r="I104" s="44" t="str" cm="1">
        <f t="array" aca="1" ref="I104" ca="1">IF(INDIRECT(_xlfn.CONCAT("'",$A104,"'!B4"))&gt;=I$2,"d",IF(INDIRECT(_xlfn.CONCAT("'",$A104,"'!B5"))&gt;=I$2,"i",""))</f>
        <v>d</v>
      </c>
      <c r="J104" s="44" t="str" cm="1">
        <f t="array" aca="1" ref="J104" ca="1">IF(INDIRECT(_xlfn.CONCAT("'",$A104,"'!B4"))&gt;=J$2,"d",IF(INDIRECT(_xlfn.CONCAT("'",$A104,"'!B5"))&gt;=J$2,"i",""))</f>
        <v>d</v>
      </c>
      <c r="K104" s="45" t="str" cm="1">
        <f t="array" aca="1" ref="K104" ca="1">IF(INDIRECT(_xlfn.CONCAT("'",$A104,"'!B4"))&gt;=K$2,"d",IF(INDIRECT(_xlfn.CONCAT("'",$A104,"'!B5"))&gt;=K$2,"i",""))</f>
        <v>d</v>
      </c>
      <c r="L104" s="155"/>
      <c r="M104" s="44" t="str" cm="1">
        <f t="array" aca="1" ref="M104" ca="1">IF(INDIRECT(_xlfn.CONCAT("'",$A104,"'!C10"))&gt;=M$2,"d",IF(INDIRECT(_xlfn.CONCAT("'",$A104,"'!C11"))&gt;=M$2,"i",""))</f>
        <v>d</v>
      </c>
      <c r="N104" s="44" t="str" cm="1">
        <f t="array" aca="1" ref="N104" ca="1">IF(INDIRECT(_xlfn.CONCAT("'",$A104,"'!C10"))&gt;=N$2,"d",IF(INDIRECT(_xlfn.CONCAT("'",$A104,"'!C11"))&gt;=N$2,"i",""))</f>
        <v>d</v>
      </c>
      <c r="O104" s="44" t="str" cm="1">
        <f t="array" aca="1" ref="O104" ca="1">IF(INDIRECT(_xlfn.CONCAT("'",$A104,"'!C10"))&gt;=O$2,"d",IF(INDIRECT(_xlfn.CONCAT("'",$A104,"'!C11"))&gt;=O$2,"i",""))</f>
        <v>d</v>
      </c>
      <c r="P104" s="44" t="str" cm="1">
        <f t="array" aca="1" ref="P104" ca="1">IF(INDIRECT(_xlfn.CONCAT("'",$A104,"'!C10"))&gt;=P$2,"d",IF(INDIRECT(_xlfn.CONCAT("'",$A104,"'!C11"))&gt;=P$2,"i",""))</f>
        <v>d</v>
      </c>
      <c r="Q104" s="44" t="str" cm="1">
        <f t="array" aca="1" ref="Q104" ca="1">IF(INDIRECT(_xlfn.CONCAT("'",$A104,"'!C10"))&gt;=Q$2,"d",IF(INDIRECT(_xlfn.CONCAT("'",$A104,"'!C11"))&gt;=Q$2,"i",""))</f>
        <v>d</v>
      </c>
      <c r="R104" s="44" t="str" cm="1">
        <f t="array" aca="1" ref="R104" ca="1">IF(INDIRECT(_xlfn.CONCAT("'",$A104,"'!C10"))&gt;=R$2,"d",IF(INDIRECT(_xlfn.CONCAT("'",$A104,"'!C11"))&gt;=R$2,"i",""))</f>
        <v>d</v>
      </c>
      <c r="S104" s="156"/>
      <c r="T104" s="44" t="str" cm="1">
        <f t="array" aca="1" ref="T104" ca="1">IF(INDIRECT(_xlfn.CONCAT("'",$A104,"'!F4"))&gt;=T$2,"d",IF(INDIRECT(_xlfn.CONCAT("'",$A104,"'!F5"))&gt;=T$2,"i",""))</f>
        <v>d</v>
      </c>
      <c r="U104" s="44" t="str" cm="1">
        <f t="array" aca="1" ref="U104" ca="1">IF(INDIRECT(_xlfn.CONCAT("'",$A104,"'!F4"))&gt;=U$2,"d",IF(INDIRECT(_xlfn.CONCAT("'",$A104,"'!F5"))&gt;=U$2,"i",""))</f>
        <v>d</v>
      </c>
      <c r="V104" s="44" t="str" cm="1">
        <f t="array" aca="1" ref="V104" ca="1">IF(INDIRECT(_xlfn.CONCAT("'",$A104,"'!F4"))&gt;=V$2,"d",IF(INDIRECT(_xlfn.CONCAT("'",$A104,"'!F5"))&gt;=V$2,"i",""))</f>
        <v>d</v>
      </c>
      <c r="W104" s="44" t="str" cm="1">
        <f t="array" aca="1" ref="W104" ca="1">IF(INDIRECT(_xlfn.CONCAT("'",$A104,"'!F4"))&gt;=W$2,"d",IF(INDIRECT(_xlfn.CONCAT("'",$A104,"'!F5"))&gt;=W$2,"i",""))</f>
        <v>d</v>
      </c>
      <c r="X104" s="44" t="str" cm="1">
        <f t="array" aca="1" ref="X104" ca="1">IF(INDIRECT(_xlfn.CONCAT("'",$A104,"'!F4"))&gt;=X$2,"d",IF(INDIRECT(_xlfn.CONCAT("'",$A104,"'!F5"))&gt;=X$2,"i",""))</f>
        <v>d</v>
      </c>
      <c r="Y104" s="44" t="str" cm="1">
        <f t="array" aca="1" ref="Y104" ca="1">IF(INDIRECT(_xlfn.CONCAT("'",$A104,"'!F4"))&gt;=Y$2,"d",IF(INDIRECT(_xlfn.CONCAT("'",$A104,"'!F5"))&gt;=Y$2,"i",""))</f>
        <v>d</v>
      </c>
      <c r="Z104" s="44" t="str" cm="1">
        <f t="array" aca="1" ref="Z104" ca="1">IF(INDIRECT(_xlfn.CONCAT("'",$A104,"'!F4"))&gt;=Z$2,"d",IF(INDIRECT(_xlfn.CONCAT("'",$A104,"'!F5"))&gt;=Z$2,"i",""))</f>
        <v>d</v>
      </c>
      <c r="AA104" s="44" t="str" cm="1">
        <f t="array" aca="1" ref="AA104" ca="1">IF(INDIRECT(_xlfn.CONCAT("'",$A104,"'!F4"))&gt;=AA$2,"d",IF(INDIRECT(_xlfn.CONCAT("'",$A104,"'!F5"))&gt;=AA$2,"i",""))</f>
        <v>d</v>
      </c>
      <c r="AB104" s="44" t="str" cm="1">
        <f t="array" aca="1" ref="AB104" ca="1">IF(INDIRECT(_xlfn.CONCAT("'",$A104,"'!F4"))&gt;=AB$2,"d",IF(INDIRECT(_xlfn.CONCAT("'",$A104,"'!F5"))&gt;=AB$2,"i",""))</f>
        <v/>
      </c>
      <c r="AC104" s="156"/>
      <c r="AD104" s="44" t="str" cm="1">
        <f t="array" aca="1" ref="AD104" ca="1">IF(INDIRECT(_xlfn.CONCAT("'",$A104,"'!F17"))&gt;=AD$2,"d",IF(INDIRECT(_xlfn.CONCAT("'",$A104,"'!F18"))&gt;=AD$2,"i",""))</f>
        <v>d</v>
      </c>
      <c r="AE104" s="44" t="str" cm="1">
        <f t="array" aca="1" ref="AE104" ca="1">IF(INDIRECT(_xlfn.CONCAT("'",$A104,"'!F17"))&gt;=AE$2,"d",IF(INDIRECT(_xlfn.CONCAT("'",$A104,"'!F18"))&gt;=AE$2,"i",""))</f>
        <v>d</v>
      </c>
      <c r="AF104" s="44" t="str" cm="1">
        <f t="array" aca="1" ref="AF104" ca="1">IF(INDIRECT(_xlfn.CONCAT("'",$A104,"'!F17"))&gt;=AF$2,"d",IF(INDIRECT(_xlfn.CONCAT("'",$A104,"'!F18"))&gt;=AF$2,"i",""))</f>
        <v>d</v>
      </c>
      <c r="AG104" s="44" t="str" cm="1">
        <f t="array" aca="1" ref="AG104" ca="1">IF(INDIRECT(_xlfn.CONCAT("'",$A104,"'!F17"))&gt;=AG$2,"d",IF(INDIRECT(_xlfn.CONCAT("'",$A104,"'!F18"))&gt;=AG$2,"i",""))</f>
        <v>d</v>
      </c>
      <c r="AH104" s="44" t="str" cm="1">
        <f t="array" aca="1" ref="AH104" ca="1">IF(INDIRECT(_xlfn.CONCAT("'",$A104,"'!F17"))&gt;=AH$2,"d",IF(INDIRECT(_xlfn.CONCAT("'",$A104,"'!F18"))&gt;=AH$2,"i",""))</f>
        <v>d</v>
      </c>
      <c r="AI104" s="44" t="str" cm="1">
        <f t="array" aca="1" ref="AI104" ca="1">IF(INDIRECT(_xlfn.CONCAT("'",$A104,"'!F17"))&gt;=AI$2,"d",IF(INDIRECT(_xlfn.CONCAT("'",$A104,"'!F18"))&gt;=AI$2,"i",""))</f>
        <v>d</v>
      </c>
      <c r="AJ104" s="44" t="str" cm="1">
        <f t="array" aca="1" ref="AJ104" ca="1">IF(INDIRECT(_xlfn.CONCAT("'",$A104,"'!F17"))&gt;=AJ$2,"d",IF(INDIRECT(_xlfn.CONCAT("'",$A104,"'!F18"))&gt;=AJ$2,"i",""))</f>
        <v>d</v>
      </c>
      <c r="AK104" s="44" t="str" cm="1">
        <f t="array" aca="1" ref="AK104" ca="1">IF(INDIRECT(_xlfn.CONCAT("'",$A104,"'!F17"))&gt;=AK$2,"d",IF(INDIRECT(_xlfn.CONCAT("'",$A104,"'!F18"))&gt;=AK$2,"i",""))</f>
        <v>d</v>
      </c>
      <c r="AL104" s="44" t="str" cm="1">
        <f t="array" aca="1" ref="AL104" ca="1">IF(INDIRECT(_xlfn.CONCAT("'",$A104,"'!F17"))&gt;=AL$2,"d",IF(INDIRECT(_xlfn.CONCAT("'",$A104,"'!F18"))&gt;=AL$2,"i",""))</f>
        <v/>
      </c>
      <c r="AM104" s="156"/>
      <c r="AN104" s="44" t="str" cm="1">
        <f t="array" aca="1" ref="AN104" ca="1">IF(INDIRECT(_xlfn.CONCAT("'",$A104,"'!F30"))&gt;=AN$2,"d",IF(INDIRECT(_xlfn.CONCAT("'",$A104,"'!F31"))&gt;=AN$2,"i",""))</f>
        <v>d</v>
      </c>
      <c r="AO104" s="44" t="str" cm="1">
        <f t="array" aca="1" ref="AO104" ca="1">IF(INDIRECT(_xlfn.CONCAT("'",$A104,"'!F30"))&gt;=AO$2,"d",IF(INDIRECT(_xlfn.CONCAT("'",$A104,"'!F31"))&gt;=AO$2,"i",""))</f>
        <v>d</v>
      </c>
      <c r="AP104" s="44" t="str" cm="1">
        <f t="array" aca="1" ref="AP104" ca="1">IF(INDIRECT(_xlfn.CONCAT("'",$A104,"'!F30"))&gt;=AP$2,"d",IF(INDIRECT(_xlfn.CONCAT("'",$A104,"'!F31"))&gt;=AP$2,"i",""))</f>
        <v>d</v>
      </c>
      <c r="AQ104" s="44" t="str" cm="1">
        <f t="array" aca="1" ref="AQ104" ca="1">IF(INDIRECT(_xlfn.CONCAT("'",$A104,"'!F30"))&gt;=AQ$2,"d",IF(INDIRECT(_xlfn.CONCAT("'",$A104,"'!F31"))&gt;=AQ$2,"i",""))</f>
        <v>d</v>
      </c>
      <c r="AR104" s="44" t="str" cm="1">
        <f t="array" aca="1" ref="AR104" ca="1">IF(INDIRECT(_xlfn.CONCAT("'",$A104,"'!F30"))&gt;=AR$2,"d",IF(INDIRECT(_xlfn.CONCAT("'",$A104,"'!F31"))&gt;=AR$2,"i",""))</f>
        <v>d</v>
      </c>
      <c r="AS104" s="44" t="str" cm="1">
        <f t="array" aca="1" ref="AS104" ca="1">IF(INDIRECT(_xlfn.CONCAT("'",$A104,"'!F30"))&gt;=AS$2,"d",IF(INDIRECT(_xlfn.CONCAT("'",$A104,"'!F31"))&gt;=AS$2,"i",""))</f>
        <v>d</v>
      </c>
      <c r="AT104" s="44" t="str" cm="1">
        <f t="array" aca="1" ref="AT104" ca="1">IF(INDIRECT(_xlfn.CONCAT("'",$A104,"'!F30"))&gt;=AT$2,"d",IF(INDIRECT(_xlfn.CONCAT("'",$A104,"'!F31"))&gt;=AT$2,"i",""))</f>
        <v>d</v>
      </c>
      <c r="AU104" s="44" t="str" cm="1">
        <f t="array" aca="1" ref="AU104" ca="1">IF(INDIRECT(_xlfn.CONCAT("'",$A104,"'!F30"))&gt;=AU$2,"d",IF(INDIRECT(_xlfn.CONCAT("'",$A104,"'!F31"))&gt;=AU$2,"i",""))</f>
        <v>d</v>
      </c>
      <c r="AV104" s="45" t="str" cm="1">
        <f t="array" aca="1" ref="AV104" ca="1">IF(INDIRECT(_xlfn.CONCAT("'",$A104,"'!F30"))&gt;=AV$2,"d",IF(INDIRECT(_xlfn.CONCAT("'",$A104,"'!F31"))&gt;=AV$2,"i",""))</f>
        <v/>
      </c>
    </row>
    <row r="105" spans="1:48" x14ac:dyDescent="0.25">
      <c r="A105" s="119" t="str">
        <v>Iansan</v>
      </c>
      <c r="B105" s="45" t="str">
        <f t="shared" ref="B105" si="77">VLOOKUP(A105,Character_List,2,FALSE)</f>
        <v>Electro</v>
      </c>
      <c r="C105" s="153" t="str">
        <f t="shared" ref="C105" si="78">VLOOKUP(A105,Character_List,7,FALSE)</f>
        <v>Natlan 1</v>
      </c>
      <c r="D105" s="154" t="str">
        <f t="shared" ref="D105" si="79">VLOOKUP(A105,Character_List,8,FALSE)</f>
        <v>Knave 3</v>
      </c>
      <c r="E105" s="19" t="str" cm="1">
        <f t="array" aca="1" ref="E105" ca="1">IF(INDIRECT(_xlfn.CONCAT("'",$A105,"'!B4"))&gt;=E$2,"d",IF(INDIRECT(_xlfn.CONCAT("'",$A105,"'!B5"))&gt;=E$2,"i",""))</f>
        <v>d</v>
      </c>
      <c r="F105" s="44" t="str" cm="1">
        <f t="array" aca="1" ref="F105" ca="1">IF(INDIRECT(_xlfn.CONCAT("'",$A105,"'!B4"))&gt;=F$2,"d",IF(INDIRECT(_xlfn.CONCAT("'",$A105,"'!B5"))&gt;=F$2,"i",""))</f>
        <v>d</v>
      </c>
      <c r="G105" s="44" t="str" cm="1">
        <f t="array" aca="1" ref="G105" ca="1">IF(INDIRECT(_xlfn.CONCAT("'",$A105,"'!B4"))&gt;=G$2,"d",IF(INDIRECT(_xlfn.CONCAT("'",$A105,"'!B5"))&gt;=G$2,"i",""))</f>
        <v>d</v>
      </c>
      <c r="H105" s="44" t="str" cm="1">
        <f t="array" aca="1" ref="H105" ca="1">IF(INDIRECT(_xlfn.CONCAT("'",$A105,"'!B4"))&gt;=H$2,"d",IF(INDIRECT(_xlfn.CONCAT("'",$A105,"'!B5"))&gt;=H$2,"i",""))</f>
        <v>d</v>
      </c>
      <c r="I105" s="44" t="str" cm="1">
        <f t="array" aca="1" ref="I105" ca="1">IF(INDIRECT(_xlfn.CONCAT("'",$A105,"'!B4"))&gt;=I$2,"d",IF(INDIRECT(_xlfn.CONCAT("'",$A105,"'!B5"))&gt;=I$2,"i",""))</f>
        <v>d</v>
      </c>
      <c r="J105" s="44" t="str" cm="1">
        <f t="array" aca="1" ref="J105" ca="1">IF(INDIRECT(_xlfn.CONCAT("'",$A105,"'!B4"))&gt;=J$2,"d",IF(INDIRECT(_xlfn.CONCAT("'",$A105,"'!B5"))&gt;=J$2,"i",""))</f>
        <v>d</v>
      </c>
      <c r="K105" s="45" t="str" cm="1">
        <f t="array" aca="1" ref="K105" ca="1">IF(INDIRECT(_xlfn.CONCAT("'",$A105,"'!B4"))&gt;=K$2,"d",IF(INDIRECT(_xlfn.CONCAT("'",$A105,"'!B5"))&gt;=K$2,"i",""))</f>
        <v>d</v>
      </c>
      <c r="L105" s="155"/>
      <c r="M105" s="44" t="str" cm="1">
        <f t="array" aca="1" ref="M105" ca="1">IF(INDIRECT(_xlfn.CONCAT("'",$A105,"'!C10"))&gt;=M$2,"d",IF(INDIRECT(_xlfn.CONCAT("'",$A105,"'!C11"))&gt;=M$2,"i",""))</f>
        <v>d</v>
      </c>
      <c r="N105" s="44" t="str" cm="1">
        <f t="array" aca="1" ref="N105" ca="1">IF(INDIRECT(_xlfn.CONCAT("'",$A105,"'!C10"))&gt;=N$2,"d",IF(INDIRECT(_xlfn.CONCAT("'",$A105,"'!C11"))&gt;=N$2,"i",""))</f>
        <v>d</v>
      </c>
      <c r="O105" s="44" t="str" cm="1">
        <f t="array" aca="1" ref="O105" ca="1">IF(INDIRECT(_xlfn.CONCAT("'",$A105,"'!C10"))&gt;=O$2,"d",IF(INDIRECT(_xlfn.CONCAT("'",$A105,"'!C11"))&gt;=O$2,"i",""))</f>
        <v>d</v>
      </c>
      <c r="P105" s="44" t="str" cm="1">
        <f t="array" aca="1" ref="P105" ca="1">IF(INDIRECT(_xlfn.CONCAT("'",$A105,"'!C10"))&gt;=P$2,"d",IF(INDIRECT(_xlfn.CONCAT("'",$A105,"'!C11"))&gt;=P$2,"i",""))</f>
        <v>d</v>
      </c>
      <c r="Q105" s="44" t="str" cm="1">
        <f t="array" aca="1" ref="Q105" ca="1">IF(INDIRECT(_xlfn.CONCAT("'",$A105,"'!C10"))&gt;=Q$2,"d",IF(INDIRECT(_xlfn.CONCAT("'",$A105,"'!C11"))&gt;=Q$2,"i",""))</f>
        <v>d</v>
      </c>
      <c r="R105" s="44" t="str" cm="1">
        <f t="array" aca="1" ref="R105" ca="1">IF(INDIRECT(_xlfn.CONCAT("'",$A105,"'!C10"))&gt;=R$2,"d",IF(INDIRECT(_xlfn.CONCAT("'",$A105,"'!C11"))&gt;=R$2,"i",""))</f>
        <v>d</v>
      </c>
      <c r="S105" s="156"/>
      <c r="T105" s="44" t="str" cm="1">
        <f t="array" aca="1" ref="T105" ca="1">IF(INDIRECT(_xlfn.CONCAT("'",$A105,"'!F4"))&gt;=T$2,"d",IF(INDIRECT(_xlfn.CONCAT("'",$A105,"'!F5"))&gt;=T$2,"i",""))</f>
        <v>d</v>
      </c>
      <c r="U105" s="44" t="str" cm="1">
        <f t="array" aca="1" ref="U105" ca="1">IF(INDIRECT(_xlfn.CONCAT("'",$A105,"'!F4"))&gt;=U$2,"d",IF(INDIRECT(_xlfn.CONCAT("'",$A105,"'!F5"))&gt;=U$2,"i",""))</f>
        <v>d</v>
      </c>
      <c r="V105" s="44" t="str" cm="1">
        <f t="array" aca="1" ref="V105" ca="1">IF(INDIRECT(_xlfn.CONCAT("'",$A105,"'!F4"))&gt;=V$2,"d",IF(INDIRECT(_xlfn.CONCAT("'",$A105,"'!F5"))&gt;=V$2,"i",""))</f>
        <v>d</v>
      </c>
      <c r="W105" s="44" t="str" cm="1">
        <f t="array" aca="1" ref="W105" ca="1">IF(INDIRECT(_xlfn.CONCAT("'",$A105,"'!F4"))&gt;=W$2,"d",IF(INDIRECT(_xlfn.CONCAT("'",$A105,"'!F5"))&gt;=W$2,"i",""))</f>
        <v>d</v>
      </c>
      <c r="X105" s="44" t="str" cm="1">
        <f t="array" aca="1" ref="X105" ca="1">IF(INDIRECT(_xlfn.CONCAT("'",$A105,"'!F4"))&gt;=X$2,"d",IF(INDIRECT(_xlfn.CONCAT("'",$A105,"'!F5"))&gt;=X$2,"i",""))</f>
        <v>d</v>
      </c>
      <c r="Y105" s="44" t="str" cm="1">
        <f t="array" aca="1" ref="Y105" ca="1">IF(INDIRECT(_xlfn.CONCAT("'",$A105,"'!F4"))&gt;=Y$2,"d",IF(INDIRECT(_xlfn.CONCAT("'",$A105,"'!F5"))&gt;=Y$2,"i",""))</f>
        <v>d</v>
      </c>
      <c r="Z105" s="44" t="str" cm="1">
        <f t="array" aca="1" ref="Z105" ca="1">IF(INDIRECT(_xlfn.CONCAT("'",$A105,"'!F4"))&gt;=Z$2,"d",IF(INDIRECT(_xlfn.CONCAT("'",$A105,"'!F5"))&gt;=Z$2,"i",""))</f>
        <v>d</v>
      </c>
      <c r="AA105" s="44" t="str" cm="1">
        <f t="array" aca="1" ref="AA105" ca="1">IF(INDIRECT(_xlfn.CONCAT("'",$A105,"'!F4"))&gt;=AA$2,"d",IF(INDIRECT(_xlfn.CONCAT("'",$A105,"'!F5"))&gt;=AA$2,"i",""))</f>
        <v>d</v>
      </c>
      <c r="AB105" s="44" t="str" cm="1">
        <f t="array" aca="1" ref="AB105" ca="1">IF(INDIRECT(_xlfn.CONCAT("'",$A105,"'!F4"))&gt;=AB$2,"d",IF(INDIRECT(_xlfn.CONCAT("'",$A105,"'!F5"))&gt;=AB$2,"i",""))</f>
        <v/>
      </c>
      <c r="AC105" s="156"/>
      <c r="AD105" s="44" t="str" cm="1">
        <f t="array" aca="1" ref="AD105" ca="1">IF(INDIRECT(_xlfn.CONCAT("'",$A105,"'!F17"))&gt;=AD$2,"d",IF(INDIRECT(_xlfn.CONCAT("'",$A105,"'!F18"))&gt;=AD$2,"i",""))</f>
        <v>d</v>
      </c>
      <c r="AE105" s="44" t="str" cm="1">
        <f t="array" aca="1" ref="AE105" ca="1">IF(INDIRECT(_xlfn.CONCAT("'",$A105,"'!F17"))&gt;=AE$2,"d",IF(INDIRECT(_xlfn.CONCAT("'",$A105,"'!F18"))&gt;=AE$2,"i",""))</f>
        <v>d</v>
      </c>
      <c r="AF105" s="44" t="str" cm="1">
        <f t="array" aca="1" ref="AF105" ca="1">IF(INDIRECT(_xlfn.CONCAT("'",$A105,"'!F17"))&gt;=AF$2,"d",IF(INDIRECT(_xlfn.CONCAT("'",$A105,"'!F18"))&gt;=AF$2,"i",""))</f>
        <v>d</v>
      </c>
      <c r="AG105" s="44" t="str" cm="1">
        <f t="array" aca="1" ref="AG105" ca="1">IF(INDIRECT(_xlfn.CONCAT("'",$A105,"'!F17"))&gt;=AG$2,"d",IF(INDIRECT(_xlfn.CONCAT("'",$A105,"'!F18"))&gt;=AG$2,"i",""))</f>
        <v>d</v>
      </c>
      <c r="AH105" s="44" t="str" cm="1">
        <f t="array" aca="1" ref="AH105" ca="1">IF(INDIRECT(_xlfn.CONCAT("'",$A105,"'!F17"))&gt;=AH$2,"d",IF(INDIRECT(_xlfn.CONCAT("'",$A105,"'!F18"))&gt;=AH$2,"i",""))</f>
        <v>d</v>
      </c>
      <c r="AI105" s="44" t="str" cm="1">
        <f t="array" aca="1" ref="AI105" ca="1">IF(INDIRECT(_xlfn.CONCAT("'",$A105,"'!F17"))&gt;=AI$2,"d",IF(INDIRECT(_xlfn.CONCAT("'",$A105,"'!F18"))&gt;=AI$2,"i",""))</f>
        <v>d</v>
      </c>
      <c r="AJ105" s="44" t="str" cm="1">
        <f t="array" aca="1" ref="AJ105" ca="1">IF(INDIRECT(_xlfn.CONCAT("'",$A105,"'!F17"))&gt;=AJ$2,"d",IF(INDIRECT(_xlfn.CONCAT("'",$A105,"'!F18"))&gt;=AJ$2,"i",""))</f>
        <v>d</v>
      </c>
      <c r="AK105" s="44" t="str" cm="1">
        <f t="array" aca="1" ref="AK105" ca="1">IF(INDIRECT(_xlfn.CONCAT("'",$A105,"'!F17"))&gt;=AK$2,"d",IF(INDIRECT(_xlfn.CONCAT("'",$A105,"'!F18"))&gt;=AK$2,"i",""))</f>
        <v>d</v>
      </c>
      <c r="AL105" s="44" t="str" cm="1">
        <f t="array" aca="1" ref="AL105" ca="1">IF(INDIRECT(_xlfn.CONCAT("'",$A105,"'!F17"))&gt;=AL$2,"d",IF(INDIRECT(_xlfn.CONCAT("'",$A105,"'!F18"))&gt;=AL$2,"i",""))</f>
        <v/>
      </c>
      <c r="AM105" s="156"/>
      <c r="AN105" s="44" t="str" cm="1">
        <f t="array" aca="1" ref="AN105" ca="1">IF(INDIRECT(_xlfn.CONCAT("'",$A105,"'!F30"))&gt;=AN$2,"d",IF(INDIRECT(_xlfn.CONCAT("'",$A105,"'!F31"))&gt;=AN$2,"i",""))</f>
        <v>d</v>
      </c>
      <c r="AO105" s="44" t="str" cm="1">
        <f t="array" aca="1" ref="AO105" ca="1">IF(INDIRECT(_xlfn.CONCAT("'",$A105,"'!F30"))&gt;=AO$2,"d",IF(INDIRECT(_xlfn.CONCAT("'",$A105,"'!F31"))&gt;=AO$2,"i",""))</f>
        <v>d</v>
      </c>
      <c r="AP105" s="44" t="str" cm="1">
        <f t="array" aca="1" ref="AP105" ca="1">IF(INDIRECT(_xlfn.CONCAT("'",$A105,"'!F30"))&gt;=AP$2,"d",IF(INDIRECT(_xlfn.CONCAT("'",$A105,"'!F31"))&gt;=AP$2,"i",""))</f>
        <v>d</v>
      </c>
      <c r="AQ105" s="44" t="str" cm="1">
        <f t="array" aca="1" ref="AQ105" ca="1">IF(INDIRECT(_xlfn.CONCAT("'",$A105,"'!F30"))&gt;=AQ$2,"d",IF(INDIRECT(_xlfn.CONCAT("'",$A105,"'!F31"))&gt;=AQ$2,"i",""))</f>
        <v>d</v>
      </c>
      <c r="AR105" s="44" t="str" cm="1">
        <f t="array" aca="1" ref="AR105" ca="1">IF(INDIRECT(_xlfn.CONCAT("'",$A105,"'!F30"))&gt;=AR$2,"d",IF(INDIRECT(_xlfn.CONCAT("'",$A105,"'!F31"))&gt;=AR$2,"i",""))</f>
        <v>d</v>
      </c>
      <c r="AS105" s="44" t="str" cm="1">
        <f t="array" aca="1" ref="AS105" ca="1">IF(INDIRECT(_xlfn.CONCAT("'",$A105,"'!F30"))&gt;=AS$2,"d",IF(INDIRECT(_xlfn.CONCAT("'",$A105,"'!F31"))&gt;=AS$2,"i",""))</f>
        <v>d</v>
      </c>
      <c r="AT105" s="44" t="str" cm="1">
        <f t="array" aca="1" ref="AT105" ca="1">IF(INDIRECT(_xlfn.CONCAT("'",$A105,"'!F30"))&gt;=AT$2,"d",IF(INDIRECT(_xlfn.CONCAT("'",$A105,"'!F31"))&gt;=AT$2,"i",""))</f>
        <v>d</v>
      </c>
      <c r="AU105" s="44" t="str" cm="1">
        <f t="array" aca="1" ref="AU105" ca="1">IF(INDIRECT(_xlfn.CONCAT("'",$A105,"'!F30"))&gt;=AU$2,"d",IF(INDIRECT(_xlfn.CONCAT("'",$A105,"'!F31"))&gt;=AU$2,"i",""))</f>
        <v>d</v>
      </c>
      <c r="AV105" s="45" t="str" cm="1">
        <f t="array" aca="1" ref="AV105" ca="1">IF(INDIRECT(_xlfn.CONCAT("'",$A105,"'!F30"))&gt;=AV$2,"d",IF(INDIRECT(_xlfn.CONCAT("'",$A105,"'!F31"))&gt;=AV$2,"i",""))</f>
        <v/>
      </c>
    </row>
    <row r="106" spans="1:48" x14ac:dyDescent="0.25">
      <c r="A106" s="119" t="str">
        <v>Escoffier</v>
      </c>
      <c r="B106" s="45" t="str">
        <f t="shared" ref="B106:B107" si="80">VLOOKUP(A106,Character_List,2,FALSE)</f>
        <v>Cryo</v>
      </c>
      <c r="C106" s="153" t="str">
        <f t="shared" ref="C106:C107" si="81">VLOOKUP(A106,Character_List,7,FALSE)</f>
        <v>Fontaine 2</v>
      </c>
      <c r="D106" s="154" t="str">
        <f t="shared" ref="D106:D107" si="82">VLOOKUP(A106,Character_List,8,FALSE)</f>
        <v>Eroded Primal Fire 1</v>
      </c>
      <c r="E106" s="19" t="str" cm="1">
        <f t="array" aca="1" ref="E106" ca="1">IF(INDIRECT(_xlfn.CONCAT("'",$A106,"'!B4"))&gt;=E$2,"d",IF(INDIRECT(_xlfn.CONCAT("'",$A106,"'!B5"))&gt;=E$2,"i",""))</f>
        <v>d</v>
      </c>
      <c r="F106" s="44" t="str" cm="1">
        <f t="array" aca="1" ref="F106" ca="1">IF(INDIRECT(_xlfn.CONCAT("'",$A106,"'!B4"))&gt;=F$2,"d",IF(INDIRECT(_xlfn.CONCAT("'",$A106,"'!B5"))&gt;=F$2,"i",""))</f>
        <v>d</v>
      </c>
      <c r="G106" s="44" t="str" cm="1">
        <f t="array" aca="1" ref="G106" ca="1">IF(INDIRECT(_xlfn.CONCAT("'",$A106,"'!B4"))&gt;=G$2,"d",IF(INDIRECT(_xlfn.CONCAT("'",$A106,"'!B5"))&gt;=G$2,"i",""))</f>
        <v>d</v>
      </c>
      <c r="H106" s="44" t="str" cm="1">
        <f t="array" aca="1" ref="H106" ca="1">IF(INDIRECT(_xlfn.CONCAT("'",$A106,"'!B4"))&gt;=H$2,"d",IF(INDIRECT(_xlfn.CONCAT("'",$A106,"'!B5"))&gt;=H$2,"i",""))</f>
        <v>d</v>
      </c>
      <c r="I106" s="44" t="str" cm="1">
        <f t="array" aca="1" ref="I106" ca="1">IF(INDIRECT(_xlfn.CONCAT("'",$A106,"'!B4"))&gt;=I$2,"d",IF(INDIRECT(_xlfn.CONCAT("'",$A106,"'!B5"))&gt;=I$2,"i",""))</f>
        <v>d</v>
      </c>
      <c r="J106" s="44" t="str" cm="1">
        <f t="array" aca="1" ref="J106" ca="1">IF(INDIRECT(_xlfn.CONCAT("'",$A106,"'!B4"))&gt;=J$2,"d",IF(INDIRECT(_xlfn.CONCAT("'",$A106,"'!B5"))&gt;=J$2,"i",""))</f>
        <v>d</v>
      </c>
      <c r="K106" s="45" t="str" cm="1">
        <f t="array" aca="1" ref="K106" ca="1">IF(INDIRECT(_xlfn.CONCAT("'",$A106,"'!B4"))&gt;=K$2,"d",IF(INDIRECT(_xlfn.CONCAT("'",$A106,"'!B5"))&gt;=K$2,"i",""))</f>
        <v>d</v>
      </c>
      <c r="L106" s="155"/>
      <c r="M106" s="44" t="str" cm="1">
        <f t="array" aca="1" ref="M106" ca="1">IF(INDIRECT(_xlfn.CONCAT("'",$A106,"'!C10"))&gt;=M$2,"d",IF(INDIRECT(_xlfn.CONCAT("'",$A106,"'!C11"))&gt;=M$2,"i",""))</f>
        <v>d</v>
      </c>
      <c r="N106" s="44" t="str" cm="1">
        <f t="array" aca="1" ref="N106" ca="1">IF(INDIRECT(_xlfn.CONCAT("'",$A106,"'!C10"))&gt;=N$2,"d",IF(INDIRECT(_xlfn.CONCAT("'",$A106,"'!C11"))&gt;=N$2,"i",""))</f>
        <v>d</v>
      </c>
      <c r="O106" s="44" t="str" cm="1">
        <f t="array" aca="1" ref="O106" ca="1">IF(INDIRECT(_xlfn.CONCAT("'",$A106,"'!C10"))&gt;=O$2,"d",IF(INDIRECT(_xlfn.CONCAT("'",$A106,"'!C11"))&gt;=O$2,"i",""))</f>
        <v>d</v>
      </c>
      <c r="P106" s="44" t="str" cm="1">
        <f t="array" aca="1" ref="P106" ca="1">IF(INDIRECT(_xlfn.CONCAT("'",$A106,"'!C10"))&gt;=P$2,"d",IF(INDIRECT(_xlfn.CONCAT("'",$A106,"'!C11"))&gt;=P$2,"i",""))</f>
        <v>d</v>
      </c>
      <c r="Q106" s="44" t="str" cm="1">
        <f t="array" aca="1" ref="Q106" ca="1">IF(INDIRECT(_xlfn.CONCAT("'",$A106,"'!C10"))&gt;=Q$2,"d",IF(INDIRECT(_xlfn.CONCAT("'",$A106,"'!C11"))&gt;=Q$2,"i",""))</f>
        <v>d</v>
      </c>
      <c r="R106" s="44" t="str" cm="1">
        <f t="array" aca="1" ref="R106" ca="1">IF(INDIRECT(_xlfn.CONCAT("'",$A106,"'!C10"))&gt;=R$2,"d",IF(INDIRECT(_xlfn.CONCAT("'",$A106,"'!C11"))&gt;=R$2,"i",""))</f>
        <v>d</v>
      </c>
      <c r="S106" s="156"/>
      <c r="T106" s="44" t="str" cm="1">
        <f t="array" aca="1" ref="T106" ca="1">IF(INDIRECT(_xlfn.CONCAT("'",$A106,"'!F4"))&gt;=T$2,"d",IF(INDIRECT(_xlfn.CONCAT("'",$A106,"'!F5"))&gt;=T$2,"i",""))</f>
        <v>d</v>
      </c>
      <c r="U106" s="44" t="str" cm="1">
        <f t="array" aca="1" ref="U106" ca="1">IF(INDIRECT(_xlfn.CONCAT("'",$A106,"'!F4"))&gt;=U$2,"d",IF(INDIRECT(_xlfn.CONCAT("'",$A106,"'!F5"))&gt;=U$2,"i",""))</f>
        <v>d</v>
      </c>
      <c r="V106" s="44" t="str" cm="1">
        <f t="array" aca="1" ref="V106" ca="1">IF(INDIRECT(_xlfn.CONCAT("'",$A106,"'!F4"))&gt;=V$2,"d",IF(INDIRECT(_xlfn.CONCAT("'",$A106,"'!F5"))&gt;=V$2,"i",""))</f>
        <v>d</v>
      </c>
      <c r="W106" s="44" t="str" cm="1">
        <f t="array" aca="1" ref="W106" ca="1">IF(INDIRECT(_xlfn.CONCAT("'",$A106,"'!F4"))&gt;=W$2,"d",IF(INDIRECT(_xlfn.CONCAT("'",$A106,"'!F5"))&gt;=W$2,"i",""))</f>
        <v>d</v>
      </c>
      <c r="X106" s="44" t="str" cm="1">
        <f t="array" aca="1" ref="X106" ca="1">IF(INDIRECT(_xlfn.CONCAT("'",$A106,"'!F4"))&gt;=X$2,"d",IF(INDIRECT(_xlfn.CONCAT("'",$A106,"'!F5"))&gt;=X$2,"i",""))</f>
        <v>d</v>
      </c>
      <c r="Y106" s="44" t="str" cm="1">
        <f t="array" aca="1" ref="Y106" ca="1">IF(INDIRECT(_xlfn.CONCAT("'",$A106,"'!F4"))&gt;=Y$2,"d",IF(INDIRECT(_xlfn.CONCAT("'",$A106,"'!F5"))&gt;=Y$2,"i",""))</f>
        <v>d</v>
      </c>
      <c r="Z106" s="44" t="str" cm="1">
        <f t="array" aca="1" ref="Z106" ca="1">IF(INDIRECT(_xlfn.CONCAT("'",$A106,"'!F4"))&gt;=Z$2,"d",IF(INDIRECT(_xlfn.CONCAT("'",$A106,"'!F5"))&gt;=Z$2,"i",""))</f>
        <v>d</v>
      </c>
      <c r="AA106" s="44" t="str" cm="1">
        <f t="array" aca="1" ref="AA106" ca="1">IF(INDIRECT(_xlfn.CONCAT("'",$A106,"'!F4"))&gt;=AA$2,"d",IF(INDIRECT(_xlfn.CONCAT("'",$A106,"'!F5"))&gt;=AA$2,"i",""))</f>
        <v>d</v>
      </c>
      <c r="AB106" s="44" t="str" cm="1">
        <f t="array" aca="1" ref="AB106" ca="1">IF(INDIRECT(_xlfn.CONCAT("'",$A106,"'!F4"))&gt;=AB$2,"d",IF(INDIRECT(_xlfn.CONCAT("'",$A106,"'!F5"))&gt;=AB$2,"i",""))</f>
        <v/>
      </c>
      <c r="AC106" s="156"/>
      <c r="AD106" s="44" t="str" cm="1">
        <f t="array" aca="1" ref="AD106" ca="1">IF(INDIRECT(_xlfn.CONCAT("'",$A106,"'!F17"))&gt;=AD$2,"d",IF(INDIRECT(_xlfn.CONCAT("'",$A106,"'!F18"))&gt;=AD$2,"i",""))</f>
        <v>d</v>
      </c>
      <c r="AE106" s="44" t="str" cm="1">
        <f t="array" aca="1" ref="AE106" ca="1">IF(INDIRECT(_xlfn.CONCAT("'",$A106,"'!F17"))&gt;=AE$2,"d",IF(INDIRECT(_xlfn.CONCAT("'",$A106,"'!F18"))&gt;=AE$2,"i",""))</f>
        <v>d</v>
      </c>
      <c r="AF106" s="44" t="str" cm="1">
        <f t="array" aca="1" ref="AF106" ca="1">IF(INDIRECT(_xlfn.CONCAT("'",$A106,"'!F17"))&gt;=AF$2,"d",IF(INDIRECT(_xlfn.CONCAT("'",$A106,"'!F18"))&gt;=AF$2,"i",""))</f>
        <v>d</v>
      </c>
      <c r="AG106" s="44" t="str" cm="1">
        <f t="array" aca="1" ref="AG106" ca="1">IF(INDIRECT(_xlfn.CONCAT("'",$A106,"'!F17"))&gt;=AG$2,"d",IF(INDIRECT(_xlfn.CONCAT("'",$A106,"'!F18"))&gt;=AG$2,"i",""))</f>
        <v>d</v>
      </c>
      <c r="AH106" s="44" t="str" cm="1">
        <f t="array" aca="1" ref="AH106" ca="1">IF(INDIRECT(_xlfn.CONCAT("'",$A106,"'!F17"))&gt;=AH$2,"d",IF(INDIRECT(_xlfn.CONCAT("'",$A106,"'!F18"))&gt;=AH$2,"i",""))</f>
        <v>d</v>
      </c>
      <c r="AI106" s="44" t="str" cm="1">
        <f t="array" aca="1" ref="AI106" ca="1">IF(INDIRECT(_xlfn.CONCAT("'",$A106,"'!F17"))&gt;=AI$2,"d",IF(INDIRECT(_xlfn.CONCAT("'",$A106,"'!F18"))&gt;=AI$2,"i",""))</f>
        <v>d</v>
      </c>
      <c r="AJ106" s="44" t="str" cm="1">
        <f t="array" aca="1" ref="AJ106" ca="1">IF(INDIRECT(_xlfn.CONCAT("'",$A106,"'!F17"))&gt;=AJ$2,"d",IF(INDIRECT(_xlfn.CONCAT("'",$A106,"'!F18"))&gt;=AJ$2,"i",""))</f>
        <v>d</v>
      </c>
      <c r="AK106" s="44" t="str" cm="1">
        <f t="array" aca="1" ref="AK106" ca="1">IF(INDIRECT(_xlfn.CONCAT("'",$A106,"'!F17"))&gt;=AK$2,"d",IF(INDIRECT(_xlfn.CONCAT("'",$A106,"'!F18"))&gt;=AK$2,"i",""))</f>
        <v>d</v>
      </c>
      <c r="AL106" s="44" t="str" cm="1">
        <f t="array" aca="1" ref="AL106" ca="1">IF(INDIRECT(_xlfn.CONCAT("'",$A106,"'!F17"))&gt;=AL$2,"d",IF(INDIRECT(_xlfn.CONCAT("'",$A106,"'!F18"))&gt;=AL$2,"i",""))</f>
        <v/>
      </c>
      <c r="AM106" s="156"/>
      <c r="AN106" s="44" t="str" cm="1">
        <f t="array" aca="1" ref="AN106" ca="1">IF(INDIRECT(_xlfn.CONCAT("'",$A106,"'!F30"))&gt;=AN$2,"d",IF(INDIRECT(_xlfn.CONCAT("'",$A106,"'!F31"))&gt;=AN$2,"i",""))</f>
        <v>d</v>
      </c>
      <c r="AO106" s="44" t="str" cm="1">
        <f t="array" aca="1" ref="AO106" ca="1">IF(INDIRECT(_xlfn.CONCAT("'",$A106,"'!F30"))&gt;=AO$2,"d",IF(INDIRECT(_xlfn.CONCAT("'",$A106,"'!F31"))&gt;=AO$2,"i",""))</f>
        <v>d</v>
      </c>
      <c r="AP106" s="44" t="str" cm="1">
        <f t="array" aca="1" ref="AP106" ca="1">IF(INDIRECT(_xlfn.CONCAT("'",$A106,"'!F30"))&gt;=AP$2,"d",IF(INDIRECT(_xlfn.CONCAT("'",$A106,"'!F31"))&gt;=AP$2,"i",""))</f>
        <v>d</v>
      </c>
      <c r="AQ106" s="44" t="str" cm="1">
        <f t="array" aca="1" ref="AQ106" ca="1">IF(INDIRECT(_xlfn.CONCAT("'",$A106,"'!F30"))&gt;=AQ$2,"d",IF(INDIRECT(_xlfn.CONCAT("'",$A106,"'!F31"))&gt;=AQ$2,"i",""))</f>
        <v>d</v>
      </c>
      <c r="AR106" s="44" t="str" cm="1">
        <f t="array" aca="1" ref="AR106" ca="1">IF(INDIRECT(_xlfn.CONCAT("'",$A106,"'!F30"))&gt;=AR$2,"d",IF(INDIRECT(_xlfn.CONCAT("'",$A106,"'!F31"))&gt;=AR$2,"i",""))</f>
        <v>d</v>
      </c>
      <c r="AS106" s="44" t="str" cm="1">
        <f t="array" aca="1" ref="AS106" ca="1">IF(INDIRECT(_xlfn.CONCAT("'",$A106,"'!F30"))&gt;=AS$2,"d",IF(INDIRECT(_xlfn.CONCAT("'",$A106,"'!F31"))&gt;=AS$2,"i",""))</f>
        <v>d</v>
      </c>
      <c r="AT106" s="44" t="str" cm="1">
        <f t="array" aca="1" ref="AT106" ca="1">IF(INDIRECT(_xlfn.CONCAT("'",$A106,"'!F30"))&gt;=AT$2,"d",IF(INDIRECT(_xlfn.CONCAT("'",$A106,"'!F31"))&gt;=AT$2,"i",""))</f>
        <v>d</v>
      </c>
      <c r="AU106" s="44" t="str" cm="1">
        <f t="array" aca="1" ref="AU106" ca="1">IF(INDIRECT(_xlfn.CONCAT("'",$A106,"'!F30"))&gt;=AU$2,"d",IF(INDIRECT(_xlfn.CONCAT("'",$A106,"'!F31"))&gt;=AU$2,"i",""))</f>
        <v>d</v>
      </c>
      <c r="AV106" s="45" t="str" cm="1">
        <f t="array" aca="1" ref="AV106" ca="1">IF(INDIRECT(_xlfn.CONCAT("'",$A106,"'!F30"))&gt;=AV$2,"d",IF(INDIRECT(_xlfn.CONCAT("'",$A106,"'!F31"))&gt;=AV$2,"i",""))</f>
        <v/>
      </c>
    </row>
    <row r="107" spans="1:48" x14ac:dyDescent="0.25">
      <c r="A107" s="119" t="str">
        <v>Ifa</v>
      </c>
      <c r="B107" s="45" t="str">
        <f t="shared" si="80"/>
        <v>Anemo</v>
      </c>
      <c r="C107" s="153" t="str">
        <f t="shared" si="81"/>
        <v>Natlan 3</v>
      </c>
      <c r="D107" s="154" t="str">
        <f t="shared" si="82"/>
        <v>Game before the Gate 2</v>
      </c>
      <c r="E107" s="19" t="str" cm="1">
        <f t="array" aca="1" ref="E107" ca="1">IF(INDIRECT(_xlfn.CONCAT("'",$A107,"'!B4"))&gt;=E$2,"d",IF(INDIRECT(_xlfn.CONCAT("'",$A107,"'!B5"))&gt;=E$2,"i",""))</f>
        <v>d</v>
      </c>
      <c r="F107" s="44" t="str" cm="1">
        <f t="array" aca="1" ref="F107" ca="1">IF(INDIRECT(_xlfn.CONCAT("'",$A107,"'!B4"))&gt;=F$2,"d",IF(INDIRECT(_xlfn.CONCAT("'",$A107,"'!B5"))&gt;=F$2,"i",""))</f>
        <v>d</v>
      </c>
      <c r="G107" s="44" t="str" cm="1">
        <f t="array" aca="1" ref="G107" ca="1">IF(INDIRECT(_xlfn.CONCAT("'",$A107,"'!B4"))&gt;=G$2,"d",IF(INDIRECT(_xlfn.CONCAT("'",$A107,"'!B5"))&gt;=G$2,"i",""))</f>
        <v>d</v>
      </c>
      <c r="H107" s="44" t="str" cm="1">
        <f t="array" aca="1" ref="H107" ca="1">IF(INDIRECT(_xlfn.CONCAT("'",$A107,"'!B4"))&gt;=H$2,"d",IF(INDIRECT(_xlfn.CONCAT("'",$A107,"'!B5"))&gt;=H$2,"i",""))</f>
        <v>d</v>
      </c>
      <c r="I107" s="44" t="str" cm="1">
        <f t="array" aca="1" ref="I107" ca="1">IF(INDIRECT(_xlfn.CONCAT("'",$A107,"'!B4"))&gt;=I$2,"d",IF(INDIRECT(_xlfn.CONCAT("'",$A107,"'!B5"))&gt;=I$2,"i",""))</f>
        <v>d</v>
      </c>
      <c r="J107" s="44" t="str" cm="1">
        <f t="array" aca="1" ref="J107" ca="1">IF(INDIRECT(_xlfn.CONCAT("'",$A107,"'!B4"))&gt;=J$2,"d",IF(INDIRECT(_xlfn.CONCAT("'",$A107,"'!B5"))&gt;=J$2,"i",""))</f>
        <v>d</v>
      </c>
      <c r="K107" s="45" t="str" cm="1">
        <f t="array" aca="1" ref="K107" ca="1">IF(INDIRECT(_xlfn.CONCAT("'",$A107,"'!B4"))&gt;=K$2,"d",IF(INDIRECT(_xlfn.CONCAT("'",$A107,"'!B5"))&gt;=K$2,"i",""))</f>
        <v>d</v>
      </c>
      <c r="L107" s="155"/>
      <c r="M107" s="44" t="str" cm="1">
        <f t="array" aca="1" ref="M107" ca="1">IF(INDIRECT(_xlfn.CONCAT("'",$A107,"'!C10"))&gt;=M$2,"d",IF(INDIRECT(_xlfn.CONCAT("'",$A107,"'!C11"))&gt;=M$2,"i",""))</f>
        <v>d</v>
      </c>
      <c r="N107" s="44" t="str" cm="1">
        <f t="array" aca="1" ref="N107" ca="1">IF(INDIRECT(_xlfn.CONCAT("'",$A107,"'!C10"))&gt;=N$2,"d",IF(INDIRECT(_xlfn.CONCAT("'",$A107,"'!C11"))&gt;=N$2,"i",""))</f>
        <v>d</v>
      </c>
      <c r="O107" s="44" t="str" cm="1">
        <f t="array" aca="1" ref="O107" ca="1">IF(INDIRECT(_xlfn.CONCAT("'",$A107,"'!C10"))&gt;=O$2,"d",IF(INDIRECT(_xlfn.CONCAT("'",$A107,"'!C11"))&gt;=O$2,"i",""))</f>
        <v>d</v>
      </c>
      <c r="P107" s="44" t="str" cm="1">
        <f t="array" aca="1" ref="P107" ca="1">IF(INDIRECT(_xlfn.CONCAT("'",$A107,"'!C10"))&gt;=P$2,"d",IF(INDIRECT(_xlfn.CONCAT("'",$A107,"'!C11"))&gt;=P$2,"i",""))</f>
        <v>d</v>
      </c>
      <c r="Q107" s="44" t="str" cm="1">
        <f t="array" aca="1" ref="Q107" ca="1">IF(INDIRECT(_xlfn.CONCAT("'",$A107,"'!C10"))&gt;=Q$2,"d",IF(INDIRECT(_xlfn.CONCAT("'",$A107,"'!C11"))&gt;=Q$2,"i",""))</f>
        <v>d</v>
      </c>
      <c r="R107" s="44" t="str" cm="1">
        <f t="array" aca="1" ref="R107" ca="1">IF(INDIRECT(_xlfn.CONCAT("'",$A107,"'!C10"))&gt;=R$2,"d",IF(INDIRECT(_xlfn.CONCAT("'",$A107,"'!C11"))&gt;=R$2,"i",""))</f>
        <v>d</v>
      </c>
      <c r="S107" s="156"/>
      <c r="T107" s="44" t="str" cm="1">
        <f t="array" aca="1" ref="T107" ca="1">IF(INDIRECT(_xlfn.CONCAT("'",$A107,"'!F4"))&gt;=T$2,"d",IF(INDIRECT(_xlfn.CONCAT("'",$A107,"'!F5"))&gt;=T$2,"i",""))</f>
        <v>d</v>
      </c>
      <c r="U107" s="44" t="str" cm="1">
        <f t="array" aca="1" ref="U107" ca="1">IF(INDIRECT(_xlfn.CONCAT("'",$A107,"'!F4"))&gt;=U$2,"d",IF(INDIRECT(_xlfn.CONCAT("'",$A107,"'!F5"))&gt;=U$2,"i",""))</f>
        <v>d</v>
      </c>
      <c r="V107" s="44" t="str" cm="1">
        <f t="array" aca="1" ref="V107" ca="1">IF(INDIRECT(_xlfn.CONCAT("'",$A107,"'!F4"))&gt;=V$2,"d",IF(INDIRECT(_xlfn.CONCAT("'",$A107,"'!F5"))&gt;=V$2,"i",""))</f>
        <v>d</v>
      </c>
      <c r="W107" s="44" t="str" cm="1">
        <f t="array" aca="1" ref="W107" ca="1">IF(INDIRECT(_xlfn.CONCAT("'",$A107,"'!F4"))&gt;=W$2,"d",IF(INDIRECT(_xlfn.CONCAT("'",$A107,"'!F5"))&gt;=W$2,"i",""))</f>
        <v>d</v>
      </c>
      <c r="X107" s="44" t="str" cm="1">
        <f t="array" aca="1" ref="X107" ca="1">IF(INDIRECT(_xlfn.CONCAT("'",$A107,"'!F4"))&gt;=X$2,"d",IF(INDIRECT(_xlfn.CONCAT("'",$A107,"'!F5"))&gt;=X$2,"i",""))</f>
        <v>d</v>
      </c>
      <c r="Y107" s="44" t="str" cm="1">
        <f t="array" aca="1" ref="Y107" ca="1">IF(INDIRECT(_xlfn.CONCAT("'",$A107,"'!F4"))&gt;=Y$2,"d",IF(INDIRECT(_xlfn.CONCAT("'",$A107,"'!F5"))&gt;=Y$2,"i",""))</f>
        <v>d</v>
      </c>
      <c r="Z107" s="44" t="str" cm="1">
        <f t="array" aca="1" ref="Z107" ca="1">IF(INDIRECT(_xlfn.CONCAT("'",$A107,"'!F4"))&gt;=Z$2,"d",IF(INDIRECT(_xlfn.CONCAT("'",$A107,"'!F5"))&gt;=Z$2,"i",""))</f>
        <v>d</v>
      </c>
      <c r="AA107" s="44" t="str" cm="1">
        <f t="array" aca="1" ref="AA107" ca="1">IF(INDIRECT(_xlfn.CONCAT("'",$A107,"'!F4"))&gt;=AA$2,"d",IF(INDIRECT(_xlfn.CONCAT("'",$A107,"'!F5"))&gt;=AA$2,"i",""))</f>
        <v>d</v>
      </c>
      <c r="AB107" s="44" t="str" cm="1">
        <f t="array" aca="1" ref="AB107" ca="1">IF(INDIRECT(_xlfn.CONCAT("'",$A107,"'!F4"))&gt;=AB$2,"d",IF(INDIRECT(_xlfn.CONCAT("'",$A107,"'!F5"))&gt;=AB$2,"i",""))</f>
        <v/>
      </c>
      <c r="AC107" s="156"/>
      <c r="AD107" s="44" t="str" cm="1">
        <f t="array" aca="1" ref="AD107" ca="1">IF(INDIRECT(_xlfn.CONCAT("'",$A107,"'!F17"))&gt;=AD$2,"d",IF(INDIRECT(_xlfn.CONCAT("'",$A107,"'!F18"))&gt;=AD$2,"i",""))</f>
        <v>d</v>
      </c>
      <c r="AE107" s="44" t="str" cm="1">
        <f t="array" aca="1" ref="AE107" ca="1">IF(INDIRECT(_xlfn.CONCAT("'",$A107,"'!F17"))&gt;=AE$2,"d",IF(INDIRECT(_xlfn.CONCAT("'",$A107,"'!F18"))&gt;=AE$2,"i",""))</f>
        <v>d</v>
      </c>
      <c r="AF107" s="44" t="str" cm="1">
        <f t="array" aca="1" ref="AF107" ca="1">IF(INDIRECT(_xlfn.CONCAT("'",$A107,"'!F17"))&gt;=AF$2,"d",IF(INDIRECT(_xlfn.CONCAT("'",$A107,"'!F18"))&gt;=AF$2,"i",""))</f>
        <v>d</v>
      </c>
      <c r="AG107" s="44" t="str" cm="1">
        <f t="array" aca="1" ref="AG107" ca="1">IF(INDIRECT(_xlfn.CONCAT("'",$A107,"'!F17"))&gt;=AG$2,"d",IF(INDIRECT(_xlfn.CONCAT("'",$A107,"'!F18"))&gt;=AG$2,"i",""))</f>
        <v>d</v>
      </c>
      <c r="AH107" s="44" t="str" cm="1">
        <f t="array" aca="1" ref="AH107" ca="1">IF(INDIRECT(_xlfn.CONCAT("'",$A107,"'!F17"))&gt;=AH$2,"d",IF(INDIRECT(_xlfn.CONCAT("'",$A107,"'!F18"))&gt;=AH$2,"i",""))</f>
        <v>d</v>
      </c>
      <c r="AI107" s="44" t="str" cm="1">
        <f t="array" aca="1" ref="AI107" ca="1">IF(INDIRECT(_xlfn.CONCAT("'",$A107,"'!F17"))&gt;=AI$2,"d",IF(INDIRECT(_xlfn.CONCAT("'",$A107,"'!F18"))&gt;=AI$2,"i",""))</f>
        <v>d</v>
      </c>
      <c r="AJ107" s="44" t="str" cm="1">
        <f t="array" aca="1" ref="AJ107" ca="1">IF(INDIRECT(_xlfn.CONCAT("'",$A107,"'!F17"))&gt;=AJ$2,"d",IF(INDIRECT(_xlfn.CONCAT("'",$A107,"'!F18"))&gt;=AJ$2,"i",""))</f>
        <v>d</v>
      </c>
      <c r="AK107" s="44" t="str" cm="1">
        <f t="array" aca="1" ref="AK107" ca="1">IF(INDIRECT(_xlfn.CONCAT("'",$A107,"'!F17"))&gt;=AK$2,"d",IF(INDIRECT(_xlfn.CONCAT("'",$A107,"'!F18"))&gt;=AK$2,"i",""))</f>
        <v>d</v>
      </c>
      <c r="AL107" s="44" t="str" cm="1">
        <f t="array" aca="1" ref="AL107" ca="1">IF(INDIRECT(_xlfn.CONCAT("'",$A107,"'!F17"))&gt;=AL$2,"d",IF(INDIRECT(_xlfn.CONCAT("'",$A107,"'!F18"))&gt;=AL$2,"i",""))</f>
        <v/>
      </c>
      <c r="AM107" s="156"/>
      <c r="AN107" s="44" t="str" cm="1">
        <f t="array" aca="1" ref="AN107" ca="1">IF(INDIRECT(_xlfn.CONCAT("'",$A107,"'!F30"))&gt;=AN$2,"d",IF(INDIRECT(_xlfn.CONCAT("'",$A107,"'!F31"))&gt;=AN$2,"i",""))</f>
        <v>d</v>
      </c>
      <c r="AO107" s="44" t="str" cm="1">
        <f t="array" aca="1" ref="AO107" ca="1">IF(INDIRECT(_xlfn.CONCAT("'",$A107,"'!F30"))&gt;=AO$2,"d",IF(INDIRECT(_xlfn.CONCAT("'",$A107,"'!F31"))&gt;=AO$2,"i",""))</f>
        <v>d</v>
      </c>
      <c r="AP107" s="44" t="str" cm="1">
        <f t="array" aca="1" ref="AP107" ca="1">IF(INDIRECT(_xlfn.CONCAT("'",$A107,"'!F30"))&gt;=AP$2,"d",IF(INDIRECT(_xlfn.CONCAT("'",$A107,"'!F31"))&gt;=AP$2,"i",""))</f>
        <v>d</v>
      </c>
      <c r="AQ107" s="44" t="str" cm="1">
        <f t="array" aca="1" ref="AQ107" ca="1">IF(INDIRECT(_xlfn.CONCAT("'",$A107,"'!F30"))&gt;=AQ$2,"d",IF(INDIRECT(_xlfn.CONCAT("'",$A107,"'!F31"))&gt;=AQ$2,"i",""))</f>
        <v>d</v>
      </c>
      <c r="AR107" s="44" t="str" cm="1">
        <f t="array" aca="1" ref="AR107" ca="1">IF(INDIRECT(_xlfn.CONCAT("'",$A107,"'!F30"))&gt;=AR$2,"d",IF(INDIRECT(_xlfn.CONCAT("'",$A107,"'!F31"))&gt;=AR$2,"i",""))</f>
        <v>d</v>
      </c>
      <c r="AS107" s="44" t="str" cm="1">
        <f t="array" aca="1" ref="AS107" ca="1">IF(INDIRECT(_xlfn.CONCAT("'",$A107,"'!F30"))&gt;=AS$2,"d",IF(INDIRECT(_xlfn.CONCAT("'",$A107,"'!F31"))&gt;=AS$2,"i",""))</f>
        <v>d</v>
      </c>
      <c r="AT107" s="44" t="str" cm="1">
        <f t="array" aca="1" ref="AT107" ca="1">IF(INDIRECT(_xlfn.CONCAT("'",$A107,"'!F30"))&gt;=AT$2,"d",IF(INDIRECT(_xlfn.CONCAT("'",$A107,"'!F31"))&gt;=AT$2,"i",""))</f>
        <v>d</v>
      </c>
      <c r="AU107" s="44" t="str" cm="1">
        <f t="array" aca="1" ref="AU107" ca="1">IF(INDIRECT(_xlfn.CONCAT("'",$A107,"'!F30"))&gt;=AU$2,"d",IF(INDIRECT(_xlfn.CONCAT("'",$A107,"'!F31"))&gt;=AU$2,"i",""))</f>
        <v>d</v>
      </c>
      <c r="AV107" s="45" t="str" cm="1">
        <f t="array" aca="1" ref="AV107" ca="1">IF(INDIRECT(_xlfn.CONCAT("'",$A107,"'!F30"))&gt;=AV$2,"d",IF(INDIRECT(_xlfn.CONCAT("'",$A107,"'!F31"))&gt;=AV$2,"i",""))</f>
        <v/>
      </c>
    </row>
    <row r="108" spans="1:48" x14ac:dyDescent="0.25">
      <c r="A108" s="119" t="str">
        <v>Skirk</v>
      </c>
      <c r="B108" s="45" t="str">
        <f t="shared" ref="B108:B109" si="83">VLOOKUP(A108,Character_List,2,FALSE)</f>
        <v>Cryo</v>
      </c>
      <c r="C108" s="153" t="str">
        <f t="shared" ref="C108:C109" si="84">VLOOKUP(A108,Character_List,7,FALSE)</f>
        <v>Natlan 1</v>
      </c>
      <c r="D108" s="154" t="str">
        <f t="shared" ref="D108:D109" si="85">VLOOKUP(A108,Character_List,8,FALSE)</f>
        <v>Game before the Gate 1</v>
      </c>
      <c r="E108" s="19" t="str" cm="1">
        <f t="array" aca="1" ref="E108" ca="1">IF(INDIRECT(_xlfn.CONCAT("'",$A108,"'!B4"))&gt;=E$2,"d",IF(INDIRECT(_xlfn.CONCAT("'",$A108,"'!B5"))&gt;=E$2,"i",""))</f>
        <v>d</v>
      </c>
      <c r="F108" s="44" t="str" cm="1">
        <f t="array" aca="1" ref="F108" ca="1">IF(INDIRECT(_xlfn.CONCAT("'",$A108,"'!B4"))&gt;=F$2,"d",IF(INDIRECT(_xlfn.CONCAT("'",$A108,"'!B5"))&gt;=F$2,"i",""))</f>
        <v>d</v>
      </c>
      <c r="G108" s="44" t="str" cm="1">
        <f t="array" aca="1" ref="G108" ca="1">IF(INDIRECT(_xlfn.CONCAT("'",$A108,"'!B4"))&gt;=G$2,"d",IF(INDIRECT(_xlfn.CONCAT("'",$A108,"'!B5"))&gt;=G$2,"i",""))</f>
        <v>d</v>
      </c>
      <c r="H108" s="44" t="str" cm="1">
        <f t="array" aca="1" ref="H108" ca="1">IF(INDIRECT(_xlfn.CONCAT("'",$A108,"'!B4"))&gt;=H$2,"d",IF(INDIRECT(_xlfn.CONCAT("'",$A108,"'!B5"))&gt;=H$2,"i",""))</f>
        <v>d</v>
      </c>
      <c r="I108" s="44" t="str" cm="1">
        <f t="array" aca="1" ref="I108" ca="1">IF(INDIRECT(_xlfn.CONCAT("'",$A108,"'!B4"))&gt;=I$2,"d",IF(INDIRECT(_xlfn.CONCAT("'",$A108,"'!B5"))&gt;=I$2,"i",""))</f>
        <v>d</v>
      </c>
      <c r="J108" s="44" t="str" cm="1">
        <f t="array" aca="1" ref="J108" ca="1">IF(INDIRECT(_xlfn.CONCAT("'",$A108,"'!B4"))&gt;=J$2,"d",IF(INDIRECT(_xlfn.CONCAT("'",$A108,"'!B5"))&gt;=J$2,"i",""))</f>
        <v>d</v>
      </c>
      <c r="K108" s="45" t="str" cm="1">
        <f t="array" aca="1" ref="K108" ca="1">IF(INDIRECT(_xlfn.CONCAT("'",$A108,"'!B4"))&gt;=K$2,"d",IF(INDIRECT(_xlfn.CONCAT("'",$A108,"'!B5"))&gt;=K$2,"i",""))</f>
        <v>d</v>
      </c>
      <c r="L108" s="155"/>
      <c r="M108" s="44" t="str" cm="1">
        <f t="array" aca="1" ref="M108" ca="1">IF(INDIRECT(_xlfn.CONCAT("'",$A108,"'!C10"))&gt;=M$2,"d",IF(INDIRECT(_xlfn.CONCAT("'",$A108,"'!C11"))&gt;=M$2,"i",""))</f>
        <v>d</v>
      </c>
      <c r="N108" s="44" t="str" cm="1">
        <f t="array" aca="1" ref="N108" ca="1">IF(INDIRECT(_xlfn.CONCAT("'",$A108,"'!C10"))&gt;=N$2,"d",IF(INDIRECT(_xlfn.CONCAT("'",$A108,"'!C11"))&gt;=N$2,"i",""))</f>
        <v>d</v>
      </c>
      <c r="O108" s="44" t="str" cm="1">
        <f t="array" aca="1" ref="O108" ca="1">IF(INDIRECT(_xlfn.CONCAT("'",$A108,"'!C10"))&gt;=O$2,"d",IF(INDIRECT(_xlfn.CONCAT("'",$A108,"'!C11"))&gt;=O$2,"i",""))</f>
        <v>d</v>
      </c>
      <c r="P108" s="44" t="str" cm="1">
        <f t="array" aca="1" ref="P108" ca="1">IF(INDIRECT(_xlfn.CONCAT("'",$A108,"'!C10"))&gt;=P$2,"d",IF(INDIRECT(_xlfn.CONCAT("'",$A108,"'!C11"))&gt;=P$2,"i",""))</f>
        <v>d</v>
      </c>
      <c r="Q108" s="44" t="str" cm="1">
        <f t="array" aca="1" ref="Q108" ca="1">IF(INDIRECT(_xlfn.CONCAT("'",$A108,"'!C10"))&gt;=Q$2,"d",IF(INDIRECT(_xlfn.CONCAT("'",$A108,"'!C11"))&gt;=Q$2,"i",""))</f>
        <v>d</v>
      </c>
      <c r="R108" s="44" t="str" cm="1">
        <f t="array" aca="1" ref="R108" ca="1">IF(INDIRECT(_xlfn.CONCAT("'",$A108,"'!C10"))&gt;=R$2,"d",IF(INDIRECT(_xlfn.CONCAT("'",$A108,"'!C11"))&gt;=R$2,"i",""))</f>
        <v>d</v>
      </c>
      <c r="S108" s="156"/>
      <c r="T108" s="44" t="str" cm="1">
        <f t="array" aca="1" ref="T108" ca="1">IF(INDIRECT(_xlfn.CONCAT("'",$A108,"'!F4"))&gt;=T$2,"d",IF(INDIRECT(_xlfn.CONCAT("'",$A108,"'!F5"))&gt;=T$2,"i",""))</f>
        <v>d</v>
      </c>
      <c r="U108" s="44" t="str" cm="1">
        <f t="array" aca="1" ref="U108" ca="1">IF(INDIRECT(_xlfn.CONCAT("'",$A108,"'!F4"))&gt;=U$2,"d",IF(INDIRECT(_xlfn.CONCAT("'",$A108,"'!F5"))&gt;=U$2,"i",""))</f>
        <v>d</v>
      </c>
      <c r="V108" s="44" t="str" cm="1">
        <f t="array" aca="1" ref="V108" ca="1">IF(INDIRECT(_xlfn.CONCAT("'",$A108,"'!F4"))&gt;=V$2,"d",IF(INDIRECT(_xlfn.CONCAT("'",$A108,"'!F5"))&gt;=V$2,"i",""))</f>
        <v>d</v>
      </c>
      <c r="W108" s="44" t="str" cm="1">
        <f t="array" aca="1" ref="W108" ca="1">IF(INDIRECT(_xlfn.CONCAT("'",$A108,"'!F4"))&gt;=W$2,"d",IF(INDIRECT(_xlfn.CONCAT("'",$A108,"'!F5"))&gt;=W$2,"i",""))</f>
        <v>d</v>
      </c>
      <c r="X108" s="44" t="str" cm="1">
        <f t="array" aca="1" ref="X108" ca="1">IF(INDIRECT(_xlfn.CONCAT("'",$A108,"'!F4"))&gt;=X$2,"d",IF(INDIRECT(_xlfn.CONCAT("'",$A108,"'!F5"))&gt;=X$2,"i",""))</f>
        <v>d</v>
      </c>
      <c r="Y108" s="44" t="str" cm="1">
        <f t="array" aca="1" ref="Y108" ca="1">IF(INDIRECT(_xlfn.CONCAT("'",$A108,"'!F4"))&gt;=Y$2,"d",IF(INDIRECT(_xlfn.CONCAT("'",$A108,"'!F5"))&gt;=Y$2,"i",""))</f>
        <v>d</v>
      </c>
      <c r="Z108" s="44" t="str" cm="1">
        <f t="array" aca="1" ref="Z108" ca="1">IF(INDIRECT(_xlfn.CONCAT("'",$A108,"'!F4"))&gt;=Z$2,"d",IF(INDIRECT(_xlfn.CONCAT("'",$A108,"'!F5"))&gt;=Z$2,"i",""))</f>
        <v>d</v>
      </c>
      <c r="AA108" s="44" t="str" cm="1">
        <f t="array" aca="1" ref="AA108" ca="1">IF(INDIRECT(_xlfn.CONCAT("'",$A108,"'!F4"))&gt;=AA$2,"d",IF(INDIRECT(_xlfn.CONCAT("'",$A108,"'!F5"))&gt;=AA$2,"i",""))</f>
        <v>d</v>
      </c>
      <c r="AB108" s="44" t="str" cm="1">
        <f t="array" aca="1" ref="AB108" ca="1">IF(INDIRECT(_xlfn.CONCAT("'",$A108,"'!F4"))&gt;=AB$2,"d",IF(INDIRECT(_xlfn.CONCAT("'",$A108,"'!F5"))&gt;=AB$2,"i",""))</f>
        <v/>
      </c>
      <c r="AC108" s="156"/>
      <c r="AD108" s="44" t="str" cm="1">
        <f t="array" aca="1" ref="AD108" ca="1">IF(INDIRECT(_xlfn.CONCAT("'",$A108,"'!F17"))&gt;=AD$2,"d",IF(INDIRECT(_xlfn.CONCAT("'",$A108,"'!F18"))&gt;=AD$2,"i",""))</f>
        <v>d</v>
      </c>
      <c r="AE108" s="44" t="str" cm="1">
        <f t="array" aca="1" ref="AE108" ca="1">IF(INDIRECT(_xlfn.CONCAT("'",$A108,"'!F17"))&gt;=AE$2,"d",IF(INDIRECT(_xlfn.CONCAT("'",$A108,"'!F18"))&gt;=AE$2,"i",""))</f>
        <v>d</v>
      </c>
      <c r="AF108" s="44" t="str" cm="1">
        <f t="array" aca="1" ref="AF108" ca="1">IF(INDIRECT(_xlfn.CONCAT("'",$A108,"'!F17"))&gt;=AF$2,"d",IF(INDIRECT(_xlfn.CONCAT("'",$A108,"'!F18"))&gt;=AF$2,"i",""))</f>
        <v>d</v>
      </c>
      <c r="AG108" s="44" t="str" cm="1">
        <f t="array" aca="1" ref="AG108" ca="1">IF(INDIRECT(_xlfn.CONCAT("'",$A108,"'!F17"))&gt;=AG$2,"d",IF(INDIRECT(_xlfn.CONCAT("'",$A108,"'!F18"))&gt;=AG$2,"i",""))</f>
        <v>d</v>
      </c>
      <c r="AH108" s="44" t="str" cm="1">
        <f t="array" aca="1" ref="AH108" ca="1">IF(INDIRECT(_xlfn.CONCAT("'",$A108,"'!F17"))&gt;=AH$2,"d",IF(INDIRECT(_xlfn.CONCAT("'",$A108,"'!F18"))&gt;=AH$2,"i",""))</f>
        <v>d</v>
      </c>
      <c r="AI108" s="44" t="str" cm="1">
        <f t="array" aca="1" ref="AI108" ca="1">IF(INDIRECT(_xlfn.CONCAT("'",$A108,"'!F17"))&gt;=AI$2,"d",IF(INDIRECT(_xlfn.CONCAT("'",$A108,"'!F18"))&gt;=AI$2,"i",""))</f>
        <v>d</v>
      </c>
      <c r="AJ108" s="44" t="str" cm="1">
        <f t="array" aca="1" ref="AJ108" ca="1">IF(INDIRECT(_xlfn.CONCAT("'",$A108,"'!F17"))&gt;=AJ$2,"d",IF(INDIRECT(_xlfn.CONCAT("'",$A108,"'!F18"))&gt;=AJ$2,"i",""))</f>
        <v>d</v>
      </c>
      <c r="AK108" s="44" t="str" cm="1">
        <f t="array" aca="1" ref="AK108" ca="1">IF(INDIRECT(_xlfn.CONCAT("'",$A108,"'!F17"))&gt;=AK$2,"d",IF(INDIRECT(_xlfn.CONCAT("'",$A108,"'!F18"))&gt;=AK$2,"i",""))</f>
        <v>d</v>
      </c>
      <c r="AL108" s="44" t="str" cm="1">
        <f t="array" aca="1" ref="AL108" ca="1">IF(INDIRECT(_xlfn.CONCAT("'",$A108,"'!F17"))&gt;=AL$2,"d",IF(INDIRECT(_xlfn.CONCAT("'",$A108,"'!F18"))&gt;=AL$2,"i",""))</f>
        <v/>
      </c>
      <c r="AM108" s="156"/>
      <c r="AN108" s="44" t="str" cm="1">
        <f t="array" aca="1" ref="AN108" ca="1">IF(INDIRECT(_xlfn.CONCAT("'",$A108,"'!F30"))&gt;=AN$2,"d",IF(INDIRECT(_xlfn.CONCAT("'",$A108,"'!F31"))&gt;=AN$2,"i",""))</f>
        <v>d</v>
      </c>
      <c r="AO108" s="44" t="str" cm="1">
        <f t="array" aca="1" ref="AO108" ca="1">IF(INDIRECT(_xlfn.CONCAT("'",$A108,"'!F30"))&gt;=AO$2,"d",IF(INDIRECT(_xlfn.CONCAT("'",$A108,"'!F31"))&gt;=AO$2,"i",""))</f>
        <v>d</v>
      </c>
      <c r="AP108" s="44" t="str" cm="1">
        <f t="array" aca="1" ref="AP108" ca="1">IF(INDIRECT(_xlfn.CONCAT("'",$A108,"'!F30"))&gt;=AP$2,"d",IF(INDIRECT(_xlfn.CONCAT("'",$A108,"'!F31"))&gt;=AP$2,"i",""))</f>
        <v>d</v>
      </c>
      <c r="AQ108" s="44" t="str" cm="1">
        <f t="array" aca="1" ref="AQ108" ca="1">IF(INDIRECT(_xlfn.CONCAT("'",$A108,"'!F30"))&gt;=AQ$2,"d",IF(INDIRECT(_xlfn.CONCAT("'",$A108,"'!F31"))&gt;=AQ$2,"i",""))</f>
        <v>d</v>
      </c>
      <c r="AR108" s="44" t="str" cm="1">
        <f t="array" aca="1" ref="AR108" ca="1">IF(INDIRECT(_xlfn.CONCAT("'",$A108,"'!F30"))&gt;=AR$2,"d",IF(INDIRECT(_xlfn.CONCAT("'",$A108,"'!F31"))&gt;=AR$2,"i",""))</f>
        <v>d</v>
      </c>
      <c r="AS108" s="44" t="str" cm="1">
        <f t="array" aca="1" ref="AS108" ca="1">IF(INDIRECT(_xlfn.CONCAT("'",$A108,"'!F30"))&gt;=AS$2,"d",IF(INDIRECT(_xlfn.CONCAT("'",$A108,"'!F31"))&gt;=AS$2,"i",""))</f>
        <v>d</v>
      </c>
      <c r="AT108" s="44" t="str" cm="1">
        <f t="array" aca="1" ref="AT108" ca="1">IF(INDIRECT(_xlfn.CONCAT("'",$A108,"'!F30"))&gt;=AT$2,"d",IF(INDIRECT(_xlfn.CONCAT("'",$A108,"'!F31"))&gt;=AT$2,"i",""))</f>
        <v>d</v>
      </c>
      <c r="AU108" s="44" t="str" cm="1">
        <f t="array" aca="1" ref="AU108" ca="1">IF(INDIRECT(_xlfn.CONCAT("'",$A108,"'!F30"))&gt;=AU$2,"d",IF(INDIRECT(_xlfn.CONCAT("'",$A108,"'!F31"))&gt;=AU$2,"i",""))</f>
        <v>d</v>
      </c>
      <c r="AV108" s="45" t="str" cm="1">
        <f t="array" aca="1" ref="AV108" ca="1">IF(INDIRECT(_xlfn.CONCAT("'",$A108,"'!F30"))&gt;=AV$2,"d",IF(INDIRECT(_xlfn.CONCAT("'",$A108,"'!F31"))&gt;=AV$2,"i",""))</f>
        <v/>
      </c>
    </row>
    <row r="109" spans="1:48" x14ac:dyDescent="0.25">
      <c r="A109" s="119" t="str">
        <v>Dahlia</v>
      </c>
      <c r="B109" s="45" t="str">
        <f t="shared" si="83"/>
        <v>Hydro</v>
      </c>
      <c r="C109" s="153" t="str">
        <f t="shared" si="84"/>
        <v>Mondstadt 3</v>
      </c>
      <c r="D109" s="154" t="str">
        <f t="shared" si="85"/>
        <v>Eroded Primal Fire 3</v>
      </c>
      <c r="E109" s="19" t="str" cm="1">
        <f t="array" aca="1" ref="E109" ca="1">IF(INDIRECT(_xlfn.CONCAT("'",$A109,"'!B4"))&gt;=E$2,"d",IF(INDIRECT(_xlfn.CONCAT("'",$A109,"'!B5"))&gt;=E$2,"i",""))</f>
        <v>d</v>
      </c>
      <c r="F109" s="44" t="str" cm="1">
        <f t="array" aca="1" ref="F109" ca="1">IF(INDIRECT(_xlfn.CONCAT("'",$A109,"'!B4"))&gt;=F$2,"d",IF(INDIRECT(_xlfn.CONCAT("'",$A109,"'!B5"))&gt;=F$2,"i",""))</f>
        <v>d</v>
      </c>
      <c r="G109" s="44" t="str" cm="1">
        <f t="array" aca="1" ref="G109" ca="1">IF(INDIRECT(_xlfn.CONCAT("'",$A109,"'!B4"))&gt;=G$2,"d",IF(INDIRECT(_xlfn.CONCAT("'",$A109,"'!B5"))&gt;=G$2,"i",""))</f>
        <v>d</v>
      </c>
      <c r="H109" s="44" t="str" cm="1">
        <f t="array" aca="1" ref="H109" ca="1">IF(INDIRECT(_xlfn.CONCAT("'",$A109,"'!B4"))&gt;=H$2,"d",IF(INDIRECT(_xlfn.CONCAT("'",$A109,"'!B5"))&gt;=H$2,"i",""))</f>
        <v>d</v>
      </c>
      <c r="I109" s="44" t="str" cm="1">
        <f t="array" aca="1" ref="I109" ca="1">IF(INDIRECT(_xlfn.CONCAT("'",$A109,"'!B4"))&gt;=I$2,"d",IF(INDIRECT(_xlfn.CONCAT("'",$A109,"'!B5"))&gt;=I$2,"i",""))</f>
        <v>d</v>
      </c>
      <c r="J109" s="44" t="str" cm="1">
        <f t="array" aca="1" ref="J109" ca="1">IF(INDIRECT(_xlfn.CONCAT("'",$A109,"'!B4"))&gt;=J$2,"d",IF(INDIRECT(_xlfn.CONCAT("'",$A109,"'!B5"))&gt;=J$2,"i",""))</f>
        <v>d</v>
      </c>
      <c r="K109" s="45" t="str" cm="1">
        <f t="array" aca="1" ref="K109" ca="1">IF(INDIRECT(_xlfn.CONCAT("'",$A109,"'!B4"))&gt;=K$2,"d",IF(INDIRECT(_xlfn.CONCAT("'",$A109,"'!B5"))&gt;=K$2,"i",""))</f>
        <v>d</v>
      </c>
      <c r="L109" s="155"/>
      <c r="M109" s="44" t="str" cm="1">
        <f t="array" aca="1" ref="M109" ca="1">IF(INDIRECT(_xlfn.CONCAT("'",$A109,"'!C10"))&gt;=M$2,"d",IF(INDIRECT(_xlfn.CONCAT("'",$A109,"'!C11"))&gt;=M$2,"i",""))</f>
        <v>d</v>
      </c>
      <c r="N109" s="44" t="str" cm="1">
        <f t="array" aca="1" ref="N109" ca="1">IF(INDIRECT(_xlfn.CONCAT("'",$A109,"'!C10"))&gt;=N$2,"d",IF(INDIRECT(_xlfn.CONCAT("'",$A109,"'!C11"))&gt;=N$2,"i",""))</f>
        <v>d</v>
      </c>
      <c r="O109" s="44" t="str" cm="1">
        <f t="array" aca="1" ref="O109" ca="1">IF(INDIRECT(_xlfn.CONCAT("'",$A109,"'!C10"))&gt;=O$2,"d",IF(INDIRECT(_xlfn.CONCAT("'",$A109,"'!C11"))&gt;=O$2,"i",""))</f>
        <v>d</v>
      </c>
      <c r="P109" s="44" t="str" cm="1">
        <f t="array" aca="1" ref="P109" ca="1">IF(INDIRECT(_xlfn.CONCAT("'",$A109,"'!C10"))&gt;=P$2,"d",IF(INDIRECT(_xlfn.CONCAT("'",$A109,"'!C11"))&gt;=P$2,"i",""))</f>
        <v>d</v>
      </c>
      <c r="Q109" s="44" t="str" cm="1">
        <f t="array" aca="1" ref="Q109" ca="1">IF(INDIRECT(_xlfn.CONCAT("'",$A109,"'!C10"))&gt;=Q$2,"d",IF(INDIRECT(_xlfn.CONCAT("'",$A109,"'!C11"))&gt;=Q$2,"i",""))</f>
        <v>d</v>
      </c>
      <c r="R109" s="44" t="str" cm="1">
        <f t="array" aca="1" ref="R109" ca="1">IF(INDIRECT(_xlfn.CONCAT("'",$A109,"'!C10"))&gt;=R$2,"d",IF(INDIRECT(_xlfn.CONCAT("'",$A109,"'!C11"))&gt;=R$2,"i",""))</f>
        <v>d</v>
      </c>
      <c r="S109" s="156"/>
      <c r="T109" s="44" t="str" cm="1">
        <f t="array" aca="1" ref="T109" ca="1">IF(INDIRECT(_xlfn.CONCAT("'",$A109,"'!F4"))&gt;=T$2,"d",IF(INDIRECT(_xlfn.CONCAT("'",$A109,"'!F5"))&gt;=T$2,"i",""))</f>
        <v>d</v>
      </c>
      <c r="U109" s="44" t="str" cm="1">
        <f t="array" aca="1" ref="U109" ca="1">IF(INDIRECT(_xlfn.CONCAT("'",$A109,"'!F4"))&gt;=U$2,"d",IF(INDIRECT(_xlfn.CONCAT("'",$A109,"'!F5"))&gt;=U$2,"i",""))</f>
        <v>d</v>
      </c>
      <c r="V109" s="44" t="str" cm="1">
        <f t="array" aca="1" ref="V109" ca="1">IF(INDIRECT(_xlfn.CONCAT("'",$A109,"'!F4"))&gt;=V$2,"d",IF(INDIRECT(_xlfn.CONCAT("'",$A109,"'!F5"))&gt;=V$2,"i",""))</f>
        <v>d</v>
      </c>
      <c r="W109" s="44" t="str" cm="1">
        <f t="array" aca="1" ref="W109" ca="1">IF(INDIRECT(_xlfn.CONCAT("'",$A109,"'!F4"))&gt;=W$2,"d",IF(INDIRECT(_xlfn.CONCAT("'",$A109,"'!F5"))&gt;=W$2,"i",""))</f>
        <v>d</v>
      </c>
      <c r="X109" s="44" t="str" cm="1">
        <f t="array" aca="1" ref="X109" ca="1">IF(INDIRECT(_xlfn.CONCAT("'",$A109,"'!F4"))&gt;=X$2,"d",IF(INDIRECT(_xlfn.CONCAT("'",$A109,"'!F5"))&gt;=X$2,"i",""))</f>
        <v>d</v>
      </c>
      <c r="Y109" s="44" t="str" cm="1">
        <f t="array" aca="1" ref="Y109" ca="1">IF(INDIRECT(_xlfn.CONCAT("'",$A109,"'!F4"))&gt;=Y$2,"d",IF(INDIRECT(_xlfn.CONCAT("'",$A109,"'!F5"))&gt;=Y$2,"i",""))</f>
        <v>d</v>
      </c>
      <c r="Z109" s="44" t="str" cm="1">
        <f t="array" aca="1" ref="Z109" ca="1">IF(INDIRECT(_xlfn.CONCAT("'",$A109,"'!F4"))&gt;=Z$2,"d",IF(INDIRECT(_xlfn.CONCAT("'",$A109,"'!F5"))&gt;=Z$2,"i",""))</f>
        <v>d</v>
      </c>
      <c r="AA109" s="44" t="str" cm="1">
        <f t="array" aca="1" ref="AA109" ca="1">IF(INDIRECT(_xlfn.CONCAT("'",$A109,"'!F4"))&gt;=AA$2,"d",IF(INDIRECT(_xlfn.CONCAT("'",$A109,"'!F5"))&gt;=AA$2,"i",""))</f>
        <v>i</v>
      </c>
      <c r="AB109" s="44" t="str" cm="1">
        <f t="array" aca="1" ref="AB109" ca="1">IF(INDIRECT(_xlfn.CONCAT("'",$A109,"'!F4"))&gt;=AB$2,"d",IF(INDIRECT(_xlfn.CONCAT("'",$A109,"'!F5"))&gt;=AB$2,"i",""))</f>
        <v/>
      </c>
      <c r="AC109" s="156"/>
      <c r="AD109" s="44" t="str" cm="1">
        <f t="array" aca="1" ref="AD109" ca="1">IF(INDIRECT(_xlfn.CONCAT("'",$A109,"'!F17"))&gt;=AD$2,"d",IF(INDIRECT(_xlfn.CONCAT("'",$A109,"'!F18"))&gt;=AD$2,"i",""))</f>
        <v>d</v>
      </c>
      <c r="AE109" s="44" t="str" cm="1">
        <f t="array" aca="1" ref="AE109" ca="1">IF(INDIRECT(_xlfn.CONCAT("'",$A109,"'!F17"))&gt;=AE$2,"d",IF(INDIRECT(_xlfn.CONCAT("'",$A109,"'!F18"))&gt;=AE$2,"i",""))</f>
        <v>d</v>
      </c>
      <c r="AF109" s="44" t="str" cm="1">
        <f t="array" aca="1" ref="AF109" ca="1">IF(INDIRECT(_xlfn.CONCAT("'",$A109,"'!F17"))&gt;=AF$2,"d",IF(INDIRECT(_xlfn.CONCAT("'",$A109,"'!F18"))&gt;=AF$2,"i",""))</f>
        <v>d</v>
      </c>
      <c r="AG109" s="44" t="str" cm="1">
        <f t="array" aca="1" ref="AG109" ca="1">IF(INDIRECT(_xlfn.CONCAT("'",$A109,"'!F17"))&gt;=AG$2,"d",IF(INDIRECT(_xlfn.CONCAT("'",$A109,"'!F18"))&gt;=AG$2,"i",""))</f>
        <v>d</v>
      </c>
      <c r="AH109" s="44" t="str" cm="1">
        <f t="array" aca="1" ref="AH109" ca="1">IF(INDIRECT(_xlfn.CONCAT("'",$A109,"'!F17"))&gt;=AH$2,"d",IF(INDIRECT(_xlfn.CONCAT("'",$A109,"'!F18"))&gt;=AH$2,"i",""))</f>
        <v>d</v>
      </c>
      <c r="AI109" s="44" t="str" cm="1">
        <f t="array" aca="1" ref="AI109" ca="1">IF(INDIRECT(_xlfn.CONCAT("'",$A109,"'!F17"))&gt;=AI$2,"d",IF(INDIRECT(_xlfn.CONCAT("'",$A109,"'!F18"))&gt;=AI$2,"i",""))</f>
        <v>d</v>
      </c>
      <c r="AJ109" s="44" t="str" cm="1">
        <f t="array" aca="1" ref="AJ109" ca="1">IF(INDIRECT(_xlfn.CONCAT("'",$A109,"'!F17"))&gt;=AJ$2,"d",IF(INDIRECT(_xlfn.CONCAT("'",$A109,"'!F18"))&gt;=AJ$2,"i",""))</f>
        <v>d</v>
      </c>
      <c r="AK109" s="44" t="str" cm="1">
        <f t="array" aca="1" ref="AK109" ca="1">IF(INDIRECT(_xlfn.CONCAT("'",$A109,"'!F17"))&gt;=AK$2,"d",IF(INDIRECT(_xlfn.CONCAT("'",$A109,"'!F18"))&gt;=AK$2,"i",""))</f>
        <v>i</v>
      </c>
      <c r="AL109" s="44" t="str" cm="1">
        <f t="array" aca="1" ref="AL109" ca="1">IF(INDIRECT(_xlfn.CONCAT("'",$A109,"'!F17"))&gt;=AL$2,"d",IF(INDIRECT(_xlfn.CONCAT("'",$A109,"'!F18"))&gt;=AL$2,"i",""))</f>
        <v/>
      </c>
      <c r="AM109" s="156"/>
      <c r="AN109" s="44" t="str" cm="1">
        <f t="array" aca="1" ref="AN109" ca="1">IF(INDIRECT(_xlfn.CONCAT("'",$A109,"'!F30"))&gt;=AN$2,"d",IF(INDIRECT(_xlfn.CONCAT("'",$A109,"'!F31"))&gt;=AN$2,"i",""))</f>
        <v>d</v>
      </c>
      <c r="AO109" s="44" t="str" cm="1">
        <f t="array" aca="1" ref="AO109" ca="1">IF(INDIRECT(_xlfn.CONCAT("'",$A109,"'!F30"))&gt;=AO$2,"d",IF(INDIRECT(_xlfn.CONCAT("'",$A109,"'!F31"))&gt;=AO$2,"i",""))</f>
        <v>d</v>
      </c>
      <c r="AP109" s="44" t="str" cm="1">
        <f t="array" aca="1" ref="AP109" ca="1">IF(INDIRECT(_xlfn.CONCAT("'",$A109,"'!F30"))&gt;=AP$2,"d",IF(INDIRECT(_xlfn.CONCAT("'",$A109,"'!F31"))&gt;=AP$2,"i",""))</f>
        <v>d</v>
      </c>
      <c r="AQ109" s="44" t="str" cm="1">
        <f t="array" aca="1" ref="AQ109" ca="1">IF(INDIRECT(_xlfn.CONCAT("'",$A109,"'!F30"))&gt;=AQ$2,"d",IF(INDIRECT(_xlfn.CONCAT("'",$A109,"'!F31"))&gt;=AQ$2,"i",""))</f>
        <v>d</v>
      </c>
      <c r="AR109" s="44" t="str" cm="1">
        <f t="array" aca="1" ref="AR109" ca="1">IF(INDIRECT(_xlfn.CONCAT("'",$A109,"'!F30"))&gt;=AR$2,"d",IF(INDIRECT(_xlfn.CONCAT("'",$A109,"'!F31"))&gt;=AR$2,"i",""))</f>
        <v>d</v>
      </c>
      <c r="AS109" s="44" t="str" cm="1">
        <f t="array" aca="1" ref="AS109" ca="1">IF(INDIRECT(_xlfn.CONCAT("'",$A109,"'!F30"))&gt;=AS$2,"d",IF(INDIRECT(_xlfn.CONCAT("'",$A109,"'!F31"))&gt;=AS$2,"i",""))</f>
        <v>d</v>
      </c>
      <c r="AT109" s="44" t="str" cm="1">
        <f t="array" aca="1" ref="AT109" ca="1">IF(INDIRECT(_xlfn.CONCAT("'",$A109,"'!F30"))&gt;=AT$2,"d",IF(INDIRECT(_xlfn.CONCAT("'",$A109,"'!F31"))&gt;=AT$2,"i",""))</f>
        <v>d</v>
      </c>
      <c r="AU109" s="44" t="str" cm="1">
        <f t="array" aca="1" ref="AU109" ca="1">IF(INDIRECT(_xlfn.CONCAT("'",$A109,"'!F30"))&gt;=AU$2,"d",IF(INDIRECT(_xlfn.CONCAT("'",$A109,"'!F31"))&gt;=AU$2,"i",""))</f>
        <v>i</v>
      </c>
      <c r="AV109" s="45" t="str" cm="1">
        <f t="array" aca="1" ref="AV109" ca="1">IF(INDIRECT(_xlfn.CONCAT("'",$A109,"'!F30"))&gt;=AV$2,"d",IF(INDIRECT(_xlfn.CONCAT("'",$A109,"'!F31"))&gt;=AV$2,"i",""))</f>
        <v/>
      </c>
    </row>
    <row r="110" spans="1:48" x14ac:dyDescent="0.25">
      <c r="A110" s="119" t="str">
        <v>Ineffa</v>
      </c>
      <c r="B110" s="45" t="str">
        <f t="shared" ref="B110" si="86">VLOOKUP(A110,Character_List,2,FALSE)</f>
        <v>Electro</v>
      </c>
      <c r="C110" s="153" t="str">
        <f t="shared" ref="C110" si="87">VLOOKUP(A110,Character_List,7,FALSE)</f>
        <v>Natlan 3</v>
      </c>
      <c r="D110" s="154" t="str">
        <f t="shared" ref="D110" si="88">VLOOKUP(A110,Character_List,8,FALSE)</f>
        <v>Eroded Primal Fire 2</v>
      </c>
      <c r="E110" s="19" t="str" cm="1">
        <f t="array" aca="1" ref="E110" ca="1">IF(INDIRECT(_xlfn.CONCAT("'",$A110,"'!B4"))&gt;=E$2,"d",IF(INDIRECT(_xlfn.CONCAT("'",$A110,"'!B5"))&gt;=E$2,"i",""))</f>
        <v>d</v>
      </c>
      <c r="F110" s="44" t="str" cm="1">
        <f t="array" aca="1" ref="F110" ca="1">IF(INDIRECT(_xlfn.CONCAT("'",$A110,"'!B4"))&gt;=F$2,"d",IF(INDIRECT(_xlfn.CONCAT("'",$A110,"'!B5"))&gt;=F$2,"i",""))</f>
        <v>d</v>
      </c>
      <c r="G110" s="44" t="str" cm="1">
        <f t="array" aca="1" ref="G110" ca="1">IF(INDIRECT(_xlfn.CONCAT("'",$A110,"'!B4"))&gt;=G$2,"d",IF(INDIRECT(_xlfn.CONCAT("'",$A110,"'!B5"))&gt;=G$2,"i",""))</f>
        <v>d</v>
      </c>
      <c r="H110" s="44" t="str" cm="1">
        <f t="array" aca="1" ref="H110" ca="1">IF(INDIRECT(_xlfn.CONCAT("'",$A110,"'!B4"))&gt;=H$2,"d",IF(INDIRECT(_xlfn.CONCAT("'",$A110,"'!B5"))&gt;=H$2,"i",""))</f>
        <v>d</v>
      </c>
      <c r="I110" s="44" t="str" cm="1">
        <f t="array" aca="1" ref="I110" ca="1">IF(INDIRECT(_xlfn.CONCAT("'",$A110,"'!B4"))&gt;=I$2,"d",IF(INDIRECT(_xlfn.CONCAT("'",$A110,"'!B5"))&gt;=I$2,"i",""))</f>
        <v>d</v>
      </c>
      <c r="J110" s="44" t="str" cm="1">
        <f t="array" aca="1" ref="J110" ca="1">IF(INDIRECT(_xlfn.CONCAT("'",$A110,"'!B4"))&gt;=J$2,"d",IF(INDIRECT(_xlfn.CONCAT("'",$A110,"'!B5"))&gt;=J$2,"i",""))</f>
        <v>d</v>
      </c>
      <c r="K110" s="45" t="str" cm="1">
        <f t="array" aca="1" ref="K110" ca="1">IF(INDIRECT(_xlfn.CONCAT("'",$A110,"'!B4"))&gt;=K$2,"d",IF(INDIRECT(_xlfn.CONCAT("'",$A110,"'!B5"))&gt;=K$2,"i",""))</f>
        <v>i</v>
      </c>
      <c r="L110" s="155"/>
      <c r="M110" s="44" t="str" cm="1">
        <f t="array" aca="1" ref="M110" ca="1">IF(INDIRECT(_xlfn.CONCAT("'",$A110,"'!C10"))&gt;=M$2,"d",IF(INDIRECT(_xlfn.CONCAT("'",$A110,"'!C11"))&gt;=M$2,"i",""))</f>
        <v>d</v>
      </c>
      <c r="N110" s="44" t="str" cm="1">
        <f t="array" aca="1" ref="N110" ca="1">IF(INDIRECT(_xlfn.CONCAT("'",$A110,"'!C10"))&gt;=N$2,"d",IF(INDIRECT(_xlfn.CONCAT("'",$A110,"'!C11"))&gt;=N$2,"i",""))</f>
        <v>d</v>
      </c>
      <c r="O110" s="44" t="str" cm="1">
        <f t="array" aca="1" ref="O110" ca="1">IF(INDIRECT(_xlfn.CONCAT("'",$A110,"'!C10"))&gt;=O$2,"d",IF(INDIRECT(_xlfn.CONCAT("'",$A110,"'!C11"))&gt;=O$2,"i",""))</f>
        <v>d</v>
      </c>
      <c r="P110" s="44" t="str" cm="1">
        <f t="array" aca="1" ref="P110" ca="1">IF(INDIRECT(_xlfn.CONCAT("'",$A110,"'!C10"))&gt;=P$2,"d",IF(INDIRECT(_xlfn.CONCAT("'",$A110,"'!C11"))&gt;=P$2,"i",""))</f>
        <v>d</v>
      </c>
      <c r="Q110" s="44" t="str" cm="1">
        <f t="array" aca="1" ref="Q110" ca="1">IF(INDIRECT(_xlfn.CONCAT("'",$A110,"'!C10"))&gt;=Q$2,"d",IF(INDIRECT(_xlfn.CONCAT("'",$A110,"'!C11"))&gt;=Q$2,"i",""))</f>
        <v>d</v>
      </c>
      <c r="R110" s="44" t="str" cm="1">
        <f t="array" aca="1" ref="R110" ca="1">IF(INDIRECT(_xlfn.CONCAT("'",$A110,"'!C10"))&gt;=R$2,"d",IF(INDIRECT(_xlfn.CONCAT("'",$A110,"'!C11"))&gt;=R$2,"i",""))</f>
        <v>i</v>
      </c>
      <c r="S110" s="156"/>
      <c r="T110" s="44" t="str" cm="1">
        <f t="array" aca="1" ref="T110" ca="1">IF(INDIRECT(_xlfn.CONCAT("'",$A110,"'!F4"))&gt;=T$2,"d",IF(INDIRECT(_xlfn.CONCAT("'",$A110,"'!F5"))&gt;=T$2,"i",""))</f>
        <v>d</v>
      </c>
      <c r="U110" s="44" t="str" cm="1">
        <f t="array" aca="1" ref="U110" ca="1">IF(INDIRECT(_xlfn.CONCAT("'",$A110,"'!F4"))&gt;=U$2,"d",IF(INDIRECT(_xlfn.CONCAT("'",$A110,"'!F5"))&gt;=U$2,"i",""))</f>
        <v>d</v>
      </c>
      <c r="V110" s="44" t="str" cm="1">
        <f t="array" aca="1" ref="V110" ca="1">IF(INDIRECT(_xlfn.CONCAT("'",$A110,"'!F4"))&gt;=V$2,"d",IF(INDIRECT(_xlfn.CONCAT("'",$A110,"'!F5"))&gt;=V$2,"i",""))</f>
        <v>d</v>
      </c>
      <c r="W110" s="44" t="str" cm="1">
        <f t="array" aca="1" ref="W110" ca="1">IF(INDIRECT(_xlfn.CONCAT("'",$A110,"'!F4"))&gt;=W$2,"d",IF(INDIRECT(_xlfn.CONCAT("'",$A110,"'!F5"))&gt;=W$2,"i",""))</f>
        <v>d</v>
      </c>
      <c r="X110" s="44" t="str" cm="1">
        <f t="array" aca="1" ref="X110" ca="1">IF(INDIRECT(_xlfn.CONCAT("'",$A110,"'!F4"))&gt;=X$2,"d",IF(INDIRECT(_xlfn.CONCAT("'",$A110,"'!F5"))&gt;=X$2,"i",""))</f>
        <v>d</v>
      </c>
      <c r="Y110" s="44" t="str" cm="1">
        <f t="array" aca="1" ref="Y110" ca="1">IF(INDIRECT(_xlfn.CONCAT("'",$A110,"'!F4"))&gt;=Y$2,"d",IF(INDIRECT(_xlfn.CONCAT("'",$A110,"'!F5"))&gt;=Y$2,"i",""))</f>
        <v>d</v>
      </c>
      <c r="Z110" s="44" t="str" cm="1">
        <f t="array" aca="1" ref="Z110" ca="1">IF(INDIRECT(_xlfn.CONCAT("'",$A110,"'!F4"))&gt;=Z$2,"d",IF(INDIRECT(_xlfn.CONCAT("'",$A110,"'!F5"))&gt;=Z$2,"i",""))</f>
        <v>d</v>
      </c>
      <c r="AA110" s="44" t="str" cm="1">
        <f t="array" aca="1" ref="AA110" ca="1">IF(INDIRECT(_xlfn.CONCAT("'",$A110,"'!F4"))&gt;=AA$2,"d",IF(INDIRECT(_xlfn.CONCAT("'",$A110,"'!F5"))&gt;=AA$2,"i",""))</f>
        <v>i</v>
      </c>
      <c r="AB110" s="44" t="str" cm="1">
        <f t="array" aca="1" ref="AB110" ca="1">IF(INDIRECT(_xlfn.CONCAT("'",$A110,"'!F4"))&gt;=AB$2,"d",IF(INDIRECT(_xlfn.CONCAT("'",$A110,"'!F5"))&gt;=AB$2,"i",""))</f>
        <v/>
      </c>
      <c r="AC110" s="156"/>
      <c r="AD110" s="44" t="str" cm="1">
        <f t="array" aca="1" ref="AD110" ca="1">IF(INDIRECT(_xlfn.CONCAT("'",$A110,"'!F17"))&gt;=AD$2,"d",IF(INDIRECT(_xlfn.CONCAT("'",$A110,"'!F18"))&gt;=AD$2,"i",""))</f>
        <v>d</v>
      </c>
      <c r="AE110" s="44" t="str" cm="1">
        <f t="array" aca="1" ref="AE110" ca="1">IF(INDIRECT(_xlfn.CONCAT("'",$A110,"'!F17"))&gt;=AE$2,"d",IF(INDIRECT(_xlfn.CONCAT("'",$A110,"'!F18"))&gt;=AE$2,"i",""))</f>
        <v>d</v>
      </c>
      <c r="AF110" s="44" t="str" cm="1">
        <f t="array" aca="1" ref="AF110" ca="1">IF(INDIRECT(_xlfn.CONCAT("'",$A110,"'!F17"))&gt;=AF$2,"d",IF(INDIRECT(_xlfn.CONCAT("'",$A110,"'!F18"))&gt;=AF$2,"i",""))</f>
        <v>d</v>
      </c>
      <c r="AG110" s="44" t="str" cm="1">
        <f t="array" aca="1" ref="AG110" ca="1">IF(INDIRECT(_xlfn.CONCAT("'",$A110,"'!F17"))&gt;=AG$2,"d",IF(INDIRECT(_xlfn.CONCAT("'",$A110,"'!F18"))&gt;=AG$2,"i",""))</f>
        <v>d</v>
      </c>
      <c r="AH110" s="44" t="str" cm="1">
        <f t="array" aca="1" ref="AH110" ca="1">IF(INDIRECT(_xlfn.CONCAT("'",$A110,"'!F17"))&gt;=AH$2,"d",IF(INDIRECT(_xlfn.CONCAT("'",$A110,"'!F18"))&gt;=AH$2,"i",""))</f>
        <v>d</v>
      </c>
      <c r="AI110" s="44" t="str" cm="1">
        <f t="array" aca="1" ref="AI110" ca="1">IF(INDIRECT(_xlfn.CONCAT("'",$A110,"'!F17"))&gt;=AI$2,"d",IF(INDIRECT(_xlfn.CONCAT("'",$A110,"'!F18"))&gt;=AI$2,"i",""))</f>
        <v>d</v>
      </c>
      <c r="AJ110" s="44" t="str" cm="1">
        <f t="array" aca="1" ref="AJ110" ca="1">IF(INDIRECT(_xlfn.CONCAT("'",$A110,"'!F17"))&gt;=AJ$2,"d",IF(INDIRECT(_xlfn.CONCAT("'",$A110,"'!F18"))&gt;=AJ$2,"i",""))</f>
        <v>d</v>
      </c>
      <c r="AK110" s="44" t="str" cm="1">
        <f t="array" aca="1" ref="AK110" ca="1">IF(INDIRECT(_xlfn.CONCAT("'",$A110,"'!F17"))&gt;=AK$2,"d",IF(INDIRECT(_xlfn.CONCAT("'",$A110,"'!F18"))&gt;=AK$2,"i",""))</f>
        <v>i</v>
      </c>
      <c r="AL110" s="44" t="str" cm="1">
        <f t="array" aca="1" ref="AL110" ca="1">IF(INDIRECT(_xlfn.CONCAT("'",$A110,"'!F17"))&gt;=AL$2,"d",IF(INDIRECT(_xlfn.CONCAT("'",$A110,"'!F18"))&gt;=AL$2,"i",""))</f>
        <v/>
      </c>
      <c r="AM110" s="156"/>
      <c r="AN110" s="44" t="str" cm="1">
        <f t="array" aca="1" ref="AN110" ca="1">IF(INDIRECT(_xlfn.CONCAT("'",$A110,"'!F30"))&gt;=AN$2,"d",IF(INDIRECT(_xlfn.CONCAT("'",$A110,"'!F31"))&gt;=AN$2,"i",""))</f>
        <v>d</v>
      </c>
      <c r="AO110" s="44" t="str" cm="1">
        <f t="array" aca="1" ref="AO110" ca="1">IF(INDIRECT(_xlfn.CONCAT("'",$A110,"'!F30"))&gt;=AO$2,"d",IF(INDIRECT(_xlfn.CONCAT("'",$A110,"'!F31"))&gt;=AO$2,"i",""))</f>
        <v>d</v>
      </c>
      <c r="AP110" s="44" t="str" cm="1">
        <f t="array" aca="1" ref="AP110" ca="1">IF(INDIRECT(_xlfn.CONCAT("'",$A110,"'!F30"))&gt;=AP$2,"d",IF(INDIRECT(_xlfn.CONCAT("'",$A110,"'!F31"))&gt;=AP$2,"i",""))</f>
        <v>d</v>
      </c>
      <c r="AQ110" s="44" t="str" cm="1">
        <f t="array" aca="1" ref="AQ110" ca="1">IF(INDIRECT(_xlfn.CONCAT("'",$A110,"'!F30"))&gt;=AQ$2,"d",IF(INDIRECT(_xlfn.CONCAT("'",$A110,"'!F31"))&gt;=AQ$2,"i",""))</f>
        <v>d</v>
      </c>
      <c r="AR110" s="44" t="str" cm="1">
        <f t="array" aca="1" ref="AR110" ca="1">IF(INDIRECT(_xlfn.CONCAT("'",$A110,"'!F30"))&gt;=AR$2,"d",IF(INDIRECT(_xlfn.CONCAT("'",$A110,"'!F31"))&gt;=AR$2,"i",""))</f>
        <v>d</v>
      </c>
      <c r="AS110" s="44" t="str" cm="1">
        <f t="array" aca="1" ref="AS110" ca="1">IF(INDIRECT(_xlfn.CONCAT("'",$A110,"'!F30"))&gt;=AS$2,"d",IF(INDIRECT(_xlfn.CONCAT("'",$A110,"'!F31"))&gt;=AS$2,"i",""))</f>
        <v>d</v>
      </c>
      <c r="AT110" s="44" t="str" cm="1">
        <f t="array" aca="1" ref="AT110" ca="1">IF(INDIRECT(_xlfn.CONCAT("'",$A110,"'!F30"))&gt;=AT$2,"d",IF(INDIRECT(_xlfn.CONCAT("'",$A110,"'!F31"))&gt;=AT$2,"i",""))</f>
        <v>d</v>
      </c>
      <c r="AU110" s="44" t="str" cm="1">
        <f t="array" aca="1" ref="AU110" ca="1">IF(INDIRECT(_xlfn.CONCAT("'",$A110,"'!F30"))&gt;=AU$2,"d",IF(INDIRECT(_xlfn.CONCAT("'",$A110,"'!F31"))&gt;=AU$2,"i",""))</f>
        <v>i</v>
      </c>
      <c r="AV110" s="45" t="str" cm="1">
        <f t="array" aca="1" ref="AV110" ca="1">IF(INDIRECT(_xlfn.CONCAT("'",$A110,"'!F30"))&gt;=AV$2,"d",IF(INDIRECT(_xlfn.CONCAT("'",$A110,"'!F31"))&gt;=AV$2,"i",""))</f>
        <v/>
      </c>
    </row>
    <row r="111" spans="1:48" x14ac:dyDescent="0.25">
      <c r="A111" s="119" t="str">
        <v>Lauma</v>
      </c>
      <c r="B111" s="45" t="str">
        <f t="shared" ref="B111:B113" si="89">VLOOKUP(A111,Character_List,2,FALSE)</f>
        <v>Dendro</v>
      </c>
      <c r="C111" s="153" t="str">
        <f t="shared" ref="C111:C113" si="90">VLOOKUP(A111,Character_List,7,FALSE)</f>
        <v>Nod Krai 1</v>
      </c>
      <c r="D111" s="154" t="str">
        <f t="shared" ref="D111:D113" si="91">VLOOKUP(A111,Character_List,8,FALSE)</f>
        <v>Eroded Primal Fire 3</v>
      </c>
      <c r="E111" s="19" t="str" cm="1">
        <f t="array" aca="1" ref="E111" ca="1">IF(INDIRECT(_xlfn.CONCAT("'",$A111,"'!B4"))&gt;=E$2,"d",IF(INDIRECT(_xlfn.CONCAT("'",$A111,"'!B5"))&gt;=E$2,"i",""))</f>
        <v>i</v>
      </c>
      <c r="F111" s="44" t="str" cm="1">
        <f t="array" aca="1" ref="F111" ca="1">IF(INDIRECT(_xlfn.CONCAT("'",$A111,"'!B4"))&gt;=F$2,"d",IF(INDIRECT(_xlfn.CONCAT("'",$A111,"'!B5"))&gt;=F$2,"i",""))</f>
        <v>i</v>
      </c>
      <c r="G111" s="44" t="str" cm="1">
        <f t="array" aca="1" ref="G111" ca="1">IF(INDIRECT(_xlfn.CONCAT("'",$A111,"'!B4"))&gt;=G$2,"d",IF(INDIRECT(_xlfn.CONCAT("'",$A111,"'!B5"))&gt;=G$2,"i",""))</f>
        <v>i</v>
      </c>
      <c r="H111" s="44" t="str" cm="1">
        <f t="array" aca="1" ref="H111" ca="1">IF(INDIRECT(_xlfn.CONCAT("'",$A111,"'!B4"))&gt;=H$2,"d",IF(INDIRECT(_xlfn.CONCAT("'",$A111,"'!B5"))&gt;=H$2,"i",""))</f>
        <v>i</v>
      </c>
      <c r="I111" s="44" t="str" cm="1">
        <f t="array" aca="1" ref="I111" ca="1">IF(INDIRECT(_xlfn.CONCAT("'",$A111,"'!B4"))&gt;=I$2,"d",IF(INDIRECT(_xlfn.CONCAT("'",$A111,"'!B5"))&gt;=I$2,"i",""))</f>
        <v>i</v>
      </c>
      <c r="J111" s="44" t="str" cm="1">
        <f t="array" aca="1" ref="J111" ca="1">IF(INDIRECT(_xlfn.CONCAT("'",$A111,"'!B4"))&gt;=J$2,"d",IF(INDIRECT(_xlfn.CONCAT("'",$A111,"'!B5"))&gt;=J$2,"i",""))</f>
        <v>i</v>
      </c>
      <c r="K111" s="45" t="str" cm="1">
        <f t="array" aca="1" ref="K111" ca="1">IF(INDIRECT(_xlfn.CONCAT("'",$A111,"'!B4"))&gt;=K$2,"d",IF(INDIRECT(_xlfn.CONCAT("'",$A111,"'!B5"))&gt;=K$2,"i",""))</f>
        <v>i</v>
      </c>
      <c r="L111" s="155"/>
      <c r="M111" s="44" t="str" cm="1">
        <f t="array" aca="1" ref="M111" ca="1">IF(INDIRECT(_xlfn.CONCAT("'",$A111,"'!C10"))&gt;=M$2,"d",IF(INDIRECT(_xlfn.CONCAT("'",$A111,"'!C11"))&gt;=M$2,"i",""))</f>
        <v>i</v>
      </c>
      <c r="N111" s="44" t="str" cm="1">
        <f t="array" aca="1" ref="N111" ca="1">IF(INDIRECT(_xlfn.CONCAT("'",$A111,"'!C10"))&gt;=N$2,"d",IF(INDIRECT(_xlfn.CONCAT("'",$A111,"'!C11"))&gt;=N$2,"i",""))</f>
        <v>i</v>
      </c>
      <c r="O111" s="44" t="str" cm="1">
        <f t="array" aca="1" ref="O111" ca="1">IF(INDIRECT(_xlfn.CONCAT("'",$A111,"'!C10"))&gt;=O$2,"d",IF(INDIRECT(_xlfn.CONCAT("'",$A111,"'!C11"))&gt;=O$2,"i",""))</f>
        <v>i</v>
      </c>
      <c r="P111" s="44" t="str" cm="1">
        <f t="array" aca="1" ref="P111" ca="1">IF(INDIRECT(_xlfn.CONCAT("'",$A111,"'!C10"))&gt;=P$2,"d",IF(INDIRECT(_xlfn.CONCAT("'",$A111,"'!C11"))&gt;=P$2,"i",""))</f>
        <v>i</v>
      </c>
      <c r="Q111" s="44" t="str" cm="1">
        <f t="array" aca="1" ref="Q111" ca="1">IF(INDIRECT(_xlfn.CONCAT("'",$A111,"'!C10"))&gt;=Q$2,"d",IF(INDIRECT(_xlfn.CONCAT("'",$A111,"'!C11"))&gt;=Q$2,"i",""))</f>
        <v>i</v>
      </c>
      <c r="R111" s="44" t="str" cm="1">
        <f t="array" aca="1" ref="R111" ca="1">IF(INDIRECT(_xlfn.CONCAT("'",$A111,"'!C10"))&gt;=R$2,"d",IF(INDIRECT(_xlfn.CONCAT("'",$A111,"'!C11"))&gt;=R$2,"i",""))</f>
        <v>i</v>
      </c>
      <c r="S111" s="156"/>
      <c r="T111" s="44" t="str" cm="1">
        <f t="array" aca="1" ref="T111" ca="1">IF(INDIRECT(_xlfn.CONCAT("'",$A111,"'!F4"))&gt;=T$2,"d",IF(INDIRECT(_xlfn.CONCAT("'",$A111,"'!F5"))&gt;=T$2,"i",""))</f>
        <v>i</v>
      </c>
      <c r="U111" s="44" t="str" cm="1">
        <f t="array" aca="1" ref="U111" ca="1">IF(INDIRECT(_xlfn.CONCAT("'",$A111,"'!F4"))&gt;=U$2,"d",IF(INDIRECT(_xlfn.CONCAT("'",$A111,"'!F5"))&gt;=U$2,"i",""))</f>
        <v>i</v>
      </c>
      <c r="V111" s="44" t="str" cm="1">
        <f t="array" aca="1" ref="V111" ca="1">IF(INDIRECT(_xlfn.CONCAT("'",$A111,"'!F4"))&gt;=V$2,"d",IF(INDIRECT(_xlfn.CONCAT("'",$A111,"'!F5"))&gt;=V$2,"i",""))</f>
        <v>i</v>
      </c>
      <c r="W111" s="44" t="str" cm="1">
        <f t="array" aca="1" ref="W111" ca="1">IF(INDIRECT(_xlfn.CONCAT("'",$A111,"'!F4"))&gt;=W$2,"d",IF(INDIRECT(_xlfn.CONCAT("'",$A111,"'!F5"))&gt;=W$2,"i",""))</f>
        <v>i</v>
      </c>
      <c r="X111" s="44" t="str" cm="1">
        <f t="array" aca="1" ref="X111" ca="1">IF(INDIRECT(_xlfn.CONCAT("'",$A111,"'!F4"))&gt;=X$2,"d",IF(INDIRECT(_xlfn.CONCAT("'",$A111,"'!F5"))&gt;=X$2,"i",""))</f>
        <v>i</v>
      </c>
      <c r="Y111" s="44" t="str" cm="1">
        <f t="array" aca="1" ref="Y111" ca="1">IF(INDIRECT(_xlfn.CONCAT("'",$A111,"'!F4"))&gt;=Y$2,"d",IF(INDIRECT(_xlfn.CONCAT("'",$A111,"'!F5"))&gt;=Y$2,"i",""))</f>
        <v>i</v>
      </c>
      <c r="Z111" s="44" t="str" cm="1">
        <f t="array" aca="1" ref="Z111" ca="1">IF(INDIRECT(_xlfn.CONCAT("'",$A111,"'!F4"))&gt;=Z$2,"d",IF(INDIRECT(_xlfn.CONCAT("'",$A111,"'!F5"))&gt;=Z$2,"i",""))</f>
        <v>i</v>
      </c>
      <c r="AA111" s="44" t="str" cm="1">
        <f t="array" aca="1" ref="AA111" ca="1">IF(INDIRECT(_xlfn.CONCAT("'",$A111,"'!F4"))&gt;=AA$2,"d",IF(INDIRECT(_xlfn.CONCAT("'",$A111,"'!F5"))&gt;=AA$2,"i",""))</f>
        <v>i</v>
      </c>
      <c r="AB111" s="44" t="str" cm="1">
        <f t="array" aca="1" ref="AB111" ca="1">IF(INDIRECT(_xlfn.CONCAT("'",$A111,"'!F4"))&gt;=AB$2,"d",IF(INDIRECT(_xlfn.CONCAT("'",$A111,"'!F5"))&gt;=AB$2,"i",""))</f>
        <v/>
      </c>
      <c r="AC111" s="156"/>
      <c r="AD111" s="44" t="str" cm="1">
        <f t="array" aca="1" ref="AD111" ca="1">IF(INDIRECT(_xlfn.CONCAT("'",$A111,"'!F17"))&gt;=AD$2,"d",IF(INDIRECT(_xlfn.CONCAT("'",$A111,"'!F18"))&gt;=AD$2,"i",""))</f>
        <v>i</v>
      </c>
      <c r="AE111" s="44" t="str" cm="1">
        <f t="array" aca="1" ref="AE111" ca="1">IF(INDIRECT(_xlfn.CONCAT("'",$A111,"'!F17"))&gt;=AE$2,"d",IF(INDIRECT(_xlfn.CONCAT("'",$A111,"'!F18"))&gt;=AE$2,"i",""))</f>
        <v>i</v>
      </c>
      <c r="AF111" s="44" t="str" cm="1">
        <f t="array" aca="1" ref="AF111" ca="1">IF(INDIRECT(_xlfn.CONCAT("'",$A111,"'!F17"))&gt;=AF$2,"d",IF(INDIRECT(_xlfn.CONCAT("'",$A111,"'!F18"))&gt;=AF$2,"i",""))</f>
        <v>i</v>
      </c>
      <c r="AG111" s="44" t="str" cm="1">
        <f t="array" aca="1" ref="AG111" ca="1">IF(INDIRECT(_xlfn.CONCAT("'",$A111,"'!F17"))&gt;=AG$2,"d",IF(INDIRECT(_xlfn.CONCAT("'",$A111,"'!F18"))&gt;=AG$2,"i",""))</f>
        <v>i</v>
      </c>
      <c r="AH111" s="44" t="str" cm="1">
        <f t="array" aca="1" ref="AH111" ca="1">IF(INDIRECT(_xlfn.CONCAT("'",$A111,"'!F17"))&gt;=AH$2,"d",IF(INDIRECT(_xlfn.CONCAT("'",$A111,"'!F18"))&gt;=AH$2,"i",""))</f>
        <v>i</v>
      </c>
      <c r="AI111" s="44" t="str" cm="1">
        <f t="array" aca="1" ref="AI111" ca="1">IF(INDIRECT(_xlfn.CONCAT("'",$A111,"'!F17"))&gt;=AI$2,"d",IF(INDIRECT(_xlfn.CONCAT("'",$A111,"'!F18"))&gt;=AI$2,"i",""))</f>
        <v>i</v>
      </c>
      <c r="AJ111" s="44" t="str" cm="1">
        <f t="array" aca="1" ref="AJ111" ca="1">IF(INDIRECT(_xlfn.CONCAT("'",$A111,"'!F17"))&gt;=AJ$2,"d",IF(INDIRECT(_xlfn.CONCAT("'",$A111,"'!F18"))&gt;=AJ$2,"i",""))</f>
        <v>i</v>
      </c>
      <c r="AK111" s="44" t="str" cm="1">
        <f t="array" aca="1" ref="AK111" ca="1">IF(INDIRECT(_xlfn.CONCAT("'",$A111,"'!F17"))&gt;=AK$2,"d",IF(INDIRECT(_xlfn.CONCAT("'",$A111,"'!F18"))&gt;=AK$2,"i",""))</f>
        <v>i</v>
      </c>
      <c r="AL111" s="44" t="str" cm="1">
        <f t="array" aca="1" ref="AL111" ca="1">IF(INDIRECT(_xlfn.CONCAT("'",$A111,"'!F17"))&gt;=AL$2,"d",IF(INDIRECT(_xlfn.CONCAT("'",$A111,"'!F18"))&gt;=AL$2,"i",""))</f>
        <v/>
      </c>
      <c r="AM111" s="156"/>
      <c r="AN111" s="44" t="str" cm="1">
        <f t="array" aca="1" ref="AN111" ca="1">IF(INDIRECT(_xlfn.CONCAT("'",$A111,"'!F30"))&gt;=AN$2,"d",IF(INDIRECT(_xlfn.CONCAT("'",$A111,"'!F31"))&gt;=AN$2,"i",""))</f>
        <v>i</v>
      </c>
      <c r="AO111" s="44" t="str" cm="1">
        <f t="array" aca="1" ref="AO111" ca="1">IF(INDIRECT(_xlfn.CONCAT("'",$A111,"'!F30"))&gt;=AO$2,"d",IF(INDIRECT(_xlfn.CONCAT("'",$A111,"'!F31"))&gt;=AO$2,"i",""))</f>
        <v>i</v>
      </c>
      <c r="AP111" s="44" t="str" cm="1">
        <f t="array" aca="1" ref="AP111" ca="1">IF(INDIRECT(_xlfn.CONCAT("'",$A111,"'!F30"))&gt;=AP$2,"d",IF(INDIRECT(_xlfn.CONCAT("'",$A111,"'!F31"))&gt;=AP$2,"i",""))</f>
        <v>i</v>
      </c>
      <c r="AQ111" s="44" t="str" cm="1">
        <f t="array" aca="1" ref="AQ111" ca="1">IF(INDIRECT(_xlfn.CONCAT("'",$A111,"'!F30"))&gt;=AQ$2,"d",IF(INDIRECT(_xlfn.CONCAT("'",$A111,"'!F31"))&gt;=AQ$2,"i",""))</f>
        <v>i</v>
      </c>
      <c r="AR111" s="44" t="str" cm="1">
        <f t="array" aca="1" ref="AR111" ca="1">IF(INDIRECT(_xlfn.CONCAT("'",$A111,"'!F30"))&gt;=AR$2,"d",IF(INDIRECT(_xlfn.CONCAT("'",$A111,"'!F31"))&gt;=AR$2,"i",""))</f>
        <v>i</v>
      </c>
      <c r="AS111" s="44" t="str" cm="1">
        <f t="array" aca="1" ref="AS111" ca="1">IF(INDIRECT(_xlfn.CONCAT("'",$A111,"'!F30"))&gt;=AS$2,"d",IF(INDIRECT(_xlfn.CONCAT("'",$A111,"'!F31"))&gt;=AS$2,"i",""))</f>
        <v>i</v>
      </c>
      <c r="AT111" s="44" t="str" cm="1">
        <f t="array" aca="1" ref="AT111" ca="1">IF(INDIRECT(_xlfn.CONCAT("'",$A111,"'!F30"))&gt;=AT$2,"d",IF(INDIRECT(_xlfn.CONCAT("'",$A111,"'!F31"))&gt;=AT$2,"i",""))</f>
        <v>i</v>
      </c>
      <c r="AU111" s="44" t="str" cm="1">
        <f t="array" aca="1" ref="AU111" ca="1">IF(INDIRECT(_xlfn.CONCAT("'",$A111,"'!F30"))&gt;=AU$2,"d",IF(INDIRECT(_xlfn.CONCAT("'",$A111,"'!F31"))&gt;=AU$2,"i",""))</f>
        <v>i</v>
      </c>
      <c r="AV111" s="45" t="str" cm="1">
        <f t="array" aca="1" ref="AV111" ca="1">IF(INDIRECT(_xlfn.CONCAT("'",$A111,"'!F30"))&gt;=AV$2,"d",IF(INDIRECT(_xlfn.CONCAT("'",$A111,"'!F31"))&gt;=AV$2,"i",""))</f>
        <v/>
      </c>
    </row>
    <row r="112" spans="1:48" x14ac:dyDescent="0.25">
      <c r="A112" s="119" t="str">
        <v>Flins</v>
      </c>
      <c r="B112" s="45" t="str">
        <f t="shared" si="89"/>
        <v>Electro</v>
      </c>
      <c r="C112" s="153" t="str">
        <f t="shared" si="90"/>
        <v>Nod Krai 3</v>
      </c>
      <c r="D112" s="154" t="str">
        <f t="shared" si="91"/>
        <v>Game before the Gate 3</v>
      </c>
      <c r="E112" s="19" t="str" cm="1">
        <f t="array" aca="1" ref="E112" ca="1">IF(INDIRECT(_xlfn.CONCAT("'",$A112,"'!B4"))&gt;=E$2,"d",IF(INDIRECT(_xlfn.CONCAT("'",$A112,"'!B5"))&gt;=E$2,"i",""))</f>
        <v>i</v>
      </c>
      <c r="F112" s="44" t="str" cm="1">
        <f t="array" aca="1" ref="F112" ca="1">IF(INDIRECT(_xlfn.CONCAT("'",$A112,"'!B4"))&gt;=F$2,"d",IF(INDIRECT(_xlfn.CONCAT("'",$A112,"'!B5"))&gt;=F$2,"i",""))</f>
        <v>i</v>
      </c>
      <c r="G112" s="44" t="str" cm="1">
        <f t="array" aca="1" ref="G112" ca="1">IF(INDIRECT(_xlfn.CONCAT("'",$A112,"'!B4"))&gt;=G$2,"d",IF(INDIRECT(_xlfn.CONCAT("'",$A112,"'!B5"))&gt;=G$2,"i",""))</f>
        <v>i</v>
      </c>
      <c r="H112" s="44" t="str" cm="1">
        <f t="array" aca="1" ref="H112" ca="1">IF(INDIRECT(_xlfn.CONCAT("'",$A112,"'!B4"))&gt;=H$2,"d",IF(INDIRECT(_xlfn.CONCAT("'",$A112,"'!B5"))&gt;=H$2,"i",""))</f>
        <v>i</v>
      </c>
      <c r="I112" s="44" t="str" cm="1">
        <f t="array" aca="1" ref="I112" ca="1">IF(INDIRECT(_xlfn.CONCAT("'",$A112,"'!B4"))&gt;=I$2,"d",IF(INDIRECT(_xlfn.CONCAT("'",$A112,"'!B5"))&gt;=I$2,"i",""))</f>
        <v>i</v>
      </c>
      <c r="J112" s="44" t="str" cm="1">
        <f t="array" aca="1" ref="J112" ca="1">IF(INDIRECT(_xlfn.CONCAT("'",$A112,"'!B4"))&gt;=J$2,"d",IF(INDIRECT(_xlfn.CONCAT("'",$A112,"'!B5"))&gt;=J$2,"i",""))</f>
        <v>i</v>
      </c>
      <c r="K112" s="45" t="str" cm="1">
        <f t="array" aca="1" ref="K112" ca="1">IF(INDIRECT(_xlfn.CONCAT("'",$A112,"'!B4"))&gt;=K$2,"d",IF(INDIRECT(_xlfn.CONCAT("'",$A112,"'!B5"))&gt;=K$2,"i",""))</f>
        <v>i</v>
      </c>
      <c r="L112" s="155"/>
      <c r="M112" s="44" t="str" cm="1">
        <f t="array" aca="1" ref="M112" ca="1">IF(INDIRECT(_xlfn.CONCAT("'",$A112,"'!C10"))&gt;=M$2,"d",IF(INDIRECT(_xlfn.CONCAT("'",$A112,"'!C11"))&gt;=M$2,"i",""))</f>
        <v>i</v>
      </c>
      <c r="N112" s="44" t="str" cm="1">
        <f t="array" aca="1" ref="N112" ca="1">IF(INDIRECT(_xlfn.CONCAT("'",$A112,"'!C10"))&gt;=N$2,"d",IF(INDIRECT(_xlfn.CONCAT("'",$A112,"'!C11"))&gt;=N$2,"i",""))</f>
        <v>i</v>
      </c>
      <c r="O112" s="44" t="str" cm="1">
        <f t="array" aca="1" ref="O112" ca="1">IF(INDIRECT(_xlfn.CONCAT("'",$A112,"'!C10"))&gt;=O$2,"d",IF(INDIRECT(_xlfn.CONCAT("'",$A112,"'!C11"))&gt;=O$2,"i",""))</f>
        <v>i</v>
      </c>
      <c r="P112" s="44" t="str" cm="1">
        <f t="array" aca="1" ref="P112" ca="1">IF(INDIRECT(_xlfn.CONCAT("'",$A112,"'!C10"))&gt;=P$2,"d",IF(INDIRECT(_xlfn.CONCAT("'",$A112,"'!C11"))&gt;=P$2,"i",""))</f>
        <v>i</v>
      </c>
      <c r="Q112" s="44" t="str" cm="1">
        <f t="array" aca="1" ref="Q112" ca="1">IF(INDIRECT(_xlfn.CONCAT("'",$A112,"'!C10"))&gt;=Q$2,"d",IF(INDIRECT(_xlfn.CONCAT("'",$A112,"'!C11"))&gt;=Q$2,"i",""))</f>
        <v>i</v>
      </c>
      <c r="R112" s="44" t="str" cm="1">
        <f t="array" aca="1" ref="R112" ca="1">IF(INDIRECT(_xlfn.CONCAT("'",$A112,"'!C10"))&gt;=R$2,"d",IF(INDIRECT(_xlfn.CONCAT("'",$A112,"'!C11"))&gt;=R$2,"i",""))</f>
        <v>i</v>
      </c>
      <c r="S112" s="156"/>
      <c r="T112" s="44" t="str" cm="1">
        <f t="array" aca="1" ref="T112" ca="1">IF(INDIRECT(_xlfn.CONCAT("'",$A112,"'!F4"))&gt;=T$2,"d",IF(INDIRECT(_xlfn.CONCAT("'",$A112,"'!F5"))&gt;=T$2,"i",""))</f>
        <v>i</v>
      </c>
      <c r="U112" s="44" t="str" cm="1">
        <f t="array" aca="1" ref="U112" ca="1">IF(INDIRECT(_xlfn.CONCAT("'",$A112,"'!F4"))&gt;=U$2,"d",IF(INDIRECT(_xlfn.CONCAT("'",$A112,"'!F5"))&gt;=U$2,"i",""))</f>
        <v>i</v>
      </c>
      <c r="V112" s="44" t="str" cm="1">
        <f t="array" aca="1" ref="V112" ca="1">IF(INDIRECT(_xlfn.CONCAT("'",$A112,"'!F4"))&gt;=V$2,"d",IF(INDIRECT(_xlfn.CONCAT("'",$A112,"'!F5"))&gt;=V$2,"i",""))</f>
        <v>i</v>
      </c>
      <c r="W112" s="44" t="str" cm="1">
        <f t="array" aca="1" ref="W112" ca="1">IF(INDIRECT(_xlfn.CONCAT("'",$A112,"'!F4"))&gt;=W$2,"d",IF(INDIRECT(_xlfn.CONCAT("'",$A112,"'!F5"))&gt;=W$2,"i",""))</f>
        <v>i</v>
      </c>
      <c r="X112" s="44" t="str" cm="1">
        <f t="array" aca="1" ref="X112" ca="1">IF(INDIRECT(_xlfn.CONCAT("'",$A112,"'!F4"))&gt;=X$2,"d",IF(INDIRECT(_xlfn.CONCAT("'",$A112,"'!F5"))&gt;=X$2,"i",""))</f>
        <v>i</v>
      </c>
      <c r="Y112" s="44" t="str" cm="1">
        <f t="array" aca="1" ref="Y112" ca="1">IF(INDIRECT(_xlfn.CONCAT("'",$A112,"'!F4"))&gt;=Y$2,"d",IF(INDIRECT(_xlfn.CONCAT("'",$A112,"'!F5"))&gt;=Y$2,"i",""))</f>
        <v>i</v>
      </c>
      <c r="Z112" s="44" t="str" cm="1">
        <f t="array" aca="1" ref="Z112" ca="1">IF(INDIRECT(_xlfn.CONCAT("'",$A112,"'!F4"))&gt;=Z$2,"d",IF(INDIRECT(_xlfn.CONCAT("'",$A112,"'!F5"))&gt;=Z$2,"i",""))</f>
        <v>i</v>
      </c>
      <c r="AA112" s="44" t="str" cm="1">
        <f t="array" aca="1" ref="AA112" ca="1">IF(INDIRECT(_xlfn.CONCAT("'",$A112,"'!F4"))&gt;=AA$2,"d",IF(INDIRECT(_xlfn.CONCAT("'",$A112,"'!F5"))&gt;=AA$2,"i",""))</f>
        <v>i</v>
      </c>
      <c r="AB112" s="44" t="str" cm="1">
        <f t="array" aca="1" ref="AB112" ca="1">IF(INDIRECT(_xlfn.CONCAT("'",$A112,"'!F4"))&gt;=AB$2,"d",IF(INDIRECT(_xlfn.CONCAT("'",$A112,"'!F5"))&gt;=AB$2,"i",""))</f>
        <v/>
      </c>
      <c r="AC112" s="156"/>
      <c r="AD112" s="44" t="str" cm="1">
        <f t="array" aca="1" ref="AD112" ca="1">IF(INDIRECT(_xlfn.CONCAT("'",$A112,"'!F17"))&gt;=AD$2,"d",IF(INDIRECT(_xlfn.CONCAT("'",$A112,"'!F18"))&gt;=AD$2,"i",""))</f>
        <v>i</v>
      </c>
      <c r="AE112" s="44" t="str" cm="1">
        <f t="array" aca="1" ref="AE112" ca="1">IF(INDIRECT(_xlfn.CONCAT("'",$A112,"'!F17"))&gt;=AE$2,"d",IF(INDIRECT(_xlfn.CONCAT("'",$A112,"'!F18"))&gt;=AE$2,"i",""))</f>
        <v>i</v>
      </c>
      <c r="AF112" s="44" t="str" cm="1">
        <f t="array" aca="1" ref="AF112" ca="1">IF(INDIRECT(_xlfn.CONCAT("'",$A112,"'!F17"))&gt;=AF$2,"d",IF(INDIRECT(_xlfn.CONCAT("'",$A112,"'!F18"))&gt;=AF$2,"i",""))</f>
        <v>i</v>
      </c>
      <c r="AG112" s="44" t="str" cm="1">
        <f t="array" aca="1" ref="AG112" ca="1">IF(INDIRECT(_xlfn.CONCAT("'",$A112,"'!F17"))&gt;=AG$2,"d",IF(INDIRECT(_xlfn.CONCAT("'",$A112,"'!F18"))&gt;=AG$2,"i",""))</f>
        <v>i</v>
      </c>
      <c r="AH112" s="44" t="str" cm="1">
        <f t="array" aca="1" ref="AH112" ca="1">IF(INDIRECT(_xlfn.CONCAT("'",$A112,"'!F17"))&gt;=AH$2,"d",IF(INDIRECT(_xlfn.CONCAT("'",$A112,"'!F18"))&gt;=AH$2,"i",""))</f>
        <v>i</v>
      </c>
      <c r="AI112" s="44" t="str" cm="1">
        <f t="array" aca="1" ref="AI112" ca="1">IF(INDIRECT(_xlfn.CONCAT("'",$A112,"'!F17"))&gt;=AI$2,"d",IF(INDIRECT(_xlfn.CONCAT("'",$A112,"'!F18"))&gt;=AI$2,"i",""))</f>
        <v>i</v>
      </c>
      <c r="AJ112" s="44" t="str" cm="1">
        <f t="array" aca="1" ref="AJ112" ca="1">IF(INDIRECT(_xlfn.CONCAT("'",$A112,"'!F17"))&gt;=AJ$2,"d",IF(INDIRECT(_xlfn.CONCAT("'",$A112,"'!F18"))&gt;=AJ$2,"i",""))</f>
        <v>i</v>
      </c>
      <c r="AK112" s="44" t="str" cm="1">
        <f t="array" aca="1" ref="AK112" ca="1">IF(INDIRECT(_xlfn.CONCAT("'",$A112,"'!F17"))&gt;=AK$2,"d",IF(INDIRECT(_xlfn.CONCAT("'",$A112,"'!F18"))&gt;=AK$2,"i",""))</f>
        <v>i</v>
      </c>
      <c r="AL112" s="44" t="str" cm="1">
        <f t="array" aca="1" ref="AL112" ca="1">IF(INDIRECT(_xlfn.CONCAT("'",$A112,"'!F17"))&gt;=AL$2,"d",IF(INDIRECT(_xlfn.CONCAT("'",$A112,"'!F18"))&gt;=AL$2,"i",""))</f>
        <v/>
      </c>
      <c r="AM112" s="156"/>
      <c r="AN112" s="44" t="str" cm="1">
        <f t="array" aca="1" ref="AN112" ca="1">IF(INDIRECT(_xlfn.CONCAT("'",$A112,"'!F30"))&gt;=AN$2,"d",IF(INDIRECT(_xlfn.CONCAT("'",$A112,"'!F31"))&gt;=AN$2,"i",""))</f>
        <v>i</v>
      </c>
      <c r="AO112" s="44" t="str" cm="1">
        <f t="array" aca="1" ref="AO112" ca="1">IF(INDIRECT(_xlfn.CONCAT("'",$A112,"'!F30"))&gt;=AO$2,"d",IF(INDIRECT(_xlfn.CONCAT("'",$A112,"'!F31"))&gt;=AO$2,"i",""))</f>
        <v>i</v>
      </c>
      <c r="AP112" s="44" t="str" cm="1">
        <f t="array" aca="1" ref="AP112" ca="1">IF(INDIRECT(_xlfn.CONCAT("'",$A112,"'!F30"))&gt;=AP$2,"d",IF(INDIRECT(_xlfn.CONCAT("'",$A112,"'!F31"))&gt;=AP$2,"i",""))</f>
        <v>i</v>
      </c>
      <c r="AQ112" s="44" t="str" cm="1">
        <f t="array" aca="1" ref="AQ112" ca="1">IF(INDIRECT(_xlfn.CONCAT("'",$A112,"'!F30"))&gt;=AQ$2,"d",IF(INDIRECT(_xlfn.CONCAT("'",$A112,"'!F31"))&gt;=AQ$2,"i",""))</f>
        <v>i</v>
      </c>
      <c r="AR112" s="44" t="str" cm="1">
        <f t="array" aca="1" ref="AR112" ca="1">IF(INDIRECT(_xlfn.CONCAT("'",$A112,"'!F30"))&gt;=AR$2,"d",IF(INDIRECT(_xlfn.CONCAT("'",$A112,"'!F31"))&gt;=AR$2,"i",""))</f>
        <v>i</v>
      </c>
      <c r="AS112" s="44" t="str" cm="1">
        <f t="array" aca="1" ref="AS112" ca="1">IF(INDIRECT(_xlfn.CONCAT("'",$A112,"'!F30"))&gt;=AS$2,"d",IF(INDIRECT(_xlfn.CONCAT("'",$A112,"'!F31"))&gt;=AS$2,"i",""))</f>
        <v>i</v>
      </c>
      <c r="AT112" s="44" t="str" cm="1">
        <f t="array" aca="1" ref="AT112" ca="1">IF(INDIRECT(_xlfn.CONCAT("'",$A112,"'!F30"))&gt;=AT$2,"d",IF(INDIRECT(_xlfn.CONCAT("'",$A112,"'!F31"))&gt;=AT$2,"i",""))</f>
        <v>i</v>
      </c>
      <c r="AU112" s="44" t="str" cm="1">
        <f t="array" aca="1" ref="AU112" ca="1">IF(INDIRECT(_xlfn.CONCAT("'",$A112,"'!F30"))&gt;=AU$2,"d",IF(INDIRECT(_xlfn.CONCAT("'",$A112,"'!F31"))&gt;=AU$2,"i",""))</f>
        <v>i</v>
      </c>
      <c r="AV112" s="45" t="str" cm="1">
        <f t="array" aca="1" ref="AV112" ca="1">IF(INDIRECT(_xlfn.CONCAT("'",$A112,"'!F30"))&gt;=AV$2,"d",IF(INDIRECT(_xlfn.CONCAT("'",$A112,"'!F31"))&gt;=AV$2,"i",""))</f>
        <v/>
      </c>
    </row>
    <row r="113" spans="1:48" x14ac:dyDescent="0.25">
      <c r="A113" s="119" t="str">
        <v>Aino</v>
      </c>
      <c r="B113" s="45" t="str">
        <f t="shared" si="89"/>
        <v>Hydro</v>
      </c>
      <c r="C113" s="153" t="str">
        <f t="shared" si="90"/>
        <v>Nod Krai 2</v>
      </c>
      <c r="D113" s="154" t="str">
        <f t="shared" si="91"/>
        <v>Knave 2</v>
      </c>
      <c r="E113" s="19" t="str" cm="1">
        <f t="array" aca="1" ref="E113" ca="1">IF(INDIRECT(_xlfn.CONCAT("'",$A113,"'!B4"))&gt;=E$2,"d",IF(INDIRECT(_xlfn.CONCAT("'",$A113,"'!B5"))&gt;=E$2,"i",""))</f>
        <v>i</v>
      </c>
      <c r="F113" s="44" t="str" cm="1">
        <f t="array" aca="1" ref="F113" ca="1">IF(INDIRECT(_xlfn.CONCAT("'",$A113,"'!B4"))&gt;=F$2,"d",IF(INDIRECT(_xlfn.CONCAT("'",$A113,"'!B5"))&gt;=F$2,"i",""))</f>
        <v>i</v>
      </c>
      <c r="G113" s="44" t="str" cm="1">
        <f t="array" aca="1" ref="G113" ca="1">IF(INDIRECT(_xlfn.CONCAT("'",$A113,"'!B4"))&gt;=G$2,"d",IF(INDIRECT(_xlfn.CONCAT("'",$A113,"'!B5"))&gt;=G$2,"i",""))</f>
        <v>i</v>
      </c>
      <c r="H113" s="44" t="str" cm="1">
        <f t="array" aca="1" ref="H113" ca="1">IF(INDIRECT(_xlfn.CONCAT("'",$A113,"'!B4"))&gt;=H$2,"d",IF(INDIRECT(_xlfn.CONCAT("'",$A113,"'!B5"))&gt;=H$2,"i",""))</f>
        <v>i</v>
      </c>
      <c r="I113" s="44" t="str" cm="1">
        <f t="array" aca="1" ref="I113" ca="1">IF(INDIRECT(_xlfn.CONCAT("'",$A113,"'!B4"))&gt;=I$2,"d",IF(INDIRECT(_xlfn.CONCAT("'",$A113,"'!B5"))&gt;=I$2,"i",""))</f>
        <v>i</v>
      </c>
      <c r="J113" s="44" t="str" cm="1">
        <f t="array" aca="1" ref="J113" ca="1">IF(INDIRECT(_xlfn.CONCAT("'",$A113,"'!B4"))&gt;=J$2,"d",IF(INDIRECT(_xlfn.CONCAT("'",$A113,"'!B5"))&gt;=J$2,"i",""))</f>
        <v>i</v>
      </c>
      <c r="K113" s="45" t="str" cm="1">
        <f t="array" aca="1" ref="K113" ca="1">IF(INDIRECT(_xlfn.CONCAT("'",$A113,"'!B4"))&gt;=K$2,"d",IF(INDIRECT(_xlfn.CONCAT("'",$A113,"'!B5"))&gt;=K$2,"i",""))</f>
        <v>i</v>
      </c>
      <c r="L113" s="155"/>
      <c r="M113" s="44" t="str" cm="1">
        <f t="array" aca="1" ref="M113" ca="1">IF(INDIRECT(_xlfn.CONCAT("'",$A113,"'!C10"))&gt;=M$2,"d",IF(INDIRECT(_xlfn.CONCAT("'",$A113,"'!C11"))&gt;=M$2,"i",""))</f>
        <v>i</v>
      </c>
      <c r="N113" s="44" t="str" cm="1">
        <f t="array" aca="1" ref="N113" ca="1">IF(INDIRECT(_xlfn.CONCAT("'",$A113,"'!C10"))&gt;=N$2,"d",IF(INDIRECT(_xlfn.CONCAT("'",$A113,"'!C11"))&gt;=N$2,"i",""))</f>
        <v>i</v>
      </c>
      <c r="O113" s="44" t="str" cm="1">
        <f t="array" aca="1" ref="O113" ca="1">IF(INDIRECT(_xlfn.CONCAT("'",$A113,"'!C10"))&gt;=O$2,"d",IF(INDIRECT(_xlfn.CONCAT("'",$A113,"'!C11"))&gt;=O$2,"i",""))</f>
        <v>i</v>
      </c>
      <c r="P113" s="44" t="str" cm="1">
        <f t="array" aca="1" ref="P113" ca="1">IF(INDIRECT(_xlfn.CONCAT("'",$A113,"'!C10"))&gt;=P$2,"d",IF(INDIRECT(_xlfn.CONCAT("'",$A113,"'!C11"))&gt;=P$2,"i",""))</f>
        <v>i</v>
      </c>
      <c r="Q113" s="44" t="str" cm="1">
        <f t="array" aca="1" ref="Q113" ca="1">IF(INDIRECT(_xlfn.CONCAT("'",$A113,"'!C10"))&gt;=Q$2,"d",IF(INDIRECT(_xlfn.CONCAT("'",$A113,"'!C11"))&gt;=Q$2,"i",""))</f>
        <v>i</v>
      </c>
      <c r="R113" s="44" t="str" cm="1">
        <f t="array" aca="1" ref="R113" ca="1">IF(INDIRECT(_xlfn.CONCAT("'",$A113,"'!C10"))&gt;=R$2,"d",IF(INDIRECT(_xlfn.CONCAT("'",$A113,"'!C11"))&gt;=R$2,"i",""))</f>
        <v>i</v>
      </c>
      <c r="S113" s="156"/>
      <c r="T113" s="44" t="str" cm="1">
        <f t="array" aca="1" ref="T113" ca="1">IF(INDIRECT(_xlfn.CONCAT("'",$A113,"'!F4"))&gt;=T$2,"d",IF(INDIRECT(_xlfn.CONCAT("'",$A113,"'!F5"))&gt;=T$2,"i",""))</f>
        <v>i</v>
      </c>
      <c r="U113" s="44" t="str" cm="1">
        <f t="array" aca="1" ref="U113" ca="1">IF(INDIRECT(_xlfn.CONCAT("'",$A113,"'!F4"))&gt;=U$2,"d",IF(INDIRECT(_xlfn.CONCAT("'",$A113,"'!F5"))&gt;=U$2,"i",""))</f>
        <v>i</v>
      </c>
      <c r="V113" s="44" t="str" cm="1">
        <f t="array" aca="1" ref="V113" ca="1">IF(INDIRECT(_xlfn.CONCAT("'",$A113,"'!F4"))&gt;=V$2,"d",IF(INDIRECT(_xlfn.CONCAT("'",$A113,"'!F5"))&gt;=V$2,"i",""))</f>
        <v>i</v>
      </c>
      <c r="W113" s="44" t="str" cm="1">
        <f t="array" aca="1" ref="W113" ca="1">IF(INDIRECT(_xlfn.CONCAT("'",$A113,"'!F4"))&gt;=W$2,"d",IF(INDIRECT(_xlfn.CONCAT("'",$A113,"'!F5"))&gt;=W$2,"i",""))</f>
        <v>i</v>
      </c>
      <c r="X113" s="44" t="str" cm="1">
        <f t="array" aca="1" ref="X113" ca="1">IF(INDIRECT(_xlfn.CONCAT("'",$A113,"'!F4"))&gt;=X$2,"d",IF(INDIRECT(_xlfn.CONCAT("'",$A113,"'!F5"))&gt;=X$2,"i",""))</f>
        <v>i</v>
      </c>
      <c r="Y113" s="44" t="str" cm="1">
        <f t="array" aca="1" ref="Y113" ca="1">IF(INDIRECT(_xlfn.CONCAT("'",$A113,"'!F4"))&gt;=Y$2,"d",IF(INDIRECT(_xlfn.CONCAT("'",$A113,"'!F5"))&gt;=Y$2,"i",""))</f>
        <v>i</v>
      </c>
      <c r="Z113" s="44" t="str" cm="1">
        <f t="array" aca="1" ref="Z113" ca="1">IF(INDIRECT(_xlfn.CONCAT("'",$A113,"'!F4"))&gt;=Z$2,"d",IF(INDIRECT(_xlfn.CONCAT("'",$A113,"'!F5"))&gt;=Z$2,"i",""))</f>
        <v>i</v>
      </c>
      <c r="AA113" s="44" t="str" cm="1">
        <f t="array" aca="1" ref="AA113" ca="1">IF(INDIRECT(_xlfn.CONCAT("'",$A113,"'!F4"))&gt;=AA$2,"d",IF(INDIRECT(_xlfn.CONCAT("'",$A113,"'!F5"))&gt;=AA$2,"i",""))</f>
        <v>i</v>
      </c>
      <c r="AB113" s="44" t="str" cm="1">
        <f t="array" aca="1" ref="AB113" ca="1">IF(INDIRECT(_xlfn.CONCAT("'",$A113,"'!F4"))&gt;=AB$2,"d",IF(INDIRECT(_xlfn.CONCAT("'",$A113,"'!F5"))&gt;=AB$2,"i",""))</f>
        <v/>
      </c>
      <c r="AC113" s="156"/>
      <c r="AD113" s="44" t="str" cm="1">
        <f t="array" aca="1" ref="AD113" ca="1">IF(INDIRECT(_xlfn.CONCAT("'",$A113,"'!F17"))&gt;=AD$2,"d",IF(INDIRECT(_xlfn.CONCAT("'",$A113,"'!F18"))&gt;=AD$2,"i",""))</f>
        <v>i</v>
      </c>
      <c r="AE113" s="44" t="str" cm="1">
        <f t="array" aca="1" ref="AE113" ca="1">IF(INDIRECT(_xlfn.CONCAT("'",$A113,"'!F17"))&gt;=AE$2,"d",IF(INDIRECT(_xlfn.CONCAT("'",$A113,"'!F18"))&gt;=AE$2,"i",""))</f>
        <v>i</v>
      </c>
      <c r="AF113" s="44" t="str" cm="1">
        <f t="array" aca="1" ref="AF113" ca="1">IF(INDIRECT(_xlfn.CONCAT("'",$A113,"'!F17"))&gt;=AF$2,"d",IF(INDIRECT(_xlfn.CONCAT("'",$A113,"'!F18"))&gt;=AF$2,"i",""))</f>
        <v>i</v>
      </c>
      <c r="AG113" s="44" t="str" cm="1">
        <f t="array" aca="1" ref="AG113" ca="1">IF(INDIRECT(_xlfn.CONCAT("'",$A113,"'!F17"))&gt;=AG$2,"d",IF(INDIRECT(_xlfn.CONCAT("'",$A113,"'!F18"))&gt;=AG$2,"i",""))</f>
        <v>i</v>
      </c>
      <c r="AH113" s="44" t="str" cm="1">
        <f t="array" aca="1" ref="AH113" ca="1">IF(INDIRECT(_xlfn.CONCAT("'",$A113,"'!F17"))&gt;=AH$2,"d",IF(INDIRECT(_xlfn.CONCAT("'",$A113,"'!F18"))&gt;=AH$2,"i",""))</f>
        <v>i</v>
      </c>
      <c r="AI113" s="44" t="str" cm="1">
        <f t="array" aca="1" ref="AI113" ca="1">IF(INDIRECT(_xlfn.CONCAT("'",$A113,"'!F17"))&gt;=AI$2,"d",IF(INDIRECT(_xlfn.CONCAT("'",$A113,"'!F18"))&gt;=AI$2,"i",""))</f>
        <v>i</v>
      </c>
      <c r="AJ113" s="44" t="str" cm="1">
        <f t="array" aca="1" ref="AJ113" ca="1">IF(INDIRECT(_xlfn.CONCAT("'",$A113,"'!F17"))&gt;=AJ$2,"d",IF(INDIRECT(_xlfn.CONCAT("'",$A113,"'!F18"))&gt;=AJ$2,"i",""))</f>
        <v>i</v>
      </c>
      <c r="AK113" s="44" t="str" cm="1">
        <f t="array" aca="1" ref="AK113" ca="1">IF(INDIRECT(_xlfn.CONCAT("'",$A113,"'!F17"))&gt;=AK$2,"d",IF(INDIRECT(_xlfn.CONCAT("'",$A113,"'!F18"))&gt;=AK$2,"i",""))</f>
        <v>i</v>
      </c>
      <c r="AL113" s="44" t="str" cm="1">
        <f t="array" aca="1" ref="AL113" ca="1">IF(INDIRECT(_xlfn.CONCAT("'",$A113,"'!F17"))&gt;=AL$2,"d",IF(INDIRECT(_xlfn.CONCAT("'",$A113,"'!F18"))&gt;=AL$2,"i",""))</f>
        <v/>
      </c>
      <c r="AM113" s="156"/>
      <c r="AN113" s="44" t="str" cm="1">
        <f t="array" aca="1" ref="AN113" ca="1">IF(INDIRECT(_xlfn.CONCAT("'",$A113,"'!F30"))&gt;=AN$2,"d",IF(INDIRECT(_xlfn.CONCAT("'",$A113,"'!F31"))&gt;=AN$2,"i",""))</f>
        <v>i</v>
      </c>
      <c r="AO113" s="44" t="str" cm="1">
        <f t="array" aca="1" ref="AO113" ca="1">IF(INDIRECT(_xlfn.CONCAT("'",$A113,"'!F30"))&gt;=AO$2,"d",IF(INDIRECT(_xlfn.CONCAT("'",$A113,"'!F31"))&gt;=AO$2,"i",""))</f>
        <v>i</v>
      </c>
      <c r="AP113" s="44" t="str" cm="1">
        <f t="array" aca="1" ref="AP113" ca="1">IF(INDIRECT(_xlfn.CONCAT("'",$A113,"'!F30"))&gt;=AP$2,"d",IF(INDIRECT(_xlfn.CONCAT("'",$A113,"'!F31"))&gt;=AP$2,"i",""))</f>
        <v>i</v>
      </c>
      <c r="AQ113" s="44" t="str" cm="1">
        <f t="array" aca="1" ref="AQ113" ca="1">IF(INDIRECT(_xlfn.CONCAT("'",$A113,"'!F30"))&gt;=AQ$2,"d",IF(INDIRECT(_xlfn.CONCAT("'",$A113,"'!F31"))&gt;=AQ$2,"i",""))</f>
        <v>i</v>
      </c>
      <c r="AR113" s="44" t="str" cm="1">
        <f t="array" aca="1" ref="AR113" ca="1">IF(INDIRECT(_xlfn.CONCAT("'",$A113,"'!F30"))&gt;=AR$2,"d",IF(INDIRECT(_xlfn.CONCAT("'",$A113,"'!F31"))&gt;=AR$2,"i",""))</f>
        <v>i</v>
      </c>
      <c r="AS113" s="44" t="str" cm="1">
        <f t="array" aca="1" ref="AS113" ca="1">IF(INDIRECT(_xlfn.CONCAT("'",$A113,"'!F30"))&gt;=AS$2,"d",IF(INDIRECT(_xlfn.CONCAT("'",$A113,"'!F31"))&gt;=AS$2,"i",""))</f>
        <v>i</v>
      </c>
      <c r="AT113" s="44" t="str" cm="1">
        <f t="array" aca="1" ref="AT113" ca="1">IF(INDIRECT(_xlfn.CONCAT("'",$A113,"'!F30"))&gt;=AT$2,"d",IF(INDIRECT(_xlfn.CONCAT("'",$A113,"'!F31"))&gt;=AT$2,"i",""))</f>
        <v>i</v>
      </c>
      <c r="AU113" s="44" t="str" cm="1">
        <f t="array" aca="1" ref="AU113" ca="1">IF(INDIRECT(_xlfn.CONCAT("'",$A113,"'!F30"))&gt;=AU$2,"d",IF(INDIRECT(_xlfn.CONCAT("'",$A113,"'!F31"))&gt;=AU$2,"i",""))</f>
        <v>i</v>
      </c>
      <c r="AV113" s="45" t="str" cm="1">
        <f t="array" aca="1" ref="AV113" ca="1">IF(INDIRECT(_xlfn.CONCAT("'",$A113,"'!F30"))&gt;=AV$2,"d",IF(INDIRECT(_xlfn.CONCAT("'",$A113,"'!F31"))&gt;=AV$2,"i",""))</f>
        <v/>
      </c>
    </row>
    <row r="114" spans="1:48" ht="15.75" thickBot="1" x14ac:dyDescent="0.3">
      <c r="A114" s="31">
        <v>0</v>
      </c>
      <c r="B114" s="18"/>
      <c r="C114" s="82"/>
      <c r="D114" s="99"/>
      <c r="E114" s="31" t="str" cm="1">
        <f t="array" aca="1" ref="E114" ca="1">IF(ISERROR(IF(INDIRECT(_xlfn.CONCAT("'",$A114,"'!B4"))&gt;=E$2,"done",IF(INDIRECT(_xlfn.CONCAT("'",$A114,"'!B5"))&lt;E$2,"In Progress","")))=FALSE,IF(INDIRECT(_xlfn.CONCAT("'",$A114,"'!B4"))&gt;=E$2,"done",IF(INDIRECT(_xlfn.CONCAT("'",$A114,"'!B5"))&gt;=E$2,"In Progress","")),"")</f>
        <v/>
      </c>
      <c r="F114" s="32" t="str" cm="1">
        <f t="array" aca="1" ref="F114" ca="1">IF(ISERROR(IF(INDIRECT(_xlfn.CONCAT("'",$A114,"'!B4"))&gt;=F$2,"done",IF(INDIRECT(_xlfn.CONCAT("'",$A114,"'!B5"))&lt;F$2,"In Progress","")))=FALSE,IF(INDIRECT(_xlfn.CONCAT("'",$A114,"'!B4"))&gt;=F$2,"done",IF(INDIRECT(_xlfn.CONCAT("'",$A114,"'!B5"))&gt;=F$2,"In Progress","")),"")</f>
        <v/>
      </c>
      <c r="G114" s="32" t="str" cm="1">
        <f t="array" aca="1" ref="G114" ca="1">IF(ISERROR(IF(INDIRECT(_xlfn.CONCAT("'",$A114,"'!B4"))&gt;=G$2,"done",IF(INDIRECT(_xlfn.CONCAT("'",$A114,"'!B5"))&lt;G$2,"In Progress","")))=FALSE,IF(INDIRECT(_xlfn.CONCAT("'",$A114,"'!B4"))&gt;=G$2,"done",IF(INDIRECT(_xlfn.CONCAT("'",$A114,"'!B5"))&gt;=G$2,"In Progress","")),"")</f>
        <v/>
      </c>
      <c r="H114" s="32" t="str" cm="1">
        <f t="array" aca="1" ref="H114" ca="1">IF(ISERROR(IF(INDIRECT(_xlfn.CONCAT("'",$A114,"'!B4"))&gt;=H$2,"done",IF(INDIRECT(_xlfn.CONCAT("'",$A114,"'!B5"))&lt;H$2,"In Progress","")))=FALSE,IF(INDIRECT(_xlfn.CONCAT("'",$A114,"'!B4"))&gt;=H$2,"done",IF(INDIRECT(_xlfn.CONCAT("'",$A114,"'!B5"))&gt;=H$2,"In Progress","")),"")</f>
        <v/>
      </c>
      <c r="I114" s="32" t="str" cm="1">
        <f t="array" aca="1" ref="I114" ca="1">IF(ISERROR(IF(INDIRECT(_xlfn.CONCAT("'",$A114,"'!B4"))&gt;=I$2,"done",IF(INDIRECT(_xlfn.CONCAT("'",$A114,"'!B5"))&lt;I$2,"In Progress","")))=FALSE,IF(INDIRECT(_xlfn.CONCAT("'",$A114,"'!B4"))&gt;=I$2,"done",IF(INDIRECT(_xlfn.CONCAT("'",$A114,"'!B5"))&gt;=I$2,"In Progress","")),"")</f>
        <v/>
      </c>
      <c r="J114" s="32" t="str" cm="1">
        <f t="array" aca="1" ref="J114" ca="1">IF(ISERROR(IF(INDIRECT(_xlfn.CONCAT("'",$A114,"'!B4"))&gt;=J$2,"done",IF(INDIRECT(_xlfn.CONCAT("'",$A114,"'!B5"))&lt;J$2,"In Progress","")))=FALSE,IF(INDIRECT(_xlfn.CONCAT("'",$A114,"'!B4"))&gt;=J$2,"done",IF(INDIRECT(_xlfn.CONCAT("'",$A114,"'!B5"))&gt;=J$2,"In Progress","")),"")</f>
        <v/>
      </c>
      <c r="K114" s="18" t="str" cm="1">
        <f t="array" aca="1" ref="K114" ca="1">IF(ISERROR(IF(INDIRECT(_xlfn.CONCAT("'",$A114,"'!B4"))&gt;=K$2,"done",IF(INDIRECT(_xlfn.CONCAT("'",$A114,"'!B5"))&lt;K$2,"In Progress","")))=FALSE,IF(INDIRECT(_xlfn.CONCAT("'",$A114,"'!B4"))&gt;=K$2,"done",IF(INDIRECT(_xlfn.CONCAT("'",$A114,"'!B5"))&gt;=K$2,"In Progress","")),"")</f>
        <v/>
      </c>
      <c r="L114" s="104"/>
      <c r="M114" s="32" t="str" cm="1">
        <f t="array" aca="1" ref="M114" ca="1">IF(ISERROR(IF(INDIRECT(_xlfn.CONCAT("'",$A114,"'!C10"))&gt;=M$2,"done",IF(INDIRECT(_xlfn.CONCAT("'",$A114,"'!C11"))&gt;=M$2,"In Progress","")))=FALSE,IF(INDIRECT(_xlfn.CONCAT("'",$A114,"'!C10"))&gt;=M$2,"done",IF(INDIRECT(_xlfn.CONCAT("'",$A114,"'!C11"))&gt;=M$2,"In Progress","")),"")</f>
        <v/>
      </c>
      <c r="N114" s="32" t="str" cm="1">
        <f t="array" aca="1" ref="N114" ca="1">IF(ISERROR(IF(INDIRECT(_xlfn.CONCAT("'",$A114,"'!C10"))&gt;=N$2,"done",IF(INDIRECT(_xlfn.CONCAT("'",$A114,"'!C11"))&gt;=N$2,"In Progress","")))=FALSE,IF(INDIRECT(_xlfn.CONCAT("'",$A114,"'!C10"))&gt;=N$2,"done",IF(INDIRECT(_xlfn.CONCAT("'",$A114,"'!C11"))&gt;=N$2,"In Progress","")),"")</f>
        <v/>
      </c>
      <c r="O114" s="32" t="str" cm="1">
        <f t="array" aca="1" ref="O114" ca="1">IF(ISERROR(IF(INDIRECT(_xlfn.CONCAT("'",$A114,"'!C10"))&gt;=O$2,"done",IF(INDIRECT(_xlfn.CONCAT("'",$A114,"'!C11"))&gt;=O$2,"In Progress","")))=FALSE,IF(INDIRECT(_xlfn.CONCAT("'",$A114,"'!C10"))&gt;=O$2,"done",IF(INDIRECT(_xlfn.CONCAT("'",$A114,"'!C11"))&gt;=O$2,"In Progress","")),"")</f>
        <v/>
      </c>
      <c r="P114" s="32" t="str" cm="1">
        <f t="array" aca="1" ref="P114" ca="1">IF(ISERROR(IF(INDIRECT(_xlfn.CONCAT("'",$A114,"'!C10"))&gt;=P$2,"done",IF(INDIRECT(_xlfn.CONCAT("'",$A114,"'!C11"))&gt;=P$2,"In Progress","")))=FALSE,IF(INDIRECT(_xlfn.CONCAT("'",$A114,"'!C10"))&gt;=P$2,"done",IF(INDIRECT(_xlfn.CONCAT("'",$A114,"'!C11"))&gt;=P$2,"In Progress","")),"")</f>
        <v/>
      </c>
      <c r="Q114" s="32" t="str" cm="1">
        <f t="array" aca="1" ref="Q114" ca="1">IF(ISERROR(IF(INDIRECT(_xlfn.CONCAT("'",$A114,"'!C10"))&gt;=Q$2,"done",IF(INDIRECT(_xlfn.CONCAT("'",$A114,"'!C11"))&gt;=Q$2,"In Progress","")))=FALSE,IF(INDIRECT(_xlfn.CONCAT("'",$A114,"'!C10"))&gt;=Q$2,"done",IF(INDIRECT(_xlfn.CONCAT("'",$A114,"'!C11"))&gt;=Q$2,"In Progress","")),"")</f>
        <v/>
      </c>
      <c r="R114" s="32" t="str" cm="1">
        <f t="array" aca="1" ref="R114" ca="1">IF(ISERROR(IF(INDIRECT(_xlfn.CONCAT("'",$A114,"'!C10"))&gt;=R$2,"done",IF(INDIRECT(_xlfn.CONCAT("'",$A114,"'!C11"))&gt;=R$2,"In Progress","")))=FALSE,IF(INDIRECT(_xlfn.CONCAT("'",$A114,"'!C10"))&gt;=R$2,"done",IF(INDIRECT(_xlfn.CONCAT("'",$A114,"'!C11"))&gt;=R$2,"In Progress","")),"")</f>
        <v/>
      </c>
      <c r="S114" s="97"/>
      <c r="T114" s="32" t="str" cm="1">
        <f t="array" aca="1" ref="T114" ca="1">IF(ISERROR(IF(INDIRECT(_xlfn.CONCAT("'",$A114,"'!F4"))&gt;=T$2,"done",IF(INDIRECT(_xlfn.CONCAT("'",$A114,"'!F5"))&lt;T$2,"In Progress","")))=FALSE,IF(INDIRECT(_xlfn.CONCAT("'",$A114,"'!F4"))&gt;=T$2,"done",IF(INDIRECT(_xlfn.CONCAT("'",$A114,"'!F5"))&gt;=T$2,"In Progress","")),"")</f>
        <v/>
      </c>
      <c r="U114" s="32" t="str" cm="1">
        <f t="array" aca="1" ref="U114" ca="1">IF(ISERROR(IF(INDIRECT(_xlfn.CONCAT("'",$A114,"'!F4"))&gt;=U$2,"done",IF(INDIRECT(_xlfn.CONCAT("'",$A114,"'!F5"))&lt;U$2,"In Progress","")))=FALSE,IF(INDIRECT(_xlfn.CONCAT("'",$A114,"'!F4"))&gt;=U$2,"done",IF(INDIRECT(_xlfn.CONCAT("'",$A114,"'!F5"))&gt;=U$2,"In Progress","")),"")</f>
        <v/>
      </c>
      <c r="V114" s="32" t="str" cm="1">
        <f t="array" aca="1" ref="V114" ca="1">IF(ISERROR(IF(INDIRECT(_xlfn.CONCAT("'",$A114,"'!F4"))&gt;=V$2,"done",IF(INDIRECT(_xlfn.CONCAT("'",$A114,"'!F5"))&lt;V$2,"In Progress","")))=FALSE,IF(INDIRECT(_xlfn.CONCAT("'",$A114,"'!F4"))&gt;=V$2,"done",IF(INDIRECT(_xlfn.CONCAT("'",$A114,"'!F5"))&gt;=V$2,"In Progress","")),"")</f>
        <v/>
      </c>
      <c r="W114" s="32" t="str" cm="1">
        <f t="array" aca="1" ref="W114" ca="1">IF(ISERROR(IF(INDIRECT(_xlfn.CONCAT("'",$A114,"'!F4"))&gt;=W$2,"done",IF(INDIRECT(_xlfn.CONCAT("'",$A114,"'!F5"))&lt;W$2,"In Progress","")))=FALSE,IF(INDIRECT(_xlfn.CONCAT("'",$A114,"'!F4"))&gt;=W$2,"done",IF(INDIRECT(_xlfn.CONCAT("'",$A114,"'!F5"))&gt;=W$2,"In Progress","")),"")</f>
        <v/>
      </c>
      <c r="X114" s="32" t="str" cm="1">
        <f t="array" aca="1" ref="X114" ca="1">IF(ISERROR(IF(INDIRECT(_xlfn.CONCAT("'",$A114,"'!F4"))&gt;=X$2,"done",IF(INDIRECT(_xlfn.CONCAT("'",$A114,"'!F5"))&lt;X$2,"In Progress","")))=FALSE,IF(INDIRECT(_xlfn.CONCAT("'",$A114,"'!F4"))&gt;=X$2,"done",IF(INDIRECT(_xlfn.CONCAT("'",$A114,"'!F5"))&gt;=X$2,"In Progress","")),"")</f>
        <v/>
      </c>
      <c r="Y114" s="32" t="str" cm="1">
        <f t="array" aca="1" ref="Y114" ca="1">IF(ISERROR(IF(INDIRECT(_xlfn.CONCAT("'",$A114,"'!F4"))&gt;=Y$2,"done",IF(INDIRECT(_xlfn.CONCAT("'",$A114,"'!F5"))&lt;Y$2,"In Progress","")))=FALSE,IF(INDIRECT(_xlfn.CONCAT("'",$A114,"'!F4"))&gt;=Y$2,"done",IF(INDIRECT(_xlfn.CONCAT("'",$A114,"'!F5"))&gt;=Y$2,"In Progress","")),"")</f>
        <v/>
      </c>
      <c r="Z114" s="32" t="str" cm="1">
        <f t="array" aca="1" ref="Z114" ca="1">IF(ISERROR(IF(INDIRECT(_xlfn.CONCAT("'",$A114,"'!F4"))&gt;=Z$2,"done",IF(INDIRECT(_xlfn.CONCAT("'",$A114,"'!F5"))&lt;Z$2,"In Progress","")))=FALSE,IF(INDIRECT(_xlfn.CONCAT("'",$A114,"'!F4"))&gt;=Z$2,"done",IF(INDIRECT(_xlfn.CONCAT("'",$A114,"'!F5"))&gt;=Z$2,"In Progress","")),"")</f>
        <v/>
      </c>
      <c r="AA114" s="32" t="str" cm="1">
        <f t="array" aca="1" ref="AA114" ca="1">IF(ISERROR(IF(INDIRECT(_xlfn.CONCAT("'",$A114,"'!F4"))&gt;=AA$2,"done",IF(INDIRECT(_xlfn.CONCAT("'",$A114,"'!F5"))&lt;AA$2,"In Progress","")))=FALSE,IF(INDIRECT(_xlfn.CONCAT("'",$A114,"'!F4"))&gt;=AA$2,"done",IF(INDIRECT(_xlfn.CONCAT("'",$A114,"'!F5"))&gt;=AA$2,"In Progress","")),"")</f>
        <v/>
      </c>
      <c r="AB114" s="32" t="str" cm="1">
        <f t="array" aca="1" ref="AB114" ca="1">IF(ISERROR(IF(INDIRECT(_xlfn.CONCAT("'",$A114,"'!F4"))&gt;=AB$2,"done",IF(INDIRECT(_xlfn.CONCAT("'",$A114,"'!F5"))&lt;AB$2,"In Progress","")))=FALSE,IF(INDIRECT(_xlfn.CONCAT("'",$A114,"'!F4"))&gt;=AB$2,"done",IF(INDIRECT(_xlfn.CONCAT("'",$A114,"'!F5"))&gt;=AB$2,"In Progress","")),"")</f>
        <v/>
      </c>
      <c r="AC114" s="97"/>
      <c r="AD114" s="32" t="str" cm="1">
        <f t="array" aca="1" ref="AD114" ca="1">IF(ISERROR(IF(INDIRECT(_xlfn.CONCAT("'",$A114,"'!F17"))&gt;=AD$2,"done",IF(INDIRECT(_xlfn.CONCAT("'",$A114,"'!F18"))&lt;AD$2,"In Progress","")))=FALSE,IF(INDIRECT(_xlfn.CONCAT("'",$A114,"'!F17"))&gt;=AD$2,"done",IF(INDIRECT(_xlfn.CONCAT("'",$A114,"'!F18"))&gt;=AD$2,"In Progress","")),"")</f>
        <v/>
      </c>
      <c r="AE114" s="32" t="str" cm="1">
        <f t="array" aca="1" ref="AE114" ca="1">IF(ISERROR(IF(INDIRECT(_xlfn.CONCAT("'",$A114,"'!F17"))&gt;=AE$2,"done",IF(INDIRECT(_xlfn.CONCAT("'",$A114,"'!F18"))&lt;AE$2,"In Progress","")))=FALSE,IF(INDIRECT(_xlfn.CONCAT("'",$A114,"'!F17"))&gt;=AE$2,"done",IF(INDIRECT(_xlfn.CONCAT("'",$A114,"'!F18"))&gt;=AE$2,"In Progress","")),"")</f>
        <v/>
      </c>
      <c r="AF114" s="32" t="str" cm="1">
        <f t="array" aca="1" ref="AF114" ca="1">IF(ISERROR(IF(INDIRECT(_xlfn.CONCAT("'",$A114,"'!F17"))&gt;=AF$2,"done",IF(INDIRECT(_xlfn.CONCAT("'",$A114,"'!F18"))&lt;AF$2,"In Progress","")))=FALSE,IF(INDIRECT(_xlfn.CONCAT("'",$A114,"'!F17"))&gt;=AF$2,"done",IF(INDIRECT(_xlfn.CONCAT("'",$A114,"'!F18"))&gt;=AF$2,"In Progress","")),"")</f>
        <v/>
      </c>
      <c r="AG114" s="32" t="str" cm="1">
        <f t="array" aca="1" ref="AG114" ca="1">IF(ISERROR(IF(INDIRECT(_xlfn.CONCAT("'",$A114,"'!F17"))&gt;=AG$2,"done",IF(INDIRECT(_xlfn.CONCAT("'",$A114,"'!F18"))&lt;AG$2,"In Progress","")))=FALSE,IF(INDIRECT(_xlfn.CONCAT("'",$A114,"'!F17"))&gt;=AG$2,"done",IF(INDIRECT(_xlfn.CONCAT("'",$A114,"'!F18"))&gt;=AG$2,"In Progress","")),"")</f>
        <v/>
      </c>
      <c r="AH114" s="32" t="str" cm="1">
        <f t="array" aca="1" ref="AH114" ca="1">IF(ISERROR(IF(INDIRECT(_xlfn.CONCAT("'",$A114,"'!F17"))&gt;=AH$2,"done",IF(INDIRECT(_xlfn.CONCAT("'",$A114,"'!F18"))&lt;AH$2,"In Progress","")))=FALSE,IF(INDIRECT(_xlfn.CONCAT("'",$A114,"'!F17"))&gt;=AH$2,"done",IF(INDIRECT(_xlfn.CONCAT("'",$A114,"'!F18"))&gt;=AH$2,"In Progress","")),"")</f>
        <v/>
      </c>
      <c r="AI114" s="32" t="str" cm="1">
        <f t="array" aca="1" ref="AI114" ca="1">IF(ISERROR(IF(INDIRECT(_xlfn.CONCAT("'",$A114,"'!F17"))&gt;=AI$2,"done",IF(INDIRECT(_xlfn.CONCAT("'",$A114,"'!F18"))&lt;AI$2,"In Progress","")))=FALSE,IF(INDIRECT(_xlfn.CONCAT("'",$A114,"'!F17"))&gt;=AI$2,"done",IF(INDIRECT(_xlfn.CONCAT("'",$A114,"'!F18"))&gt;=AI$2,"In Progress","")),"")</f>
        <v/>
      </c>
      <c r="AJ114" s="32" t="str" cm="1">
        <f t="array" aca="1" ref="AJ114" ca="1">IF(ISERROR(IF(INDIRECT(_xlfn.CONCAT("'",$A114,"'!F17"))&gt;=AJ$2,"done",IF(INDIRECT(_xlfn.CONCAT("'",$A114,"'!F18"))&lt;AJ$2,"In Progress","")))=FALSE,IF(INDIRECT(_xlfn.CONCAT("'",$A114,"'!F17"))&gt;=AJ$2,"done",IF(INDIRECT(_xlfn.CONCAT("'",$A114,"'!F18"))&gt;=AJ$2,"In Progress","")),"")</f>
        <v/>
      </c>
      <c r="AK114" s="32" t="str" cm="1">
        <f t="array" aca="1" ref="AK114" ca="1">IF(ISERROR(IF(INDIRECT(_xlfn.CONCAT("'",$A114,"'!F17"))&gt;=AK$2,"done",IF(INDIRECT(_xlfn.CONCAT("'",$A114,"'!F18"))&lt;AK$2,"In Progress","")))=FALSE,IF(INDIRECT(_xlfn.CONCAT("'",$A114,"'!F17"))&gt;=AK$2,"done",IF(INDIRECT(_xlfn.CONCAT("'",$A114,"'!F18"))&gt;=AK$2,"In Progress","")),"")</f>
        <v/>
      </c>
      <c r="AL114" s="32" t="str" cm="1">
        <f t="array" aca="1" ref="AL114" ca="1">IF(ISERROR(IF(INDIRECT(_xlfn.CONCAT("'",$A114,"'!F17"))&gt;=AL$2,"done",IF(INDIRECT(_xlfn.CONCAT("'",$A114,"'!F18"))&lt;AL$2,"In Progress","")))=FALSE,IF(INDIRECT(_xlfn.CONCAT("'",$A114,"'!F17"))&gt;=AL$2,"done",IF(INDIRECT(_xlfn.CONCAT("'",$A114,"'!F18"))&gt;=AL$2,"In Progress","")),"")</f>
        <v/>
      </c>
      <c r="AM114" s="97"/>
      <c r="AN114" s="32" t="str" cm="1">
        <f t="array" aca="1" ref="AN114" ca="1">IF(ISERROR(IF(INDIRECT(_xlfn.CONCAT("'",$A114,"'!F30"))&gt;=AN$2,"done",IF(INDIRECT(_xlfn.CONCAT("'",$A114,"'!F31"))&lt;AN$2,"In Progress","")))=FALSE,IF(INDIRECT(_xlfn.CONCAT("'",$A114,"'!F30"))&gt;=AN$2,"done",IF(INDIRECT(_xlfn.CONCAT("'",$A114,"'!F31"))&gt;=AN$2,"In Progress","")),"")</f>
        <v/>
      </c>
      <c r="AO114" s="32" t="str" cm="1">
        <f t="array" aca="1" ref="AO114" ca="1">IF(ISERROR(IF(INDIRECT(_xlfn.CONCAT("'",$A114,"'!F30"))&gt;=AO$2,"done",IF(INDIRECT(_xlfn.CONCAT("'",$A114,"'!F31"))&lt;AO$2,"In Progress","")))=FALSE,IF(INDIRECT(_xlfn.CONCAT("'",$A114,"'!F30"))&gt;=AO$2,"done",IF(INDIRECT(_xlfn.CONCAT("'",$A114,"'!F31"))&gt;=AO$2,"In Progress","")),"")</f>
        <v/>
      </c>
      <c r="AP114" s="32" t="str" cm="1">
        <f t="array" aca="1" ref="AP114" ca="1">IF(ISERROR(IF(INDIRECT(_xlfn.CONCAT("'",$A114,"'!F30"))&gt;=AP$2,"done",IF(INDIRECT(_xlfn.CONCAT("'",$A114,"'!F31"))&lt;AP$2,"In Progress","")))=FALSE,IF(INDIRECT(_xlfn.CONCAT("'",$A114,"'!F30"))&gt;=AP$2,"done",IF(INDIRECT(_xlfn.CONCAT("'",$A114,"'!F31"))&gt;=AP$2,"In Progress","")),"")</f>
        <v/>
      </c>
      <c r="AQ114" s="32" t="str" cm="1">
        <f t="array" aca="1" ref="AQ114" ca="1">IF(ISERROR(IF(INDIRECT(_xlfn.CONCAT("'",$A114,"'!F30"))&gt;=AQ$2,"done",IF(INDIRECT(_xlfn.CONCAT("'",$A114,"'!F31"))&lt;AQ$2,"In Progress","")))=FALSE,IF(INDIRECT(_xlfn.CONCAT("'",$A114,"'!F30"))&gt;=AQ$2,"done",IF(INDIRECT(_xlfn.CONCAT("'",$A114,"'!F31"))&gt;=AQ$2,"In Progress","")),"")</f>
        <v/>
      </c>
      <c r="AR114" s="32" t="str" cm="1">
        <f t="array" aca="1" ref="AR114" ca="1">IF(ISERROR(IF(INDIRECT(_xlfn.CONCAT("'",$A114,"'!F30"))&gt;=AR$2,"done",IF(INDIRECT(_xlfn.CONCAT("'",$A114,"'!F31"))&lt;AR$2,"In Progress","")))=FALSE,IF(INDIRECT(_xlfn.CONCAT("'",$A114,"'!F30"))&gt;=AR$2,"done",IF(INDIRECT(_xlfn.CONCAT("'",$A114,"'!F31"))&gt;=AR$2,"In Progress","")),"")</f>
        <v/>
      </c>
      <c r="AS114" s="32" t="str" cm="1">
        <f t="array" aca="1" ref="AS114" ca="1">IF(ISERROR(IF(INDIRECT(_xlfn.CONCAT("'",$A114,"'!F30"))&gt;=AS$2,"done",IF(INDIRECT(_xlfn.CONCAT("'",$A114,"'!F31"))&lt;AS$2,"In Progress","")))=FALSE,IF(INDIRECT(_xlfn.CONCAT("'",$A114,"'!F30"))&gt;=AS$2,"done",IF(INDIRECT(_xlfn.CONCAT("'",$A114,"'!F31"))&gt;=AS$2,"In Progress","")),"")</f>
        <v/>
      </c>
      <c r="AT114" s="32" t="str" cm="1">
        <f t="array" aca="1" ref="AT114" ca="1">IF(ISERROR(IF(INDIRECT(_xlfn.CONCAT("'",$A114,"'!F30"))&gt;=AT$2,"done",IF(INDIRECT(_xlfn.CONCAT("'",$A114,"'!F31"))&lt;AT$2,"In Progress","")))=FALSE,IF(INDIRECT(_xlfn.CONCAT("'",$A114,"'!F30"))&gt;=AT$2,"done",IF(INDIRECT(_xlfn.CONCAT("'",$A114,"'!F31"))&gt;=AT$2,"In Progress","")),"")</f>
        <v/>
      </c>
      <c r="AU114" s="32" t="str" cm="1">
        <f t="array" aca="1" ref="AU114" ca="1">IF(ISERROR(IF(INDIRECT(_xlfn.CONCAT("'",$A114,"'!F30"))&gt;=AU$2,"done",IF(INDIRECT(_xlfn.CONCAT("'",$A114,"'!F31"))&lt;AU$2,"In Progress","")))=FALSE,IF(INDIRECT(_xlfn.CONCAT("'",$A114,"'!F30"))&gt;=AU$2,"done",IF(INDIRECT(_xlfn.CONCAT("'",$A114,"'!F31"))&gt;=AU$2,"In Progress","")),"")</f>
        <v/>
      </c>
      <c r="AV114" s="18" t="str" cm="1">
        <f t="array" aca="1" ref="AV114" ca="1">IF(ISERROR(IF(INDIRECT(_xlfn.CONCAT("'",$A114,"'!F30"))&gt;=AV$2,"done",IF(INDIRECT(_xlfn.CONCAT("'",$A114,"'!F31"))&lt;AV$2,"In Progress","")))=FALSE,IF(INDIRECT(_xlfn.CONCAT("'",$A114,"'!F30"))&gt;=AV$2,"done",IF(INDIRECT(_xlfn.CONCAT("'",$A114,"'!F31"))&gt;=AV$2,"In Progress","")),"")</f>
        <v/>
      </c>
    </row>
  </sheetData>
  <autoFilter ref="A2:AV114" xr:uid="{FD8DB1E0-6F21-43B7-9DD5-52A77097A679}"/>
  <mergeCells count="10">
    <mergeCell ref="A1:A2"/>
    <mergeCell ref="E1:K1"/>
    <mergeCell ref="M1:R1"/>
    <mergeCell ref="T1:AB1"/>
    <mergeCell ref="A3:A8"/>
    <mergeCell ref="AD1:AL1"/>
    <mergeCell ref="AN1:AV1"/>
    <mergeCell ref="D1:D2"/>
    <mergeCell ref="C1:C2"/>
    <mergeCell ref="B1:B2"/>
  </mergeCells>
  <conditionalFormatting sqref="B3:B114">
    <cfRule type="containsText" dxfId="693" priority="4" operator="containsText" text="Dendro">
      <formula>NOT(ISERROR(SEARCH("Dendro",B3)))</formula>
    </cfRule>
    <cfRule type="containsText" dxfId="692" priority="79" operator="containsText" text="Anemo">
      <formula>NOT(ISERROR(SEARCH("Anemo",B3)))</formula>
    </cfRule>
    <cfRule type="containsText" dxfId="691" priority="80" operator="containsText" text="Geo">
      <formula>NOT(ISERROR(SEARCH("Geo",B3)))</formula>
    </cfRule>
    <cfRule type="containsText" dxfId="690" priority="81" operator="containsText" text="Electro">
      <formula>NOT(ISERROR(SEARCH("Electro",B3)))</formula>
    </cfRule>
    <cfRule type="containsText" dxfId="689" priority="82" operator="containsText" text="Hydro">
      <formula>NOT(ISERROR(SEARCH("Hydro",B3)))</formula>
    </cfRule>
    <cfRule type="containsText" dxfId="688" priority="83" operator="containsText" text="Pyro">
      <formula>NOT(ISERROR(SEARCH("Pyro",B3)))</formula>
    </cfRule>
    <cfRule type="containsText" dxfId="687" priority="84" operator="containsText" text="Cryo">
      <formula>NOT(ISERROR(SEARCH("Cryo",B3)))</formula>
    </cfRule>
  </conditionalFormatting>
  <conditionalFormatting sqref="C3:C114">
    <cfRule type="containsText" dxfId="686" priority="1" operator="containsText" text="Natlan">
      <formula>NOT(ISERROR(SEARCH("Natlan",C3)))</formula>
    </cfRule>
    <cfRule type="containsText" dxfId="685" priority="2" operator="containsText" text="Fontaine">
      <formula>NOT(ISERROR(SEARCH("Fontaine",C3)))</formula>
    </cfRule>
    <cfRule type="containsText" dxfId="684" priority="3" operator="containsText" text="Sumeru">
      <formula>NOT(ISERROR(SEARCH("Sumeru",C3)))</formula>
    </cfRule>
    <cfRule type="containsText" dxfId="683" priority="7" operator="containsText" text="Mondstadt">
      <formula>NOT(ISERROR(SEARCH("Mondstadt",C3)))</formula>
    </cfRule>
    <cfRule type="containsText" dxfId="682" priority="34" operator="containsText" text="Liyue">
      <formula>NOT(ISERROR(SEARCH("Liyue",C3)))</formula>
    </cfRule>
    <cfRule type="containsText" dxfId="681" priority="60" operator="containsText" text="Inazuma">
      <formula>NOT(ISERROR(SEARCH("Inazuma",C3)))</formula>
    </cfRule>
  </conditionalFormatting>
  <conditionalFormatting sqref="E3:AV114">
    <cfRule type="containsText" dxfId="680" priority="5" operator="containsText" text="d">
      <formula>NOT(ISERROR(SEARCH("d",E3)))</formula>
    </cfRule>
    <cfRule type="containsText" dxfId="679" priority="6" operator="containsText" text="i">
      <formula>NOT(ISERROR(SEARCH("i",E3)))</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1DD0E-924A-4285-8440-5C5F0E81289A}">
  <sheetPr codeName="Sheet202" filterMode="1">
    <tabColor theme="7" tint="0.39997558519241921"/>
  </sheetPr>
  <dimension ref="A1:T222"/>
  <sheetViews>
    <sheetView zoomScaleNormal="100" workbookViewId="0">
      <pane ySplit="2" topLeftCell="A211" activePane="bottomLeft" state="frozen"/>
      <selection activeCell="F79" sqref="F79"/>
      <selection pane="bottomLeft" activeCell="H227" sqref="H227"/>
    </sheetView>
  </sheetViews>
  <sheetFormatPr defaultColWidth="8.85546875" defaultRowHeight="15" x14ac:dyDescent="0.25"/>
  <cols>
    <col min="1" max="1" width="29.28515625" bestFit="1" customWidth="1"/>
    <col min="2" max="2" width="6.140625" bestFit="1" customWidth="1"/>
    <col min="3" max="3" width="9.42578125" customWidth="1"/>
    <col min="4" max="4" width="17.85546875" customWidth="1"/>
    <col min="5" max="5" width="19.28515625" bestFit="1" customWidth="1"/>
    <col min="6" max="6" width="23.85546875" bestFit="1" customWidth="1"/>
    <col min="7" max="13" width="5.28515625" bestFit="1" customWidth="1"/>
    <col min="14" max="14" width="1.140625" customWidth="1"/>
    <col min="15" max="20" width="4.28515625" bestFit="1" customWidth="1"/>
  </cols>
  <sheetData>
    <row r="1" spans="1:20" ht="15" customHeight="1" x14ac:dyDescent="0.25">
      <c r="A1" s="197" t="s">
        <v>194</v>
      </c>
      <c r="B1" s="227" t="s">
        <v>22</v>
      </c>
      <c r="C1" s="229" t="s">
        <v>0</v>
      </c>
      <c r="D1" s="203" t="s">
        <v>195</v>
      </c>
      <c r="E1" s="203" t="s">
        <v>19</v>
      </c>
      <c r="F1" s="203" t="s">
        <v>18</v>
      </c>
      <c r="G1" s="222" t="s">
        <v>148</v>
      </c>
      <c r="H1" s="223"/>
      <c r="I1" s="223"/>
      <c r="J1" s="223"/>
      <c r="K1" s="223"/>
      <c r="L1" s="223"/>
      <c r="M1" s="224"/>
      <c r="N1" s="92"/>
      <c r="O1" s="222" t="s">
        <v>149</v>
      </c>
      <c r="P1" s="223"/>
      <c r="Q1" s="223"/>
      <c r="R1" s="223"/>
      <c r="S1" s="223"/>
      <c r="T1" s="224"/>
    </row>
    <row r="2" spans="1:20" ht="15.75" thickBot="1" x14ac:dyDescent="0.3">
      <c r="A2" s="198"/>
      <c r="B2" s="228"/>
      <c r="C2" s="230"/>
      <c r="D2" s="205"/>
      <c r="E2" s="205"/>
      <c r="F2" s="205"/>
      <c r="G2" s="87">
        <v>20</v>
      </c>
      <c r="H2" s="88">
        <v>40</v>
      </c>
      <c r="I2" s="88">
        <v>50</v>
      </c>
      <c r="J2" s="88">
        <v>60</v>
      </c>
      <c r="K2" s="88">
        <v>70</v>
      </c>
      <c r="L2" s="88">
        <v>80</v>
      </c>
      <c r="M2" s="89">
        <v>90</v>
      </c>
      <c r="N2" s="93"/>
      <c r="O2" s="87">
        <v>1</v>
      </c>
      <c r="P2" s="88">
        <v>2</v>
      </c>
      <c r="Q2" s="88">
        <v>3</v>
      </c>
      <c r="R2" s="88">
        <v>4</v>
      </c>
      <c r="S2" s="88">
        <v>5</v>
      </c>
      <c r="T2" s="89">
        <v>6</v>
      </c>
    </row>
    <row r="3" spans="1:20" hidden="1" x14ac:dyDescent="0.25">
      <c r="A3" s="57" t="str" cm="1">
        <f t="array" ref="A3:A222">_xlfn.UNIQUE(Weapon_Name_List)</f>
        <v>Dull Blade</v>
      </c>
      <c r="B3" s="20" cm="1">
        <f t="array" ref="B3">_xlfn.XLOOKUP(A3,INDEX(Weapon_List,,1),INDEX(Weapon_List,,3),,0,1)</f>
        <v>1</v>
      </c>
      <c r="C3" s="6" t="str" cm="1">
        <f t="array" ref="C3">_xlfn.XLOOKUP(A3,INDEX(Weapon_List,,1),INDEX(Weapon_List,,2),,0,1)</f>
        <v>Sword</v>
      </c>
      <c r="D3" s="38" t="str" cm="1">
        <f t="array" ref="D3">_xlfn.XLOOKUP(A3,INDEX(Weapon_List,,1),INDEX(Weapon_List,,4),,0,1)</f>
        <v>Mondstadt 1</v>
      </c>
      <c r="E3" s="38" t="str" cm="1">
        <f t="array" ref="E3">_xlfn.XLOOKUP(A3,INDEX(Weapon_List,,1),INDEX(Weapon_List,,5),,0,1)</f>
        <v>Hilichurl Shooter</v>
      </c>
      <c r="F3" s="38" t="str" cm="1">
        <f t="array" ref="F3">_xlfn.XLOOKUP(A3,INDEX(Weapon_List,,1),INDEX(Weapon_List,,6),,0,1)</f>
        <v>Mitachurl</v>
      </c>
      <c r="G3" s="14" t="str" cm="1">
        <f t="array" aca="1" ref="G3" ca="1">IF(INDIRECT(_xlfn.CONCAT("'",IF(ISNUMBER(FIND("'",$A3))=TRUE,_xlfn.CONCAT(LEFT($A3,FIND("'",$A3)-1),"''",RIGHT($A3,LEN($A3)-FIND("'",$A3))),$A3),"'!B4"))&gt;=G$2,"d",IF(INDIRECT(_xlfn.CONCAT("'",IF(ISNUMBER(FIND("'",$A3))=TRUE,_xlfn.CONCAT(LEFT($A3,FIND("'",$A3)-1),"''",RIGHT($A3,LEN($A3)-FIND("'",$A3))),$A3),"'!B5"))&gt;=G$2,"i",""))</f>
        <v>d</v>
      </c>
      <c r="H3" s="1" t="str" cm="1">
        <f t="array" aca="1" ref="H3" ca="1">IF(INDIRECT(_xlfn.CONCAT("'",IF(ISNUMBER(FIND("'",$A3))=TRUE,_xlfn.CONCAT(LEFT($A3,FIND("'",$A3)-1),"''",RIGHT($A3,LEN($A3)-FIND("'",$A3))),$A3),"'!B4"))&gt;=H$2,"d",IF(INDIRECT(_xlfn.CONCAT("'",IF(ISNUMBER(FIND("'",$A3))=TRUE,_xlfn.CONCAT(LEFT($A3,FIND("'",$A3)-1),"''",RIGHT($A3,LEN($A3)-FIND("'",$A3))),$A3),"'!B5"))&gt;=H$2,"i",""))</f>
        <v>d</v>
      </c>
      <c r="I3" s="1" t="str" cm="1">
        <f t="array" aca="1" ref="I3" ca="1">IF(INDIRECT(_xlfn.CONCAT("'",IF(ISNUMBER(FIND("'",$A3))=TRUE,_xlfn.CONCAT(LEFT($A3,FIND("'",$A3)-1),"''",RIGHT($A3,LEN($A3)-FIND("'",$A3))),$A3),"'!B4"))&gt;=I$2,"d",IF(INDIRECT(_xlfn.CONCAT("'",IF(ISNUMBER(FIND("'",$A3))=TRUE,_xlfn.CONCAT(LEFT($A3,FIND("'",$A3)-1),"''",RIGHT($A3,LEN($A3)-FIND("'",$A3))),$A3),"'!B5"))&gt;=I$2,"i",""))</f>
        <v>d</v>
      </c>
      <c r="J3" s="1" t="str" cm="1">
        <f t="array" aca="1" ref="J3" ca="1">IF(INDIRECT(_xlfn.CONCAT("'",IF(ISNUMBER(FIND("'",$A3))=TRUE,_xlfn.CONCAT(LEFT($A3,FIND("'",$A3)-1),"''",RIGHT($A3,LEN($A3)-FIND("'",$A3))),$A3),"'!B4"))&gt;=J$2,"d",IF(INDIRECT(_xlfn.CONCAT("'",IF(ISNUMBER(FIND("'",$A3))=TRUE,_xlfn.CONCAT(LEFT($A3,FIND("'",$A3)-1),"''",RIGHT($A3,LEN($A3)-FIND("'",$A3))),$A3),"'!B5"))&gt;=J$2,"i",""))</f>
        <v>d</v>
      </c>
      <c r="K3" s="1" t="str" cm="1">
        <f t="array" aca="1" ref="K3" ca="1">IF(INDIRECT(_xlfn.CONCAT("'",IF(ISNUMBER(FIND("'",$A3))=TRUE,_xlfn.CONCAT(LEFT($A3,FIND("'",$A3)-1),"''",RIGHT($A3,LEN($A3)-FIND("'",$A3))),$A3),"'!B4"))&gt;=K$2,"d",IF(INDIRECT(_xlfn.CONCAT("'",IF(ISNUMBER(FIND("'",$A3))=TRUE,_xlfn.CONCAT(LEFT($A3,FIND("'",$A3)-1),"''",RIGHT($A3,LEN($A3)-FIND("'",$A3))),$A3),"'!B5"))&gt;=K$2,"i",""))</f>
        <v>d</v>
      </c>
      <c r="L3" s="37" t="str" cm="1">
        <f t="array" aca="1" ref="L3" ca="1">IF(INDIRECT(_xlfn.CONCAT("'",IF(ISNUMBER(FIND("'",$A3))=TRUE,_xlfn.CONCAT(LEFT($A3,FIND("'",$A3)-1),"''",RIGHT($A3,LEN($A3)-FIND("'",$A3))),$A3),"'!B4"))&gt;=L$2,"done",IF(INDIRECT(_xlfn.CONCAT("'",IF(ISNUMBER(FIND("'",$A3))=TRUE,_xlfn.CONCAT(LEFT($A3,FIND("'",$A3)-1),"''",RIGHT($A3,LEN($A3)-FIND("'",$A3))),$A3),"'!B5"))&gt;=L$2,"In Prog",""))</f>
        <v/>
      </c>
      <c r="M3" s="96" t="str" cm="1">
        <f t="array" aca="1" ref="M3" ca="1">IF(INDIRECT(_xlfn.CONCAT("'",IF(ISNUMBER(FIND("'",$A3))=TRUE,_xlfn.CONCAT(LEFT($A3,FIND("'",$A3)-1),"''",RIGHT($A3,LEN($A3)-FIND("'",$A3))),$A3),"'!B4"))&gt;=M$2,"done",IF(INDIRECT(_xlfn.CONCAT("'",IF(ISNUMBER(FIND("'",$A3))=TRUE,_xlfn.CONCAT(LEFT($A3,FIND("'",$A3)-1),"''",RIGHT($A3,LEN($A3)-FIND("'",$A3))),$A3),"'!B5"))&gt;=M$2,"In Prog",""))</f>
        <v/>
      </c>
      <c r="N3" s="94"/>
      <c r="O3" s="14" t="str" cm="1">
        <f t="array" aca="1" ref="O3" ca="1">IF(INDIRECT(_xlfn.CONCAT("'",IF(ISNUMBER(FIND("'",$A3))=TRUE,_xlfn.CONCAT(LEFT($A3,FIND("'",$A3)-1),"''",RIGHT($A3,LEN($A3)-FIND("'",$A3))),$A3),"'!C10"))&gt;=O$2,"d",IF(INDIRECT(_xlfn.CONCAT("'",IF(ISNUMBER(FIND("'",$A3))=TRUE,_xlfn.CONCAT(LEFT($A3,FIND("'",$A3)-1),"''",RIGHT($A3,LEN($A3)-FIND("'",$A3))),$A3),"'!C11"))&gt;=O$2,"i",""))</f>
        <v>d</v>
      </c>
      <c r="P3" s="1" t="str" cm="1">
        <f t="array" aca="1" ref="P3" ca="1">IF(INDIRECT(_xlfn.CONCAT("'",IF(ISNUMBER(FIND("'",$A3))=TRUE,_xlfn.CONCAT(LEFT($A3,FIND("'",$A3)-1),"''",RIGHT($A3,LEN($A3)-FIND("'",$A3))),$A3),"'!C10"))&gt;=P$2,"d",IF(INDIRECT(_xlfn.CONCAT("'",IF(ISNUMBER(FIND("'",$A3))=TRUE,_xlfn.CONCAT(LEFT($A3,FIND("'",$A3)-1),"''",RIGHT($A3,LEN($A3)-FIND("'",$A3))),$A3),"'!C11"))&gt;=P$2,"i",""))</f>
        <v>d</v>
      </c>
      <c r="Q3" s="1" t="str" cm="1">
        <f t="array" aca="1" ref="Q3" ca="1">IF(INDIRECT(_xlfn.CONCAT("'",IF(ISNUMBER(FIND("'",$A3))=TRUE,_xlfn.CONCAT(LEFT($A3,FIND("'",$A3)-1),"''",RIGHT($A3,LEN($A3)-FIND("'",$A3))),$A3),"'!C10"))&gt;=Q$2,"d",IF(INDIRECT(_xlfn.CONCAT("'",IF(ISNUMBER(FIND("'",$A3))=TRUE,_xlfn.CONCAT(LEFT($A3,FIND("'",$A3)-1),"''",RIGHT($A3,LEN($A3)-FIND("'",$A3))),$A3),"'!C11"))&gt;=Q$2,"i",""))</f>
        <v>d</v>
      </c>
      <c r="R3" s="1" t="str" cm="1">
        <f t="array" aca="1" ref="R3" ca="1">IF(INDIRECT(_xlfn.CONCAT("'",IF(ISNUMBER(FIND("'",$A3))=TRUE,_xlfn.CONCAT(LEFT($A3,FIND("'",$A3)-1),"''",RIGHT($A3,LEN($A3)-FIND("'",$A3))),$A3),"'!C10"))&gt;=R$2,"d",IF(INDIRECT(_xlfn.CONCAT("'",IF(ISNUMBER(FIND("'",$A3))=TRUE,_xlfn.CONCAT(LEFT($A3,FIND("'",$A3)-1),"''",RIGHT($A3,LEN($A3)-FIND("'",$A3))),$A3),"'!C11"))&gt;=R$2,"i",""))</f>
        <v>d</v>
      </c>
      <c r="S3" s="37"/>
      <c r="T3" s="96"/>
    </row>
    <row r="4" spans="1:20" hidden="1" x14ac:dyDescent="0.25">
      <c r="A4" s="54" t="str">
        <v>Waster Greatsword</v>
      </c>
      <c r="B4" s="14" cm="1">
        <f t="array" ref="B4">_xlfn.XLOOKUP(A4,INDEX(Weapon_List,,1),INDEX(Weapon_List,,3),,0,1)</f>
        <v>1</v>
      </c>
      <c r="C4" s="4" t="str" cm="1">
        <f t="array" ref="C4">_xlfn.XLOOKUP(A4,INDEX(Weapon_List,,1),INDEX(Weapon_List,,2),,0,1)</f>
        <v>Claymore</v>
      </c>
      <c r="D4" s="38" t="str" cm="1">
        <f t="array" ref="D4">_xlfn.XLOOKUP(A4,INDEX(Weapon_List,,1),INDEX(Weapon_List,,4),,0,1)</f>
        <v>Mondstadt 2</v>
      </c>
      <c r="E4" s="38" t="str" cm="1">
        <f t="array" ref="E4">_xlfn.XLOOKUP(A4,INDEX(Weapon_List,,1),INDEX(Weapon_List,,5),,0,1)</f>
        <v>Slime</v>
      </c>
      <c r="F4" s="38" t="str" cm="1">
        <f t="array" ref="F4">_xlfn.XLOOKUP(A4,INDEX(Weapon_List,,1),INDEX(Weapon_List,,6),,0,1)</f>
        <v>Abyss Mage</v>
      </c>
      <c r="G4" s="14" t="str" cm="1">
        <f t="array" aca="1" ref="G4" ca="1">IF(INDIRECT(_xlfn.CONCAT("'",IF(ISNUMBER(FIND("'",$A4))=TRUE,_xlfn.CONCAT(LEFT($A4,FIND("'",$A4)-1),"''",RIGHT($A4,LEN($A4)-FIND("'",$A4))),$A4),"'!B4"))&gt;=G$2,"d",IF(INDIRECT(_xlfn.CONCAT("'",IF(ISNUMBER(FIND("'",$A4))=TRUE,_xlfn.CONCAT(LEFT($A4,FIND("'",$A4)-1),"''",RIGHT($A4,LEN($A4)-FIND("'",$A4))),$A4),"'!B5"))&gt;=G$2,"i",""))</f>
        <v>d</v>
      </c>
      <c r="H4" s="1" t="str" cm="1">
        <f t="array" aca="1" ref="H4" ca="1">IF(INDIRECT(_xlfn.CONCAT("'",IF(ISNUMBER(FIND("'",$A4))=TRUE,_xlfn.CONCAT(LEFT($A4,FIND("'",$A4)-1),"''",RIGHT($A4,LEN($A4)-FIND("'",$A4))),$A4),"'!B4"))&gt;=H$2,"d",IF(INDIRECT(_xlfn.CONCAT("'",IF(ISNUMBER(FIND("'",$A4))=TRUE,_xlfn.CONCAT(LEFT($A4,FIND("'",$A4)-1),"''",RIGHT($A4,LEN($A4)-FIND("'",$A4))),$A4),"'!B5"))&gt;=H$2,"i",""))</f>
        <v>d</v>
      </c>
      <c r="I4" s="1" t="str" cm="1">
        <f t="array" aca="1" ref="I4" ca="1">IF(INDIRECT(_xlfn.CONCAT("'",IF(ISNUMBER(FIND("'",$A4))=TRUE,_xlfn.CONCAT(LEFT($A4,FIND("'",$A4)-1),"''",RIGHT($A4,LEN($A4)-FIND("'",$A4))),$A4),"'!B4"))&gt;=I$2,"d",IF(INDIRECT(_xlfn.CONCAT("'",IF(ISNUMBER(FIND("'",$A4))=TRUE,_xlfn.CONCAT(LEFT($A4,FIND("'",$A4)-1),"''",RIGHT($A4,LEN($A4)-FIND("'",$A4))),$A4),"'!B5"))&gt;=I$2,"i",""))</f>
        <v>d</v>
      </c>
      <c r="J4" s="1" t="str" cm="1">
        <f t="array" aca="1" ref="J4" ca="1">IF(INDIRECT(_xlfn.CONCAT("'",IF(ISNUMBER(FIND("'",$A4))=TRUE,_xlfn.CONCAT(LEFT($A4,FIND("'",$A4)-1),"''",RIGHT($A4,LEN($A4)-FIND("'",$A4))),$A4),"'!B4"))&gt;=J$2,"d",IF(INDIRECT(_xlfn.CONCAT("'",IF(ISNUMBER(FIND("'",$A4))=TRUE,_xlfn.CONCAT(LEFT($A4,FIND("'",$A4)-1),"''",RIGHT($A4,LEN($A4)-FIND("'",$A4))),$A4),"'!B5"))&gt;=J$2,"i",""))</f>
        <v>d</v>
      </c>
      <c r="K4" s="1" t="str" cm="1">
        <f t="array" aca="1" ref="K4" ca="1">IF(INDIRECT(_xlfn.CONCAT("'",IF(ISNUMBER(FIND("'",$A4))=TRUE,_xlfn.CONCAT(LEFT($A4,FIND("'",$A4)-1),"''",RIGHT($A4,LEN($A4)-FIND("'",$A4))),$A4),"'!B4"))&gt;=K$2,"d",IF(INDIRECT(_xlfn.CONCAT("'",IF(ISNUMBER(FIND("'",$A4))=TRUE,_xlfn.CONCAT(LEFT($A4,FIND("'",$A4)-1),"''",RIGHT($A4,LEN($A4)-FIND("'",$A4))),$A4),"'!B5"))&gt;=K$2,"i",""))</f>
        <v>d</v>
      </c>
      <c r="L4" s="37" t="str" cm="1">
        <f t="array" aca="1" ref="L4" ca="1">IF(INDIRECT(_xlfn.CONCAT("'",IF(ISNUMBER(FIND("'",$A4))=TRUE,_xlfn.CONCAT(LEFT($A4,FIND("'",$A4)-1),"''",RIGHT($A4,LEN($A4)-FIND("'",$A4))),$A4),"'!B4"))&gt;=L$2,"done",IF(INDIRECT(_xlfn.CONCAT("'",IF(ISNUMBER(FIND("'",$A4))=TRUE,_xlfn.CONCAT(LEFT($A4,FIND("'",$A4)-1),"''",RIGHT($A4,LEN($A4)-FIND("'",$A4))),$A4),"'!B5"))&gt;=L$2,"In Prog",""))</f>
        <v/>
      </c>
      <c r="M4" s="96" t="str" cm="1">
        <f t="array" aca="1" ref="M4" ca="1">IF(INDIRECT(_xlfn.CONCAT("'",IF(ISNUMBER(FIND("'",$A4))=TRUE,_xlfn.CONCAT(LEFT($A4,FIND("'",$A4)-1),"''",RIGHT($A4,LEN($A4)-FIND("'",$A4))),$A4),"'!B4"))&gt;=M$2,"done",IF(INDIRECT(_xlfn.CONCAT("'",IF(ISNUMBER(FIND("'",$A4))=TRUE,_xlfn.CONCAT(LEFT($A4,FIND("'",$A4)-1),"''",RIGHT($A4,LEN($A4)-FIND("'",$A4))),$A4),"'!B5"))&gt;=M$2,"In Prog",""))</f>
        <v/>
      </c>
      <c r="N4" s="95"/>
      <c r="O4" s="14" t="str" cm="1">
        <f t="array" aca="1" ref="O4" ca="1">IF(INDIRECT(_xlfn.CONCAT("'",IF(ISNUMBER(FIND("'",$A4))=TRUE,_xlfn.CONCAT(LEFT($A4,FIND("'",$A4)-1),"''",RIGHT($A4,LEN($A4)-FIND("'",$A4))),$A4),"'!C10"))&gt;=O$2,"d",IF(INDIRECT(_xlfn.CONCAT("'",IF(ISNUMBER(FIND("'",$A4))=TRUE,_xlfn.CONCAT(LEFT($A4,FIND("'",$A4)-1),"''",RIGHT($A4,LEN($A4)-FIND("'",$A4))),$A4),"'!C11"))&gt;=O$2,"i",""))</f>
        <v>d</v>
      </c>
      <c r="P4" s="1" t="str" cm="1">
        <f t="array" aca="1" ref="P4" ca="1">IF(INDIRECT(_xlfn.CONCAT("'",IF(ISNUMBER(FIND("'",$A4))=TRUE,_xlfn.CONCAT(LEFT($A4,FIND("'",$A4)-1),"''",RIGHT($A4,LEN($A4)-FIND("'",$A4))),$A4),"'!C10"))&gt;=P$2,"d",IF(INDIRECT(_xlfn.CONCAT("'",IF(ISNUMBER(FIND("'",$A4))=TRUE,_xlfn.CONCAT(LEFT($A4,FIND("'",$A4)-1),"''",RIGHT($A4,LEN($A4)-FIND("'",$A4))),$A4),"'!C11"))&gt;=P$2,"i",""))</f>
        <v>d</v>
      </c>
      <c r="Q4" s="1" t="str" cm="1">
        <f t="array" aca="1" ref="Q4" ca="1">IF(INDIRECT(_xlfn.CONCAT("'",IF(ISNUMBER(FIND("'",$A4))=TRUE,_xlfn.CONCAT(LEFT($A4,FIND("'",$A4)-1),"''",RIGHT($A4,LEN($A4)-FIND("'",$A4))),$A4),"'!C10"))&gt;=Q$2,"d",IF(INDIRECT(_xlfn.CONCAT("'",IF(ISNUMBER(FIND("'",$A4))=TRUE,_xlfn.CONCAT(LEFT($A4,FIND("'",$A4)-1),"''",RIGHT($A4,LEN($A4)-FIND("'",$A4))),$A4),"'!C11"))&gt;=Q$2,"i",""))</f>
        <v>d</v>
      </c>
      <c r="R4" s="1" t="str" cm="1">
        <f t="array" aca="1" ref="R4" ca="1">IF(INDIRECT(_xlfn.CONCAT("'",IF(ISNUMBER(FIND("'",$A4))=TRUE,_xlfn.CONCAT(LEFT($A4,FIND("'",$A4)-1),"''",RIGHT($A4,LEN($A4)-FIND("'",$A4))),$A4),"'!C10"))&gt;=R$2,"d",IF(INDIRECT(_xlfn.CONCAT("'",IF(ISNUMBER(FIND("'",$A4))=TRUE,_xlfn.CONCAT(LEFT($A4,FIND("'",$A4)-1),"''",RIGHT($A4,LEN($A4)-FIND("'",$A4))),$A4),"'!C11"))&gt;=R$2,"i",""))</f>
        <v>d</v>
      </c>
      <c r="S4" s="37"/>
      <c r="T4" s="96"/>
    </row>
    <row r="5" spans="1:20" hidden="1" x14ac:dyDescent="0.25">
      <c r="A5" s="54" t="str">
        <v>Beginner's Protector</v>
      </c>
      <c r="B5" s="14" cm="1">
        <f t="array" ref="B5">_xlfn.XLOOKUP(A5,INDEX(Weapon_List,,1),INDEX(Weapon_List,,3),,0,1)</f>
        <v>1</v>
      </c>
      <c r="C5" s="4" t="str" cm="1">
        <f t="array" ref="C5">_xlfn.XLOOKUP(A5,INDEX(Weapon_List,,1),INDEX(Weapon_List,,2),,0,1)</f>
        <v>Polearm</v>
      </c>
      <c r="D5" s="38" t="str" cm="1">
        <f t="array" ref="D5">_xlfn.XLOOKUP(A5,INDEX(Weapon_List,,1),INDEX(Weapon_List,,4),,0,1)</f>
        <v>Mondstadt 3</v>
      </c>
      <c r="E5" s="38" t="str" cm="1">
        <f t="array" ref="E5">_xlfn.XLOOKUP(A5,INDEX(Weapon_List,,1),INDEX(Weapon_List,,5),,0,1)</f>
        <v>Samachurl</v>
      </c>
      <c r="F5" s="38" t="str" cm="1">
        <f t="array" ref="F5">_xlfn.XLOOKUP(A5,INDEX(Weapon_List,,1),INDEX(Weapon_List,,6),,0,1)</f>
        <v>Ruin Machine 1</v>
      </c>
      <c r="G5" s="14" t="str" cm="1">
        <f t="array" aca="1" ref="G5" ca="1">IF(INDIRECT(_xlfn.CONCAT("'",IF(ISNUMBER(FIND("'",$A5))=TRUE,_xlfn.CONCAT(LEFT($A5,FIND("'",$A5)-1),"''",RIGHT($A5,LEN($A5)-FIND("'",$A5))),$A5),"'!B4"))&gt;=G$2,"d",IF(INDIRECT(_xlfn.CONCAT("'",IF(ISNUMBER(FIND("'",$A5))=TRUE,_xlfn.CONCAT(LEFT($A5,FIND("'",$A5)-1),"''",RIGHT($A5,LEN($A5)-FIND("'",$A5))),$A5),"'!B5"))&gt;=G$2,"i",""))</f>
        <v>d</v>
      </c>
      <c r="H5" s="1" t="str" cm="1">
        <f t="array" aca="1" ref="H5" ca="1">IF(INDIRECT(_xlfn.CONCAT("'",IF(ISNUMBER(FIND("'",$A5))=TRUE,_xlfn.CONCAT(LEFT($A5,FIND("'",$A5)-1),"''",RIGHT($A5,LEN($A5)-FIND("'",$A5))),$A5),"'!B4"))&gt;=H$2,"d",IF(INDIRECT(_xlfn.CONCAT("'",IF(ISNUMBER(FIND("'",$A5))=TRUE,_xlfn.CONCAT(LEFT($A5,FIND("'",$A5)-1),"''",RIGHT($A5,LEN($A5)-FIND("'",$A5))),$A5),"'!B5"))&gt;=H$2,"i",""))</f>
        <v>d</v>
      </c>
      <c r="I5" s="1" t="str" cm="1">
        <f t="array" aca="1" ref="I5" ca="1">IF(INDIRECT(_xlfn.CONCAT("'",IF(ISNUMBER(FIND("'",$A5))=TRUE,_xlfn.CONCAT(LEFT($A5,FIND("'",$A5)-1),"''",RIGHT($A5,LEN($A5)-FIND("'",$A5))),$A5),"'!B4"))&gt;=I$2,"d",IF(INDIRECT(_xlfn.CONCAT("'",IF(ISNUMBER(FIND("'",$A5))=TRUE,_xlfn.CONCAT(LEFT($A5,FIND("'",$A5)-1),"''",RIGHT($A5,LEN($A5)-FIND("'",$A5))),$A5),"'!B5"))&gt;=I$2,"i",""))</f>
        <v>d</v>
      </c>
      <c r="J5" s="1" t="str" cm="1">
        <f t="array" aca="1" ref="J5" ca="1">IF(INDIRECT(_xlfn.CONCAT("'",IF(ISNUMBER(FIND("'",$A5))=TRUE,_xlfn.CONCAT(LEFT($A5,FIND("'",$A5)-1),"''",RIGHT($A5,LEN($A5)-FIND("'",$A5))),$A5),"'!B4"))&gt;=J$2,"d",IF(INDIRECT(_xlfn.CONCAT("'",IF(ISNUMBER(FIND("'",$A5))=TRUE,_xlfn.CONCAT(LEFT($A5,FIND("'",$A5)-1),"''",RIGHT($A5,LEN($A5)-FIND("'",$A5))),$A5),"'!B5"))&gt;=J$2,"i",""))</f>
        <v>d</v>
      </c>
      <c r="K5" s="1" t="str" cm="1">
        <f t="array" aca="1" ref="K5" ca="1">IF(INDIRECT(_xlfn.CONCAT("'",IF(ISNUMBER(FIND("'",$A5))=TRUE,_xlfn.CONCAT(LEFT($A5,FIND("'",$A5)-1),"''",RIGHT($A5,LEN($A5)-FIND("'",$A5))),$A5),"'!B4"))&gt;=K$2,"d",IF(INDIRECT(_xlfn.CONCAT("'",IF(ISNUMBER(FIND("'",$A5))=TRUE,_xlfn.CONCAT(LEFT($A5,FIND("'",$A5)-1),"''",RIGHT($A5,LEN($A5)-FIND("'",$A5))),$A5),"'!B5"))&gt;=K$2,"i",""))</f>
        <v>d</v>
      </c>
      <c r="L5" s="37" t="str" cm="1">
        <f t="array" aca="1" ref="L5" ca="1">IF(INDIRECT(_xlfn.CONCAT("'",IF(ISNUMBER(FIND("'",$A5))=TRUE,_xlfn.CONCAT(LEFT($A5,FIND("'",$A5)-1),"''",RIGHT($A5,LEN($A5)-FIND("'",$A5))),$A5),"'!B4"))&gt;=L$2,"done",IF(INDIRECT(_xlfn.CONCAT("'",IF(ISNUMBER(FIND("'",$A5))=TRUE,_xlfn.CONCAT(LEFT($A5,FIND("'",$A5)-1),"''",RIGHT($A5,LEN($A5)-FIND("'",$A5))),$A5),"'!B5"))&gt;=L$2,"In Prog",""))</f>
        <v/>
      </c>
      <c r="M5" s="96" t="str" cm="1">
        <f t="array" aca="1" ref="M5" ca="1">IF(INDIRECT(_xlfn.CONCAT("'",IF(ISNUMBER(FIND("'",$A5))=TRUE,_xlfn.CONCAT(LEFT($A5,FIND("'",$A5)-1),"''",RIGHT($A5,LEN($A5)-FIND("'",$A5))),$A5),"'!B4"))&gt;=M$2,"done",IF(INDIRECT(_xlfn.CONCAT("'",IF(ISNUMBER(FIND("'",$A5))=TRUE,_xlfn.CONCAT(LEFT($A5,FIND("'",$A5)-1),"''",RIGHT($A5,LEN($A5)-FIND("'",$A5))),$A5),"'!B5"))&gt;=M$2,"In Prog",""))</f>
        <v/>
      </c>
      <c r="N5" s="95"/>
      <c r="O5" s="14" t="str" cm="1">
        <f t="array" aca="1" ref="O5" ca="1">IF(INDIRECT(_xlfn.CONCAT("'",IF(ISNUMBER(FIND("'",$A5))=TRUE,_xlfn.CONCAT(LEFT($A5,FIND("'",$A5)-1),"''",RIGHT($A5,LEN($A5)-FIND("'",$A5))),$A5),"'!C10"))&gt;=O$2,"d",IF(INDIRECT(_xlfn.CONCAT("'",IF(ISNUMBER(FIND("'",$A5))=TRUE,_xlfn.CONCAT(LEFT($A5,FIND("'",$A5)-1),"''",RIGHT($A5,LEN($A5)-FIND("'",$A5))),$A5),"'!C11"))&gt;=O$2,"i",""))</f>
        <v>d</v>
      </c>
      <c r="P5" s="1" t="str" cm="1">
        <f t="array" aca="1" ref="P5" ca="1">IF(INDIRECT(_xlfn.CONCAT("'",IF(ISNUMBER(FIND("'",$A5))=TRUE,_xlfn.CONCAT(LEFT($A5,FIND("'",$A5)-1),"''",RIGHT($A5,LEN($A5)-FIND("'",$A5))),$A5),"'!C10"))&gt;=P$2,"d",IF(INDIRECT(_xlfn.CONCAT("'",IF(ISNUMBER(FIND("'",$A5))=TRUE,_xlfn.CONCAT(LEFT($A5,FIND("'",$A5)-1),"''",RIGHT($A5,LEN($A5)-FIND("'",$A5))),$A5),"'!C11"))&gt;=P$2,"i",""))</f>
        <v>d</v>
      </c>
      <c r="Q5" s="1" t="str" cm="1">
        <f t="array" aca="1" ref="Q5" ca="1">IF(INDIRECT(_xlfn.CONCAT("'",IF(ISNUMBER(FIND("'",$A5))=TRUE,_xlfn.CONCAT(LEFT($A5,FIND("'",$A5)-1),"''",RIGHT($A5,LEN($A5)-FIND("'",$A5))),$A5),"'!C10"))&gt;=Q$2,"d",IF(INDIRECT(_xlfn.CONCAT("'",IF(ISNUMBER(FIND("'",$A5))=TRUE,_xlfn.CONCAT(LEFT($A5,FIND("'",$A5)-1),"''",RIGHT($A5,LEN($A5)-FIND("'",$A5))),$A5),"'!C11"))&gt;=Q$2,"i",""))</f>
        <v>d</v>
      </c>
      <c r="R5" s="1" t="str" cm="1">
        <f t="array" aca="1" ref="R5" ca="1">IF(INDIRECT(_xlfn.CONCAT("'",IF(ISNUMBER(FIND("'",$A5))=TRUE,_xlfn.CONCAT(LEFT($A5,FIND("'",$A5)-1),"''",RIGHT($A5,LEN($A5)-FIND("'",$A5))),$A5),"'!C10"))&gt;=R$2,"d",IF(INDIRECT(_xlfn.CONCAT("'",IF(ISNUMBER(FIND("'",$A5))=TRUE,_xlfn.CONCAT(LEFT($A5,FIND("'",$A5)-1),"''",RIGHT($A5,LEN($A5)-FIND("'",$A5))),$A5),"'!C11"))&gt;=R$2,"i",""))</f>
        <v>d</v>
      </c>
      <c r="S5" s="37"/>
      <c r="T5" s="96"/>
    </row>
    <row r="6" spans="1:20" hidden="1" x14ac:dyDescent="0.25">
      <c r="A6" s="54" t="str">
        <v>Apprentice's Notes</v>
      </c>
      <c r="B6" s="14" cm="1">
        <f t="array" ref="B6">_xlfn.XLOOKUP(A6,INDEX(Weapon_List,,1),INDEX(Weapon_List,,3),,0,1)</f>
        <v>1</v>
      </c>
      <c r="C6" s="4" t="str" cm="1">
        <f t="array" ref="C6">_xlfn.XLOOKUP(A6,INDEX(Weapon_List,,1),INDEX(Weapon_List,,2),,0,1)</f>
        <v>Catalyst</v>
      </c>
      <c r="D6" s="38" t="str" cm="1">
        <f t="array" ref="D6">_xlfn.XLOOKUP(A6,INDEX(Weapon_List,,1),INDEX(Weapon_List,,4),,0,1)</f>
        <v>Mondstadt 1</v>
      </c>
      <c r="E6" s="38" t="str" cm="1">
        <f t="array" ref="E6">_xlfn.XLOOKUP(A6,INDEX(Weapon_List,,1),INDEX(Weapon_List,,5),,0,1)</f>
        <v>Hilichurl</v>
      </c>
      <c r="F6" s="38" t="str" cm="1">
        <f t="array" ref="F6">_xlfn.XLOOKUP(A6,INDEX(Weapon_List,,1),INDEX(Weapon_List,,6),,0,1)</f>
        <v>Mitachurl</v>
      </c>
      <c r="G6" s="14" t="str" cm="1">
        <f t="array" aca="1" ref="G6" ca="1">IF(INDIRECT(_xlfn.CONCAT("'",IF(ISNUMBER(FIND("'",$A6))=TRUE,_xlfn.CONCAT(LEFT($A6,FIND("'",$A6)-1),"''",RIGHT($A6,LEN($A6)-FIND("'",$A6))),$A6),"'!B4"))&gt;=G$2,"d",IF(INDIRECT(_xlfn.CONCAT("'",IF(ISNUMBER(FIND("'",$A6))=TRUE,_xlfn.CONCAT(LEFT($A6,FIND("'",$A6)-1),"''",RIGHT($A6,LEN($A6)-FIND("'",$A6))),$A6),"'!B5"))&gt;=G$2,"i",""))</f>
        <v>d</v>
      </c>
      <c r="H6" s="1" t="str" cm="1">
        <f t="array" aca="1" ref="H6" ca="1">IF(INDIRECT(_xlfn.CONCAT("'",IF(ISNUMBER(FIND("'",$A6))=TRUE,_xlfn.CONCAT(LEFT($A6,FIND("'",$A6)-1),"''",RIGHT($A6,LEN($A6)-FIND("'",$A6))),$A6),"'!B4"))&gt;=H$2,"d",IF(INDIRECT(_xlfn.CONCAT("'",IF(ISNUMBER(FIND("'",$A6))=TRUE,_xlfn.CONCAT(LEFT($A6,FIND("'",$A6)-1),"''",RIGHT($A6,LEN($A6)-FIND("'",$A6))),$A6),"'!B5"))&gt;=H$2,"i",""))</f>
        <v>d</v>
      </c>
      <c r="I6" s="1" t="str" cm="1">
        <f t="array" aca="1" ref="I6" ca="1">IF(INDIRECT(_xlfn.CONCAT("'",IF(ISNUMBER(FIND("'",$A6))=TRUE,_xlfn.CONCAT(LEFT($A6,FIND("'",$A6)-1),"''",RIGHT($A6,LEN($A6)-FIND("'",$A6))),$A6),"'!B4"))&gt;=I$2,"d",IF(INDIRECT(_xlfn.CONCAT("'",IF(ISNUMBER(FIND("'",$A6))=TRUE,_xlfn.CONCAT(LEFT($A6,FIND("'",$A6)-1),"''",RIGHT($A6,LEN($A6)-FIND("'",$A6))),$A6),"'!B5"))&gt;=I$2,"i",""))</f>
        <v>d</v>
      </c>
      <c r="J6" s="1" t="str" cm="1">
        <f t="array" aca="1" ref="J6" ca="1">IF(INDIRECT(_xlfn.CONCAT("'",IF(ISNUMBER(FIND("'",$A6))=TRUE,_xlfn.CONCAT(LEFT($A6,FIND("'",$A6)-1),"''",RIGHT($A6,LEN($A6)-FIND("'",$A6))),$A6),"'!B4"))&gt;=J$2,"d",IF(INDIRECT(_xlfn.CONCAT("'",IF(ISNUMBER(FIND("'",$A6))=TRUE,_xlfn.CONCAT(LEFT($A6,FIND("'",$A6)-1),"''",RIGHT($A6,LEN($A6)-FIND("'",$A6))),$A6),"'!B5"))&gt;=J$2,"i",""))</f>
        <v>d</v>
      </c>
      <c r="K6" s="1" t="str" cm="1">
        <f t="array" aca="1" ref="K6" ca="1">IF(INDIRECT(_xlfn.CONCAT("'",IF(ISNUMBER(FIND("'",$A6))=TRUE,_xlfn.CONCAT(LEFT($A6,FIND("'",$A6)-1),"''",RIGHT($A6,LEN($A6)-FIND("'",$A6))),$A6),"'!B4"))&gt;=K$2,"d",IF(INDIRECT(_xlfn.CONCAT("'",IF(ISNUMBER(FIND("'",$A6))=TRUE,_xlfn.CONCAT(LEFT($A6,FIND("'",$A6)-1),"''",RIGHT($A6,LEN($A6)-FIND("'",$A6))),$A6),"'!B5"))&gt;=K$2,"i",""))</f>
        <v>d</v>
      </c>
      <c r="L6" s="37" t="str" cm="1">
        <f t="array" aca="1" ref="L6" ca="1">IF(INDIRECT(_xlfn.CONCAT("'",IF(ISNUMBER(FIND("'",$A6))=TRUE,_xlfn.CONCAT(LEFT($A6,FIND("'",$A6)-1),"''",RIGHT($A6,LEN($A6)-FIND("'",$A6))),$A6),"'!B4"))&gt;=L$2,"done",IF(INDIRECT(_xlfn.CONCAT("'",IF(ISNUMBER(FIND("'",$A6))=TRUE,_xlfn.CONCAT(LEFT($A6,FIND("'",$A6)-1),"''",RIGHT($A6,LEN($A6)-FIND("'",$A6))),$A6),"'!B5"))&gt;=L$2,"In Prog",""))</f>
        <v/>
      </c>
      <c r="M6" s="96" t="str" cm="1">
        <f t="array" aca="1" ref="M6" ca="1">IF(INDIRECT(_xlfn.CONCAT("'",IF(ISNUMBER(FIND("'",$A6))=TRUE,_xlfn.CONCAT(LEFT($A6,FIND("'",$A6)-1),"''",RIGHT($A6,LEN($A6)-FIND("'",$A6))),$A6),"'!B4"))&gt;=M$2,"done",IF(INDIRECT(_xlfn.CONCAT("'",IF(ISNUMBER(FIND("'",$A6))=TRUE,_xlfn.CONCAT(LEFT($A6,FIND("'",$A6)-1),"''",RIGHT($A6,LEN($A6)-FIND("'",$A6))),$A6),"'!B5"))&gt;=M$2,"In Prog",""))</f>
        <v/>
      </c>
      <c r="N6" s="95"/>
      <c r="O6" s="14" t="str" cm="1">
        <f t="array" aca="1" ref="O6" ca="1">IF(INDIRECT(_xlfn.CONCAT("'",IF(ISNUMBER(FIND("'",$A6))=TRUE,_xlfn.CONCAT(LEFT($A6,FIND("'",$A6)-1),"''",RIGHT($A6,LEN($A6)-FIND("'",$A6))),$A6),"'!C10"))&gt;=O$2,"d",IF(INDIRECT(_xlfn.CONCAT("'",IF(ISNUMBER(FIND("'",$A6))=TRUE,_xlfn.CONCAT(LEFT($A6,FIND("'",$A6)-1),"''",RIGHT($A6,LEN($A6)-FIND("'",$A6))),$A6),"'!C11"))&gt;=O$2,"i",""))</f>
        <v>d</v>
      </c>
      <c r="P6" s="1" t="str" cm="1">
        <f t="array" aca="1" ref="P6" ca="1">IF(INDIRECT(_xlfn.CONCAT("'",IF(ISNUMBER(FIND("'",$A6))=TRUE,_xlfn.CONCAT(LEFT($A6,FIND("'",$A6)-1),"''",RIGHT($A6,LEN($A6)-FIND("'",$A6))),$A6),"'!C10"))&gt;=P$2,"d",IF(INDIRECT(_xlfn.CONCAT("'",IF(ISNUMBER(FIND("'",$A6))=TRUE,_xlfn.CONCAT(LEFT($A6,FIND("'",$A6)-1),"''",RIGHT($A6,LEN($A6)-FIND("'",$A6))),$A6),"'!C11"))&gt;=P$2,"i",""))</f>
        <v>d</v>
      </c>
      <c r="Q6" s="1" t="str" cm="1">
        <f t="array" aca="1" ref="Q6" ca="1">IF(INDIRECT(_xlfn.CONCAT("'",IF(ISNUMBER(FIND("'",$A6))=TRUE,_xlfn.CONCAT(LEFT($A6,FIND("'",$A6)-1),"''",RIGHT($A6,LEN($A6)-FIND("'",$A6))),$A6),"'!C10"))&gt;=Q$2,"d",IF(INDIRECT(_xlfn.CONCAT("'",IF(ISNUMBER(FIND("'",$A6))=TRUE,_xlfn.CONCAT(LEFT($A6,FIND("'",$A6)-1),"''",RIGHT($A6,LEN($A6)-FIND("'",$A6))),$A6),"'!C11"))&gt;=Q$2,"i",""))</f>
        <v>d</v>
      </c>
      <c r="R6" s="1" t="str" cm="1">
        <f t="array" aca="1" ref="R6" ca="1">IF(INDIRECT(_xlfn.CONCAT("'",IF(ISNUMBER(FIND("'",$A6))=TRUE,_xlfn.CONCAT(LEFT($A6,FIND("'",$A6)-1),"''",RIGHT($A6,LEN($A6)-FIND("'",$A6))),$A6),"'!C10"))&gt;=R$2,"d",IF(INDIRECT(_xlfn.CONCAT("'",IF(ISNUMBER(FIND("'",$A6))=TRUE,_xlfn.CONCAT(LEFT($A6,FIND("'",$A6)-1),"''",RIGHT($A6,LEN($A6)-FIND("'",$A6))),$A6),"'!C11"))&gt;=R$2,"i",""))</f>
        <v>d</v>
      </c>
      <c r="S6" s="37"/>
      <c r="T6" s="96"/>
    </row>
    <row r="7" spans="1:20" hidden="1" x14ac:dyDescent="0.25">
      <c r="A7" s="54" t="str">
        <v>Hunter's Bow</v>
      </c>
      <c r="B7" s="14" cm="1">
        <f t="array" ref="B7">_xlfn.XLOOKUP(A7,INDEX(Weapon_List,,1),INDEX(Weapon_List,,3),,0,1)</f>
        <v>1</v>
      </c>
      <c r="C7" s="4" t="str" cm="1">
        <f t="array" ref="C7">_xlfn.XLOOKUP(A7,INDEX(Weapon_List,,1),INDEX(Weapon_List,,2),,0,1)</f>
        <v>Bow</v>
      </c>
      <c r="D7" s="38" t="str" cm="1">
        <f t="array" ref="D7">_xlfn.XLOOKUP(A7,INDEX(Weapon_List,,1),INDEX(Weapon_List,,4),,0,1)</f>
        <v>Mondstadt 2</v>
      </c>
      <c r="E7" s="38" t="str" cm="1">
        <f t="array" ref="E7">_xlfn.XLOOKUP(A7,INDEX(Weapon_List,,1),INDEX(Weapon_List,,5),,0,1)</f>
        <v>Treasure Hoarder</v>
      </c>
      <c r="F7" s="38" t="str" cm="1">
        <f t="array" ref="F7">_xlfn.XLOOKUP(A7,INDEX(Weapon_List,,1),INDEX(Weapon_List,,6),,0,1)</f>
        <v>Abyss Mage</v>
      </c>
      <c r="G7" s="14" t="str" cm="1">
        <f t="array" aca="1" ref="G7" ca="1">IF(INDIRECT(_xlfn.CONCAT("'",IF(ISNUMBER(FIND("'",$A7))=TRUE,_xlfn.CONCAT(LEFT($A7,FIND("'",$A7)-1),"''",RIGHT($A7,LEN($A7)-FIND("'",$A7))),$A7),"'!B4"))&gt;=G$2,"d",IF(INDIRECT(_xlfn.CONCAT("'",IF(ISNUMBER(FIND("'",$A7))=TRUE,_xlfn.CONCAT(LEFT($A7,FIND("'",$A7)-1),"''",RIGHT($A7,LEN($A7)-FIND("'",$A7))),$A7),"'!B5"))&gt;=G$2,"i",""))</f>
        <v>d</v>
      </c>
      <c r="H7" s="1" t="str" cm="1">
        <f t="array" aca="1" ref="H7" ca="1">IF(INDIRECT(_xlfn.CONCAT("'",IF(ISNUMBER(FIND("'",$A7))=TRUE,_xlfn.CONCAT(LEFT($A7,FIND("'",$A7)-1),"''",RIGHT($A7,LEN($A7)-FIND("'",$A7))),$A7),"'!B4"))&gt;=H$2,"d",IF(INDIRECT(_xlfn.CONCAT("'",IF(ISNUMBER(FIND("'",$A7))=TRUE,_xlfn.CONCAT(LEFT($A7,FIND("'",$A7)-1),"''",RIGHT($A7,LEN($A7)-FIND("'",$A7))),$A7),"'!B5"))&gt;=H$2,"i",""))</f>
        <v>d</v>
      </c>
      <c r="I7" s="1" t="str" cm="1">
        <f t="array" aca="1" ref="I7" ca="1">IF(INDIRECT(_xlfn.CONCAT("'",IF(ISNUMBER(FIND("'",$A7))=TRUE,_xlfn.CONCAT(LEFT($A7,FIND("'",$A7)-1),"''",RIGHT($A7,LEN($A7)-FIND("'",$A7))),$A7),"'!B4"))&gt;=I$2,"d",IF(INDIRECT(_xlfn.CONCAT("'",IF(ISNUMBER(FIND("'",$A7))=TRUE,_xlfn.CONCAT(LEFT($A7,FIND("'",$A7)-1),"''",RIGHT($A7,LEN($A7)-FIND("'",$A7))),$A7),"'!B5"))&gt;=I$2,"i",""))</f>
        <v>d</v>
      </c>
      <c r="J7" s="1" t="str" cm="1">
        <f t="array" aca="1" ref="J7" ca="1">IF(INDIRECT(_xlfn.CONCAT("'",IF(ISNUMBER(FIND("'",$A7))=TRUE,_xlfn.CONCAT(LEFT($A7,FIND("'",$A7)-1),"''",RIGHT($A7,LEN($A7)-FIND("'",$A7))),$A7),"'!B4"))&gt;=J$2,"d",IF(INDIRECT(_xlfn.CONCAT("'",IF(ISNUMBER(FIND("'",$A7))=TRUE,_xlfn.CONCAT(LEFT($A7,FIND("'",$A7)-1),"''",RIGHT($A7,LEN($A7)-FIND("'",$A7))),$A7),"'!B5"))&gt;=J$2,"i",""))</f>
        <v>d</v>
      </c>
      <c r="K7" s="1" t="str" cm="1">
        <f t="array" aca="1" ref="K7" ca="1">IF(INDIRECT(_xlfn.CONCAT("'",IF(ISNUMBER(FIND("'",$A7))=TRUE,_xlfn.CONCAT(LEFT($A7,FIND("'",$A7)-1),"''",RIGHT($A7,LEN($A7)-FIND("'",$A7))),$A7),"'!B4"))&gt;=K$2,"d",IF(INDIRECT(_xlfn.CONCAT("'",IF(ISNUMBER(FIND("'",$A7))=TRUE,_xlfn.CONCAT(LEFT($A7,FIND("'",$A7)-1),"''",RIGHT($A7,LEN($A7)-FIND("'",$A7))),$A7),"'!B5"))&gt;=K$2,"i",""))</f>
        <v>d</v>
      </c>
      <c r="L7" s="37" t="str" cm="1">
        <f t="array" aca="1" ref="L7" ca="1">IF(INDIRECT(_xlfn.CONCAT("'",IF(ISNUMBER(FIND("'",$A7))=TRUE,_xlfn.CONCAT(LEFT($A7,FIND("'",$A7)-1),"''",RIGHT($A7,LEN($A7)-FIND("'",$A7))),$A7),"'!B4"))&gt;=L$2,"done",IF(INDIRECT(_xlfn.CONCAT("'",IF(ISNUMBER(FIND("'",$A7))=TRUE,_xlfn.CONCAT(LEFT($A7,FIND("'",$A7)-1),"''",RIGHT($A7,LEN($A7)-FIND("'",$A7))),$A7),"'!B5"))&gt;=L$2,"In Prog",""))</f>
        <v/>
      </c>
      <c r="M7" s="96" t="str" cm="1">
        <f t="array" aca="1" ref="M7" ca="1">IF(INDIRECT(_xlfn.CONCAT("'",IF(ISNUMBER(FIND("'",$A7))=TRUE,_xlfn.CONCAT(LEFT($A7,FIND("'",$A7)-1),"''",RIGHT($A7,LEN($A7)-FIND("'",$A7))),$A7),"'!B4"))&gt;=M$2,"done",IF(INDIRECT(_xlfn.CONCAT("'",IF(ISNUMBER(FIND("'",$A7))=TRUE,_xlfn.CONCAT(LEFT($A7,FIND("'",$A7)-1),"''",RIGHT($A7,LEN($A7)-FIND("'",$A7))),$A7),"'!B5"))&gt;=M$2,"In Prog",""))</f>
        <v/>
      </c>
      <c r="N7" s="95"/>
      <c r="O7" s="14" t="str" cm="1">
        <f t="array" aca="1" ref="O7" ca="1">IF(INDIRECT(_xlfn.CONCAT("'",IF(ISNUMBER(FIND("'",$A7))=TRUE,_xlfn.CONCAT(LEFT($A7,FIND("'",$A7)-1),"''",RIGHT($A7,LEN($A7)-FIND("'",$A7))),$A7),"'!C10"))&gt;=O$2,"d",IF(INDIRECT(_xlfn.CONCAT("'",IF(ISNUMBER(FIND("'",$A7))=TRUE,_xlfn.CONCAT(LEFT($A7,FIND("'",$A7)-1),"''",RIGHT($A7,LEN($A7)-FIND("'",$A7))),$A7),"'!C11"))&gt;=O$2,"i",""))</f>
        <v>d</v>
      </c>
      <c r="P7" s="1" t="str" cm="1">
        <f t="array" aca="1" ref="P7" ca="1">IF(INDIRECT(_xlfn.CONCAT("'",IF(ISNUMBER(FIND("'",$A7))=TRUE,_xlfn.CONCAT(LEFT($A7,FIND("'",$A7)-1),"''",RIGHT($A7,LEN($A7)-FIND("'",$A7))),$A7),"'!C10"))&gt;=P$2,"d",IF(INDIRECT(_xlfn.CONCAT("'",IF(ISNUMBER(FIND("'",$A7))=TRUE,_xlfn.CONCAT(LEFT($A7,FIND("'",$A7)-1),"''",RIGHT($A7,LEN($A7)-FIND("'",$A7))),$A7),"'!C11"))&gt;=P$2,"i",""))</f>
        <v>d</v>
      </c>
      <c r="Q7" s="1" t="str" cm="1">
        <f t="array" aca="1" ref="Q7" ca="1">IF(INDIRECT(_xlfn.CONCAT("'",IF(ISNUMBER(FIND("'",$A7))=TRUE,_xlfn.CONCAT(LEFT($A7,FIND("'",$A7)-1),"''",RIGHT($A7,LEN($A7)-FIND("'",$A7))),$A7),"'!C10"))&gt;=Q$2,"d",IF(INDIRECT(_xlfn.CONCAT("'",IF(ISNUMBER(FIND("'",$A7))=TRUE,_xlfn.CONCAT(LEFT($A7,FIND("'",$A7)-1),"''",RIGHT($A7,LEN($A7)-FIND("'",$A7))),$A7),"'!C11"))&gt;=Q$2,"i",""))</f>
        <v>d</v>
      </c>
      <c r="R7" s="1" t="str" cm="1">
        <f t="array" aca="1" ref="R7" ca="1">IF(INDIRECT(_xlfn.CONCAT("'",IF(ISNUMBER(FIND("'",$A7))=TRUE,_xlfn.CONCAT(LEFT($A7,FIND("'",$A7)-1),"''",RIGHT($A7,LEN($A7)-FIND("'",$A7))),$A7),"'!C10"))&gt;=R$2,"d",IF(INDIRECT(_xlfn.CONCAT("'",IF(ISNUMBER(FIND("'",$A7))=TRUE,_xlfn.CONCAT(LEFT($A7,FIND("'",$A7)-1),"''",RIGHT($A7,LEN($A7)-FIND("'",$A7))),$A7),"'!C11"))&gt;=R$2,"i",""))</f>
        <v>d</v>
      </c>
      <c r="S7" s="37"/>
      <c r="T7" s="96"/>
    </row>
    <row r="8" spans="1:20" hidden="1" x14ac:dyDescent="0.25">
      <c r="A8" s="54" t="str">
        <v>Silver Sword</v>
      </c>
      <c r="B8" s="14" cm="1">
        <f t="array" ref="B8">_xlfn.XLOOKUP(A8,INDEX(Weapon_List,,1),INDEX(Weapon_List,,3),,0,1)</f>
        <v>2</v>
      </c>
      <c r="C8" s="4" t="str" cm="1">
        <f t="array" ref="C8">_xlfn.XLOOKUP(A8,INDEX(Weapon_List,,1),INDEX(Weapon_List,,2),,0,1)</f>
        <v>Sword</v>
      </c>
      <c r="D8" s="38" t="str" cm="1">
        <f t="array" ref="D8">_xlfn.XLOOKUP(A8,INDEX(Weapon_List,,1),INDEX(Weapon_List,,4),,0,1)</f>
        <v>Mondstadt 1</v>
      </c>
      <c r="E8" s="38" t="str" cm="1">
        <f t="array" ref="E8">_xlfn.XLOOKUP(A8,INDEX(Weapon_List,,1),INDEX(Weapon_List,,5),,0,1)</f>
        <v>Hilichurl Shooter</v>
      </c>
      <c r="F8" s="38" t="str" cm="1">
        <f t="array" ref="F8">_xlfn.XLOOKUP(A8,INDEX(Weapon_List,,1),INDEX(Weapon_List,,6),,0,1)</f>
        <v>Mitachurl</v>
      </c>
      <c r="G8" s="14" t="str" cm="1">
        <f t="array" aca="1" ref="G8" ca="1">IF(INDIRECT(_xlfn.CONCAT("'",IF(ISNUMBER(FIND("'",$A8))=TRUE,_xlfn.CONCAT(LEFT($A8,FIND("'",$A8)-1),"''",RIGHT($A8,LEN($A8)-FIND("'",$A8))),$A8),"'!B4"))&gt;=G$2,"d",IF(INDIRECT(_xlfn.CONCAT("'",IF(ISNUMBER(FIND("'",$A8))=TRUE,_xlfn.CONCAT(LEFT($A8,FIND("'",$A8)-1),"''",RIGHT($A8,LEN($A8)-FIND("'",$A8))),$A8),"'!B5"))&gt;=G$2,"i",""))</f>
        <v>d</v>
      </c>
      <c r="H8" s="1" t="str" cm="1">
        <f t="array" aca="1" ref="H8" ca="1">IF(INDIRECT(_xlfn.CONCAT("'",IF(ISNUMBER(FIND("'",$A8))=TRUE,_xlfn.CONCAT(LEFT($A8,FIND("'",$A8)-1),"''",RIGHT($A8,LEN($A8)-FIND("'",$A8))),$A8),"'!B4"))&gt;=H$2,"d",IF(INDIRECT(_xlfn.CONCAT("'",IF(ISNUMBER(FIND("'",$A8))=TRUE,_xlfn.CONCAT(LEFT($A8,FIND("'",$A8)-1),"''",RIGHT($A8,LEN($A8)-FIND("'",$A8))),$A8),"'!B5"))&gt;=H$2,"i",""))</f>
        <v>d</v>
      </c>
      <c r="I8" s="1" t="str" cm="1">
        <f t="array" aca="1" ref="I8" ca="1">IF(INDIRECT(_xlfn.CONCAT("'",IF(ISNUMBER(FIND("'",$A8))=TRUE,_xlfn.CONCAT(LEFT($A8,FIND("'",$A8)-1),"''",RIGHT($A8,LEN($A8)-FIND("'",$A8))),$A8),"'!B4"))&gt;=I$2,"d",IF(INDIRECT(_xlfn.CONCAT("'",IF(ISNUMBER(FIND("'",$A8))=TRUE,_xlfn.CONCAT(LEFT($A8,FIND("'",$A8)-1),"''",RIGHT($A8,LEN($A8)-FIND("'",$A8))),$A8),"'!B5"))&gt;=I$2,"i",""))</f>
        <v>d</v>
      </c>
      <c r="J8" s="1" t="str" cm="1">
        <f t="array" aca="1" ref="J8" ca="1">IF(INDIRECT(_xlfn.CONCAT("'",IF(ISNUMBER(FIND("'",$A8))=TRUE,_xlfn.CONCAT(LEFT($A8,FIND("'",$A8)-1),"''",RIGHT($A8,LEN($A8)-FIND("'",$A8))),$A8),"'!B4"))&gt;=J$2,"d",IF(INDIRECT(_xlfn.CONCAT("'",IF(ISNUMBER(FIND("'",$A8))=TRUE,_xlfn.CONCAT(LEFT($A8,FIND("'",$A8)-1),"''",RIGHT($A8,LEN($A8)-FIND("'",$A8))),$A8),"'!B5"))&gt;=J$2,"i",""))</f>
        <v>d</v>
      </c>
      <c r="K8" s="1" t="str" cm="1">
        <f t="array" aca="1" ref="K8" ca="1">IF(INDIRECT(_xlfn.CONCAT("'",IF(ISNUMBER(FIND("'",$A8))=TRUE,_xlfn.CONCAT(LEFT($A8,FIND("'",$A8)-1),"''",RIGHT($A8,LEN($A8)-FIND("'",$A8))),$A8),"'!B4"))&gt;=K$2,"d",IF(INDIRECT(_xlfn.CONCAT("'",IF(ISNUMBER(FIND("'",$A8))=TRUE,_xlfn.CONCAT(LEFT($A8,FIND("'",$A8)-1),"''",RIGHT($A8,LEN($A8)-FIND("'",$A8))),$A8),"'!B5"))&gt;=K$2,"i",""))</f>
        <v>d</v>
      </c>
      <c r="L8" s="37" t="str" cm="1">
        <f t="array" aca="1" ref="L8" ca="1">IF(INDIRECT(_xlfn.CONCAT("'",IF(ISNUMBER(FIND("'",$A8))=TRUE,_xlfn.CONCAT(LEFT($A8,FIND("'",$A8)-1),"''",RIGHT($A8,LEN($A8)-FIND("'",$A8))),$A8),"'!B4"))&gt;=L$2,"done",IF(INDIRECT(_xlfn.CONCAT("'",IF(ISNUMBER(FIND("'",$A8))=TRUE,_xlfn.CONCAT(LEFT($A8,FIND("'",$A8)-1),"''",RIGHT($A8,LEN($A8)-FIND("'",$A8))),$A8),"'!B5"))&gt;=L$2,"In Prog",""))</f>
        <v/>
      </c>
      <c r="M8" s="96" t="str" cm="1">
        <f t="array" aca="1" ref="M8" ca="1">IF(INDIRECT(_xlfn.CONCAT("'",IF(ISNUMBER(FIND("'",$A8))=TRUE,_xlfn.CONCAT(LEFT($A8,FIND("'",$A8)-1),"''",RIGHT($A8,LEN($A8)-FIND("'",$A8))),$A8),"'!B4"))&gt;=M$2,"done",IF(INDIRECT(_xlfn.CONCAT("'",IF(ISNUMBER(FIND("'",$A8))=TRUE,_xlfn.CONCAT(LEFT($A8,FIND("'",$A8)-1),"''",RIGHT($A8,LEN($A8)-FIND("'",$A8))),$A8),"'!B5"))&gt;=M$2,"In Prog",""))</f>
        <v/>
      </c>
      <c r="N8" s="95"/>
      <c r="O8" s="14" t="str" cm="1">
        <f t="array" aca="1" ref="O8" ca="1">IF(INDIRECT(_xlfn.CONCAT("'",IF(ISNUMBER(FIND("'",$A8))=TRUE,_xlfn.CONCAT(LEFT($A8,FIND("'",$A8)-1),"''",RIGHT($A8,LEN($A8)-FIND("'",$A8))),$A8),"'!C10"))&gt;=O$2,"d",IF(INDIRECT(_xlfn.CONCAT("'",IF(ISNUMBER(FIND("'",$A8))=TRUE,_xlfn.CONCAT(LEFT($A8,FIND("'",$A8)-1),"''",RIGHT($A8,LEN($A8)-FIND("'",$A8))),$A8),"'!C11"))&gt;=O$2,"i",""))</f>
        <v>d</v>
      </c>
      <c r="P8" s="1" t="str" cm="1">
        <f t="array" aca="1" ref="P8" ca="1">IF(INDIRECT(_xlfn.CONCAT("'",IF(ISNUMBER(FIND("'",$A8))=TRUE,_xlfn.CONCAT(LEFT($A8,FIND("'",$A8)-1),"''",RIGHT($A8,LEN($A8)-FIND("'",$A8))),$A8),"'!C10"))&gt;=P$2,"d",IF(INDIRECT(_xlfn.CONCAT("'",IF(ISNUMBER(FIND("'",$A8))=TRUE,_xlfn.CONCAT(LEFT($A8,FIND("'",$A8)-1),"''",RIGHT($A8,LEN($A8)-FIND("'",$A8))),$A8),"'!C11"))&gt;=P$2,"i",""))</f>
        <v>d</v>
      </c>
      <c r="Q8" s="1" t="str" cm="1">
        <f t="array" aca="1" ref="Q8" ca="1">IF(INDIRECT(_xlfn.CONCAT("'",IF(ISNUMBER(FIND("'",$A8))=TRUE,_xlfn.CONCAT(LEFT($A8,FIND("'",$A8)-1),"''",RIGHT($A8,LEN($A8)-FIND("'",$A8))),$A8),"'!C10"))&gt;=Q$2,"d",IF(INDIRECT(_xlfn.CONCAT("'",IF(ISNUMBER(FIND("'",$A8))=TRUE,_xlfn.CONCAT(LEFT($A8,FIND("'",$A8)-1),"''",RIGHT($A8,LEN($A8)-FIND("'",$A8))),$A8),"'!C11"))&gt;=Q$2,"i",""))</f>
        <v>d</v>
      </c>
      <c r="R8" s="1" t="str" cm="1">
        <f t="array" aca="1" ref="R8" ca="1">IF(INDIRECT(_xlfn.CONCAT("'",IF(ISNUMBER(FIND("'",$A8))=TRUE,_xlfn.CONCAT(LEFT($A8,FIND("'",$A8)-1),"''",RIGHT($A8,LEN($A8)-FIND("'",$A8))),$A8),"'!C10"))&gt;=R$2,"d",IF(INDIRECT(_xlfn.CONCAT("'",IF(ISNUMBER(FIND("'",$A8))=TRUE,_xlfn.CONCAT(LEFT($A8,FIND("'",$A8)-1),"''",RIGHT($A8,LEN($A8)-FIND("'",$A8))),$A8),"'!C11"))&gt;=R$2,"i",""))</f>
        <v>d</v>
      </c>
      <c r="S8" s="37"/>
      <c r="T8" s="96"/>
    </row>
    <row r="9" spans="1:20" hidden="1" x14ac:dyDescent="0.25">
      <c r="A9" s="54" t="str">
        <v>Old Merc's Pal</v>
      </c>
      <c r="B9" s="14" cm="1">
        <f t="array" ref="B9">_xlfn.XLOOKUP(A9,INDEX(Weapon_List,,1),INDEX(Weapon_List,,3),,0,1)</f>
        <v>2</v>
      </c>
      <c r="C9" s="4" t="str" cm="1">
        <f t="array" ref="C9">_xlfn.XLOOKUP(A9,INDEX(Weapon_List,,1),INDEX(Weapon_List,,2),,0,1)</f>
        <v>Claymore</v>
      </c>
      <c r="D9" s="38" t="str" cm="1">
        <f t="array" ref="D9">_xlfn.XLOOKUP(A9,INDEX(Weapon_List,,1),INDEX(Weapon_List,,4),,0,1)</f>
        <v>Mondstadt 2</v>
      </c>
      <c r="E9" s="38" t="str" cm="1">
        <f t="array" ref="E9">_xlfn.XLOOKUP(A9,INDEX(Weapon_List,,1),INDEX(Weapon_List,,5),,0,1)</f>
        <v>Slime</v>
      </c>
      <c r="F9" s="38" t="str" cm="1">
        <f t="array" ref="F9">_xlfn.XLOOKUP(A9,INDEX(Weapon_List,,1),INDEX(Weapon_List,,6),,0,1)</f>
        <v>Abyss Mage</v>
      </c>
      <c r="G9" s="14" t="str" cm="1">
        <f t="array" aca="1" ref="G9" ca="1">IF(INDIRECT(_xlfn.CONCAT("'",IF(ISNUMBER(FIND("'",$A9))=TRUE,_xlfn.CONCAT(LEFT($A9,FIND("'",$A9)-1),"''",RIGHT($A9,LEN($A9)-FIND("'",$A9))),$A9),"'!B4"))&gt;=G$2,"d",IF(INDIRECT(_xlfn.CONCAT("'",IF(ISNUMBER(FIND("'",$A9))=TRUE,_xlfn.CONCAT(LEFT($A9,FIND("'",$A9)-1),"''",RIGHT($A9,LEN($A9)-FIND("'",$A9))),$A9),"'!B5"))&gt;=G$2,"i",""))</f>
        <v>d</v>
      </c>
      <c r="H9" s="1" t="str" cm="1">
        <f t="array" aca="1" ref="H9" ca="1">IF(INDIRECT(_xlfn.CONCAT("'",IF(ISNUMBER(FIND("'",$A9))=TRUE,_xlfn.CONCAT(LEFT($A9,FIND("'",$A9)-1),"''",RIGHT($A9,LEN($A9)-FIND("'",$A9))),$A9),"'!B4"))&gt;=H$2,"d",IF(INDIRECT(_xlfn.CONCAT("'",IF(ISNUMBER(FIND("'",$A9))=TRUE,_xlfn.CONCAT(LEFT($A9,FIND("'",$A9)-1),"''",RIGHT($A9,LEN($A9)-FIND("'",$A9))),$A9),"'!B5"))&gt;=H$2,"i",""))</f>
        <v>d</v>
      </c>
      <c r="I9" s="1" t="str" cm="1">
        <f t="array" aca="1" ref="I9" ca="1">IF(INDIRECT(_xlfn.CONCAT("'",IF(ISNUMBER(FIND("'",$A9))=TRUE,_xlfn.CONCAT(LEFT($A9,FIND("'",$A9)-1),"''",RIGHT($A9,LEN($A9)-FIND("'",$A9))),$A9),"'!B4"))&gt;=I$2,"d",IF(INDIRECT(_xlfn.CONCAT("'",IF(ISNUMBER(FIND("'",$A9))=TRUE,_xlfn.CONCAT(LEFT($A9,FIND("'",$A9)-1),"''",RIGHT($A9,LEN($A9)-FIND("'",$A9))),$A9),"'!B5"))&gt;=I$2,"i",""))</f>
        <v>d</v>
      </c>
      <c r="J9" s="1" t="str" cm="1">
        <f t="array" aca="1" ref="J9" ca="1">IF(INDIRECT(_xlfn.CONCAT("'",IF(ISNUMBER(FIND("'",$A9))=TRUE,_xlfn.CONCAT(LEFT($A9,FIND("'",$A9)-1),"''",RIGHT($A9,LEN($A9)-FIND("'",$A9))),$A9),"'!B4"))&gt;=J$2,"d",IF(INDIRECT(_xlfn.CONCAT("'",IF(ISNUMBER(FIND("'",$A9))=TRUE,_xlfn.CONCAT(LEFT($A9,FIND("'",$A9)-1),"''",RIGHT($A9,LEN($A9)-FIND("'",$A9))),$A9),"'!B5"))&gt;=J$2,"i",""))</f>
        <v>d</v>
      </c>
      <c r="K9" s="1" t="str" cm="1">
        <f t="array" aca="1" ref="K9" ca="1">IF(INDIRECT(_xlfn.CONCAT("'",IF(ISNUMBER(FIND("'",$A9))=TRUE,_xlfn.CONCAT(LEFT($A9,FIND("'",$A9)-1),"''",RIGHT($A9,LEN($A9)-FIND("'",$A9))),$A9),"'!B4"))&gt;=K$2,"d",IF(INDIRECT(_xlfn.CONCAT("'",IF(ISNUMBER(FIND("'",$A9))=TRUE,_xlfn.CONCAT(LEFT($A9,FIND("'",$A9)-1),"''",RIGHT($A9,LEN($A9)-FIND("'",$A9))),$A9),"'!B5"))&gt;=K$2,"i",""))</f>
        <v>d</v>
      </c>
      <c r="L9" s="37" t="str" cm="1">
        <f t="array" aca="1" ref="L9" ca="1">IF(INDIRECT(_xlfn.CONCAT("'",IF(ISNUMBER(FIND("'",$A9))=TRUE,_xlfn.CONCAT(LEFT($A9,FIND("'",$A9)-1),"''",RIGHT($A9,LEN($A9)-FIND("'",$A9))),$A9),"'!B4"))&gt;=L$2,"done",IF(INDIRECT(_xlfn.CONCAT("'",IF(ISNUMBER(FIND("'",$A9))=TRUE,_xlfn.CONCAT(LEFT($A9,FIND("'",$A9)-1),"''",RIGHT($A9,LEN($A9)-FIND("'",$A9))),$A9),"'!B5"))&gt;=L$2,"In Prog",""))</f>
        <v/>
      </c>
      <c r="M9" s="96" t="str" cm="1">
        <f t="array" aca="1" ref="M9" ca="1">IF(INDIRECT(_xlfn.CONCAT("'",IF(ISNUMBER(FIND("'",$A9))=TRUE,_xlfn.CONCAT(LEFT($A9,FIND("'",$A9)-1),"''",RIGHT($A9,LEN($A9)-FIND("'",$A9))),$A9),"'!B4"))&gt;=M$2,"done",IF(INDIRECT(_xlfn.CONCAT("'",IF(ISNUMBER(FIND("'",$A9))=TRUE,_xlfn.CONCAT(LEFT($A9,FIND("'",$A9)-1),"''",RIGHT($A9,LEN($A9)-FIND("'",$A9))),$A9),"'!B5"))&gt;=M$2,"In Prog",""))</f>
        <v/>
      </c>
      <c r="N9" s="95"/>
      <c r="O9" s="14" t="str" cm="1">
        <f t="array" aca="1" ref="O9" ca="1">IF(INDIRECT(_xlfn.CONCAT("'",IF(ISNUMBER(FIND("'",$A9))=TRUE,_xlfn.CONCAT(LEFT($A9,FIND("'",$A9)-1),"''",RIGHT($A9,LEN($A9)-FIND("'",$A9))),$A9),"'!C10"))&gt;=O$2,"d",IF(INDIRECT(_xlfn.CONCAT("'",IF(ISNUMBER(FIND("'",$A9))=TRUE,_xlfn.CONCAT(LEFT($A9,FIND("'",$A9)-1),"''",RIGHT($A9,LEN($A9)-FIND("'",$A9))),$A9),"'!C11"))&gt;=O$2,"i",""))</f>
        <v>d</v>
      </c>
      <c r="P9" s="1" t="str" cm="1">
        <f t="array" aca="1" ref="P9" ca="1">IF(INDIRECT(_xlfn.CONCAT("'",IF(ISNUMBER(FIND("'",$A9))=TRUE,_xlfn.CONCAT(LEFT($A9,FIND("'",$A9)-1),"''",RIGHT($A9,LEN($A9)-FIND("'",$A9))),$A9),"'!C10"))&gt;=P$2,"d",IF(INDIRECT(_xlfn.CONCAT("'",IF(ISNUMBER(FIND("'",$A9))=TRUE,_xlfn.CONCAT(LEFT($A9,FIND("'",$A9)-1),"''",RIGHT($A9,LEN($A9)-FIND("'",$A9))),$A9),"'!C11"))&gt;=P$2,"i",""))</f>
        <v>d</v>
      </c>
      <c r="Q9" s="1" t="str" cm="1">
        <f t="array" aca="1" ref="Q9" ca="1">IF(INDIRECT(_xlfn.CONCAT("'",IF(ISNUMBER(FIND("'",$A9))=TRUE,_xlfn.CONCAT(LEFT($A9,FIND("'",$A9)-1),"''",RIGHT($A9,LEN($A9)-FIND("'",$A9))),$A9),"'!C10"))&gt;=Q$2,"d",IF(INDIRECT(_xlfn.CONCAT("'",IF(ISNUMBER(FIND("'",$A9))=TRUE,_xlfn.CONCAT(LEFT($A9,FIND("'",$A9)-1),"''",RIGHT($A9,LEN($A9)-FIND("'",$A9))),$A9),"'!C11"))&gt;=Q$2,"i",""))</f>
        <v>d</v>
      </c>
      <c r="R9" s="1" t="str" cm="1">
        <f t="array" aca="1" ref="R9" ca="1">IF(INDIRECT(_xlfn.CONCAT("'",IF(ISNUMBER(FIND("'",$A9))=TRUE,_xlfn.CONCAT(LEFT($A9,FIND("'",$A9)-1),"''",RIGHT($A9,LEN($A9)-FIND("'",$A9))),$A9),"'!C10"))&gt;=R$2,"d",IF(INDIRECT(_xlfn.CONCAT("'",IF(ISNUMBER(FIND("'",$A9))=TRUE,_xlfn.CONCAT(LEFT($A9,FIND("'",$A9)-1),"''",RIGHT($A9,LEN($A9)-FIND("'",$A9))),$A9),"'!C11"))&gt;=R$2,"i",""))</f>
        <v>d</v>
      </c>
      <c r="S9" s="37"/>
      <c r="T9" s="96"/>
    </row>
    <row r="10" spans="1:20" hidden="1" x14ac:dyDescent="0.25">
      <c r="A10" s="54" t="str">
        <v>Iron Point</v>
      </c>
      <c r="B10" s="14" cm="1">
        <f t="array" ref="B10">_xlfn.XLOOKUP(A10,INDEX(Weapon_List,,1),INDEX(Weapon_List,,3),,0,1)</f>
        <v>2</v>
      </c>
      <c r="C10" s="4" t="str" cm="1">
        <f t="array" ref="C10">_xlfn.XLOOKUP(A10,INDEX(Weapon_List,,1),INDEX(Weapon_List,,2),,0,1)</f>
        <v>Polearm</v>
      </c>
      <c r="D10" s="38" t="str" cm="1">
        <f t="array" ref="D10">_xlfn.XLOOKUP(A10,INDEX(Weapon_List,,1),INDEX(Weapon_List,,4),,0,1)</f>
        <v>Mondstadt 3</v>
      </c>
      <c r="E10" s="38" t="str" cm="1">
        <f t="array" ref="E10">_xlfn.XLOOKUP(A10,INDEX(Weapon_List,,1),INDEX(Weapon_List,,5),,0,1)</f>
        <v>Samachurl</v>
      </c>
      <c r="F10" s="38" t="str" cm="1">
        <f t="array" ref="F10">_xlfn.XLOOKUP(A10,INDEX(Weapon_List,,1),INDEX(Weapon_List,,6),,0,1)</f>
        <v>Ruin Machine 1</v>
      </c>
      <c r="G10" s="14" t="str" cm="1">
        <f t="array" aca="1" ref="G10" ca="1">IF(INDIRECT(_xlfn.CONCAT("'",IF(ISNUMBER(FIND("'",$A10))=TRUE,_xlfn.CONCAT(LEFT($A10,FIND("'",$A10)-1),"''",RIGHT($A10,LEN($A10)-FIND("'",$A10))),$A10),"'!B4"))&gt;=G$2,"d",IF(INDIRECT(_xlfn.CONCAT("'",IF(ISNUMBER(FIND("'",$A10))=TRUE,_xlfn.CONCAT(LEFT($A10,FIND("'",$A10)-1),"''",RIGHT($A10,LEN($A10)-FIND("'",$A10))),$A10),"'!B5"))&gt;=G$2,"i",""))</f>
        <v>d</v>
      </c>
      <c r="H10" s="1" t="str" cm="1">
        <f t="array" aca="1" ref="H10" ca="1">IF(INDIRECT(_xlfn.CONCAT("'",IF(ISNUMBER(FIND("'",$A10))=TRUE,_xlfn.CONCAT(LEFT($A10,FIND("'",$A10)-1),"''",RIGHT($A10,LEN($A10)-FIND("'",$A10))),$A10),"'!B4"))&gt;=H$2,"d",IF(INDIRECT(_xlfn.CONCAT("'",IF(ISNUMBER(FIND("'",$A10))=TRUE,_xlfn.CONCAT(LEFT($A10,FIND("'",$A10)-1),"''",RIGHT($A10,LEN($A10)-FIND("'",$A10))),$A10),"'!B5"))&gt;=H$2,"i",""))</f>
        <v>d</v>
      </c>
      <c r="I10" s="1" t="str" cm="1">
        <f t="array" aca="1" ref="I10" ca="1">IF(INDIRECT(_xlfn.CONCAT("'",IF(ISNUMBER(FIND("'",$A10))=TRUE,_xlfn.CONCAT(LEFT($A10,FIND("'",$A10)-1),"''",RIGHT($A10,LEN($A10)-FIND("'",$A10))),$A10),"'!B4"))&gt;=I$2,"d",IF(INDIRECT(_xlfn.CONCAT("'",IF(ISNUMBER(FIND("'",$A10))=TRUE,_xlfn.CONCAT(LEFT($A10,FIND("'",$A10)-1),"''",RIGHT($A10,LEN($A10)-FIND("'",$A10))),$A10),"'!B5"))&gt;=I$2,"i",""))</f>
        <v>d</v>
      </c>
      <c r="J10" s="1" t="str" cm="1">
        <f t="array" aca="1" ref="J10" ca="1">IF(INDIRECT(_xlfn.CONCAT("'",IF(ISNUMBER(FIND("'",$A10))=TRUE,_xlfn.CONCAT(LEFT($A10,FIND("'",$A10)-1),"''",RIGHT($A10,LEN($A10)-FIND("'",$A10))),$A10),"'!B4"))&gt;=J$2,"d",IF(INDIRECT(_xlfn.CONCAT("'",IF(ISNUMBER(FIND("'",$A10))=TRUE,_xlfn.CONCAT(LEFT($A10,FIND("'",$A10)-1),"''",RIGHT($A10,LEN($A10)-FIND("'",$A10))),$A10),"'!B5"))&gt;=J$2,"i",""))</f>
        <v>d</v>
      </c>
      <c r="K10" s="1" t="str" cm="1">
        <f t="array" aca="1" ref="K10" ca="1">IF(INDIRECT(_xlfn.CONCAT("'",IF(ISNUMBER(FIND("'",$A10))=TRUE,_xlfn.CONCAT(LEFT($A10,FIND("'",$A10)-1),"''",RIGHT($A10,LEN($A10)-FIND("'",$A10))),$A10),"'!B4"))&gt;=K$2,"d",IF(INDIRECT(_xlfn.CONCAT("'",IF(ISNUMBER(FIND("'",$A10))=TRUE,_xlfn.CONCAT(LEFT($A10,FIND("'",$A10)-1),"''",RIGHT($A10,LEN($A10)-FIND("'",$A10))),$A10),"'!B5"))&gt;=K$2,"i",""))</f>
        <v>d</v>
      </c>
      <c r="L10" s="37" t="str" cm="1">
        <f t="array" aca="1" ref="L10" ca="1">IF(INDIRECT(_xlfn.CONCAT("'",IF(ISNUMBER(FIND("'",$A10))=TRUE,_xlfn.CONCAT(LEFT($A10,FIND("'",$A10)-1),"''",RIGHT($A10,LEN($A10)-FIND("'",$A10))),$A10),"'!B4"))&gt;=L$2,"done",IF(INDIRECT(_xlfn.CONCAT("'",IF(ISNUMBER(FIND("'",$A10))=TRUE,_xlfn.CONCAT(LEFT($A10,FIND("'",$A10)-1),"''",RIGHT($A10,LEN($A10)-FIND("'",$A10))),$A10),"'!B5"))&gt;=L$2,"In Prog",""))</f>
        <v/>
      </c>
      <c r="M10" s="96" t="str" cm="1">
        <f t="array" aca="1" ref="M10" ca="1">IF(INDIRECT(_xlfn.CONCAT("'",IF(ISNUMBER(FIND("'",$A10))=TRUE,_xlfn.CONCAT(LEFT($A10,FIND("'",$A10)-1),"''",RIGHT($A10,LEN($A10)-FIND("'",$A10))),$A10),"'!B4"))&gt;=M$2,"done",IF(INDIRECT(_xlfn.CONCAT("'",IF(ISNUMBER(FIND("'",$A10))=TRUE,_xlfn.CONCAT(LEFT($A10,FIND("'",$A10)-1),"''",RIGHT($A10,LEN($A10)-FIND("'",$A10))),$A10),"'!B5"))&gt;=M$2,"In Prog",""))</f>
        <v/>
      </c>
      <c r="N10" s="95"/>
      <c r="O10" s="14" t="str" cm="1">
        <f t="array" aca="1" ref="O10" ca="1">IF(INDIRECT(_xlfn.CONCAT("'",IF(ISNUMBER(FIND("'",$A10))=TRUE,_xlfn.CONCAT(LEFT($A10,FIND("'",$A10)-1),"''",RIGHT($A10,LEN($A10)-FIND("'",$A10))),$A10),"'!C10"))&gt;=O$2,"d",IF(INDIRECT(_xlfn.CONCAT("'",IF(ISNUMBER(FIND("'",$A10))=TRUE,_xlfn.CONCAT(LEFT($A10,FIND("'",$A10)-1),"''",RIGHT($A10,LEN($A10)-FIND("'",$A10))),$A10),"'!C11"))&gt;=O$2,"i",""))</f>
        <v>d</v>
      </c>
      <c r="P10" s="1" t="str" cm="1">
        <f t="array" aca="1" ref="P10" ca="1">IF(INDIRECT(_xlfn.CONCAT("'",IF(ISNUMBER(FIND("'",$A10))=TRUE,_xlfn.CONCAT(LEFT($A10,FIND("'",$A10)-1),"''",RIGHT($A10,LEN($A10)-FIND("'",$A10))),$A10),"'!C10"))&gt;=P$2,"d",IF(INDIRECT(_xlfn.CONCAT("'",IF(ISNUMBER(FIND("'",$A10))=TRUE,_xlfn.CONCAT(LEFT($A10,FIND("'",$A10)-1),"''",RIGHT($A10,LEN($A10)-FIND("'",$A10))),$A10),"'!C11"))&gt;=P$2,"i",""))</f>
        <v>d</v>
      </c>
      <c r="Q10" s="1" t="str" cm="1">
        <f t="array" aca="1" ref="Q10" ca="1">IF(INDIRECT(_xlfn.CONCAT("'",IF(ISNUMBER(FIND("'",$A10))=TRUE,_xlfn.CONCAT(LEFT($A10,FIND("'",$A10)-1),"''",RIGHT($A10,LEN($A10)-FIND("'",$A10))),$A10),"'!C10"))&gt;=Q$2,"d",IF(INDIRECT(_xlfn.CONCAT("'",IF(ISNUMBER(FIND("'",$A10))=TRUE,_xlfn.CONCAT(LEFT($A10,FIND("'",$A10)-1),"''",RIGHT($A10,LEN($A10)-FIND("'",$A10))),$A10),"'!C11"))&gt;=Q$2,"i",""))</f>
        <v>d</v>
      </c>
      <c r="R10" s="1" t="str" cm="1">
        <f t="array" aca="1" ref="R10" ca="1">IF(INDIRECT(_xlfn.CONCAT("'",IF(ISNUMBER(FIND("'",$A10))=TRUE,_xlfn.CONCAT(LEFT($A10,FIND("'",$A10)-1),"''",RIGHT($A10,LEN($A10)-FIND("'",$A10))),$A10),"'!C10"))&gt;=R$2,"d",IF(INDIRECT(_xlfn.CONCAT("'",IF(ISNUMBER(FIND("'",$A10))=TRUE,_xlfn.CONCAT(LEFT($A10,FIND("'",$A10)-1),"''",RIGHT($A10,LEN($A10)-FIND("'",$A10))),$A10),"'!C11"))&gt;=R$2,"i",""))</f>
        <v>d</v>
      </c>
      <c r="S10" s="37"/>
      <c r="T10" s="96"/>
    </row>
    <row r="11" spans="1:20" hidden="1" x14ac:dyDescent="0.25">
      <c r="A11" s="54" t="str">
        <v>Pocket Grimoire</v>
      </c>
      <c r="B11" s="14" cm="1">
        <f t="array" ref="B11">_xlfn.XLOOKUP(A11,INDEX(Weapon_List,,1),INDEX(Weapon_List,,3),,0,1)</f>
        <v>2</v>
      </c>
      <c r="C11" s="4" t="str" cm="1">
        <f t="array" ref="C11">_xlfn.XLOOKUP(A11,INDEX(Weapon_List,,1),INDEX(Weapon_List,,2),,0,1)</f>
        <v>Catalyst</v>
      </c>
      <c r="D11" s="38" t="str" cm="1">
        <f t="array" ref="D11">_xlfn.XLOOKUP(A11,INDEX(Weapon_List,,1),INDEX(Weapon_List,,4),,0,1)</f>
        <v>Mondstadt 1</v>
      </c>
      <c r="E11" s="38" t="str" cm="1">
        <f t="array" ref="E11">_xlfn.XLOOKUP(A11,INDEX(Weapon_List,,1),INDEX(Weapon_List,,5),,0,1)</f>
        <v>Hilichurl</v>
      </c>
      <c r="F11" s="38" t="str" cm="1">
        <f t="array" ref="F11">_xlfn.XLOOKUP(A11,INDEX(Weapon_List,,1),INDEX(Weapon_List,,6),,0,1)</f>
        <v>Mitachurl</v>
      </c>
      <c r="G11" s="14" t="str" cm="1">
        <f t="array" aca="1" ref="G11" ca="1">IF(INDIRECT(_xlfn.CONCAT("'",IF(ISNUMBER(FIND("'",$A11))=TRUE,_xlfn.CONCAT(LEFT($A11,FIND("'",$A11)-1),"''",RIGHT($A11,LEN($A11)-FIND("'",$A11))),$A11),"'!B4"))&gt;=G$2,"d",IF(INDIRECT(_xlfn.CONCAT("'",IF(ISNUMBER(FIND("'",$A11))=TRUE,_xlfn.CONCAT(LEFT($A11,FIND("'",$A11)-1),"''",RIGHT($A11,LEN($A11)-FIND("'",$A11))),$A11),"'!B5"))&gt;=G$2,"i",""))</f>
        <v>d</v>
      </c>
      <c r="H11" s="1" t="str" cm="1">
        <f t="array" aca="1" ref="H11" ca="1">IF(INDIRECT(_xlfn.CONCAT("'",IF(ISNUMBER(FIND("'",$A11))=TRUE,_xlfn.CONCAT(LEFT($A11,FIND("'",$A11)-1),"''",RIGHT($A11,LEN($A11)-FIND("'",$A11))),$A11),"'!B4"))&gt;=H$2,"d",IF(INDIRECT(_xlfn.CONCAT("'",IF(ISNUMBER(FIND("'",$A11))=TRUE,_xlfn.CONCAT(LEFT($A11,FIND("'",$A11)-1),"''",RIGHT($A11,LEN($A11)-FIND("'",$A11))),$A11),"'!B5"))&gt;=H$2,"i",""))</f>
        <v>d</v>
      </c>
      <c r="I11" s="1" t="str" cm="1">
        <f t="array" aca="1" ref="I11" ca="1">IF(INDIRECT(_xlfn.CONCAT("'",IF(ISNUMBER(FIND("'",$A11))=TRUE,_xlfn.CONCAT(LEFT($A11,FIND("'",$A11)-1),"''",RIGHT($A11,LEN($A11)-FIND("'",$A11))),$A11),"'!B4"))&gt;=I$2,"d",IF(INDIRECT(_xlfn.CONCAT("'",IF(ISNUMBER(FIND("'",$A11))=TRUE,_xlfn.CONCAT(LEFT($A11,FIND("'",$A11)-1),"''",RIGHT($A11,LEN($A11)-FIND("'",$A11))),$A11),"'!B5"))&gt;=I$2,"i",""))</f>
        <v>d</v>
      </c>
      <c r="J11" s="1" t="str" cm="1">
        <f t="array" aca="1" ref="J11" ca="1">IF(INDIRECT(_xlfn.CONCAT("'",IF(ISNUMBER(FIND("'",$A11))=TRUE,_xlfn.CONCAT(LEFT($A11,FIND("'",$A11)-1),"''",RIGHT($A11,LEN($A11)-FIND("'",$A11))),$A11),"'!B4"))&gt;=J$2,"d",IF(INDIRECT(_xlfn.CONCAT("'",IF(ISNUMBER(FIND("'",$A11))=TRUE,_xlfn.CONCAT(LEFT($A11,FIND("'",$A11)-1),"''",RIGHT($A11,LEN($A11)-FIND("'",$A11))),$A11),"'!B5"))&gt;=J$2,"i",""))</f>
        <v>d</v>
      </c>
      <c r="K11" s="1" t="str" cm="1">
        <f t="array" aca="1" ref="K11" ca="1">IF(INDIRECT(_xlfn.CONCAT("'",IF(ISNUMBER(FIND("'",$A11))=TRUE,_xlfn.CONCAT(LEFT($A11,FIND("'",$A11)-1),"''",RIGHT($A11,LEN($A11)-FIND("'",$A11))),$A11),"'!B4"))&gt;=K$2,"d",IF(INDIRECT(_xlfn.CONCAT("'",IF(ISNUMBER(FIND("'",$A11))=TRUE,_xlfn.CONCAT(LEFT($A11,FIND("'",$A11)-1),"''",RIGHT($A11,LEN($A11)-FIND("'",$A11))),$A11),"'!B5"))&gt;=K$2,"i",""))</f>
        <v>d</v>
      </c>
      <c r="L11" s="37" t="str" cm="1">
        <f t="array" aca="1" ref="L11" ca="1">IF(INDIRECT(_xlfn.CONCAT("'",IF(ISNUMBER(FIND("'",$A11))=TRUE,_xlfn.CONCAT(LEFT($A11,FIND("'",$A11)-1),"''",RIGHT($A11,LEN($A11)-FIND("'",$A11))),$A11),"'!B4"))&gt;=L$2,"done",IF(INDIRECT(_xlfn.CONCAT("'",IF(ISNUMBER(FIND("'",$A11))=TRUE,_xlfn.CONCAT(LEFT($A11,FIND("'",$A11)-1),"''",RIGHT($A11,LEN($A11)-FIND("'",$A11))),$A11),"'!B5"))&gt;=L$2,"In Prog",""))</f>
        <v/>
      </c>
      <c r="M11" s="96" t="str" cm="1">
        <f t="array" aca="1" ref="M11" ca="1">IF(INDIRECT(_xlfn.CONCAT("'",IF(ISNUMBER(FIND("'",$A11))=TRUE,_xlfn.CONCAT(LEFT($A11,FIND("'",$A11)-1),"''",RIGHT($A11,LEN($A11)-FIND("'",$A11))),$A11),"'!B4"))&gt;=M$2,"done",IF(INDIRECT(_xlfn.CONCAT("'",IF(ISNUMBER(FIND("'",$A11))=TRUE,_xlfn.CONCAT(LEFT($A11,FIND("'",$A11)-1),"''",RIGHT($A11,LEN($A11)-FIND("'",$A11))),$A11),"'!B5"))&gt;=M$2,"In Prog",""))</f>
        <v/>
      </c>
      <c r="N11" s="95"/>
      <c r="O11" s="14" t="str" cm="1">
        <f t="array" aca="1" ref="O11" ca="1">IF(INDIRECT(_xlfn.CONCAT("'",IF(ISNUMBER(FIND("'",$A11))=TRUE,_xlfn.CONCAT(LEFT($A11,FIND("'",$A11)-1),"''",RIGHT($A11,LEN($A11)-FIND("'",$A11))),$A11),"'!C10"))&gt;=O$2,"d",IF(INDIRECT(_xlfn.CONCAT("'",IF(ISNUMBER(FIND("'",$A11))=TRUE,_xlfn.CONCAT(LEFT($A11,FIND("'",$A11)-1),"''",RIGHT($A11,LEN($A11)-FIND("'",$A11))),$A11),"'!C11"))&gt;=O$2,"i",""))</f>
        <v>d</v>
      </c>
      <c r="P11" s="1" t="str" cm="1">
        <f t="array" aca="1" ref="P11" ca="1">IF(INDIRECT(_xlfn.CONCAT("'",IF(ISNUMBER(FIND("'",$A11))=TRUE,_xlfn.CONCAT(LEFT($A11,FIND("'",$A11)-1),"''",RIGHT($A11,LEN($A11)-FIND("'",$A11))),$A11),"'!C10"))&gt;=P$2,"d",IF(INDIRECT(_xlfn.CONCAT("'",IF(ISNUMBER(FIND("'",$A11))=TRUE,_xlfn.CONCAT(LEFT($A11,FIND("'",$A11)-1),"''",RIGHT($A11,LEN($A11)-FIND("'",$A11))),$A11),"'!C11"))&gt;=P$2,"i",""))</f>
        <v>d</v>
      </c>
      <c r="Q11" s="1" t="str" cm="1">
        <f t="array" aca="1" ref="Q11" ca="1">IF(INDIRECT(_xlfn.CONCAT("'",IF(ISNUMBER(FIND("'",$A11))=TRUE,_xlfn.CONCAT(LEFT($A11,FIND("'",$A11)-1),"''",RIGHT($A11,LEN($A11)-FIND("'",$A11))),$A11),"'!C10"))&gt;=Q$2,"d",IF(INDIRECT(_xlfn.CONCAT("'",IF(ISNUMBER(FIND("'",$A11))=TRUE,_xlfn.CONCAT(LEFT($A11,FIND("'",$A11)-1),"''",RIGHT($A11,LEN($A11)-FIND("'",$A11))),$A11),"'!C11"))&gt;=Q$2,"i",""))</f>
        <v>d</v>
      </c>
      <c r="R11" s="1" t="str" cm="1">
        <f t="array" aca="1" ref="R11" ca="1">IF(INDIRECT(_xlfn.CONCAT("'",IF(ISNUMBER(FIND("'",$A11))=TRUE,_xlfn.CONCAT(LEFT($A11,FIND("'",$A11)-1),"''",RIGHT($A11,LEN($A11)-FIND("'",$A11))),$A11),"'!C10"))&gt;=R$2,"d",IF(INDIRECT(_xlfn.CONCAT("'",IF(ISNUMBER(FIND("'",$A11))=TRUE,_xlfn.CONCAT(LEFT($A11,FIND("'",$A11)-1),"''",RIGHT($A11,LEN($A11)-FIND("'",$A11))),$A11),"'!C11"))&gt;=R$2,"i",""))</f>
        <v>d</v>
      </c>
      <c r="S11" s="37"/>
      <c r="T11" s="96"/>
    </row>
    <row r="12" spans="1:20" hidden="1" x14ac:dyDescent="0.25">
      <c r="A12" s="54" t="str">
        <v>Seasoned Hunter's Bow</v>
      </c>
      <c r="B12" s="14" cm="1">
        <f t="array" ref="B12">_xlfn.XLOOKUP(A12,INDEX(Weapon_List,,1),INDEX(Weapon_List,,3),,0,1)</f>
        <v>2</v>
      </c>
      <c r="C12" s="4" t="str" cm="1">
        <f t="array" ref="C12">_xlfn.XLOOKUP(A12,INDEX(Weapon_List,,1),INDEX(Weapon_List,,2),,0,1)</f>
        <v>Bow</v>
      </c>
      <c r="D12" s="38" t="str" cm="1">
        <f t="array" ref="D12">_xlfn.XLOOKUP(A12,INDEX(Weapon_List,,1),INDEX(Weapon_List,,4),,0,1)</f>
        <v>Mondstadt 2</v>
      </c>
      <c r="E12" s="38" t="str" cm="1">
        <f t="array" ref="E12">_xlfn.XLOOKUP(A12,INDEX(Weapon_List,,1),INDEX(Weapon_List,,5),,0,1)</f>
        <v>Treasure Hoarder</v>
      </c>
      <c r="F12" s="38" t="str" cm="1">
        <f t="array" ref="F12">_xlfn.XLOOKUP(A12,INDEX(Weapon_List,,1),INDEX(Weapon_List,,6),,0,1)</f>
        <v>Abyss Mage</v>
      </c>
      <c r="G12" s="14" t="str" cm="1">
        <f t="array" aca="1" ref="G12" ca="1">IF(INDIRECT(_xlfn.CONCAT("'",IF(ISNUMBER(FIND("'",$A12))=TRUE,_xlfn.CONCAT(LEFT($A12,FIND("'",$A12)-1),"''",RIGHT($A12,LEN($A12)-FIND("'",$A12))),$A12),"'!B4"))&gt;=G$2,"d",IF(INDIRECT(_xlfn.CONCAT("'",IF(ISNUMBER(FIND("'",$A12))=TRUE,_xlfn.CONCAT(LEFT($A12,FIND("'",$A12)-1),"''",RIGHT($A12,LEN($A12)-FIND("'",$A12))),$A12),"'!B5"))&gt;=G$2,"i",""))</f>
        <v>d</v>
      </c>
      <c r="H12" s="1" t="str" cm="1">
        <f t="array" aca="1" ref="H12" ca="1">IF(INDIRECT(_xlfn.CONCAT("'",IF(ISNUMBER(FIND("'",$A12))=TRUE,_xlfn.CONCAT(LEFT($A12,FIND("'",$A12)-1),"''",RIGHT($A12,LEN($A12)-FIND("'",$A12))),$A12),"'!B4"))&gt;=H$2,"d",IF(INDIRECT(_xlfn.CONCAT("'",IF(ISNUMBER(FIND("'",$A12))=TRUE,_xlfn.CONCAT(LEFT($A12,FIND("'",$A12)-1),"''",RIGHT($A12,LEN($A12)-FIND("'",$A12))),$A12),"'!B5"))&gt;=H$2,"i",""))</f>
        <v>d</v>
      </c>
      <c r="I12" s="1" t="str" cm="1">
        <f t="array" aca="1" ref="I12" ca="1">IF(INDIRECT(_xlfn.CONCAT("'",IF(ISNUMBER(FIND("'",$A12))=TRUE,_xlfn.CONCAT(LEFT($A12,FIND("'",$A12)-1),"''",RIGHT($A12,LEN($A12)-FIND("'",$A12))),$A12),"'!B4"))&gt;=I$2,"d",IF(INDIRECT(_xlfn.CONCAT("'",IF(ISNUMBER(FIND("'",$A12))=TRUE,_xlfn.CONCAT(LEFT($A12,FIND("'",$A12)-1),"''",RIGHT($A12,LEN($A12)-FIND("'",$A12))),$A12),"'!B5"))&gt;=I$2,"i",""))</f>
        <v>d</v>
      </c>
      <c r="J12" s="1" t="str" cm="1">
        <f t="array" aca="1" ref="J12" ca="1">IF(INDIRECT(_xlfn.CONCAT("'",IF(ISNUMBER(FIND("'",$A12))=TRUE,_xlfn.CONCAT(LEFT($A12,FIND("'",$A12)-1),"''",RIGHT($A12,LEN($A12)-FIND("'",$A12))),$A12),"'!B4"))&gt;=J$2,"d",IF(INDIRECT(_xlfn.CONCAT("'",IF(ISNUMBER(FIND("'",$A12))=TRUE,_xlfn.CONCAT(LEFT($A12,FIND("'",$A12)-1),"''",RIGHT($A12,LEN($A12)-FIND("'",$A12))),$A12),"'!B5"))&gt;=J$2,"i",""))</f>
        <v>d</v>
      </c>
      <c r="K12" s="1" t="str" cm="1">
        <f t="array" aca="1" ref="K12" ca="1">IF(INDIRECT(_xlfn.CONCAT("'",IF(ISNUMBER(FIND("'",$A12))=TRUE,_xlfn.CONCAT(LEFT($A12,FIND("'",$A12)-1),"''",RIGHT($A12,LEN($A12)-FIND("'",$A12))),$A12),"'!B4"))&gt;=K$2,"d",IF(INDIRECT(_xlfn.CONCAT("'",IF(ISNUMBER(FIND("'",$A12))=TRUE,_xlfn.CONCAT(LEFT($A12,FIND("'",$A12)-1),"''",RIGHT($A12,LEN($A12)-FIND("'",$A12))),$A12),"'!B5"))&gt;=K$2,"i",""))</f>
        <v>d</v>
      </c>
      <c r="L12" s="37" t="str" cm="1">
        <f t="array" aca="1" ref="L12" ca="1">IF(INDIRECT(_xlfn.CONCAT("'",IF(ISNUMBER(FIND("'",$A12))=TRUE,_xlfn.CONCAT(LEFT($A12,FIND("'",$A12)-1),"''",RIGHT($A12,LEN($A12)-FIND("'",$A12))),$A12),"'!B4"))&gt;=L$2,"done",IF(INDIRECT(_xlfn.CONCAT("'",IF(ISNUMBER(FIND("'",$A12))=TRUE,_xlfn.CONCAT(LEFT($A12,FIND("'",$A12)-1),"''",RIGHT($A12,LEN($A12)-FIND("'",$A12))),$A12),"'!B5"))&gt;=L$2,"In Prog",""))</f>
        <v/>
      </c>
      <c r="M12" s="96" t="str" cm="1">
        <f t="array" aca="1" ref="M12" ca="1">IF(INDIRECT(_xlfn.CONCAT("'",IF(ISNUMBER(FIND("'",$A12))=TRUE,_xlfn.CONCAT(LEFT($A12,FIND("'",$A12)-1),"''",RIGHT($A12,LEN($A12)-FIND("'",$A12))),$A12),"'!B4"))&gt;=M$2,"done",IF(INDIRECT(_xlfn.CONCAT("'",IF(ISNUMBER(FIND("'",$A12))=TRUE,_xlfn.CONCAT(LEFT($A12,FIND("'",$A12)-1),"''",RIGHT($A12,LEN($A12)-FIND("'",$A12))),$A12),"'!B5"))&gt;=M$2,"In Prog",""))</f>
        <v/>
      </c>
      <c r="N12" s="95"/>
      <c r="O12" s="14" t="str" cm="1">
        <f t="array" aca="1" ref="O12" ca="1">IF(INDIRECT(_xlfn.CONCAT("'",IF(ISNUMBER(FIND("'",$A12))=TRUE,_xlfn.CONCAT(LEFT($A12,FIND("'",$A12)-1),"''",RIGHT($A12,LEN($A12)-FIND("'",$A12))),$A12),"'!C10"))&gt;=O$2,"d",IF(INDIRECT(_xlfn.CONCAT("'",IF(ISNUMBER(FIND("'",$A12))=TRUE,_xlfn.CONCAT(LEFT($A12,FIND("'",$A12)-1),"''",RIGHT($A12,LEN($A12)-FIND("'",$A12))),$A12),"'!C11"))&gt;=O$2,"i",""))</f>
        <v>d</v>
      </c>
      <c r="P12" s="1" t="str" cm="1">
        <f t="array" aca="1" ref="P12" ca="1">IF(INDIRECT(_xlfn.CONCAT("'",IF(ISNUMBER(FIND("'",$A12))=TRUE,_xlfn.CONCAT(LEFT($A12,FIND("'",$A12)-1),"''",RIGHT($A12,LEN($A12)-FIND("'",$A12))),$A12),"'!C10"))&gt;=P$2,"d",IF(INDIRECT(_xlfn.CONCAT("'",IF(ISNUMBER(FIND("'",$A12))=TRUE,_xlfn.CONCAT(LEFT($A12,FIND("'",$A12)-1),"''",RIGHT($A12,LEN($A12)-FIND("'",$A12))),$A12),"'!C11"))&gt;=P$2,"i",""))</f>
        <v>d</v>
      </c>
      <c r="Q12" s="1" t="str" cm="1">
        <f t="array" aca="1" ref="Q12" ca="1">IF(INDIRECT(_xlfn.CONCAT("'",IF(ISNUMBER(FIND("'",$A12))=TRUE,_xlfn.CONCAT(LEFT($A12,FIND("'",$A12)-1),"''",RIGHT($A12,LEN($A12)-FIND("'",$A12))),$A12),"'!C10"))&gt;=Q$2,"d",IF(INDIRECT(_xlfn.CONCAT("'",IF(ISNUMBER(FIND("'",$A12))=TRUE,_xlfn.CONCAT(LEFT($A12,FIND("'",$A12)-1),"''",RIGHT($A12,LEN($A12)-FIND("'",$A12))),$A12),"'!C11"))&gt;=Q$2,"i",""))</f>
        <v>d</v>
      </c>
      <c r="R12" s="1" t="str" cm="1">
        <f t="array" aca="1" ref="R12" ca="1">IF(INDIRECT(_xlfn.CONCAT("'",IF(ISNUMBER(FIND("'",$A12))=TRUE,_xlfn.CONCAT(LEFT($A12,FIND("'",$A12)-1),"''",RIGHT($A12,LEN($A12)-FIND("'",$A12))),$A12),"'!C10"))&gt;=R$2,"d",IF(INDIRECT(_xlfn.CONCAT("'",IF(ISNUMBER(FIND("'",$A12))=TRUE,_xlfn.CONCAT(LEFT($A12,FIND("'",$A12)-1),"''",RIGHT($A12,LEN($A12)-FIND("'",$A12))),$A12),"'!C11"))&gt;=R$2,"i",""))</f>
        <v>d</v>
      </c>
      <c r="S12" s="37"/>
      <c r="T12" s="96"/>
    </row>
    <row r="13" spans="1:20" hidden="1" x14ac:dyDescent="0.25">
      <c r="A13" s="54" t="str">
        <v>Cool Steel</v>
      </c>
      <c r="B13" s="14" cm="1">
        <f t="array" ref="B13">_xlfn.XLOOKUP(A13,INDEX(Weapon_List,,1),INDEX(Weapon_List,,3),,0,1)</f>
        <v>3</v>
      </c>
      <c r="C13" s="4" t="str" cm="1">
        <f t="array" ref="C13">_xlfn.XLOOKUP(A13,INDEX(Weapon_List,,1),INDEX(Weapon_List,,2),,0,1)</f>
        <v>Sword</v>
      </c>
      <c r="D13" s="38" t="str" cm="1">
        <f t="array" ref="D13">_xlfn.XLOOKUP(A13,INDEX(Weapon_List,,1),INDEX(Weapon_List,,4),,0,1)</f>
        <v>Mondstadt 1</v>
      </c>
      <c r="E13" s="38" t="str" cm="1">
        <f t="array" ref="E13">_xlfn.XLOOKUP(A13,INDEX(Weapon_List,,1),INDEX(Weapon_List,,5),,0,1)</f>
        <v>Hilichurl Shooter</v>
      </c>
      <c r="F13" s="38" t="str" cm="1">
        <f t="array" ref="F13">_xlfn.XLOOKUP(A13,INDEX(Weapon_List,,1),INDEX(Weapon_List,,6),,0,1)</f>
        <v>Mitachurl</v>
      </c>
      <c r="G13" s="14" t="str" cm="1">
        <f t="array" aca="1" ref="G13" ca="1">IF(INDIRECT(_xlfn.CONCAT("'",IF(ISNUMBER(FIND("'",$A13))=TRUE,_xlfn.CONCAT(LEFT($A13,FIND("'",$A13)-1),"''",RIGHT($A13,LEN($A13)-FIND("'",$A13))),$A13),"'!B4"))&gt;=G$2,"d",IF(INDIRECT(_xlfn.CONCAT("'",IF(ISNUMBER(FIND("'",$A13))=TRUE,_xlfn.CONCAT(LEFT($A13,FIND("'",$A13)-1),"''",RIGHT($A13,LEN($A13)-FIND("'",$A13))),$A13),"'!B5"))&gt;=G$2,"i",""))</f>
        <v>d</v>
      </c>
      <c r="H13" s="1" t="str" cm="1">
        <f t="array" aca="1" ref="H13" ca="1">IF(INDIRECT(_xlfn.CONCAT("'",IF(ISNUMBER(FIND("'",$A13))=TRUE,_xlfn.CONCAT(LEFT($A13,FIND("'",$A13)-1),"''",RIGHT($A13,LEN($A13)-FIND("'",$A13))),$A13),"'!B4"))&gt;=H$2,"d",IF(INDIRECT(_xlfn.CONCAT("'",IF(ISNUMBER(FIND("'",$A13))=TRUE,_xlfn.CONCAT(LEFT($A13,FIND("'",$A13)-1),"''",RIGHT($A13,LEN($A13)-FIND("'",$A13))),$A13),"'!B5"))&gt;=H$2,"i",""))</f>
        <v>d</v>
      </c>
      <c r="I13" s="1" t="str" cm="1">
        <f t="array" aca="1" ref="I13" ca="1">IF(INDIRECT(_xlfn.CONCAT("'",IF(ISNUMBER(FIND("'",$A13))=TRUE,_xlfn.CONCAT(LEFT($A13,FIND("'",$A13)-1),"''",RIGHT($A13,LEN($A13)-FIND("'",$A13))),$A13),"'!B4"))&gt;=I$2,"d",IF(INDIRECT(_xlfn.CONCAT("'",IF(ISNUMBER(FIND("'",$A13))=TRUE,_xlfn.CONCAT(LEFT($A13,FIND("'",$A13)-1),"''",RIGHT($A13,LEN($A13)-FIND("'",$A13))),$A13),"'!B5"))&gt;=I$2,"i",""))</f>
        <v>d</v>
      </c>
      <c r="J13" s="1" t="str" cm="1">
        <f t="array" aca="1" ref="J13" ca="1">IF(INDIRECT(_xlfn.CONCAT("'",IF(ISNUMBER(FIND("'",$A13))=TRUE,_xlfn.CONCAT(LEFT($A13,FIND("'",$A13)-1),"''",RIGHT($A13,LEN($A13)-FIND("'",$A13))),$A13),"'!B4"))&gt;=J$2,"d",IF(INDIRECT(_xlfn.CONCAT("'",IF(ISNUMBER(FIND("'",$A13))=TRUE,_xlfn.CONCAT(LEFT($A13,FIND("'",$A13)-1),"''",RIGHT($A13,LEN($A13)-FIND("'",$A13))),$A13),"'!B5"))&gt;=J$2,"i",""))</f>
        <v>d</v>
      </c>
      <c r="K13" s="1" t="str" cm="1">
        <f t="array" aca="1" ref="K13" ca="1">IF(INDIRECT(_xlfn.CONCAT("'",IF(ISNUMBER(FIND("'",$A13))=TRUE,_xlfn.CONCAT(LEFT($A13,FIND("'",$A13)-1),"''",RIGHT($A13,LEN($A13)-FIND("'",$A13))),$A13),"'!B4"))&gt;=K$2,"d",IF(INDIRECT(_xlfn.CONCAT("'",IF(ISNUMBER(FIND("'",$A13))=TRUE,_xlfn.CONCAT(LEFT($A13,FIND("'",$A13)-1),"''",RIGHT($A13,LEN($A13)-FIND("'",$A13))),$A13),"'!B5"))&gt;=K$2,"i",""))</f>
        <v>d</v>
      </c>
      <c r="L13" s="1" t="str" cm="1">
        <f t="array" aca="1" ref="L13" ca="1">IF(INDIRECT(_xlfn.CONCAT("'",IF(ISNUMBER(FIND("'",$A13))=TRUE,_xlfn.CONCAT(LEFT($A13,FIND("'",$A13)-1),"''",RIGHT($A13,LEN($A13)-FIND("'",$A13))),$A13),"'!B4"))&gt;=L$2,"d",IF(INDIRECT(_xlfn.CONCAT("'",IF(ISNUMBER(FIND("'",$A13))=TRUE,_xlfn.CONCAT(LEFT($A13,FIND("'",$A13)-1),"''",RIGHT($A13,LEN($A13)-FIND("'",$A13))),$A13),"'!B5"))&gt;=L$2,"i",""))</f>
        <v>d</v>
      </c>
      <c r="M13" s="4" t="str" cm="1">
        <f t="array" aca="1" ref="M13" ca="1">IF(INDIRECT(_xlfn.CONCAT("'",IF(ISNUMBER(FIND("'",$A13))=TRUE,_xlfn.CONCAT(LEFT($A13,FIND("'",$A13)-1),"''",RIGHT($A13,LEN($A13)-FIND("'",$A13))),$A13),"'!B4"))&gt;=M$2,"d",IF(INDIRECT(_xlfn.CONCAT("'",IF(ISNUMBER(FIND("'",$A13))=TRUE,_xlfn.CONCAT(LEFT($A13,FIND("'",$A13)-1),"''",RIGHT($A13,LEN($A13)-FIND("'",$A13))),$A13),"'!B5"))&gt;=M$2,"i",""))</f>
        <v>d</v>
      </c>
      <c r="N13" s="95"/>
      <c r="O13" s="14" t="str" cm="1">
        <f t="array" aca="1" ref="O13" ca="1">IF(INDIRECT(_xlfn.CONCAT("'",IF(ISNUMBER(FIND("'",$A13))=TRUE,_xlfn.CONCAT(LEFT($A13,FIND("'",$A13)-1),"''",RIGHT($A13,LEN($A13)-FIND("'",$A13))),$A13),"'!C10"))&gt;=O$2,"d",IF(INDIRECT(_xlfn.CONCAT("'",IF(ISNUMBER(FIND("'",$A13))=TRUE,_xlfn.CONCAT(LEFT($A13,FIND("'",$A13)-1),"''",RIGHT($A13,LEN($A13)-FIND("'",$A13))),$A13),"'!C11"))&gt;=O$2,"i",""))</f>
        <v>d</v>
      </c>
      <c r="P13" s="1" t="str" cm="1">
        <f t="array" aca="1" ref="P13" ca="1">IF(INDIRECT(_xlfn.CONCAT("'",IF(ISNUMBER(FIND("'",$A13))=TRUE,_xlfn.CONCAT(LEFT($A13,FIND("'",$A13)-1),"''",RIGHT($A13,LEN($A13)-FIND("'",$A13))),$A13),"'!C10"))&gt;=P$2,"d",IF(INDIRECT(_xlfn.CONCAT("'",IF(ISNUMBER(FIND("'",$A13))=TRUE,_xlfn.CONCAT(LEFT($A13,FIND("'",$A13)-1),"''",RIGHT($A13,LEN($A13)-FIND("'",$A13))),$A13),"'!C11"))&gt;=P$2,"i",""))</f>
        <v>d</v>
      </c>
      <c r="Q13" s="1" t="str" cm="1">
        <f t="array" aca="1" ref="Q13" ca="1">IF(INDIRECT(_xlfn.CONCAT("'",IF(ISNUMBER(FIND("'",$A13))=TRUE,_xlfn.CONCAT(LEFT($A13,FIND("'",$A13)-1),"''",RIGHT($A13,LEN($A13)-FIND("'",$A13))),$A13),"'!C10"))&gt;=Q$2,"d",IF(INDIRECT(_xlfn.CONCAT("'",IF(ISNUMBER(FIND("'",$A13))=TRUE,_xlfn.CONCAT(LEFT($A13,FIND("'",$A13)-1),"''",RIGHT($A13,LEN($A13)-FIND("'",$A13))),$A13),"'!C11"))&gt;=Q$2,"i",""))</f>
        <v>d</v>
      </c>
      <c r="R13" s="1" t="str" cm="1">
        <f t="array" aca="1" ref="R13" ca="1">IF(INDIRECT(_xlfn.CONCAT("'",IF(ISNUMBER(FIND("'",$A13))=TRUE,_xlfn.CONCAT(LEFT($A13,FIND("'",$A13)-1),"''",RIGHT($A13,LEN($A13)-FIND("'",$A13))),$A13),"'!C10"))&gt;=R$2,"d",IF(INDIRECT(_xlfn.CONCAT("'",IF(ISNUMBER(FIND("'",$A13))=TRUE,_xlfn.CONCAT(LEFT($A13,FIND("'",$A13)-1),"''",RIGHT($A13,LEN($A13)-FIND("'",$A13))),$A13),"'!C11"))&gt;=R$2,"i",""))</f>
        <v>d</v>
      </c>
      <c r="S13" s="1" t="str" cm="1">
        <f t="array" aca="1" ref="S13" ca="1">IF(INDIRECT(_xlfn.CONCAT("'",IF(ISNUMBER(FIND("'",$A13))=TRUE,_xlfn.CONCAT(LEFT($A13,FIND("'",$A13)-1),"''",RIGHT($A13,LEN($A13)-FIND("'",$A13))),$A13),"'!C10"))&gt;=S$2,"d",IF(INDIRECT(_xlfn.CONCAT("'",IF(ISNUMBER(FIND("'",$A13))=TRUE,_xlfn.CONCAT(LEFT($A13,FIND("'",$A13)-1),"''",RIGHT($A13,LEN($A13)-FIND("'",$A13))),$A13),"'!C11"))&gt;=S$2,"i",""))</f>
        <v>d</v>
      </c>
      <c r="T13" s="4" t="str" cm="1">
        <f t="array" aca="1" ref="T13" ca="1">IF(INDIRECT(_xlfn.CONCAT("'",IF(ISNUMBER(FIND("'",$A13))=TRUE,_xlfn.CONCAT(LEFT($A13,FIND("'",$A13)-1),"''",RIGHT($A13,LEN($A13)-FIND("'",$A13))),$A13),"'!C10"))&gt;=T$2,"d",IF(INDIRECT(_xlfn.CONCAT("'",IF(ISNUMBER(FIND("'",$A13))=TRUE,_xlfn.CONCAT(LEFT($A13,FIND("'",$A13)-1),"''",RIGHT($A13,LEN($A13)-FIND("'",$A13))),$A13),"'!C11"))&gt;=T$2,"i",""))</f>
        <v>d</v>
      </c>
    </row>
    <row r="14" spans="1:20" hidden="1" x14ac:dyDescent="0.25">
      <c r="A14" s="54" t="str">
        <v>Dark Iron Sword</v>
      </c>
      <c r="B14" s="14" cm="1">
        <f t="array" ref="B14">_xlfn.XLOOKUP(A14,INDEX(Weapon_List,,1),INDEX(Weapon_List,,3),,0,1)</f>
        <v>3</v>
      </c>
      <c r="C14" s="4" t="str" cm="1">
        <f t="array" ref="C14">_xlfn.XLOOKUP(A14,INDEX(Weapon_List,,1),INDEX(Weapon_List,,2),,0,1)</f>
        <v>Sword</v>
      </c>
      <c r="D14" s="38" t="str" cm="1">
        <f t="array" ref="D14">_xlfn.XLOOKUP(A14,INDEX(Weapon_List,,1),INDEX(Weapon_List,,4),,0,1)</f>
        <v>Liyue 1</v>
      </c>
      <c r="E14" s="38" t="str" cm="1">
        <f t="array" ref="E14">_xlfn.XLOOKUP(A14,INDEX(Weapon_List,,1),INDEX(Weapon_List,,5),,0,1)</f>
        <v>Hilichurl</v>
      </c>
      <c r="F14" s="38" t="str" cm="1">
        <f t="array" ref="F14">_xlfn.XLOOKUP(A14,INDEX(Weapon_List,,1),INDEX(Weapon_List,,6),,0,1)</f>
        <v>Fatui Agent</v>
      </c>
      <c r="G14" s="14" t="str" cm="1">
        <f t="array" aca="1" ref="G14" ca="1">IF(INDIRECT(_xlfn.CONCAT("'",IF(ISNUMBER(FIND("'",$A14))=TRUE,_xlfn.CONCAT(LEFT($A14,FIND("'",$A14)-1),"''",RIGHT($A14,LEN($A14)-FIND("'",$A14))),$A14),"'!B4"))&gt;=G$2,"d",IF(INDIRECT(_xlfn.CONCAT("'",IF(ISNUMBER(FIND("'",$A14))=TRUE,_xlfn.CONCAT(LEFT($A14,FIND("'",$A14)-1),"''",RIGHT($A14,LEN($A14)-FIND("'",$A14))),$A14),"'!B5"))&gt;=G$2,"i",""))</f>
        <v>d</v>
      </c>
      <c r="H14" s="1" t="str" cm="1">
        <f t="array" aca="1" ref="H14" ca="1">IF(INDIRECT(_xlfn.CONCAT("'",IF(ISNUMBER(FIND("'",$A14))=TRUE,_xlfn.CONCAT(LEFT($A14,FIND("'",$A14)-1),"''",RIGHT($A14,LEN($A14)-FIND("'",$A14))),$A14),"'!B4"))&gt;=H$2,"d",IF(INDIRECT(_xlfn.CONCAT("'",IF(ISNUMBER(FIND("'",$A14))=TRUE,_xlfn.CONCAT(LEFT($A14,FIND("'",$A14)-1),"''",RIGHT($A14,LEN($A14)-FIND("'",$A14))),$A14),"'!B5"))&gt;=H$2,"i",""))</f>
        <v>d</v>
      </c>
      <c r="I14" s="1" t="str" cm="1">
        <f t="array" aca="1" ref="I14" ca="1">IF(INDIRECT(_xlfn.CONCAT("'",IF(ISNUMBER(FIND("'",$A14))=TRUE,_xlfn.CONCAT(LEFT($A14,FIND("'",$A14)-1),"''",RIGHT($A14,LEN($A14)-FIND("'",$A14))),$A14),"'!B4"))&gt;=I$2,"d",IF(INDIRECT(_xlfn.CONCAT("'",IF(ISNUMBER(FIND("'",$A14))=TRUE,_xlfn.CONCAT(LEFT($A14,FIND("'",$A14)-1),"''",RIGHT($A14,LEN($A14)-FIND("'",$A14))),$A14),"'!B5"))&gt;=I$2,"i",""))</f>
        <v>d</v>
      </c>
      <c r="J14" s="1" t="str" cm="1">
        <f t="array" aca="1" ref="J14" ca="1">IF(INDIRECT(_xlfn.CONCAT("'",IF(ISNUMBER(FIND("'",$A14))=TRUE,_xlfn.CONCAT(LEFT($A14,FIND("'",$A14)-1),"''",RIGHT($A14,LEN($A14)-FIND("'",$A14))),$A14),"'!B4"))&gt;=J$2,"d",IF(INDIRECT(_xlfn.CONCAT("'",IF(ISNUMBER(FIND("'",$A14))=TRUE,_xlfn.CONCAT(LEFT($A14,FIND("'",$A14)-1),"''",RIGHT($A14,LEN($A14)-FIND("'",$A14))),$A14),"'!B5"))&gt;=J$2,"i",""))</f>
        <v>d</v>
      </c>
      <c r="K14" s="1" t="str" cm="1">
        <f t="array" aca="1" ref="K14" ca="1">IF(INDIRECT(_xlfn.CONCAT("'",IF(ISNUMBER(FIND("'",$A14))=TRUE,_xlfn.CONCAT(LEFT($A14,FIND("'",$A14)-1),"''",RIGHT($A14,LEN($A14)-FIND("'",$A14))),$A14),"'!B4"))&gt;=K$2,"d",IF(INDIRECT(_xlfn.CONCAT("'",IF(ISNUMBER(FIND("'",$A14))=TRUE,_xlfn.CONCAT(LEFT($A14,FIND("'",$A14)-1),"''",RIGHT($A14,LEN($A14)-FIND("'",$A14))),$A14),"'!B5"))&gt;=K$2,"i",""))</f>
        <v>d</v>
      </c>
      <c r="L14" s="1" t="str" cm="1">
        <f t="array" aca="1" ref="L14" ca="1">IF(INDIRECT(_xlfn.CONCAT("'",IF(ISNUMBER(FIND("'",$A14))=TRUE,_xlfn.CONCAT(LEFT($A14,FIND("'",$A14)-1),"''",RIGHT($A14,LEN($A14)-FIND("'",$A14))),$A14),"'!B4"))&gt;=L$2,"d",IF(INDIRECT(_xlfn.CONCAT("'",IF(ISNUMBER(FIND("'",$A14))=TRUE,_xlfn.CONCAT(LEFT($A14,FIND("'",$A14)-1),"''",RIGHT($A14,LEN($A14)-FIND("'",$A14))),$A14),"'!B5"))&gt;=L$2,"i",""))</f>
        <v>d</v>
      </c>
      <c r="M14" s="4" t="str" cm="1">
        <f t="array" aca="1" ref="M14" ca="1">IF(INDIRECT(_xlfn.CONCAT("'",IF(ISNUMBER(FIND("'",$A14))=TRUE,_xlfn.CONCAT(LEFT($A14,FIND("'",$A14)-1),"''",RIGHT($A14,LEN($A14)-FIND("'",$A14))),$A14),"'!B4"))&gt;=M$2,"d",IF(INDIRECT(_xlfn.CONCAT("'",IF(ISNUMBER(FIND("'",$A14))=TRUE,_xlfn.CONCAT(LEFT($A14,FIND("'",$A14)-1),"''",RIGHT($A14,LEN($A14)-FIND("'",$A14))),$A14),"'!B5"))&gt;=M$2,"i",""))</f>
        <v>d</v>
      </c>
      <c r="N14" s="95"/>
      <c r="O14" s="14" t="str" cm="1">
        <f t="array" aca="1" ref="O14" ca="1">IF(INDIRECT(_xlfn.CONCAT("'",IF(ISNUMBER(FIND("'",$A14))=TRUE,_xlfn.CONCAT(LEFT($A14,FIND("'",$A14)-1),"''",RIGHT($A14,LEN($A14)-FIND("'",$A14))),$A14),"'!C10"))&gt;=O$2,"d",IF(INDIRECT(_xlfn.CONCAT("'",IF(ISNUMBER(FIND("'",$A14))=TRUE,_xlfn.CONCAT(LEFT($A14,FIND("'",$A14)-1),"''",RIGHT($A14,LEN($A14)-FIND("'",$A14))),$A14),"'!C11"))&gt;=O$2,"i",""))</f>
        <v>d</v>
      </c>
      <c r="P14" s="1" t="str" cm="1">
        <f t="array" aca="1" ref="P14" ca="1">IF(INDIRECT(_xlfn.CONCAT("'",IF(ISNUMBER(FIND("'",$A14))=TRUE,_xlfn.CONCAT(LEFT($A14,FIND("'",$A14)-1),"''",RIGHT($A14,LEN($A14)-FIND("'",$A14))),$A14),"'!C10"))&gt;=P$2,"d",IF(INDIRECT(_xlfn.CONCAT("'",IF(ISNUMBER(FIND("'",$A14))=TRUE,_xlfn.CONCAT(LEFT($A14,FIND("'",$A14)-1),"''",RIGHT($A14,LEN($A14)-FIND("'",$A14))),$A14),"'!C11"))&gt;=P$2,"i",""))</f>
        <v>d</v>
      </c>
      <c r="Q14" s="1" t="str" cm="1">
        <f t="array" aca="1" ref="Q14" ca="1">IF(INDIRECT(_xlfn.CONCAT("'",IF(ISNUMBER(FIND("'",$A14))=TRUE,_xlfn.CONCAT(LEFT($A14,FIND("'",$A14)-1),"''",RIGHT($A14,LEN($A14)-FIND("'",$A14))),$A14),"'!C10"))&gt;=Q$2,"d",IF(INDIRECT(_xlfn.CONCAT("'",IF(ISNUMBER(FIND("'",$A14))=TRUE,_xlfn.CONCAT(LEFT($A14,FIND("'",$A14)-1),"''",RIGHT($A14,LEN($A14)-FIND("'",$A14))),$A14),"'!C11"))&gt;=Q$2,"i",""))</f>
        <v>d</v>
      </c>
      <c r="R14" s="1" t="str" cm="1">
        <f t="array" aca="1" ref="R14" ca="1">IF(INDIRECT(_xlfn.CONCAT("'",IF(ISNUMBER(FIND("'",$A14))=TRUE,_xlfn.CONCAT(LEFT($A14,FIND("'",$A14)-1),"''",RIGHT($A14,LEN($A14)-FIND("'",$A14))),$A14),"'!C10"))&gt;=R$2,"d",IF(INDIRECT(_xlfn.CONCAT("'",IF(ISNUMBER(FIND("'",$A14))=TRUE,_xlfn.CONCAT(LEFT($A14,FIND("'",$A14)-1),"''",RIGHT($A14,LEN($A14)-FIND("'",$A14))),$A14),"'!C11"))&gt;=R$2,"i",""))</f>
        <v>d</v>
      </c>
      <c r="S14" s="1" t="str" cm="1">
        <f t="array" aca="1" ref="S14" ca="1">IF(INDIRECT(_xlfn.CONCAT("'",IF(ISNUMBER(FIND("'",$A14))=TRUE,_xlfn.CONCAT(LEFT($A14,FIND("'",$A14)-1),"''",RIGHT($A14,LEN($A14)-FIND("'",$A14))),$A14),"'!C10"))&gt;=S$2,"d",IF(INDIRECT(_xlfn.CONCAT("'",IF(ISNUMBER(FIND("'",$A14))=TRUE,_xlfn.CONCAT(LEFT($A14,FIND("'",$A14)-1),"''",RIGHT($A14,LEN($A14)-FIND("'",$A14))),$A14),"'!C11"))&gt;=S$2,"i",""))</f>
        <v>d</v>
      </c>
      <c r="T14" s="4" t="str" cm="1">
        <f t="array" aca="1" ref="T14" ca="1">IF(INDIRECT(_xlfn.CONCAT("'",IF(ISNUMBER(FIND("'",$A14))=TRUE,_xlfn.CONCAT(LEFT($A14,FIND("'",$A14)-1),"''",RIGHT($A14,LEN($A14)-FIND("'",$A14))),$A14),"'!C10"))&gt;=T$2,"d",IF(INDIRECT(_xlfn.CONCAT("'",IF(ISNUMBER(FIND("'",$A14))=TRUE,_xlfn.CONCAT(LEFT($A14,FIND("'",$A14)-1),"''",RIGHT($A14,LEN($A14)-FIND("'",$A14))),$A14),"'!C11"))&gt;=T$2,"i",""))</f>
        <v>d</v>
      </c>
    </row>
    <row r="15" spans="1:20" hidden="1" x14ac:dyDescent="0.25">
      <c r="A15" s="54" t="str">
        <v>Fillet Blade</v>
      </c>
      <c r="B15" s="14" cm="1">
        <f t="array" ref="B15">_xlfn.XLOOKUP(A15,INDEX(Weapon_List,,1),INDEX(Weapon_List,,3),,0,1)</f>
        <v>3</v>
      </c>
      <c r="C15" s="4" t="str" cm="1">
        <f t="array" ref="C15">_xlfn.XLOOKUP(A15,INDEX(Weapon_List,,1),INDEX(Weapon_List,,2),,0,1)</f>
        <v>Sword</v>
      </c>
      <c r="D15" s="38" t="str" cm="1">
        <f t="array" ref="D15">_xlfn.XLOOKUP(A15,INDEX(Weapon_List,,1),INDEX(Weapon_List,,4),,0,1)</f>
        <v>Liyue 2</v>
      </c>
      <c r="E15" s="38" t="str" cm="1">
        <f t="array" ref="E15">_xlfn.XLOOKUP(A15,INDEX(Weapon_List,,1),INDEX(Weapon_List,,5),,0,1)</f>
        <v>Treasure Hoarder</v>
      </c>
      <c r="F15" s="38" t="str" cm="1">
        <f t="array" ref="F15">_xlfn.XLOOKUP(A15,INDEX(Weapon_List,,1),INDEX(Weapon_List,,6),,0,1)</f>
        <v>Fatui Cicin Mage</v>
      </c>
      <c r="G15" s="14" t="str" cm="1">
        <f t="array" aca="1" ref="G15" ca="1">IF(INDIRECT(_xlfn.CONCAT("'",IF(ISNUMBER(FIND("'",$A15))=TRUE,_xlfn.CONCAT(LEFT($A15,FIND("'",$A15)-1),"''",RIGHT($A15,LEN($A15)-FIND("'",$A15))),$A15),"'!B4"))&gt;=G$2,"d",IF(INDIRECT(_xlfn.CONCAT("'",IF(ISNUMBER(FIND("'",$A15))=TRUE,_xlfn.CONCAT(LEFT($A15,FIND("'",$A15)-1),"''",RIGHT($A15,LEN($A15)-FIND("'",$A15))),$A15),"'!B5"))&gt;=G$2,"i",""))</f>
        <v>d</v>
      </c>
      <c r="H15" s="1" t="str" cm="1">
        <f t="array" aca="1" ref="H15" ca="1">IF(INDIRECT(_xlfn.CONCAT("'",IF(ISNUMBER(FIND("'",$A15))=TRUE,_xlfn.CONCAT(LEFT($A15,FIND("'",$A15)-1),"''",RIGHT($A15,LEN($A15)-FIND("'",$A15))),$A15),"'!B4"))&gt;=H$2,"d",IF(INDIRECT(_xlfn.CONCAT("'",IF(ISNUMBER(FIND("'",$A15))=TRUE,_xlfn.CONCAT(LEFT($A15,FIND("'",$A15)-1),"''",RIGHT($A15,LEN($A15)-FIND("'",$A15))),$A15),"'!B5"))&gt;=H$2,"i",""))</f>
        <v>d</v>
      </c>
      <c r="I15" s="1" t="str" cm="1">
        <f t="array" aca="1" ref="I15" ca="1">IF(INDIRECT(_xlfn.CONCAT("'",IF(ISNUMBER(FIND("'",$A15))=TRUE,_xlfn.CONCAT(LEFT($A15,FIND("'",$A15)-1),"''",RIGHT($A15,LEN($A15)-FIND("'",$A15))),$A15),"'!B4"))&gt;=I$2,"d",IF(INDIRECT(_xlfn.CONCAT("'",IF(ISNUMBER(FIND("'",$A15))=TRUE,_xlfn.CONCAT(LEFT($A15,FIND("'",$A15)-1),"''",RIGHT($A15,LEN($A15)-FIND("'",$A15))),$A15),"'!B5"))&gt;=I$2,"i",""))</f>
        <v>d</v>
      </c>
      <c r="J15" s="1" t="str" cm="1">
        <f t="array" aca="1" ref="J15" ca="1">IF(INDIRECT(_xlfn.CONCAT("'",IF(ISNUMBER(FIND("'",$A15))=TRUE,_xlfn.CONCAT(LEFT($A15,FIND("'",$A15)-1),"''",RIGHT($A15,LEN($A15)-FIND("'",$A15))),$A15),"'!B4"))&gt;=J$2,"d",IF(INDIRECT(_xlfn.CONCAT("'",IF(ISNUMBER(FIND("'",$A15))=TRUE,_xlfn.CONCAT(LEFT($A15,FIND("'",$A15)-1),"''",RIGHT($A15,LEN($A15)-FIND("'",$A15))),$A15),"'!B5"))&gt;=J$2,"i",""))</f>
        <v>d</v>
      </c>
      <c r="K15" s="1" t="str" cm="1">
        <f t="array" aca="1" ref="K15" ca="1">IF(INDIRECT(_xlfn.CONCAT("'",IF(ISNUMBER(FIND("'",$A15))=TRUE,_xlfn.CONCAT(LEFT($A15,FIND("'",$A15)-1),"''",RIGHT($A15,LEN($A15)-FIND("'",$A15))),$A15),"'!B4"))&gt;=K$2,"d",IF(INDIRECT(_xlfn.CONCAT("'",IF(ISNUMBER(FIND("'",$A15))=TRUE,_xlfn.CONCAT(LEFT($A15,FIND("'",$A15)-1),"''",RIGHT($A15,LEN($A15)-FIND("'",$A15))),$A15),"'!B5"))&gt;=K$2,"i",""))</f>
        <v>d</v>
      </c>
      <c r="L15" s="1" t="str" cm="1">
        <f t="array" aca="1" ref="L15" ca="1">IF(INDIRECT(_xlfn.CONCAT("'",IF(ISNUMBER(FIND("'",$A15))=TRUE,_xlfn.CONCAT(LEFT($A15,FIND("'",$A15)-1),"''",RIGHT($A15,LEN($A15)-FIND("'",$A15))),$A15),"'!B4"))&gt;=L$2,"d",IF(INDIRECT(_xlfn.CONCAT("'",IF(ISNUMBER(FIND("'",$A15))=TRUE,_xlfn.CONCAT(LEFT($A15,FIND("'",$A15)-1),"''",RIGHT($A15,LEN($A15)-FIND("'",$A15))),$A15),"'!B5"))&gt;=L$2,"i",""))</f>
        <v>d</v>
      </c>
      <c r="M15" s="4" t="str" cm="1">
        <f t="array" aca="1" ref="M15" ca="1">IF(INDIRECT(_xlfn.CONCAT("'",IF(ISNUMBER(FIND("'",$A15))=TRUE,_xlfn.CONCAT(LEFT($A15,FIND("'",$A15)-1),"''",RIGHT($A15,LEN($A15)-FIND("'",$A15))),$A15),"'!B4"))&gt;=M$2,"d",IF(INDIRECT(_xlfn.CONCAT("'",IF(ISNUMBER(FIND("'",$A15))=TRUE,_xlfn.CONCAT(LEFT($A15,FIND("'",$A15)-1),"''",RIGHT($A15,LEN($A15)-FIND("'",$A15))),$A15),"'!B5"))&gt;=M$2,"i",""))</f>
        <v>d</v>
      </c>
      <c r="N15" s="95"/>
      <c r="O15" s="14" t="str" cm="1">
        <f t="array" aca="1" ref="O15" ca="1">IF(INDIRECT(_xlfn.CONCAT("'",IF(ISNUMBER(FIND("'",$A15))=TRUE,_xlfn.CONCAT(LEFT($A15,FIND("'",$A15)-1),"''",RIGHT($A15,LEN($A15)-FIND("'",$A15))),$A15),"'!C10"))&gt;=O$2,"d",IF(INDIRECT(_xlfn.CONCAT("'",IF(ISNUMBER(FIND("'",$A15))=TRUE,_xlfn.CONCAT(LEFT($A15,FIND("'",$A15)-1),"''",RIGHT($A15,LEN($A15)-FIND("'",$A15))),$A15),"'!C11"))&gt;=O$2,"i",""))</f>
        <v>d</v>
      </c>
      <c r="P15" s="1" t="str" cm="1">
        <f t="array" aca="1" ref="P15" ca="1">IF(INDIRECT(_xlfn.CONCAT("'",IF(ISNUMBER(FIND("'",$A15))=TRUE,_xlfn.CONCAT(LEFT($A15,FIND("'",$A15)-1),"''",RIGHT($A15,LEN($A15)-FIND("'",$A15))),$A15),"'!C10"))&gt;=P$2,"d",IF(INDIRECT(_xlfn.CONCAT("'",IF(ISNUMBER(FIND("'",$A15))=TRUE,_xlfn.CONCAT(LEFT($A15,FIND("'",$A15)-1),"''",RIGHT($A15,LEN($A15)-FIND("'",$A15))),$A15),"'!C11"))&gt;=P$2,"i",""))</f>
        <v>d</v>
      </c>
      <c r="Q15" s="1" t="str" cm="1">
        <f t="array" aca="1" ref="Q15" ca="1">IF(INDIRECT(_xlfn.CONCAT("'",IF(ISNUMBER(FIND("'",$A15))=TRUE,_xlfn.CONCAT(LEFT($A15,FIND("'",$A15)-1),"''",RIGHT($A15,LEN($A15)-FIND("'",$A15))),$A15),"'!C10"))&gt;=Q$2,"d",IF(INDIRECT(_xlfn.CONCAT("'",IF(ISNUMBER(FIND("'",$A15))=TRUE,_xlfn.CONCAT(LEFT($A15,FIND("'",$A15)-1),"''",RIGHT($A15,LEN($A15)-FIND("'",$A15))),$A15),"'!C11"))&gt;=Q$2,"i",""))</f>
        <v>d</v>
      </c>
      <c r="R15" s="1" t="str" cm="1">
        <f t="array" aca="1" ref="R15" ca="1">IF(INDIRECT(_xlfn.CONCAT("'",IF(ISNUMBER(FIND("'",$A15))=TRUE,_xlfn.CONCAT(LEFT($A15,FIND("'",$A15)-1),"''",RIGHT($A15,LEN($A15)-FIND("'",$A15))),$A15),"'!C10"))&gt;=R$2,"d",IF(INDIRECT(_xlfn.CONCAT("'",IF(ISNUMBER(FIND("'",$A15))=TRUE,_xlfn.CONCAT(LEFT($A15,FIND("'",$A15)-1),"''",RIGHT($A15,LEN($A15)-FIND("'",$A15))),$A15),"'!C11"))&gt;=R$2,"i",""))</f>
        <v>d</v>
      </c>
      <c r="S15" s="1" t="str" cm="1">
        <f t="array" aca="1" ref="S15" ca="1">IF(INDIRECT(_xlfn.CONCAT("'",IF(ISNUMBER(FIND("'",$A15))=TRUE,_xlfn.CONCAT(LEFT($A15,FIND("'",$A15)-1),"''",RIGHT($A15,LEN($A15)-FIND("'",$A15))),$A15),"'!C10"))&gt;=S$2,"d",IF(INDIRECT(_xlfn.CONCAT("'",IF(ISNUMBER(FIND("'",$A15))=TRUE,_xlfn.CONCAT(LEFT($A15,FIND("'",$A15)-1),"''",RIGHT($A15,LEN($A15)-FIND("'",$A15))),$A15),"'!C11"))&gt;=S$2,"i",""))</f>
        <v>d</v>
      </c>
      <c r="T15" s="4" t="str" cm="1">
        <f t="array" aca="1" ref="T15" ca="1">IF(INDIRECT(_xlfn.CONCAT("'",IF(ISNUMBER(FIND("'",$A15))=TRUE,_xlfn.CONCAT(LEFT($A15,FIND("'",$A15)-1),"''",RIGHT($A15,LEN($A15)-FIND("'",$A15))),$A15),"'!C10"))&gt;=T$2,"d",IF(INDIRECT(_xlfn.CONCAT("'",IF(ISNUMBER(FIND("'",$A15))=TRUE,_xlfn.CONCAT(LEFT($A15,FIND("'",$A15)-1),"''",RIGHT($A15,LEN($A15)-FIND("'",$A15))),$A15),"'!C11"))&gt;=T$2,"i",""))</f>
        <v>d</v>
      </c>
    </row>
    <row r="16" spans="1:20" hidden="1" x14ac:dyDescent="0.25">
      <c r="A16" s="54" t="str">
        <v>Harbinger of Dawn</v>
      </c>
      <c r="B16" s="14" cm="1">
        <f t="array" ref="B16">_xlfn.XLOOKUP(A16,INDEX(Weapon_List,,1),INDEX(Weapon_List,,3),,0,1)</f>
        <v>3</v>
      </c>
      <c r="C16" s="4" t="str" cm="1">
        <f t="array" ref="C16">_xlfn.XLOOKUP(A16,INDEX(Weapon_List,,1),INDEX(Weapon_List,,2),,0,1)</f>
        <v>Sword</v>
      </c>
      <c r="D16" s="38" t="str" cm="1">
        <f t="array" ref="D16">_xlfn.XLOOKUP(A16,INDEX(Weapon_List,,1),INDEX(Weapon_List,,4),,0,1)</f>
        <v>Mondstadt 2</v>
      </c>
      <c r="E16" s="38" t="str" cm="1">
        <f t="array" ref="E16">_xlfn.XLOOKUP(A16,INDEX(Weapon_List,,1),INDEX(Weapon_List,,5),,0,1)</f>
        <v>Slime</v>
      </c>
      <c r="F16" s="38" t="str" cm="1">
        <f t="array" ref="F16">_xlfn.XLOOKUP(A16,INDEX(Weapon_List,,1),INDEX(Weapon_List,,6),,0,1)</f>
        <v>Abyss Mage</v>
      </c>
      <c r="G16" s="14" t="str" cm="1">
        <f t="array" aca="1" ref="G16" ca="1">IF(INDIRECT(_xlfn.CONCAT("'",IF(ISNUMBER(FIND("'",$A16))=TRUE,_xlfn.CONCAT(LEFT($A16,FIND("'",$A16)-1),"''",RIGHT($A16,LEN($A16)-FIND("'",$A16))),$A16),"'!B4"))&gt;=G$2,"d",IF(INDIRECT(_xlfn.CONCAT("'",IF(ISNUMBER(FIND("'",$A16))=TRUE,_xlfn.CONCAT(LEFT($A16,FIND("'",$A16)-1),"''",RIGHT($A16,LEN($A16)-FIND("'",$A16))),$A16),"'!B5"))&gt;=G$2,"i",""))</f>
        <v>d</v>
      </c>
      <c r="H16" s="1" t="str" cm="1">
        <f t="array" aca="1" ref="H16" ca="1">IF(INDIRECT(_xlfn.CONCAT("'",IF(ISNUMBER(FIND("'",$A16))=TRUE,_xlfn.CONCAT(LEFT($A16,FIND("'",$A16)-1),"''",RIGHT($A16,LEN($A16)-FIND("'",$A16))),$A16),"'!B4"))&gt;=H$2,"d",IF(INDIRECT(_xlfn.CONCAT("'",IF(ISNUMBER(FIND("'",$A16))=TRUE,_xlfn.CONCAT(LEFT($A16,FIND("'",$A16)-1),"''",RIGHT($A16,LEN($A16)-FIND("'",$A16))),$A16),"'!B5"))&gt;=H$2,"i",""))</f>
        <v>d</v>
      </c>
      <c r="I16" s="1" t="str" cm="1">
        <f t="array" aca="1" ref="I16" ca="1">IF(INDIRECT(_xlfn.CONCAT("'",IF(ISNUMBER(FIND("'",$A16))=TRUE,_xlfn.CONCAT(LEFT($A16,FIND("'",$A16)-1),"''",RIGHT($A16,LEN($A16)-FIND("'",$A16))),$A16),"'!B4"))&gt;=I$2,"d",IF(INDIRECT(_xlfn.CONCAT("'",IF(ISNUMBER(FIND("'",$A16))=TRUE,_xlfn.CONCAT(LEFT($A16,FIND("'",$A16)-1),"''",RIGHT($A16,LEN($A16)-FIND("'",$A16))),$A16),"'!B5"))&gt;=I$2,"i",""))</f>
        <v>d</v>
      </c>
      <c r="J16" s="1" t="str" cm="1">
        <f t="array" aca="1" ref="J16" ca="1">IF(INDIRECT(_xlfn.CONCAT("'",IF(ISNUMBER(FIND("'",$A16))=TRUE,_xlfn.CONCAT(LEFT($A16,FIND("'",$A16)-1),"''",RIGHT($A16,LEN($A16)-FIND("'",$A16))),$A16),"'!B4"))&gt;=J$2,"d",IF(INDIRECT(_xlfn.CONCAT("'",IF(ISNUMBER(FIND("'",$A16))=TRUE,_xlfn.CONCAT(LEFT($A16,FIND("'",$A16)-1),"''",RIGHT($A16,LEN($A16)-FIND("'",$A16))),$A16),"'!B5"))&gt;=J$2,"i",""))</f>
        <v>d</v>
      </c>
      <c r="K16" s="1" t="str" cm="1">
        <f t="array" aca="1" ref="K16" ca="1">IF(INDIRECT(_xlfn.CONCAT("'",IF(ISNUMBER(FIND("'",$A16))=TRUE,_xlfn.CONCAT(LEFT($A16,FIND("'",$A16)-1),"''",RIGHT($A16,LEN($A16)-FIND("'",$A16))),$A16),"'!B4"))&gt;=K$2,"d",IF(INDIRECT(_xlfn.CONCAT("'",IF(ISNUMBER(FIND("'",$A16))=TRUE,_xlfn.CONCAT(LEFT($A16,FIND("'",$A16)-1),"''",RIGHT($A16,LEN($A16)-FIND("'",$A16))),$A16),"'!B5"))&gt;=K$2,"i",""))</f>
        <v>d</v>
      </c>
      <c r="L16" s="1" t="str" cm="1">
        <f t="array" aca="1" ref="L16" ca="1">IF(INDIRECT(_xlfn.CONCAT("'",IF(ISNUMBER(FIND("'",$A16))=TRUE,_xlfn.CONCAT(LEFT($A16,FIND("'",$A16)-1),"''",RIGHT($A16,LEN($A16)-FIND("'",$A16))),$A16),"'!B4"))&gt;=L$2,"d",IF(INDIRECT(_xlfn.CONCAT("'",IF(ISNUMBER(FIND("'",$A16))=TRUE,_xlfn.CONCAT(LEFT($A16,FIND("'",$A16)-1),"''",RIGHT($A16,LEN($A16)-FIND("'",$A16))),$A16),"'!B5"))&gt;=L$2,"i",""))</f>
        <v>d</v>
      </c>
      <c r="M16" s="4" t="str" cm="1">
        <f t="array" aca="1" ref="M16" ca="1">IF(INDIRECT(_xlfn.CONCAT("'",IF(ISNUMBER(FIND("'",$A16))=TRUE,_xlfn.CONCAT(LEFT($A16,FIND("'",$A16)-1),"''",RIGHT($A16,LEN($A16)-FIND("'",$A16))),$A16),"'!B4"))&gt;=M$2,"d",IF(INDIRECT(_xlfn.CONCAT("'",IF(ISNUMBER(FIND("'",$A16))=TRUE,_xlfn.CONCAT(LEFT($A16,FIND("'",$A16)-1),"''",RIGHT($A16,LEN($A16)-FIND("'",$A16))),$A16),"'!B5"))&gt;=M$2,"i",""))</f>
        <v>d</v>
      </c>
      <c r="N16" s="95"/>
      <c r="O16" s="14" t="str" cm="1">
        <f t="array" aca="1" ref="O16" ca="1">IF(INDIRECT(_xlfn.CONCAT("'",IF(ISNUMBER(FIND("'",$A16))=TRUE,_xlfn.CONCAT(LEFT($A16,FIND("'",$A16)-1),"''",RIGHT($A16,LEN($A16)-FIND("'",$A16))),$A16),"'!C10"))&gt;=O$2,"d",IF(INDIRECT(_xlfn.CONCAT("'",IF(ISNUMBER(FIND("'",$A16))=TRUE,_xlfn.CONCAT(LEFT($A16,FIND("'",$A16)-1),"''",RIGHT($A16,LEN($A16)-FIND("'",$A16))),$A16),"'!C11"))&gt;=O$2,"i",""))</f>
        <v>d</v>
      </c>
      <c r="P16" s="1" t="str" cm="1">
        <f t="array" aca="1" ref="P16" ca="1">IF(INDIRECT(_xlfn.CONCAT("'",IF(ISNUMBER(FIND("'",$A16))=TRUE,_xlfn.CONCAT(LEFT($A16,FIND("'",$A16)-1),"''",RIGHT($A16,LEN($A16)-FIND("'",$A16))),$A16),"'!C10"))&gt;=P$2,"d",IF(INDIRECT(_xlfn.CONCAT("'",IF(ISNUMBER(FIND("'",$A16))=TRUE,_xlfn.CONCAT(LEFT($A16,FIND("'",$A16)-1),"''",RIGHT($A16,LEN($A16)-FIND("'",$A16))),$A16),"'!C11"))&gt;=P$2,"i",""))</f>
        <v>d</v>
      </c>
      <c r="Q16" s="1" t="str" cm="1">
        <f t="array" aca="1" ref="Q16" ca="1">IF(INDIRECT(_xlfn.CONCAT("'",IF(ISNUMBER(FIND("'",$A16))=TRUE,_xlfn.CONCAT(LEFT($A16,FIND("'",$A16)-1),"''",RIGHT($A16,LEN($A16)-FIND("'",$A16))),$A16),"'!C10"))&gt;=Q$2,"d",IF(INDIRECT(_xlfn.CONCAT("'",IF(ISNUMBER(FIND("'",$A16))=TRUE,_xlfn.CONCAT(LEFT($A16,FIND("'",$A16)-1),"''",RIGHT($A16,LEN($A16)-FIND("'",$A16))),$A16),"'!C11"))&gt;=Q$2,"i",""))</f>
        <v>d</v>
      </c>
      <c r="R16" s="1" t="str" cm="1">
        <f t="array" aca="1" ref="R16" ca="1">IF(INDIRECT(_xlfn.CONCAT("'",IF(ISNUMBER(FIND("'",$A16))=TRUE,_xlfn.CONCAT(LEFT($A16,FIND("'",$A16)-1),"''",RIGHT($A16,LEN($A16)-FIND("'",$A16))),$A16),"'!C10"))&gt;=R$2,"d",IF(INDIRECT(_xlfn.CONCAT("'",IF(ISNUMBER(FIND("'",$A16))=TRUE,_xlfn.CONCAT(LEFT($A16,FIND("'",$A16)-1),"''",RIGHT($A16,LEN($A16)-FIND("'",$A16))),$A16),"'!C11"))&gt;=R$2,"i",""))</f>
        <v>d</v>
      </c>
      <c r="S16" s="1" t="str" cm="1">
        <f t="array" aca="1" ref="S16" ca="1">IF(INDIRECT(_xlfn.CONCAT("'",IF(ISNUMBER(FIND("'",$A16))=TRUE,_xlfn.CONCAT(LEFT($A16,FIND("'",$A16)-1),"''",RIGHT($A16,LEN($A16)-FIND("'",$A16))),$A16),"'!C10"))&gt;=S$2,"d",IF(INDIRECT(_xlfn.CONCAT("'",IF(ISNUMBER(FIND("'",$A16))=TRUE,_xlfn.CONCAT(LEFT($A16,FIND("'",$A16)-1),"''",RIGHT($A16,LEN($A16)-FIND("'",$A16))),$A16),"'!C11"))&gt;=S$2,"i",""))</f>
        <v>d</v>
      </c>
      <c r="T16" s="4" t="str" cm="1">
        <f t="array" aca="1" ref="T16" ca="1">IF(INDIRECT(_xlfn.CONCAT("'",IF(ISNUMBER(FIND("'",$A16))=TRUE,_xlfn.CONCAT(LEFT($A16,FIND("'",$A16)-1),"''",RIGHT($A16,LEN($A16)-FIND("'",$A16))),$A16),"'!C10"))&gt;=T$2,"d",IF(INDIRECT(_xlfn.CONCAT("'",IF(ISNUMBER(FIND("'",$A16))=TRUE,_xlfn.CONCAT(LEFT($A16,FIND("'",$A16)-1),"''",RIGHT($A16,LEN($A16)-FIND("'",$A16))),$A16),"'!C11"))&gt;=T$2,"i",""))</f>
        <v>d</v>
      </c>
    </row>
    <row r="17" spans="1:20" hidden="1" x14ac:dyDescent="0.25">
      <c r="A17" s="54" t="str">
        <v>Skyrider Sword</v>
      </c>
      <c r="B17" s="14" cm="1">
        <f t="array" ref="B17">_xlfn.XLOOKUP(A17,INDEX(Weapon_List,,1),INDEX(Weapon_List,,3),,0,1)</f>
        <v>3</v>
      </c>
      <c r="C17" s="4" t="str" cm="1">
        <f t="array" ref="C17">_xlfn.XLOOKUP(A17,INDEX(Weapon_List,,1),INDEX(Weapon_List,,2),,0,1)</f>
        <v>Sword</v>
      </c>
      <c r="D17" s="38" t="str" cm="1">
        <f t="array" ref="D17">_xlfn.XLOOKUP(A17,INDEX(Weapon_List,,1),INDEX(Weapon_List,,4),,0,1)</f>
        <v>Liyue 3</v>
      </c>
      <c r="E17" s="38" t="str" cm="1">
        <f t="array" ref="E17">_xlfn.XLOOKUP(A17,INDEX(Weapon_List,,1),INDEX(Weapon_List,,5),,0,1)</f>
        <v>Fatui</v>
      </c>
      <c r="F17" s="38" t="str" cm="1">
        <f t="array" ref="F17">_xlfn.XLOOKUP(A17,INDEX(Weapon_List,,1),INDEX(Weapon_List,,6),,0,1)</f>
        <v>Vishap</v>
      </c>
      <c r="G17" s="14" t="str" cm="1">
        <f t="array" aca="1" ref="G17" ca="1">IF(INDIRECT(_xlfn.CONCAT("'",IF(ISNUMBER(FIND("'",$A17))=TRUE,_xlfn.CONCAT(LEFT($A17,FIND("'",$A17)-1),"''",RIGHT($A17,LEN($A17)-FIND("'",$A17))),$A17),"'!B4"))&gt;=G$2,"d",IF(INDIRECT(_xlfn.CONCAT("'",IF(ISNUMBER(FIND("'",$A17))=TRUE,_xlfn.CONCAT(LEFT($A17,FIND("'",$A17)-1),"''",RIGHT($A17,LEN($A17)-FIND("'",$A17))),$A17),"'!B5"))&gt;=G$2,"i",""))</f>
        <v>d</v>
      </c>
      <c r="H17" s="1" t="str" cm="1">
        <f t="array" aca="1" ref="H17" ca="1">IF(INDIRECT(_xlfn.CONCAT("'",IF(ISNUMBER(FIND("'",$A17))=TRUE,_xlfn.CONCAT(LEFT($A17,FIND("'",$A17)-1),"''",RIGHT($A17,LEN($A17)-FIND("'",$A17))),$A17),"'!B4"))&gt;=H$2,"d",IF(INDIRECT(_xlfn.CONCAT("'",IF(ISNUMBER(FIND("'",$A17))=TRUE,_xlfn.CONCAT(LEFT($A17,FIND("'",$A17)-1),"''",RIGHT($A17,LEN($A17)-FIND("'",$A17))),$A17),"'!B5"))&gt;=H$2,"i",""))</f>
        <v>d</v>
      </c>
      <c r="I17" s="1" t="str" cm="1">
        <f t="array" aca="1" ref="I17" ca="1">IF(INDIRECT(_xlfn.CONCAT("'",IF(ISNUMBER(FIND("'",$A17))=TRUE,_xlfn.CONCAT(LEFT($A17,FIND("'",$A17)-1),"''",RIGHT($A17,LEN($A17)-FIND("'",$A17))),$A17),"'!B4"))&gt;=I$2,"d",IF(INDIRECT(_xlfn.CONCAT("'",IF(ISNUMBER(FIND("'",$A17))=TRUE,_xlfn.CONCAT(LEFT($A17,FIND("'",$A17)-1),"''",RIGHT($A17,LEN($A17)-FIND("'",$A17))),$A17),"'!B5"))&gt;=I$2,"i",""))</f>
        <v>d</v>
      </c>
      <c r="J17" s="1" t="str" cm="1">
        <f t="array" aca="1" ref="J17" ca="1">IF(INDIRECT(_xlfn.CONCAT("'",IF(ISNUMBER(FIND("'",$A17))=TRUE,_xlfn.CONCAT(LEFT($A17,FIND("'",$A17)-1),"''",RIGHT($A17,LEN($A17)-FIND("'",$A17))),$A17),"'!B4"))&gt;=J$2,"d",IF(INDIRECT(_xlfn.CONCAT("'",IF(ISNUMBER(FIND("'",$A17))=TRUE,_xlfn.CONCAT(LEFT($A17,FIND("'",$A17)-1),"''",RIGHT($A17,LEN($A17)-FIND("'",$A17))),$A17),"'!B5"))&gt;=J$2,"i",""))</f>
        <v>d</v>
      </c>
      <c r="K17" s="1" t="str" cm="1">
        <f t="array" aca="1" ref="K17" ca="1">IF(INDIRECT(_xlfn.CONCAT("'",IF(ISNUMBER(FIND("'",$A17))=TRUE,_xlfn.CONCAT(LEFT($A17,FIND("'",$A17)-1),"''",RIGHT($A17,LEN($A17)-FIND("'",$A17))),$A17),"'!B4"))&gt;=K$2,"d",IF(INDIRECT(_xlfn.CONCAT("'",IF(ISNUMBER(FIND("'",$A17))=TRUE,_xlfn.CONCAT(LEFT($A17,FIND("'",$A17)-1),"''",RIGHT($A17,LEN($A17)-FIND("'",$A17))),$A17),"'!B5"))&gt;=K$2,"i",""))</f>
        <v>d</v>
      </c>
      <c r="L17" s="1" t="str" cm="1">
        <f t="array" aca="1" ref="L17" ca="1">IF(INDIRECT(_xlfn.CONCAT("'",IF(ISNUMBER(FIND("'",$A17))=TRUE,_xlfn.CONCAT(LEFT($A17,FIND("'",$A17)-1),"''",RIGHT($A17,LEN($A17)-FIND("'",$A17))),$A17),"'!B4"))&gt;=L$2,"d",IF(INDIRECT(_xlfn.CONCAT("'",IF(ISNUMBER(FIND("'",$A17))=TRUE,_xlfn.CONCAT(LEFT($A17,FIND("'",$A17)-1),"''",RIGHT($A17,LEN($A17)-FIND("'",$A17))),$A17),"'!B5"))&gt;=L$2,"i",""))</f>
        <v>d</v>
      </c>
      <c r="M17" s="4" t="str" cm="1">
        <f t="array" aca="1" ref="M17" ca="1">IF(INDIRECT(_xlfn.CONCAT("'",IF(ISNUMBER(FIND("'",$A17))=TRUE,_xlfn.CONCAT(LEFT($A17,FIND("'",$A17)-1),"''",RIGHT($A17,LEN($A17)-FIND("'",$A17))),$A17),"'!B4"))&gt;=M$2,"d",IF(INDIRECT(_xlfn.CONCAT("'",IF(ISNUMBER(FIND("'",$A17))=TRUE,_xlfn.CONCAT(LEFT($A17,FIND("'",$A17)-1),"''",RIGHT($A17,LEN($A17)-FIND("'",$A17))),$A17),"'!B5"))&gt;=M$2,"i",""))</f>
        <v>d</v>
      </c>
      <c r="N17" s="95"/>
      <c r="O17" s="14" t="str" cm="1">
        <f t="array" aca="1" ref="O17" ca="1">IF(INDIRECT(_xlfn.CONCAT("'",IF(ISNUMBER(FIND("'",$A17))=TRUE,_xlfn.CONCAT(LEFT($A17,FIND("'",$A17)-1),"''",RIGHT($A17,LEN($A17)-FIND("'",$A17))),$A17),"'!C10"))&gt;=O$2,"d",IF(INDIRECT(_xlfn.CONCAT("'",IF(ISNUMBER(FIND("'",$A17))=TRUE,_xlfn.CONCAT(LEFT($A17,FIND("'",$A17)-1),"''",RIGHT($A17,LEN($A17)-FIND("'",$A17))),$A17),"'!C11"))&gt;=O$2,"i",""))</f>
        <v>d</v>
      </c>
      <c r="P17" s="1" t="str" cm="1">
        <f t="array" aca="1" ref="P17" ca="1">IF(INDIRECT(_xlfn.CONCAT("'",IF(ISNUMBER(FIND("'",$A17))=TRUE,_xlfn.CONCAT(LEFT($A17,FIND("'",$A17)-1),"''",RIGHT($A17,LEN($A17)-FIND("'",$A17))),$A17),"'!C10"))&gt;=P$2,"d",IF(INDIRECT(_xlfn.CONCAT("'",IF(ISNUMBER(FIND("'",$A17))=TRUE,_xlfn.CONCAT(LEFT($A17,FIND("'",$A17)-1),"''",RIGHT($A17,LEN($A17)-FIND("'",$A17))),$A17),"'!C11"))&gt;=P$2,"i",""))</f>
        <v>d</v>
      </c>
      <c r="Q17" s="1" t="str" cm="1">
        <f t="array" aca="1" ref="Q17" ca="1">IF(INDIRECT(_xlfn.CONCAT("'",IF(ISNUMBER(FIND("'",$A17))=TRUE,_xlfn.CONCAT(LEFT($A17,FIND("'",$A17)-1),"''",RIGHT($A17,LEN($A17)-FIND("'",$A17))),$A17),"'!C10"))&gt;=Q$2,"d",IF(INDIRECT(_xlfn.CONCAT("'",IF(ISNUMBER(FIND("'",$A17))=TRUE,_xlfn.CONCAT(LEFT($A17,FIND("'",$A17)-1),"''",RIGHT($A17,LEN($A17)-FIND("'",$A17))),$A17),"'!C11"))&gt;=Q$2,"i",""))</f>
        <v>d</v>
      </c>
      <c r="R17" s="1" t="str" cm="1">
        <f t="array" aca="1" ref="R17" ca="1">IF(INDIRECT(_xlfn.CONCAT("'",IF(ISNUMBER(FIND("'",$A17))=TRUE,_xlfn.CONCAT(LEFT($A17,FIND("'",$A17)-1),"''",RIGHT($A17,LEN($A17)-FIND("'",$A17))),$A17),"'!C10"))&gt;=R$2,"d",IF(INDIRECT(_xlfn.CONCAT("'",IF(ISNUMBER(FIND("'",$A17))=TRUE,_xlfn.CONCAT(LEFT($A17,FIND("'",$A17)-1),"''",RIGHT($A17,LEN($A17)-FIND("'",$A17))),$A17),"'!C11"))&gt;=R$2,"i",""))</f>
        <v>d</v>
      </c>
      <c r="S17" s="1" t="str" cm="1">
        <f t="array" aca="1" ref="S17" ca="1">IF(INDIRECT(_xlfn.CONCAT("'",IF(ISNUMBER(FIND("'",$A17))=TRUE,_xlfn.CONCAT(LEFT($A17,FIND("'",$A17)-1),"''",RIGHT($A17,LEN($A17)-FIND("'",$A17))),$A17),"'!C10"))&gt;=S$2,"d",IF(INDIRECT(_xlfn.CONCAT("'",IF(ISNUMBER(FIND("'",$A17))=TRUE,_xlfn.CONCAT(LEFT($A17,FIND("'",$A17)-1),"''",RIGHT($A17,LEN($A17)-FIND("'",$A17))),$A17),"'!C11"))&gt;=S$2,"i",""))</f>
        <v>d</v>
      </c>
      <c r="T17" s="4" t="str" cm="1">
        <f t="array" aca="1" ref="T17" ca="1">IF(INDIRECT(_xlfn.CONCAT("'",IF(ISNUMBER(FIND("'",$A17))=TRUE,_xlfn.CONCAT(LEFT($A17,FIND("'",$A17)-1),"''",RIGHT($A17,LEN($A17)-FIND("'",$A17))),$A17),"'!C10"))&gt;=T$2,"d",IF(INDIRECT(_xlfn.CONCAT("'",IF(ISNUMBER(FIND("'",$A17))=TRUE,_xlfn.CONCAT(LEFT($A17,FIND("'",$A17)-1),"''",RIGHT($A17,LEN($A17)-FIND("'",$A17))),$A17),"'!C11"))&gt;=T$2,"i",""))</f>
        <v>d</v>
      </c>
    </row>
    <row r="18" spans="1:20" hidden="1" x14ac:dyDescent="0.25">
      <c r="A18" s="54" t="str">
        <v>Traveler's Handy Sword</v>
      </c>
      <c r="B18" s="14" cm="1">
        <f t="array" ref="B18">_xlfn.XLOOKUP(A18,INDEX(Weapon_List,,1),INDEX(Weapon_List,,3),,0,1)</f>
        <v>3</v>
      </c>
      <c r="C18" s="4" t="str" cm="1">
        <f t="array" ref="C18">_xlfn.XLOOKUP(A18,INDEX(Weapon_List,,1),INDEX(Weapon_List,,2),,0,1)</f>
        <v>Sword</v>
      </c>
      <c r="D18" s="38" t="str" cm="1">
        <f t="array" ref="D18">_xlfn.XLOOKUP(A18,INDEX(Weapon_List,,1),INDEX(Weapon_List,,4),,0,1)</f>
        <v>Mondstadt 3</v>
      </c>
      <c r="E18" s="38" t="str" cm="1">
        <f t="array" ref="E18">_xlfn.XLOOKUP(A18,INDEX(Weapon_List,,1),INDEX(Weapon_List,,5),,0,1)</f>
        <v>Samachurl</v>
      </c>
      <c r="F18" s="38" t="str" cm="1">
        <f t="array" ref="F18">_xlfn.XLOOKUP(A18,INDEX(Weapon_List,,1),INDEX(Weapon_List,,6),,0,1)</f>
        <v>Ruin Machine 1</v>
      </c>
      <c r="G18" s="14" t="str" cm="1">
        <f t="array" aca="1" ref="G18" ca="1">IF(INDIRECT(_xlfn.CONCAT("'",IF(ISNUMBER(FIND("'",$A18))=TRUE,_xlfn.CONCAT(LEFT($A18,FIND("'",$A18)-1),"''",RIGHT($A18,LEN($A18)-FIND("'",$A18))),$A18),"'!B4"))&gt;=G$2,"d",IF(INDIRECT(_xlfn.CONCAT("'",IF(ISNUMBER(FIND("'",$A18))=TRUE,_xlfn.CONCAT(LEFT($A18,FIND("'",$A18)-1),"''",RIGHT($A18,LEN($A18)-FIND("'",$A18))),$A18),"'!B5"))&gt;=G$2,"i",""))</f>
        <v>d</v>
      </c>
      <c r="H18" s="1" t="str" cm="1">
        <f t="array" aca="1" ref="H18" ca="1">IF(INDIRECT(_xlfn.CONCAT("'",IF(ISNUMBER(FIND("'",$A18))=TRUE,_xlfn.CONCAT(LEFT($A18,FIND("'",$A18)-1),"''",RIGHT($A18,LEN($A18)-FIND("'",$A18))),$A18),"'!B4"))&gt;=H$2,"d",IF(INDIRECT(_xlfn.CONCAT("'",IF(ISNUMBER(FIND("'",$A18))=TRUE,_xlfn.CONCAT(LEFT($A18,FIND("'",$A18)-1),"''",RIGHT($A18,LEN($A18)-FIND("'",$A18))),$A18),"'!B5"))&gt;=H$2,"i",""))</f>
        <v>d</v>
      </c>
      <c r="I18" s="1" t="str" cm="1">
        <f t="array" aca="1" ref="I18" ca="1">IF(INDIRECT(_xlfn.CONCAT("'",IF(ISNUMBER(FIND("'",$A18))=TRUE,_xlfn.CONCAT(LEFT($A18,FIND("'",$A18)-1),"''",RIGHT($A18,LEN($A18)-FIND("'",$A18))),$A18),"'!B4"))&gt;=I$2,"d",IF(INDIRECT(_xlfn.CONCAT("'",IF(ISNUMBER(FIND("'",$A18))=TRUE,_xlfn.CONCAT(LEFT($A18,FIND("'",$A18)-1),"''",RIGHT($A18,LEN($A18)-FIND("'",$A18))),$A18),"'!B5"))&gt;=I$2,"i",""))</f>
        <v>d</v>
      </c>
      <c r="J18" s="1" t="str" cm="1">
        <f t="array" aca="1" ref="J18" ca="1">IF(INDIRECT(_xlfn.CONCAT("'",IF(ISNUMBER(FIND("'",$A18))=TRUE,_xlfn.CONCAT(LEFT($A18,FIND("'",$A18)-1),"''",RIGHT($A18,LEN($A18)-FIND("'",$A18))),$A18),"'!B4"))&gt;=J$2,"d",IF(INDIRECT(_xlfn.CONCAT("'",IF(ISNUMBER(FIND("'",$A18))=TRUE,_xlfn.CONCAT(LEFT($A18,FIND("'",$A18)-1),"''",RIGHT($A18,LEN($A18)-FIND("'",$A18))),$A18),"'!B5"))&gt;=J$2,"i",""))</f>
        <v>d</v>
      </c>
      <c r="K18" s="1" t="str" cm="1">
        <f t="array" aca="1" ref="K18" ca="1">IF(INDIRECT(_xlfn.CONCAT("'",IF(ISNUMBER(FIND("'",$A18))=TRUE,_xlfn.CONCAT(LEFT($A18,FIND("'",$A18)-1),"''",RIGHT($A18,LEN($A18)-FIND("'",$A18))),$A18),"'!B4"))&gt;=K$2,"d",IF(INDIRECT(_xlfn.CONCAT("'",IF(ISNUMBER(FIND("'",$A18))=TRUE,_xlfn.CONCAT(LEFT($A18,FIND("'",$A18)-1),"''",RIGHT($A18,LEN($A18)-FIND("'",$A18))),$A18),"'!B5"))&gt;=K$2,"i",""))</f>
        <v>d</v>
      </c>
      <c r="L18" s="1" t="str" cm="1">
        <f t="array" aca="1" ref="L18" ca="1">IF(INDIRECT(_xlfn.CONCAT("'",IF(ISNUMBER(FIND("'",$A18))=TRUE,_xlfn.CONCAT(LEFT($A18,FIND("'",$A18)-1),"''",RIGHT($A18,LEN($A18)-FIND("'",$A18))),$A18),"'!B4"))&gt;=L$2,"d",IF(INDIRECT(_xlfn.CONCAT("'",IF(ISNUMBER(FIND("'",$A18))=TRUE,_xlfn.CONCAT(LEFT($A18,FIND("'",$A18)-1),"''",RIGHT($A18,LEN($A18)-FIND("'",$A18))),$A18),"'!B5"))&gt;=L$2,"i",""))</f>
        <v>d</v>
      </c>
      <c r="M18" s="4" t="str" cm="1">
        <f t="array" aca="1" ref="M18" ca="1">IF(INDIRECT(_xlfn.CONCAT("'",IF(ISNUMBER(FIND("'",$A18))=TRUE,_xlfn.CONCAT(LEFT($A18,FIND("'",$A18)-1),"''",RIGHT($A18,LEN($A18)-FIND("'",$A18))),$A18),"'!B4"))&gt;=M$2,"d",IF(INDIRECT(_xlfn.CONCAT("'",IF(ISNUMBER(FIND("'",$A18))=TRUE,_xlfn.CONCAT(LEFT($A18,FIND("'",$A18)-1),"''",RIGHT($A18,LEN($A18)-FIND("'",$A18))),$A18),"'!B5"))&gt;=M$2,"i",""))</f>
        <v>d</v>
      </c>
      <c r="N18" s="95"/>
      <c r="O18" s="14" t="str" cm="1">
        <f t="array" aca="1" ref="O18" ca="1">IF(INDIRECT(_xlfn.CONCAT("'",IF(ISNUMBER(FIND("'",$A18))=TRUE,_xlfn.CONCAT(LEFT($A18,FIND("'",$A18)-1),"''",RIGHT($A18,LEN($A18)-FIND("'",$A18))),$A18),"'!C10"))&gt;=O$2,"d",IF(INDIRECT(_xlfn.CONCAT("'",IF(ISNUMBER(FIND("'",$A18))=TRUE,_xlfn.CONCAT(LEFT($A18,FIND("'",$A18)-1),"''",RIGHT($A18,LEN($A18)-FIND("'",$A18))),$A18),"'!C11"))&gt;=O$2,"i",""))</f>
        <v>d</v>
      </c>
      <c r="P18" s="1" t="str" cm="1">
        <f t="array" aca="1" ref="P18" ca="1">IF(INDIRECT(_xlfn.CONCAT("'",IF(ISNUMBER(FIND("'",$A18))=TRUE,_xlfn.CONCAT(LEFT($A18,FIND("'",$A18)-1),"''",RIGHT($A18,LEN($A18)-FIND("'",$A18))),$A18),"'!C10"))&gt;=P$2,"d",IF(INDIRECT(_xlfn.CONCAT("'",IF(ISNUMBER(FIND("'",$A18))=TRUE,_xlfn.CONCAT(LEFT($A18,FIND("'",$A18)-1),"''",RIGHT($A18,LEN($A18)-FIND("'",$A18))),$A18),"'!C11"))&gt;=P$2,"i",""))</f>
        <v>d</v>
      </c>
      <c r="Q18" s="1" t="str" cm="1">
        <f t="array" aca="1" ref="Q18" ca="1">IF(INDIRECT(_xlfn.CONCAT("'",IF(ISNUMBER(FIND("'",$A18))=TRUE,_xlfn.CONCAT(LEFT($A18,FIND("'",$A18)-1),"''",RIGHT($A18,LEN($A18)-FIND("'",$A18))),$A18),"'!C10"))&gt;=Q$2,"d",IF(INDIRECT(_xlfn.CONCAT("'",IF(ISNUMBER(FIND("'",$A18))=TRUE,_xlfn.CONCAT(LEFT($A18,FIND("'",$A18)-1),"''",RIGHT($A18,LEN($A18)-FIND("'",$A18))),$A18),"'!C11"))&gt;=Q$2,"i",""))</f>
        <v>d</v>
      </c>
      <c r="R18" s="1" t="str" cm="1">
        <f t="array" aca="1" ref="R18" ca="1">IF(INDIRECT(_xlfn.CONCAT("'",IF(ISNUMBER(FIND("'",$A18))=TRUE,_xlfn.CONCAT(LEFT($A18,FIND("'",$A18)-1),"''",RIGHT($A18,LEN($A18)-FIND("'",$A18))),$A18),"'!C10"))&gt;=R$2,"d",IF(INDIRECT(_xlfn.CONCAT("'",IF(ISNUMBER(FIND("'",$A18))=TRUE,_xlfn.CONCAT(LEFT($A18,FIND("'",$A18)-1),"''",RIGHT($A18,LEN($A18)-FIND("'",$A18))),$A18),"'!C11"))&gt;=R$2,"i",""))</f>
        <v>d</v>
      </c>
      <c r="S18" s="1" t="str" cm="1">
        <f t="array" aca="1" ref="S18" ca="1">IF(INDIRECT(_xlfn.CONCAT("'",IF(ISNUMBER(FIND("'",$A18))=TRUE,_xlfn.CONCAT(LEFT($A18,FIND("'",$A18)-1),"''",RIGHT($A18,LEN($A18)-FIND("'",$A18))),$A18),"'!C10"))&gt;=S$2,"d",IF(INDIRECT(_xlfn.CONCAT("'",IF(ISNUMBER(FIND("'",$A18))=TRUE,_xlfn.CONCAT(LEFT($A18,FIND("'",$A18)-1),"''",RIGHT($A18,LEN($A18)-FIND("'",$A18))),$A18),"'!C11"))&gt;=S$2,"i",""))</f>
        <v>d</v>
      </c>
      <c r="T18" s="4" t="str" cm="1">
        <f t="array" aca="1" ref="T18" ca="1">IF(INDIRECT(_xlfn.CONCAT("'",IF(ISNUMBER(FIND("'",$A18))=TRUE,_xlfn.CONCAT(LEFT($A18,FIND("'",$A18)-1),"''",RIGHT($A18,LEN($A18)-FIND("'",$A18))),$A18),"'!C10"))&gt;=T$2,"d",IF(INDIRECT(_xlfn.CONCAT("'",IF(ISNUMBER(FIND("'",$A18))=TRUE,_xlfn.CONCAT(LEFT($A18,FIND("'",$A18)-1),"''",RIGHT($A18,LEN($A18)-FIND("'",$A18))),$A18),"'!C11"))&gt;=T$2,"i",""))</f>
        <v>d</v>
      </c>
    </row>
    <row r="19" spans="1:20" hidden="1" x14ac:dyDescent="0.25">
      <c r="A19" s="54" t="str">
        <v>Bloodtainted Greatsword</v>
      </c>
      <c r="B19" s="14" cm="1">
        <f t="array" ref="B19">_xlfn.XLOOKUP(A19,INDEX(Weapon_List,,1),INDEX(Weapon_List,,3),,0,1)</f>
        <v>3</v>
      </c>
      <c r="C19" s="4" t="str" cm="1">
        <f t="array" ref="C19">_xlfn.XLOOKUP(A19,INDEX(Weapon_List,,1),INDEX(Weapon_List,,2),,0,1)</f>
        <v>Claymore</v>
      </c>
      <c r="D19" s="38" t="str" cm="1">
        <f t="array" ref="D19">_xlfn.XLOOKUP(A19,INDEX(Weapon_List,,1),INDEX(Weapon_List,,4),,0,1)</f>
        <v>Mondstadt 2</v>
      </c>
      <c r="E19" s="38" t="str" cm="1">
        <f t="array" ref="E19">_xlfn.XLOOKUP(A19,INDEX(Weapon_List,,1),INDEX(Weapon_List,,5),,0,1)</f>
        <v>Hilichurl Shooter</v>
      </c>
      <c r="F19" s="38" t="str" cm="1">
        <f t="array" ref="F19">_xlfn.XLOOKUP(A19,INDEX(Weapon_List,,1),INDEX(Weapon_List,,6),,0,1)</f>
        <v>Abyss Mage</v>
      </c>
      <c r="G19" s="14" t="str" cm="1">
        <f t="array" aca="1" ref="G19" ca="1">IF(INDIRECT(_xlfn.CONCAT("'",IF(ISNUMBER(FIND("'",$A19))=TRUE,_xlfn.CONCAT(LEFT($A19,FIND("'",$A19)-1),"''",RIGHT($A19,LEN($A19)-FIND("'",$A19))),$A19),"'!B4"))&gt;=G$2,"d",IF(INDIRECT(_xlfn.CONCAT("'",IF(ISNUMBER(FIND("'",$A19))=TRUE,_xlfn.CONCAT(LEFT($A19,FIND("'",$A19)-1),"''",RIGHT($A19,LEN($A19)-FIND("'",$A19))),$A19),"'!B5"))&gt;=G$2,"i",""))</f>
        <v>d</v>
      </c>
      <c r="H19" s="1" t="str" cm="1">
        <f t="array" aca="1" ref="H19" ca="1">IF(INDIRECT(_xlfn.CONCAT("'",IF(ISNUMBER(FIND("'",$A19))=TRUE,_xlfn.CONCAT(LEFT($A19,FIND("'",$A19)-1),"''",RIGHT($A19,LEN($A19)-FIND("'",$A19))),$A19),"'!B4"))&gt;=H$2,"d",IF(INDIRECT(_xlfn.CONCAT("'",IF(ISNUMBER(FIND("'",$A19))=TRUE,_xlfn.CONCAT(LEFT($A19,FIND("'",$A19)-1),"''",RIGHT($A19,LEN($A19)-FIND("'",$A19))),$A19),"'!B5"))&gt;=H$2,"i",""))</f>
        <v>d</v>
      </c>
      <c r="I19" s="1" t="str" cm="1">
        <f t="array" aca="1" ref="I19" ca="1">IF(INDIRECT(_xlfn.CONCAT("'",IF(ISNUMBER(FIND("'",$A19))=TRUE,_xlfn.CONCAT(LEFT($A19,FIND("'",$A19)-1),"''",RIGHT($A19,LEN($A19)-FIND("'",$A19))),$A19),"'!B4"))&gt;=I$2,"d",IF(INDIRECT(_xlfn.CONCAT("'",IF(ISNUMBER(FIND("'",$A19))=TRUE,_xlfn.CONCAT(LEFT($A19,FIND("'",$A19)-1),"''",RIGHT($A19,LEN($A19)-FIND("'",$A19))),$A19),"'!B5"))&gt;=I$2,"i",""))</f>
        <v>d</v>
      </c>
      <c r="J19" s="1" t="str" cm="1">
        <f t="array" aca="1" ref="J19" ca="1">IF(INDIRECT(_xlfn.CONCAT("'",IF(ISNUMBER(FIND("'",$A19))=TRUE,_xlfn.CONCAT(LEFT($A19,FIND("'",$A19)-1),"''",RIGHT($A19,LEN($A19)-FIND("'",$A19))),$A19),"'!B4"))&gt;=J$2,"d",IF(INDIRECT(_xlfn.CONCAT("'",IF(ISNUMBER(FIND("'",$A19))=TRUE,_xlfn.CONCAT(LEFT($A19,FIND("'",$A19)-1),"''",RIGHT($A19,LEN($A19)-FIND("'",$A19))),$A19),"'!B5"))&gt;=J$2,"i",""))</f>
        <v>d</v>
      </c>
      <c r="K19" s="1" t="str" cm="1">
        <f t="array" aca="1" ref="K19" ca="1">IF(INDIRECT(_xlfn.CONCAT("'",IF(ISNUMBER(FIND("'",$A19))=TRUE,_xlfn.CONCAT(LEFT($A19,FIND("'",$A19)-1),"''",RIGHT($A19,LEN($A19)-FIND("'",$A19))),$A19),"'!B4"))&gt;=K$2,"d",IF(INDIRECT(_xlfn.CONCAT("'",IF(ISNUMBER(FIND("'",$A19))=TRUE,_xlfn.CONCAT(LEFT($A19,FIND("'",$A19)-1),"''",RIGHT($A19,LEN($A19)-FIND("'",$A19))),$A19),"'!B5"))&gt;=K$2,"i",""))</f>
        <v>d</v>
      </c>
      <c r="L19" s="1" t="str" cm="1">
        <f t="array" aca="1" ref="L19" ca="1">IF(INDIRECT(_xlfn.CONCAT("'",IF(ISNUMBER(FIND("'",$A19))=TRUE,_xlfn.CONCAT(LEFT($A19,FIND("'",$A19)-1),"''",RIGHT($A19,LEN($A19)-FIND("'",$A19))),$A19),"'!B4"))&gt;=L$2,"d",IF(INDIRECT(_xlfn.CONCAT("'",IF(ISNUMBER(FIND("'",$A19))=TRUE,_xlfn.CONCAT(LEFT($A19,FIND("'",$A19)-1),"''",RIGHT($A19,LEN($A19)-FIND("'",$A19))),$A19),"'!B5"))&gt;=L$2,"i",""))</f>
        <v>d</v>
      </c>
      <c r="M19" s="4" t="str" cm="1">
        <f t="array" aca="1" ref="M19" ca="1">IF(INDIRECT(_xlfn.CONCAT("'",IF(ISNUMBER(FIND("'",$A19))=TRUE,_xlfn.CONCAT(LEFT($A19,FIND("'",$A19)-1),"''",RIGHT($A19,LEN($A19)-FIND("'",$A19))),$A19),"'!B4"))&gt;=M$2,"d",IF(INDIRECT(_xlfn.CONCAT("'",IF(ISNUMBER(FIND("'",$A19))=TRUE,_xlfn.CONCAT(LEFT($A19,FIND("'",$A19)-1),"''",RIGHT($A19,LEN($A19)-FIND("'",$A19))),$A19),"'!B5"))&gt;=M$2,"i",""))</f>
        <v>d</v>
      </c>
      <c r="N19" s="95"/>
      <c r="O19" s="14" t="str" cm="1">
        <f t="array" aca="1" ref="O19" ca="1">IF(INDIRECT(_xlfn.CONCAT("'",IF(ISNUMBER(FIND("'",$A19))=TRUE,_xlfn.CONCAT(LEFT($A19,FIND("'",$A19)-1),"''",RIGHT($A19,LEN($A19)-FIND("'",$A19))),$A19),"'!C10"))&gt;=O$2,"d",IF(INDIRECT(_xlfn.CONCAT("'",IF(ISNUMBER(FIND("'",$A19))=TRUE,_xlfn.CONCAT(LEFT($A19,FIND("'",$A19)-1),"''",RIGHT($A19,LEN($A19)-FIND("'",$A19))),$A19),"'!C11"))&gt;=O$2,"i",""))</f>
        <v>d</v>
      </c>
      <c r="P19" s="1" t="str" cm="1">
        <f t="array" aca="1" ref="P19" ca="1">IF(INDIRECT(_xlfn.CONCAT("'",IF(ISNUMBER(FIND("'",$A19))=TRUE,_xlfn.CONCAT(LEFT($A19,FIND("'",$A19)-1),"''",RIGHT($A19,LEN($A19)-FIND("'",$A19))),$A19),"'!C10"))&gt;=P$2,"d",IF(INDIRECT(_xlfn.CONCAT("'",IF(ISNUMBER(FIND("'",$A19))=TRUE,_xlfn.CONCAT(LEFT($A19,FIND("'",$A19)-1),"''",RIGHT($A19,LEN($A19)-FIND("'",$A19))),$A19),"'!C11"))&gt;=P$2,"i",""))</f>
        <v>d</v>
      </c>
      <c r="Q19" s="1" t="str" cm="1">
        <f t="array" aca="1" ref="Q19" ca="1">IF(INDIRECT(_xlfn.CONCAT("'",IF(ISNUMBER(FIND("'",$A19))=TRUE,_xlfn.CONCAT(LEFT($A19,FIND("'",$A19)-1),"''",RIGHT($A19,LEN($A19)-FIND("'",$A19))),$A19),"'!C10"))&gt;=Q$2,"d",IF(INDIRECT(_xlfn.CONCAT("'",IF(ISNUMBER(FIND("'",$A19))=TRUE,_xlfn.CONCAT(LEFT($A19,FIND("'",$A19)-1),"''",RIGHT($A19,LEN($A19)-FIND("'",$A19))),$A19),"'!C11"))&gt;=Q$2,"i",""))</f>
        <v>d</v>
      </c>
      <c r="R19" s="1" t="str" cm="1">
        <f t="array" aca="1" ref="R19" ca="1">IF(INDIRECT(_xlfn.CONCAT("'",IF(ISNUMBER(FIND("'",$A19))=TRUE,_xlfn.CONCAT(LEFT($A19,FIND("'",$A19)-1),"''",RIGHT($A19,LEN($A19)-FIND("'",$A19))),$A19),"'!C10"))&gt;=R$2,"d",IF(INDIRECT(_xlfn.CONCAT("'",IF(ISNUMBER(FIND("'",$A19))=TRUE,_xlfn.CONCAT(LEFT($A19,FIND("'",$A19)-1),"''",RIGHT($A19,LEN($A19)-FIND("'",$A19))),$A19),"'!C11"))&gt;=R$2,"i",""))</f>
        <v>d</v>
      </c>
      <c r="S19" s="1" t="str" cm="1">
        <f t="array" aca="1" ref="S19" ca="1">IF(INDIRECT(_xlfn.CONCAT("'",IF(ISNUMBER(FIND("'",$A19))=TRUE,_xlfn.CONCAT(LEFT($A19,FIND("'",$A19)-1),"''",RIGHT($A19,LEN($A19)-FIND("'",$A19))),$A19),"'!C10"))&gt;=S$2,"d",IF(INDIRECT(_xlfn.CONCAT("'",IF(ISNUMBER(FIND("'",$A19))=TRUE,_xlfn.CONCAT(LEFT($A19,FIND("'",$A19)-1),"''",RIGHT($A19,LEN($A19)-FIND("'",$A19))),$A19),"'!C11"))&gt;=S$2,"i",""))</f>
        <v>d</v>
      </c>
      <c r="T19" s="4" t="str" cm="1">
        <f t="array" aca="1" ref="T19" ca="1">IF(INDIRECT(_xlfn.CONCAT("'",IF(ISNUMBER(FIND("'",$A19))=TRUE,_xlfn.CONCAT(LEFT($A19,FIND("'",$A19)-1),"''",RIGHT($A19,LEN($A19)-FIND("'",$A19))),$A19),"'!C10"))&gt;=T$2,"d",IF(INDIRECT(_xlfn.CONCAT("'",IF(ISNUMBER(FIND("'",$A19))=TRUE,_xlfn.CONCAT(LEFT($A19,FIND("'",$A19)-1),"''",RIGHT($A19,LEN($A19)-FIND("'",$A19))),$A19),"'!C11"))&gt;=T$2,"i",""))</f>
        <v>d</v>
      </c>
    </row>
    <row r="20" spans="1:20" hidden="1" x14ac:dyDescent="0.25">
      <c r="A20" s="54" t="str">
        <v>Debate Club</v>
      </c>
      <c r="B20" s="14" cm="1">
        <f t="array" ref="B20">_xlfn.XLOOKUP(A20,INDEX(Weapon_List,,1),INDEX(Weapon_List,,3),,0,1)</f>
        <v>3</v>
      </c>
      <c r="C20" s="4" t="str" cm="1">
        <f t="array" ref="C20">_xlfn.XLOOKUP(A20,INDEX(Weapon_List,,1),INDEX(Weapon_List,,2),,0,1)</f>
        <v>Claymore</v>
      </c>
      <c r="D20" s="38" t="str" cm="1">
        <f t="array" ref="D20">_xlfn.XLOOKUP(A20,INDEX(Weapon_List,,1),INDEX(Weapon_List,,4),,0,1)</f>
        <v>Liyue 2</v>
      </c>
      <c r="E20" s="38" t="str" cm="1">
        <f t="array" ref="E20">_xlfn.XLOOKUP(A20,INDEX(Weapon_List,,1),INDEX(Weapon_List,,5),,0,1)</f>
        <v>Hilichurl</v>
      </c>
      <c r="F20" s="38" t="str" cm="1">
        <f t="array" ref="F20">_xlfn.XLOOKUP(A20,INDEX(Weapon_List,,1),INDEX(Weapon_List,,6),,0,1)</f>
        <v>Fatui Cicin Mage</v>
      </c>
      <c r="G20" s="14" t="str" cm="1">
        <f t="array" aca="1" ref="G20" ca="1">IF(INDIRECT(_xlfn.CONCAT("'",IF(ISNUMBER(FIND("'",$A20))=TRUE,_xlfn.CONCAT(LEFT($A20,FIND("'",$A20)-1),"''",RIGHT($A20,LEN($A20)-FIND("'",$A20))),$A20),"'!B4"))&gt;=G$2,"d",IF(INDIRECT(_xlfn.CONCAT("'",IF(ISNUMBER(FIND("'",$A20))=TRUE,_xlfn.CONCAT(LEFT($A20,FIND("'",$A20)-1),"''",RIGHT($A20,LEN($A20)-FIND("'",$A20))),$A20),"'!B5"))&gt;=G$2,"i",""))</f>
        <v>d</v>
      </c>
      <c r="H20" s="1" t="str" cm="1">
        <f t="array" aca="1" ref="H20" ca="1">IF(INDIRECT(_xlfn.CONCAT("'",IF(ISNUMBER(FIND("'",$A20))=TRUE,_xlfn.CONCAT(LEFT($A20,FIND("'",$A20)-1),"''",RIGHT($A20,LEN($A20)-FIND("'",$A20))),$A20),"'!B4"))&gt;=H$2,"d",IF(INDIRECT(_xlfn.CONCAT("'",IF(ISNUMBER(FIND("'",$A20))=TRUE,_xlfn.CONCAT(LEFT($A20,FIND("'",$A20)-1),"''",RIGHT($A20,LEN($A20)-FIND("'",$A20))),$A20),"'!B5"))&gt;=H$2,"i",""))</f>
        <v>d</v>
      </c>
      <c r="I20" s="1" t="str" cm="1">
        <f t="array" aca="1" ref="I20" ca="1">IF(INDIRECT(_xlfn.CONCAT("'",IF(ISNUMBER(FIND("'",$A20))=TRUE,_xlfn.CONCAT(LEFT($A20,FIND("'",$A20)-1),"''",RIGHT($A20,LEN($A20)-FIND("'",$A20))),$A20),"'!B4"))&gt;=I$2,"d",IF(INDIRECT(_xlfn.CONCAT("'",IF(ISNUMBER(FIND("'",$A20))=TRUE,_xlfn.CONCAT(LEFT($A20,FIND("'",$A20)-1),"''",RIGHT($A20,LEN($A20)-FIND("'",$A20))),$A20),"'!B5"))&gt;=I$2,"i",""))</f>
        <v>d</v>
      </c>
      <c r="J20" s="1" t="str" cm="1">
        <f t="array" aca="1" ref="J20" ca="1">IF(INDIRECT(_xlfn.CONCAT("'",IF(ISNUMBER(FIND("'",$A20))=TRUE,_xlfn.CONCAT(LEFT($A20,FIND("'",$A20)-1),"''",RIGHT($A20,LEN($A20)-FIND("'",$A20))),$A20),"'!B4"))&gt;=J$2,"d",IF(INDIRECT(_xlfn.CONCAT("'",IF(ISNUMBER(FIND("'",$A20))=TRUE,_xlfn.CONCAT(LEFT($A20,FIND("'",$A20)-1),"''",RIGHT($A20,LEN($A20)-FIND("'",$A20))),$A20),"'!B5"))&gt;=J$2,"i",""))</f>
        <v>d</v>
      </c>
      <c r="K20" s="1" t="str" cm="1">
        <f t="array" aca="1" ref="K20" ca="1">IF(INDIRECT(_xlfn.CONCAT("'",IF(ISNUMBER(FIND("'",$A20))=TRUE,_xlfn.CONCAT(LEFT($A20,FIND("'",$A20)-1),"''",RIGHT($A20,LEN($A20)-FIND("'",$A20))),$A20),"'!B4"))&gt;=K$2,"d",IF(INDIRECT(_xlfn.CONCAT("'",IF(ISNUMBER(FIND("'",$A20))=TRUE,_xlfn.CONCAT(LEFT($A20,FIND("'",$A20)-1),"''",RIGHT($A20,LEN($A20)-FIND("'",$A20))),$A20),"'!B5"))&gt;=K$2,"i",""))</f>
        <v>d</v>
      </c>
      <c r="L20" s="1" t="str" cm="1">
        <f t="array" aca="1" ref="L20" ca="1">IF(INDIRECT(_xlfn.CONCAT("'",IF(ISNUMBER(FIND("'",$A20))=TRUE,_xlfn.CONCAT(LEFT($A20,FIND("'",$A20)-1),"''",RIGHT($A20,LEN($A20)-FIND("'",$A20))),$A20),"'!B4"))&gt;=L$2,"d",IF(INDIRECT(_xlfn.CONCAT("'",IF(ISNUMBER(FIND("'",$A20))=TRUE,_xlfn.CONCAT(LEFT($A20,FIND("'",$A20)-1),"''",RIGHT($A20,LEN($A20)-FIND("'",$A20))),$A20),"'!B5"))&gt;=L$2,"i",""))</f>
        <v>d</v>
      </c>
      <c r="M20" s="4" t="str" cm="1">
        <f t="array" aca="1" ref="M20" ca="1">IF(INDIRECT(_xlfn.CONCAT("'",IF(ISNUMBER(FIND("'",$A20))=TRUE,_xlfn.CONCAT(LEFT($A20,FIND("'",$A20)-1),"''",RIGHT($A20,LEN($A20)-FIND("'",$A20))),$A20),"'!B4"))&gt;=M$2,"d",IF(INDIRECT(_xlfn.CONCAT("'",IF(ISNUMBER(FIND("'",$A20))=TRUE,_xlfn.CONCAT(LEFT($A20,FIND("'",$A20)-1),"''",RIGHT($A20,LEN($A20)-FIND("'",$A20))),$A20),"'!B5"))&gt;=M$2,"i",""))</f>
        <v>d</v>
      </c>
      <c r="N20" s="95"/>
      <c r="O20" s="14" t="str" cm="1">
        <f t="array" aca="1" ref="O20" ca="1">IF(INDIRECT(_xlfn.CONCAT("'",IF(ISNUMBER(FIND("'",$A20))=TRUE,_xlfn.CONCAT(LEFT($A20,FIND("'",$A20)-1),"''",RIGHT($A20,LEN($A20)-FIND("'",$A20))),$A20),"'!C10"))&gt;=O$2,"d",IF(INDIRECT(_xlfn.CONCAT("'",IF(ISNUMBER(FIND("'",$A20))=TRUE,_xlfn.CONCAT(LEFT($A20,FIND("'",$A20)-1),"''",RIGHT($A20,LEN($A20)-FIND("'",$A20))),$A20),"'!C11"))&gt;=O$2,"i",""))</f>
        <v>d</v>
      </c>
      <c r="P20" s="1" t="str" cm="1">
        <f t="array" aca="1" ref="P20" ca="1">IF(INDIRECT(_xlfn.CONCAT("'",IF(ISNUMBER(FIND("'",$A20))=TRUE,_xlfn.CONCAT(LEFT($A20,FIND("'",$A20)-1),"''",RIGHT($A20,LEN($A20)-FIND("'",$A20))),$A20),"'!C10"))&gt;=P$2,"d",IF(INDIRECT(_xlfn.CONCAT("'",IF(ISNUMBER(FIND("'",$A20))=TRUE,_xlfn.CONCAT(LEFT($A20,FIND("'",$A20)-1),"''",RIGHT($A20,LEN($A20)-FIND("'",$A20))),$A20),"'!C11"))&gt;=P$2,"i",""))</f>
        <v>d</v>
      </c>
      <c r="Q20" s="1" t="str" cm="1">
        <f t="array" aca="1" ref="Q20" ca="1">IF(INDIRECT(_xlfn.CONCAT("'",IF(ISNUMBER(FIND("'",$A20))=TRUE,_xlfn.CONCAT(LEFT($A20,FIND("'",$A20)-1),"''",RIGHT($A20,LEN($A20)-FIND("'",$A20))),$A20),"'!C10"))&gt;=Q$2,"d",IF(INDIRECT(_xlfn.CONCAT("'",IF(ISNUMBER(FIND("'",$A20))=TRUE,_xlfn.CONCAT(LEFT($A20,FIND("'",$A20)-1),"''",RIGHT($A20,LEN($A20)-FIND("'",$A20))),$A20),"'!C11"))&gt;=Q$2,"i",""))</f>
        <v>d</v>
      </c>
      <c r="R20" s="1" t="str" cm="1">
        <f t="array" aca="1" ref="R20" ca="1">IF(INDIRECT(_xlfn.CONCAT("'",IF(ISNUMBER(FIND("'",$A20))=TRUE,_xlfn.CONCAT(LEFT($A20,FIND("'",$A20)-1),"''",RIGHT($A20,LEN($A20)-FIND("'",$A20))),$A20),"'!C10"))&gt;=R$2,"d",IF(INDIRECT(_xlfn.CONCAT("'",IF(ISNUMBER(FIND("'",$A20))=TRUE,_xlfn.CONCAT(LEFT($A20,FIND("'",$A20)-1),"''",RIGHT($A20,LEN($A20)-FIND("'",$A20))),$A20),"'!C11"))&gt;=R$2,"i",""))</f>
        <v>d</v>
      </c>
      <c r="S20" s="1" t="str" cm="1">
        <f t="array" aca="1" ref="S20" ca="1">IF(INDIRECT(_xlfn.CONCAT("'",IF(ISNUMBER(FIND("'",$A20))=TRUE,_xlfn.CONCAT(LEFT($A20,FIND("'",$A20)-1),"''",RIGHT($A20,LEN($A20)-FIND("'",$A20))),$A20),"'!C10"))&gt;=S$2,"d",IF(INDIRECT(_xlfn.CONCAT("'",IF(ISNUMBER(FIND("'",$A20))=TRUE,_xlfn.CONCAT(LEFT($A20,FIND("'",$A20)-1),"''",RIGHT($A20,LEN($A20)-FIND("'",$A20))),$A20),"'!C11"))&gt;=S$2,"i",""))</f>
        <v>d</v>
      </c>
      <c r="T20" s="4" t="str" cm="1">
        <f t="array" aca="1" ref="T20" ca="1">IF(INDIRECT(_xlfn.CONCAT("'",IF(ISNUMBER(FIND("'",$A20))=TRUE,_xlfn.CONCAT(LEFT($A20,FIND("'",$A20)-1),"''",RIGHT($A20,LEN($A20)-FIND("'",$A20))),$A20),"'!C10"))&gt;=T$2,"d",IF(INDIRECT(_xlfn.CONCAT("'",IF(ISNUMBER(FIND("'",$A20))=TRUE,_xlfn.CONCAT(LEFT($A20,FIND("'",$A20)-1),"''",RIGHT($A20,LEN($A20)-FIND("'",$A20))),$A20),"'!C11"))&gt;=T$2,"i",""))</f>
        <v>d</v>
      </c>
    </row>
    <row r="21" spans="1:20" hidden="1" x14ac:dyDescent="0.25">
      <c r="A21" s="54" t="str">
        <v>Ferrous Shadow</v>
      </c>
      <c r="B21" s="14" cm="1">
        <f t="array" ref="B21">_xlfn.XLOOKUP(A21,INDEX(Weapon_List,,1),INDEX(Weapon_List,,3),,0,1)</f>
        <v>3</v>
      </c>
      <c r="C21" s="4" t="str" cm="1">
        <f t="array" ref="C21">_xlfn.XLOOKUP(A21,INDEX(Weapon_List,,1),INDEX(Weapon_List,,2),,0,1)</f>
        <v>Claymore</v>
      </c>
      <c r="D21" s="38" t="str" cm="1">
        <f t="array" ref="D21">_xlfn.XLOOKUP(A21,INDEX(Weapon_List,,1),INDEX(Weapon_List,,4),,0,1)</f>
        <v>Mondstadt 1</v>
      </c>
      <c r="E21" s="38" t="str" cm="1">
        <f t="array" ref="E21">_xlfn.XLOOKUP(A21,INDEX(Weapon_List,,1),INDEX(Weapon_List,,5),,0,1)</f>
        <v>Whopperflower</v>
      </c>
      <c r="F21" s="38" t="str" cm="1">
        <f t="array" ref="F21">_xlfn.XLOOKUP(A21,INDEX(Weapon_List,,1),INDEX(Weapon_List,,6),,0,1)</f>
        <v>Mitachurl</v>
      </c>
      <c r="G21" s="14" t="str" cm="1">
        <f t="array" aca="1" ref="G21" ca="1">IF(INDIRECT(_xlfn.CONCAT("'",IF(ISNUMBER(FIND("'",$A21))=TRUE,_xlfn.CONCAT(LEFT($A21,FIND("'",$A21)-1),"''",RIGHT($A21,LEN($A21)-FIND("'",$A21))),$A21),"'!B4"))&gt;=G$2,"d",IF(INDIRECT(_xlfn.CONCAT("'",IF(ISNUMBER(FIND("'",$A21))=TRUE,_xlfn.CONCAT(LEFT($A21,FIND("'",$A21)-1),"''",RIGHT($A21,LEN($A21)-FIND("'",$A21))),$A21),"'!B5"))&gt;=G$2,"i",""))</f>
        <v>d</v>
      </c>
      <c r="H21" s="1" t="str" cm="1">
        <f t="array" aca="1" ref="H21" ca="1">IF(INDIRECT(_xlfn.CONCAT("'",IF(ISNUMBER(FIND("'",$A21))=TRUE,_xlfn.CONCAT(LEFT($A21,FIND("'",$A21)-1),"''",RIGHT($A21,LEN($A21)-FIND("'",$A21))),$A21),"'!B4"))&gt;=H$2,"d",IF(INDIRECT(_xlfn.CONCAT("'",IF(ISNUMBER(FIND("'",$A21))=TRUE,_xlfn.CONCAT(LEFT($A21,FIND("'",$A21)-1),"''",RIGHT($A21,LEN($A21)-FIND("'",$A21))),$A21),"'!B5"))&gt;=H$2,"i",""))</f>
        <v>d</v>
      </c>
      <c r="I21" s="1" t="str" cm="1">
        <f t="array" aca="1" ref="I21" ca="1">IF(INDIRECT(_xlfn.CONCAT("'",IF(ISNUMBER(FIND("'",$A21))=TRUE,_xlfn.CONCAT(LEFT($A21,FIND("'",$A21)-1),"''",RIGHT($A21,LEN($A21)-FIND("'",$A21))),$A21),"'!B4"))&gt;=I$2,"d",IF(INDIRECT(_xlfn.CONCAT("'",IF(ISNUMBER(FIND("'",$A21))=TRUE,_xlfn.CONCAT(LEFT($A21,FIND("'",$A21)-1),"''",RIGHT($A21,LEN($A21)-FIND("'",$A21))),$A21),"'!B5"))&gt;=I$2,"i",""))</f>
        <v>d</v>
      </c>
      <c r="J21" s="1" t="str" cm="1">
        <f t="array" aca="1" ref="J21" ca="1">IF(INDIRECT(_xlfn.CONCAT("'",IF(ISNUMBER(FIND("'",$A21))=TRUE,_xlfn.CONCAT(LEFT($A21,FIND("'",$A21)-1),"''",RIGHT($A21,LEN($A21)-FIND("'",$A21))),$A21),"'!B4"))&gt;=J$2,"d",IF(INDIRECT(_xlfn.CONCAT("'",IF(ISNUMBER(FIND("'",$A21))=TRUE,_xlfn.CONCAT(LEFT($A21,FIND("'",$A21)-1),"''",RIGHT($A21,LEN($A21)-FIND("'",$A21))),$A21),"'!B5"))&gt;=J$2,"i",""))</f>
        <v>d</v>
      </c>
      <c r="K21" s="1" t="str" cm="1">
        <f t="array" aca="1" ref="K21" ca="1">IF(INDIRECT(_xlfn.CONCAT("'",IF(ISNUMBER(FIND("'",$A21))=TRUE,_xlfn.CONCAT(LEFT($A21,FIND("'",$A21)-1),"''",RIGHT($A21,LEN($A21)-FIND("'",$A21))),$A21),"'!B4"))&gt;=K$2,"d",IF(INDIRECT(_xlfn.CONCAT("'",IF(ISNUMBER(FIND("'",$A21))=TRUE,_xlfn.CONCAT(LEFT($A21,FIND("'",$A21)-1),"''",RIGHT($A21,LEN($A21)-FIND("'",$A21))),$A21),"'!B5"))&gt;=K$2,"i",""))</f>
        <v>d</v>
      </c>
      <c r="L21" s="1" t="str" cm="1">
        <f t="array" aca="1" ref="L21" ca="1">IF(INDIRECT(_xlfn.CONCAT("'",IF(ISNUMBER(FIND("'",$A21))=TRUE,_xlfn.CONCAT(LEFT($A21,FIND("'",$A21)-1),"''",RIGHT($A21,LEN($A21)-FIND("'",$A21))),$A21),"'!B4"))&gt;=L$2,"d",IF(INDIRECT(_xlfn.CONCAT("'",IF(ISNUMBER(FIND("'",$A21))=TRUE,_xlfn.CONCAT(LEFT($A21,FIND("'",$A21)-1),"''",RIGHT($A21,LEN($A21)-FIND("'",$A21))),$A21),"'!B5"))&gt;=L$2,"i",""))</f>
        <v>d</v>
      </c>
      <c r="M21" s="4" t="str" cm="1">
        <f t="array" aca="1" ref="M21" ca="1">IF(INDIRECT(_xlfn.CONCAT("'",IF(ISNUMBER(FIND("'",$A21))=TRUE,_xlfn.CONCAT(LEFT($A21,FIND("'",$A21)-1),"''",RIGHT($A21,LEN($A21)-FIND("'",$A21))),$A21),"'!B4"))&gt;=M$2,"d",IF(INDIRECT(_xlfn.CONCAT("'",IF(ISNUMBER(FIND("'",$A21))=TRUE,_xlfn.CONCAT(LEFT($A21,FIND("'",$A21)-1),"''",RIGHT($A21,LEN($A21)-FIND("'",$A21))),$A21),"'!B5"))&gt;=M$2,"i",""))</f>
        <v>d</v>
      </c>
      <c r="N21" s="95"/>
      <c r="O21" s="14" t="str" cm="1">
        <f t="array" aca="1" ref="O21" ca="1">IF(INDIRECT(_xlfn.CONCAT("'",IF(ISNUMBER(FIND("'",$A21))=TRUE,_xlfn.CONCAT(LEFT($A21,FIND("'",$A21)-1),"''",RIGHT($A21,LEN($A21)-FIND("'",$A21))),$A21),"'!C10"))&gt;=O$2,"d",IF(INDIRECT(_xlfn.CONCAT("'",IF(ISNUMBER(FIND("'",$A21))=TRUE,_xlfn.CONCAT(LEFT($A21,FIND("'",$A21)-1),"''",RIGHT($A21,LEN($A21)-FIND("'",$A21))),$A21),"'!C11"))&gt;=O$2,"i",""))</f>
        <v>d</v>
      </c>
      <c r="P21" s="1" t="str" cm="1">
        <f t="array" aca="1" ref="P21" ca="1">IF(INDIRECT(_xlfn.CONCAT("'",IF(ISNUMBER(FIND("'",$A21))=TRUE,_xlfn.CONCAT(LEFT($A21,FIND("'",$A21)-1),"''",RIGHT($A21,LEN($A21)-FIND("'",$A21))),$A21),"'!C10"))&gt;=P$2,"d",IF(INDIRECT(_xlfn.CONCAT("'",IF(ISNUMBER(FIND("'",$A21))=TRUE,_xlfn.CONCAT(LEFT($A21,FIND("'",$A21)-1),"''",RIGHT($A21,LEN($A21)-FIND("'",$A21))),$A21),"'!C11"))&gt;=P$2,"i",""))</f>
        <v>d</v>
      </c>
      <c r="Q21" s="1" t="str" cm="1">
        <f t="array" aca="1" ref="Q21" ca="1">IF(INDIRECT(_xlfn.CONCAT("'",IF(ISNUMBER(FIND("'",$A21))=TRUE,_xlfn.CONCAT(LEFT($A21,FIND("'",$A21)-1),"''",RIGHT($A21,LEN($A21)-FIND("'",$A21))),$A21),"'!C10"))&gt;=Q$2,"d",IF(INDIRECT(_xlfn.CONCAT("'",IF(ISNUMBER(FIND("'",$A21))=TRUE,_xlfn.CONCAT(LEFT($A21,FIND("'",$A21)-1),"''",RIGHT($A21,LEN($A21)-FIND("'",$A21))),$A21),"'!C11"))&gt;=Q$2,"i",""))</f>
        <v>d</v>
      </c>
      <c r="R21" s="1" t="str" cm="1">
        <f t="array" aca="1" ref="R21" ca="1">IF(INDIRECT(_xlfn.CONCAT("'",IF(ISNUMBER(FIND("'",$A21))=TRUE,_xlfn.CONCAT(LEFT($A21,FIND("'",$A21)-1),"''",RIGHT($A21,LEN($A21)-FIND("'",$A21))),$A21),"'!C10"))&gt;=R$2,"d",IF(INDIRECT(_xlfn.CONCAT("'",IF(ISNUMBER(FIND("'",$A21))=TRUE,_xlfn.CONCAT(LEFT($A21,FIND("'",$A21)-1),"''",RIGHT($A21,LEN($A21)-FIND("'",$A21))),$A21),"'!C11"))&gt;=R$2,"i",""))</f>
        <v>d</v>
      </c>
      <c r="S21" s="1" t="str" cm="1">
        <f t="array" aca="1" ref="S21" ca="1">IF(INDIRECT(_xlfn.CONCAT("'",IF(ISNUMBER(FIND("'",$A21))=TRUE,_xlfn.CONCAT(LEFT($A21,FIND("'",$A21)-1),"''",RIGHT($A21,LEN($A21)-FIND("'",$A21))),$A21),"'!C10"))&gt;=S$2,"d",IF(INDIRECT(_xlfn.CONCAT("'",IF(ISNUMBER(FIND("'",$A21))=TRUE,_xlfn.CONCAT(LEFT($A21,FIND("'",$A21)-1),"''",RIGHT($A21,LEN($A21)-FIND("'",$A21))),$A21),"'!C11"))&gt;=S$2,"i",""))</f>
        <v>d</v>
      </c>
      <c r="T21" s="4" t="str" cm="1">
        <f t="array" aca="1" ref="T21" ca="1">IF(INDIRECT(_xlfn.CONCAT("'",IF(ISNUMBER(FIND("'",$A21))=TRUE,_xlfn.CONCAT(LEFT($A21,FIND("'",$A21)-1),"''",RIGHT($A21,LEN($A21)-FIND("'",$A21))),$A21),"'!C10"))&gt;=T$2,"d",IF(INDIRECT(_xlfn.CONCAT("'",IF(ISNUMBER(FIND("'",$A21))=TRUE,_xlfn.CONCAT(LEFT($A21,FIND("'",$A21)-1),"''",RIGHT($A21,LEN($A21)-FIND("'",$A21))),$A21),"'!C11"))&gt;=T$2,"i",""))</f>
        <v>d</v>
      </c>
    </row>
    <row r="22" spans="1:20" hidden="1" x14ac:dyDescent="0.25">
      <c r="A22" s="54" t="str">
        <v>Skyrider Greatsword</v>
      </c>
      <c r="B22" s="14" cm="1">
        <f t="array" ref="B22">_xlfn.XLOOKUP(A22,INDEX(Weapon_List,,1),INDEX(Weapon_List,,3),,0,1)</f>
        <v>3</v>
      </c>
      <c r="C22" s="4" t="str" cm="1">
        <f t="array" ref="C22">_xlfn.XLOOKUP(A22,INDEX(Weapon_List,,1),INDEX(Weapon_List,,2),,0,1)</f>
        <v>Claymore</v>
      </c>
      <c r="D22" s="38" t="str" cm="1">
        <f t="array" ref="D22">_xlfn.XLOOKUP(A22,INDEX(Weapon_List,,1),INDEX(Weapon_List,,4),,0,1)</f>
        <v>Liyue 3</v>
      </c>
      <c r="E22" s="38" t="str" cm="1">
        <f t="array" ref="E22">_xlfn.XLOOKUP(A22,INDEX(Weapon_List,,1),INDEX(Weapon_List,,5),,0,1)</f>
        <v>Treasure Hoarder</v>
      </c>
      <c r="F22" s="38" t="str" cm="1">
        <f t="array" ref="F22">_xlfn.XLOOKUP(A22,INDEX(Weapon_List,,1),INDEX(Weapon_List,,6),,0,1)</f>
        <v>Vishap</v>
      </c>
      <c r="G22" s="14" t="str" cm="1">
        <f t="array" aca="1" ref="G22" ca="1">IF(INDIRECT(_xlfn.CONCAT("'",IF(ISNUMBER(FIND("'",$A22))=TRUE,_xlfn.CONCAT(LEFT($A22,FIND("'",$A22)-1),"''",RIGHT($A22,LEN($A22)-FIND("'",$A22))),$A22),"'!B4"))&gt;=G$2,"d",IF(INDIRECT(_xlfn.CONCAT("'",IF(ISNUMBER(FIND("'",$A22))=TRUE,_xlfn.CONCAT(LEFT($A22,FIND("'",$A22)-1),"''",RIGHT($A22,LEN($A22)-FIND("'",$A22))),$A22),"'!B5"))&gt;=G$2,"i",""))</f>
        <v>d</v>
      </c>
      <c r="H22" s="1" t="str" cm="1">
        <f t="array" aca="1" ref="H22" ca="1">IF(INDIRECT(_xlfn.CONCAT("'",IF(ISNUMBER(FIND("'",$A22))=TRUE,_xlfn.CONCAT(LEFT($A22,FIND("'",$A22)-1),"''",RIGHT($A22,LEN($A22)-FIND("'",$A22))),$A22),"'!B4"))&gt;=H$2,"d",IF(INDIRECT(_xlfn.CONCAT("'",IF(ISNUMBER(FIND("'",$A22))=TRUE,_xlfn.CONCAT(LEFT($A22,FIND("'",$A22)-1),"''",RIGHT($A22,LEN($A22)-FIND("'",$A22))),$A22),"'!B5"))&gt;=H$2,"i",""))</f>
        <v>d</v>
      </c>
      <c r="I22" s="1" t="str" cm="1">
        <f t="array" aca="1" ref="I22" ca="1">IF(INDIRECT(_xlfn.CONCAT("'",IF(ISNUMBER(FIND("'",$A22))=TRUE,_xlfn.CONCAT(LEFT($A22,FIND("'",$A22)-1),"''",RIGHT($A22,LEN($A22)-FIND("'",$A22))),$A22),"'!B4"))&gt;=I$2,"d",IF(INDIRECT(_xlfn.CONCAT("'",IF(ISNUMBER(FIND("'",$A22))=TRUE,_xlfn.CONCAT(LEFT($A22,FIND("'",$A22)-1),"''",RIGHT($A22,LEN($A22)-FIND("'",$A22))),$A22),"'!B5"))&gt;=I$2,"i",""))</f>
        <v>d</v>
      </c>
      <c r="J22" s="1" t="str" cm="1">
        <f t="array" aca="1" ref="J22" ca="1">IF(INDIRECT(_xlfn.CONCAT("'",IF(ISNUMBER(FIND("'",$A22))=TRUE,_xlfn.CONCAT(LEFT($A22,FIND("'",$A22)-1),"''",RIGHT($A22,LEN($A22)-FIND("'",$A22))),$A22),"'!B4"))&gt;=J$2,"d",IF(INDIRECT(_xlfn.CONCAT("'",IF(ISNUMBER(FIND("'",$A22))=TRUE,_xlfn.CONCAT(LEFT($A22,FIND("'",$A22)-1),"''",RIGHT($A22,LEN($A22)-FIND("'",$A22))),$A22),"'!B5"))&gt;=J$2,"i",""))</f>
        <v>d</v>
      </c>
      <c r="K22" s="1" t="str" cm="1">
        <f t="array" aca="1" ref="K22" ca="1">IF(INDIRECT(_xlfn.CONCAT("'",IF(ISNUMBER(FIND("'",$A22))=TRUE,_xlfn.CONCAT(LEFT($A22,FIND("'",$A22)-1),"''",RIGHT($A22,LEN($A22)-FIND("'",$A22))),$A22),"'!B4"))&gt;=K$2,"d",IF(INDIRECT(_xlfn.CONCAT("'",IF(ISNUMBER(FIND("'",$A22))=TRUE,_xlfn.CONCAT(LEFT($A22,FIND("'",$A22)-1),"''",RIGHT($A22,LEN($A22)-FIND("'",$A22))),$A22),"'!B5"))&gt;=K$2,"i",""))</f>
        <v>d</v>
      </c>
      <c r="L22" s="1" t="str" cm="1">
        <f t="array" aca="1" ref="L22" ca="1">IF(INDIRECT(_xlfn.CONCAT("'",IF(ISNUMBER(FIND("'",$A22))=TRUE,_xlfn.CONCAT(LEFT($A22,FIND("'",$A22)-1),"''",RIGHT($A22,LEN($A22)-FIND("'",$A22))),$A22),"'!B4"))&gt;=L$2,"d",IF(INDIRECT(_xlfn.CONCAT("'",IF(ISNUMBER(FIND("'",$A22))=TRUE,_xlfn.CONCAT(LEFT($A22,FIND("'",$A22)-1),"''",RIGHT($A22,LEN($A22)-FIND("'",$A22))),$A22),"'!B5"))&gt;=L$2,"i",""))</f>
        <v>d</v>
      </c>
      <c r="M22" s="4" t="str" cm="1">
        <f t="array" aca="1" ref="M22" ca="1">IF(INDIRECT(_xlfn.CONCAT("'",IF(ISNUMBER(FIND("'",$A22))=TRUE,_xlfn.CONCAT(LEFT($A22,FIND("'",$A22)-1),"''",RIGHT($A22,LEN($A22)-FIND("'",$A22))),$A22),"'!B4"))&gt;=M$2,"d",IF(INDIRECT(_xlfn.CONCAT("'",IF(ISNUMBER(FIND("'",$A22))=TRUE,_xlfn.CONCAT(LEFT($A22,FIND("'",$A22)-1),"''",RIGHT($A22,LEN($A22)-FIND("'",$A22))),$A22),"'!B5"))&gt;=M$2,"i",""))</f>
        <v>d</v>
      </c>
      <c r="N22" s="95"/>
      <c r="O22" s="14" t="str" cm="1">
        <f t="array" aca="1" ref="O22" ca="1">IF(INDIRECT(_xlfn.CONCAT("'",IF(ISNUMBER(FIND("'",$A22))=TRUE,_xlfn.CONCAT(LEFT($A22,FIND("'",$A22)-1),"''",RIGHT($A22,LEN($A22)-FIND("'",$A22))),$A22),"'!C10"))&gt;=O$2,"d",IF(INDIRECT(_xlfn.CONCAT("'",IF(ISNUMBER(FIND("'",$A22))=TRUE,_xlfn.CONCAT(LEFT($A22,FIND("'",$A22)-1),"''",RIGHT($A22,LEN($A22)-FIND("'",$A22))),$A22),"'!C11"))&gt;=O$2,"i",""))</f>
        <v>d</v>
      </c>
      <c r="P22" s="1" t="str" cm="1">
        <f t="array" aca="1" ref="P22" ca="1">IF(INDIRECT(_xlfn.CONCAT("'",IF(ISNUMBER(FIND("'",$A22))=TRUE,_xlfn.CONCAT(LEFT($A22,FIND("'",$A22)-1),"''",RIGHT($A22,LEN($A22)-FIND("'",$A22))),$A22),"'!C10"))&gt;=P$2,"d",IF(INDIRECT(_xlfn.CONCAT("'",IF(ISNUMBER(FIND("'",$A22))=TRUE,_xlfn.CONCAT(LEFT($A22,FIND("'",$A22)-1),"''",RIGHT($A22,LEN($A22)-FIND("'",$A22))),$A22),"'!C11"))&gt;=P$2,"i",""))</f>
        <v>d</v>
      </c>
      <c r="Q22" s="1" t="str" cm="1">
        <f t="array" aca="1" ref="Q22" ca="1">IF(INDIRECT(_xlfn.CONCAT("'",IF(ISNUMBER(FIND("'",$A22))=TRUE,_xlfn.CONCAT(LEFT($A22,FIND("'",$A22)-1),"''",RIGHT($A22,LEN($A22)-FIND("'",$A22))),$A22),"'!C10"))&gt;=Q$2,"d",IF(INDIRECT(_xlfn.CONCAT("'",IF(ISNUMBER(FIND("'",$A22))=TRUE,_xlfn.CONCAT(LEFT($A22,FIND("'",$A22)-1),"''",RIGHT($A22,LEN($A22)-FIND("'",$A22))),$A22),"'!C11"))&gt;=Q$2,"i",""))</f>
        <v>d</v>
      </c>
      <c r="R22" s="1" t="str" cm="1">
        <f t="array" aca="1" ref="R22" ca="1">IF(INDIRECT(_xlfn.CONCAT("'",IF(ISNUMBER(FIND("'",$A22))=TRUE,_xlfn.CONCAT(LEFT($A22,FIND("'",$A22)-1),"''",RIGHT($A22,LEN($A22)-FIND("'",$A22))),$A22),"'!C10"))&gt;=R$2,"d",IF(INDIRECT(_xlfn.CONCAT("'",IF(ISNUMBER(FIND("'",$A22))=TRUE,_xlfn.CONCAT(LEFT($A22,FIND("'",$A22)-1),"''",RIGHT($A22,LEN($A22)-FIND("'",$A22))),$A22),"'!C11"))&gt;=R$2,"i",""))</f>
        <v>d</v>
      </c>
      <c r="S22" s="1" t="str" cm="1">
        <f t="array" aca="1" ref="S22" ca="1">IF(INDIRECT(_xlfn.CONCAT("'",IF(ISNUMBER(FIND("'",$A22))=TRUE,_xlfn.CONCAT(LEFT($A22,FIND("'",$A22)-1),"''",RIGHT($A22,LEN($A22)-FIND("'",$A22))),$A22),"'!C10"))&gt;=S$2,"d",IF(INDIRECT(_xlfn.CONCAT("'",IF(ISNUMBER(FIND("'",$A22))=TRUE,_xlfn.CONCAT(LEFT($A22,FIND("'",$A22)-1),"''",RIGHT($A22,LEN($A22)-FIND("'",$A22))),$A22),"'!C11"))&gt;=S$2,"i",""))</f>
        <v>d</v>
      </c>
      <c r="T22" s="4" t="str" cm="1">
        <f t="array" aca="1" ref="T22" ca="1">IF(INDIRECT(_xlfn.CONCAT("'",IF(ISNUMBER(FIND("'",$A22))=TRUE,_xlfn.CONCAT(LEFT($A22,FIND("'",$A22)-1),"''",RIGHT($A22,LEN($A22)-FIND("'",$A22))),$A22),"'!C10"))&gt;=T$2,"d",IF(INDIRECT(_xlfn.CONCAT("'",IF(ISNUMBER(FIND("'",$A22))=TRUE,_xlfn.CONCAT(LEFT($A22,FIND("'",$A22)-1),"''",RIGHT($A22,LEN($A22)-FIND("'",$A22))),$A22),"'!C11"))&gt;=T$2,"i",""))</f>
        <v>d</v>
      </c>
    </row>
    <row r="23" spans="1:20" hidden="1" x14ac:dyDescent="0.25">
      <c r="A23" s="54" t="str">
        <v>White Iron Greatsword</v>
      </c>
      <c r="B23" s="14" cm="1">
        <f t="array" ref="B23">_xlfn.XLOOKUP(A23,INDEX(Weapon_List,,1),INDEX(Weapon_List,,3),,0,1)</f>
        <v>3</v>
      </c>
      <c r="C23" s="4" t="str" cm="1">
        <f t="array" ref="C23">_xlfn.XLOOKUP(A23,INDEX(Weapon_List,,1),INDEX(Weapon_List,,2),,0,1)</f>
        <v>Claymore</v>
      </c>
      <c r="D23" s="38" t="str" cm="1">
        <f t="array" ref="D23">_xlfn.XLOOKUP(A23,INDEX(Weapon_List,,1),INDEX(Weapon_List,,4),,0,1)</f>
        <v>Mondstadt 3</v>
      </c>
      <c r="E23" s="38" t="str" cm="1">
        <f t="array" ref="E23">_xlfn.XLOOKUP(A23,INDEX(Weapon_List,,1),INDEX(Weapon_List,,5),,0,1)</f>
        <v>Slime</v>
      </c>
      <c r="F23" s="38" t="str" cm="1">
        <f t="array" ref="F23">_xlfn.XLOOKUP(A23,INDEX(Weapon_List,,1),INDEX(Weapon_List,,6),,0,1)</f>
        <v>Ruin Machine 1</v>
      </c>
      <c r="G23" s="14" t="str" cm="1">
        <f t="array" aca="1" ref="G23" ca="1">IF(INDIRECT(_xlfn.CONCAT("'",IF(ISNUMBER(FIND("'",$A23))=TRUE,_xlfn.CONCAT(LEFT($A23,FIND("'",$A23)-1),"''",RIGHT($A23,LEN($A23)-FIND("'",$A23))),$A23),"'!B4"))&gt;=G$2,"d",IF(INDIRECT(_xlfn.CONCAT("'",IF(ISNUMBER(FIND("'",$A23))=TRUE,_xlfn.CONCAT(LEFT($A23,FIND("'",$A23)-1),"''",RIGHT($A23,LEN($A23)-FIND("'",$A23))),$A23),"'!B5"))&gt;=G$2,"i",""))</f>
        <v>d</v>
      </c>
      <c r="H23" s="1" t="str" cm="1">
        <f t="array" aca="1" ref="H23" ca="1">IF(INDIRECT(_xlfn.CONCAT("'",IF(ISNUMBER(FIND("'",$A23))=TRUE,_xlfn.CONCAT(LEFT($A23,FIND("'",$A23)-1),"''",RIGHT($A23,LEN($A23)-FIND("'",$A23))),$A23),"'!B4"))&gt;=H$2,"d",IF(INDIRECT(_xlfn.CONCAT("'",IF(ISNUMBER(FIND("'",$A23))=TRUE,_xlfn.CONCAT(LEFT($A23,FIND("'",$A23)-1),"''",RIGHT($A23,LEN($A23)-FIND("'",$A23))),$A23),"'!B5"))&gt;=H$2,"i",""))</f>
        <v>d</v>
      </c>
      <c r="I23" s="1" t="str" cm="1">
        <f t="array" aca="1" ref="I23" ca="1">IF(INDIRECT(_xlfn.CONCAT("'",IF(ISNUMBER(FIND("'",$A23))=TRUE,_xlfn.CONCAT(LEFT($A23,FIND("'",$A23)-1),"''",RIGHT($A23,LEN($A23)-FIND("'",$A23))),$A23),"'!B4"))&gt;=I$2,"d",IF(INDIRECT(_xlfn.CONCAT("'",IF(ISNUMBER(FIND("'",$A23))=TRUE,_xlfn.CONCAT(LEFT($A23,FIND("'",$A23)-1),"''",RIGHT($A23,LEN($A23)-FIND("'",$A23))),$A23),"'!B5"))&gt;=I$2,"i",""))</f>
        <v>d</v>
      </c>
      <c r="J23" s="1" t="str" cm="1">
        <f t="array" aca="1" ref="J23" ca="1">IF(INDIRECT(_xlfn.CONCAT("'",IF(ISNUMBER(FIND("'",$A23))=TRUE,_xlfn.CONCAT(LEFT($A23,FIND("'",$A23)-1),"''",RIGHT($A23,LEN($A23)-FIND("'",$A23))),$A23),"'!B4"))&gt;=J$2,"d",IF(INDIRECT(_xlfn.CONCAT("'",IF(ISNUMBER(FIND("'",$A23))=TRUE,_xlfn.CONCAT(LEFT($A23,FIND("'",$A23)-1),"''",RIGHT($A23,LEN($A23)-FIND("'",$A23))),$A23),"'!B5"))&gt;=J$2,"i",""))</f>
        <v>d</v>
      </c>
      <c r="K23" s="1" t="str" cm="1">
        <f t="array" aca="1" ref="K23" ca="1">IF(INDIRECT(_xlfn.CONCAT("'",IF(ISNUMBER(FIND("'",$A23))=TRUE,_xlfn.CONCAT(LEFT($A23,FIND("'",$A23)-1),"''",RIGHT($A23,LEN($A23)-FIND("'",$A23))),$A23),"'!B4"))&gt;=K$2,"d",IF(INDIRECT(_xlfn.CONCAT("'",IF(ISNUMBER(FIND("'",$A23))=TRUE,_xlfn.CONCAT(LEFT($A23,FIND("'",$A23)-1),"''",RIGHT($A23,LEN($A23)-FIND("'",$A23))),$A23),"'!B5"))&gt;=K$2,"i",""))</f>
        <v>d</v>
      </c>
      <c r="L23" s="1" t="str" cm="1">
        <f t="array" aca="1" ref="L23" ca="1">IF(INDIRECT(_xlfn.CONCAT("'",IF(ISNUMBER(FIND("'",$A23))=TRUE,_xlfn.CONCAT(LEFT($A23,FIND("'",$A23)-1),"''",RIGHT($A23,LEN($A23)-FIND("'",$A23))),$A23),"'!B4"))&gt;=L$2,"d",IF(INDIRECT(_xlfn.CONCAT("'",IF(ISNUMBER(FIND("'",$A23))=TRUE,_xlfn.CONCAT(LEFT($A23,FIND("'",$A23)-1),"''",RIGHT($A23,LEN($A23)-FIND("'",$A23))),$A23),"'!B5"))&gt;=L$2,"i",""))</f>
        <v>d</v>
      </c>
      <c r="M23" s="4" t="str" cm="1">
        <f t="array" aca="1" ref="M23" ca="1">IF(INDIRECT(_xlfn.CONCAT("'",IF(ISNUMBER(FIND("'",$A23))=TRUE,_xlfn.CONCAT(LEFT($A23,FIND("'",$A23)-1),"''",RIGHT($A23,LEN($A23)-FIND("'",$A23))),$A23),"'!B4"))&gt;=M$2,"d",IF(INDIRECT(_xlfn.CONCAT("'",IF(ISNUMBER(FIND("'",$A23))=TRUE,_xlfn.CONCAT(LEFT($A23,FIND("'",$A23)-1),"''",RIGHT($A23,LEN($A23)-FIND("'",$A23))),$A23),"'!B5"))&gt;=M$2,"i",""))</f>
        <v>d</v>
      </c>
      <c r="N23" s="95"/>
      <c r="O23" s="14" t="str" cm="1">
        <f t="array" aca="1" ref="O23" ca="1">IF(INDIRECT(_xlfn.CONCAT("'",IF(ISNUMBER(FIND("'",$A23))=TRUE,_xlfn.CONCAT(LEFT($A23,FIND("'",$A23)-1),"''",RIGHT($A23,LEN($A23)-FIND("'",$A23))),$A23),"'!C10"))&gt;=O$2,"d",IF(INDIRECT(_xlfn.CONCAT("'",IF(ISNUMBER(FIND("'",$A23))=TRUE,_xlfn.CONCAT(LEFT($A23,FIND("'",$A23)-1),"''",RIGHT($A23,LEN($A23)-FIND("'",$A23))),$A23),"'!C11"))&gt;=O$2,"i",""))</f>
        <v>d</v>
      </c>
      <c r="P23" s="1" t="str" cm="1">
        <f t="array" aca="1" ref="P23" ca="1">IF(INDIRECT(_xlfn.CONCAT("'",IF(ISNUMBER(FIND("'",$A23))=TRUE,_xlfn.CONCAT(LEFT($A23,FIND("'",$A23)-1),"''",RIGHT($A23,LEN($A23)-FIND("'",$A23))),$A23),"'!C10"))&gt;=P$2,"d",IF(INDIRECT(_xlfn.CONCAT("'",IF(ISNUMBER(FIND("'",$A23))=TRUE,_xlfn.CONCAT(LEFT($A23,FIND("'",$A23)-1),"''",RIGHT($A23,LEN($A23)-FIND("'",$A23))),$A23),"'!C11"))&gt;=P$2,"i",""))</f>
        <v>d</v>
      </c>
      <c r="Q23" s="1" t="str" cm="1">
        <f t="array" aca="1" ref="Q23" ca="1">IF(INDIRECT(_xlfn.CONCAT("'",IF(ISNUMBER(FIND("'",$A23))=TRUE,_xlfn.CONCAT(LEFT($A23,FIND("'",$A23)-1),"''",RIGHT($A23,LEN($A23)-FIND("'",$A23))),$A23),"'!C10"))&gt;=Q$2,"d",IF(INDIRECT(_xlfn.CONCAT("'",IF(ISNUMBER(FIND("'",$A23))=TRUE,_xlfn.CONCAT(LEFT($A23,FIND("'",$A23)-1),"''",RIGHT($A23,LEN($A23)-FIND("'",$A23))),$A23),"'!C11"))&gt;=Q$2,"i",""))</f>
        <v>d</v>
      </c>
      <c r="R23" s="1" t="str" cm="1">
        <f t="array" aca="1" ref="R23" ca="1">IF(INDIRECT(_xlfn.CONCAT("'",IF(ISNUMBER(FIND("'",$A23))=TRUE,_xlfn.CONCAT(LEFT($A23,FIND("'",$A23)-1),"''",RIGHT($A23,LEN($A23)-FIND("'",$A23))),$A23),"'!C10"))&gt;=R$2,"d",IF(INDIRECT(_xlfn.CONCAT("'",IF(ISNUMBER(FIND("'",$A23))=TRUE,_xlfn.CONCAT(LEFT($A23,FIND("'",$A23)-1),"''",RIGHT($A23,LEN($A23)-FIND("'",$A23))),$A23),"'!C11"))&gt;=R$2,"i",""))</f>
        <v>d</v>
      </c>
      <c r="S23" s="1" t="str" cm="1">
        <f t="array" aca="1" ref="S23" ca="1">IF(INDIRECT(_xlfn.CONCAT("'",IF(ISNUMBER(FIND("'",$A23))=TRUE,_xlfn.CONCAT(LEFT($A23,FIND("'",$A23)-1),"''",RIGHT($A23,LEN($A23)-FIND("'",$A23))),$A23),"'!C10"))&gt;=S$2,"d",IF(INDIRECT(_xlfn.CONCAT("'",IF(ISNUMBER(FIND("'",$A23))=TRUE,_xlfn.CONCAT(LEFT($A23,FIND("'",$A23)-1),"''",RIGHT($A23,LEN($A23)-FIND("'",$A23))),$A23),"'!C11"))&gt;=S$2,"i",""))</f>
        <v>d</v>
      </c>
      <c r="T23" s="4" t="str" cm="1">
        <f t="array" aca="1" ref="T23" ca="1">IF(INDIRECT(_xlfn.CONCAT("'",IF(ISNUMBER(FIND("'",$A23))=TRUE,_xlfn.CONCAT(LEFT($A23,FIND("'",$A23)-1),"''",RIGHT($A23,LEN($A23)-FIND("'",$A23))),$A23),"'!C10"))&gt;=T$2,"d",IF(INDIRECT(_xlfn.CONCAT("'",IF(ISNUMBER(FIND("'",$A23))=TRUE,_xlfn.CONCAT(LEFT($A23,FIND("'",$A23)-1),"''",RIGHT($A23,LEN($A23)-FIND("'",$A23))),$A23),"'!C11"))&gt;=T$2,"i",""))</f>
        <v>d</v>
      </c>
    </row>
    <row r="24" spans="1:20" hidden="1" x14ac:dyDescent="0.25">
      <c r="A24" s="54" t="str">
        <v>Black Tassel</v>
      </c>
      <c r="B24" s="14" cm="1">
        <f t="array" ref="B24">_xlfn.XLOOKUP(A24,INDEX(Weapon_List,,1),INDEX(Weapon_List,,3),,0,1)</f>
        <v>3</v>
      </c>
      <c r="C24" s="4" t="str" cm="1">
        <f t="array" ref="C24">_xlfn.XLOOKUP(A24,INDEX(Weapon_List,,1),INDEX(Weapon_List,,2),,0,1)</f>
        <v>Polearm</v>
      </c>
      <c r="D24" s="38" t="str" cm="1">
        <f t="array" ref="D24">_xlfn.XLOOKUP(A24,INDEX(Weapon_List,,1),INDEX(Weapon_List,,4),,0,1)</f>
        <v>Liyue 3</v>
      </c>
      <c r="E24" s="38" t="str" cm="1">
        <f t="array" ref="E24">_xlfn.XLOOKUP(A24,INDEX(Weapon_List,,1),INDEX(Weapon_List,,5),,0,1)</f>
        <v>Hilichurl Shooter</v>
      </c>
      <c r="F24" s="38" t="str" cm="1">
        <f t="array" ref="F24">_xlfn.XLOOKUP(A24,INDEX(Weapon_List,,1),INDEX(Weapon_List,,6),,0,1)</f>
        <v>Vishap</v>
      </c>
      <c r="G24" s="14" t="str" cm="1">
        <f t="array" aca="1" ref="G24" ca="1">IF(INDIRECT(_xlfn.CONCAT("'",IF(ISNUMBER(FIND("'",$A24))=TRUE,_xlfn.CONCAT(LEFT($A24,FIND("'",$A24)-1),"''",RIGHT($A24,LEN($A24)-FIND("'",$A24))),$A24),"'!B4"))&gt;=G$2,"d",IF(INDIRECT(_xlfn.CONCAT("'",IF(ISNUMBER(FIND("'",$A24))=TRUE,_xlfn.CONCAT(LEFT($A24,FIND("'",$A24)-1),"''",RIGHT($A24,LEN($A24)-FIND("'",$A24))),$A24),"'!B5"))&gt;=G$2,"i",""))</f>
        <v>d</v>
      </c>
      <c r="H24" s="1" t="str" cm="1">
        <f t="array" aca="1" ref="H24" ca="1">IF(INDIRECT(_xlfn.CONCAT("'",IF(ISNUMBER(FIND("'",$A24))=TRUE,_xlfn.CONCAT(LEFT($A24,FIND("'",$A24)-1),"''",RIGHT($A24,LEN($A24)-FIND("'",$A24))),$A24),"'!B4"))&gt;=H$2,"d",IF(INDIRECT(_xlfn.CONCAT("'",IF(ISNUMBER(FIND("'",$A24))=TRUE,_xlfn.CONCAT(LEFT($A24,FIND("'",$A24)-1),"''",RIGHT($A24,LEN($A24)-FIND("'",$A24))),$A24),"'!B5"))&gt;=H$2,"i",""))</f>
        <v>d</v>
      </c>
      <c r="I24" s="1" t="str" cm="1">
        <f t="array" aca="1" ref="I24" ca="1">IF(INDIRECT(_xlfn.CONCAT("'",IF(ISNUMBER(FIND("'",$A24))=TRUE,_xlfn.CONCAT(LEFT($A24,FIND("'",$A24)-1),"''",RIGHT($A24,LEN($A24)-FIND("'",$A24))),$A24),"'!B4"))&gt;=I$2,"d",IF(INDIRECT(_xlfn.CONCAT("'",IF(ISNUMBER(FIND("'",$A24))=TRUE,_xlfn.CONCAT(LEFT($A24,FIND("'",$A24)-1),"''",RIGHT($A24,LEN($A24)-FIND("'",$A24))),$A24),"'!B5"))&gt;=I$2,"i",""))</f>
        <v>d</v>
      </c>
      <c r="J24" s="1" t="str" cm="1">
        <f t="array" aca="1" ref="J24" ca="1">IF(INDIRECT(_xlfn.CONCAT("'",IF(ISNUMBER(FIND("'",$A24))=TRUE,_xlfn.CONCAT(LEFT($A24,FIND("'",$A24)-1),"''",RIGHT($A24,LEN($A24)-FIND("'",$A24))),$A24),"'!B4"))&gt;=J$2,"d",IF(INDIRECT(_xlfn.CONCAT("'",IF(ISNUMBER(FIND("'",$A24))=TRUE,_xlfn.CONCAT(LEFT($A24,FIND("'",$A24)-1),"''",RIGHT($A24,LEN($A24)-FIND("'",$A24))),$A24),"'!B5"))&gt;=J$2,"i",""))</f>
        <v>d</v>
      </c>
      <c r="K24" s="1" t="str" cm="1">
        <f t="array" aca="1" ref="K24" ca="1">IF(INDIRECT(_xlfn.CONCAT("'",IF(ISNUMBER(FIND("'",$A24))=TRUE,_xlfn.CONCAT(LEFT($A24,FIND("'",$A24)-1),"''",RIGHT($A24,LEN($A24)-FIND("'",$A24))),$A24),"'!B4"))&gt;=K$2,"d",IF(INDIRECT(_xlfn.CONCAT("'",IF(ISNUMBER(FIND("'",$A24))=TRUE,_xlfn.CONCAT(LEFT($A24,FIND("'",$A24)-1),"''",RIGHT($A24,LEN($A24)-FIND("'",$A24))),$A24),"'!B5"))&gt;=K$2,"i",""))</f>
        <v>d</v>
      </c>
      <c r="L24" s="1" t="str" cm="1">
        <f t="array" aca="1" ref="L24" ca="1">IF(INDIRECT(_xlfn.CONCAT("'",IF(ISNUMBER(FIND("'",$A24))=TRUE,_xlfn.CONCAT(LEFT($A24,FIND("'",$A24)-1),"''",RIGHT($A24,LEN($A24)-FIND("'",$A24))),$A24),"'!B4"))&gt;=L$2,"d",IF(INDIRECT(_xlfn.CONCAT("'",IF(ISNUMBER(FIND("'",$A24))=TRUE,_xlfn.CONCAT(LEFT($A24,FIND("'",$A24)-1),"''",RIGHT($A24,LEN($A24)-FIND("'",$A24))),$A24),"'!B5"))&gt;=L$2,"i",""))</f>
        <v>d</v>
      </c>
      <c r="M24" s="4" t="str" cm="1">
        <f t="array" aca="1" ref="M24" ca="1">IF(INDIRECT(_xlfn.CONCAT("'",IF(ISNUMBER(FIND("'",$A24))=TRUE,_xlfn.CONCAT(LEFT($A24,FIND("'",$A24)-1),"''",RIGHT($A24,LEN($A24)-FIND("'",$A24))),$A24),"'!B4"))&gt;=M$2,"d",IF(INDIRECT(_xlfn.CONCAT("'",IF(ISNUMBER(FIND("'",$A24))=TRUE,_xlfn.CONCAT(LEFT($A24,FIND("'",$A24)-1),"''",RIGHT($A24,LEN($A24)-FIND("'",$A24))),$A24),"'!B5"))&gt;=M$2,"i",""))</f>
        <v>d</v>
      </c>
      <c r="N24" s="95"/>
      <c r="O24" s="14" t="str" cm="1">
        <f t="array" aca="1" ref="O24" ca="1">IF(INDIRECT(_xlfn.CONCAT("'",IF(ISNUMBER(FIND("'",$A24))=TRUE,_xlfn.CONCAT(LEFT($A24,FIND("'",$A24)-1),"''",RIGHT($A24,LEN($A24)-FIND("'",$A24))),$A24),"'!C10"))&gt;=O$2,"d",IF(INDIRECT(_xlfn.CONCAT("'",IF(ISNUMBER(FIND("'",$A24))=TRUE,_xlfn.CONCAT(LEFT($A24,FIND("'",$A24)-1),"''",RIGHT($A24,LEN($A24)-FIND("'",$A24))),$A24),"'!C11"))&gt;=O$2,"i",""))</f>
        <v>d</v>
      </c>
      <c r="P24" s="1" t="str" cm="1">
        <f t="array" aca="1" ref="P24" ca="1">IF(INDIRECT(_xlfn.CONCAT("'",IF(ISNUMBER(FIND("'",$A24))=TRUE,_xlfn.CONCAT(LEFT($A24,FIND("'",$A24)-1),"''",RIGHT($A24,LEN($A24)-FIND("'",$A24))),$A24),"'!C10"))&gt;=P$2,"d",IF(INDIRECT(_xlfn.CONCAT("'",IF(ISNUMBER(FIND("'",$A24))=TRUE,_xlfn.CONCAT(LEFT($A24,FIND("'",$A24)-1),"''",RIGHT($A24,LEN($A24)-FIND("'",$A24))),$A24),"'!C11"))&gt;=P$2,"i",""))</f>
        <v>d</v>
      </c>
      <c r="Q24" s="1" t="str" cm="1">
        <f t="array" aca="1" ref="Q24" ca="1">IF(INDIRECT(_xlfn.CONCAT("'",IF(ISNUMBER(FIND("'",$A24))=TRUE,_xlfn.CONCAT(LEFT($A24,FIND("'",$A24)-1),"''",RIGHT($A24,LEN($A24)-FIND("'",$A24))),$A24),"'!C10"))&gt;=Q$2,"d",IF(INDIRECT(_xlfn.CONCAT("'",IF(ISNUMBER(FIND("'",$A24))=TRUE,_xlfn.CONCAT(LEFT($A24,FIND("'",$A24)-1),"''",RIGHT($A24,LEN($A24)-FIND("'",$A24))),$A24),"'!C11"))&gt;=Q$2,"i",""))</f>
        <v>d</v>
      </c>
      <c r="R24" s="1" t="str" cm="1">
        <f t="array" aca="1" ref="R24" ca="1">IF(INDIRECT(_xlfn.CONCAT("'",IF(ISNUMBER(FIND("'",$A24))=TRUE,_xlfn.CONCAT(LEFT($A24,FIND("'",$A24)-1),"''",RIGHT($A24,LEN($A24)-FIND("'",$A24))),$A24),"'!C10"))&gt;=R$2,"d",IF(INDIRECT(_xlfn.CONCAT("'",IF(ISNUMBER(FIND("'",$A24))=TRUE,_xlfn.CONCAT(LEFT($A24,FIND("'",$A24)-1),"''",RIGHT($A24,LEN($A24)-FIND("'",$A24))),$A24),"'!C11"))&gt;=R$2,"i",""))</f>
        <v>d</v>
      </c>
      <c r="S24" s="1" t="str" cm="1">
        <f t="array" aca="1" ref="S24" ca="1">IF(INDIRECT(_xlfn.CONCAT("'",IF(ISNUMBER(FIND("'",$A24))=TRUE,_xlfn.CONCAT(LEFT($A24,FIND("'",$A24)-1),"''",RIGHT($A24,LEN($A24)-FIND("'",$A24))),$A24),"'!C10"))&gt;=S$2,"d",IF(INDIRECT(_xlfn.CONCAT("'",IF(ISNUMBER(FIND("'",$A24))=TRUE,_xlfn.CONCAT(LEFT($A24,FIND("'",$A24)-1),"''",RIGHT($A24,LEN($A24)-FIND("'",$A24))),$A24),"'!C11"))&gt;=S$2,"i",""))</f>
        <v>d</v>
      </c>
      <c r="T24" s="4" t="str" cm="1">
        <f t="array" aca="1" ref="T24" ca="1">IF(INDIRECT(_xlfn.CONCAT("'",IF(ISNUMBER(FIND("'",$A24))=TRUE,_xlfn.CONCAT(LEFT($A24,FIND("'",$A24)-1),"''",RIGHT($A24,LEN($A24)-FIND("'",$A24))),$A24),"'!C10"))&gt;=T$2,"d",IF(INDIRECT(_xlfn.CONCAT("'",IF(ISNUMBER(FIND("'",$A24))=TRUE,_xlfn.CONCAT(LEFT($A24,FIND("'",$A24)-1),"''",RIGHT($A24,LEN($A24)-FIND("'",$A24))),$A24),"'!C11"))&gt;=T$2,"i",""))</f>
        <v>d</v>
      </c>
    </row>
    <row r="25" spans="1:20" hidden="1" x14ac:dyDescent="0.25">
      <c r="A25" s="54" t="str">
        <v>Halberd</v>
      </c>
      <c r="B25" s="14" cm="1">
        <f t="array" ref="B25">_xlfn.XLOOKUP(A25,INDEX(Weapon_List,,1),INDEX(Weapon_List,,3),,0,1)</f>
        <v>3</v>
      </c>
      <c r="C25" s="4" t="str" cm="1">
        <f t="array" ref="C25">_xlfn.XLOOKUP(A25,INDEX(Weapon_List,,1),INDEX(Weapon_List,,2),,0,1)</f>
        <v>Polearm</v>
      </c>
      <c r="D25" s="38" t="str" cm="1">
        <f t="array" ref="D25">_xlfn.XLOOKUP(A25,INDEX(Weapon_List,,1),INDEX(Weapon_List,,4),,0,1)</f>
        <v>Liyue 2</v>
      </c>
      <c r="E25" s="38" t="str" cm="1">
        <f t="array" ref="E25">_xlfn.XLOOKUP(A25,INDEX(Weapon_List,,1),INDEX(Weapon_List,,5),,0,1)</f>
        <v>Whopperflower</v>
      </c>
      <c r="F25" s="38" t="str" cm="1">
        <f t="array" ref="F25">_xlfn.XLOOKUP(A25,INDEX(Weapon_List,,1),INDEX(Weapon_List,,6),,0,1)</f>
        <v>Fatui Cicin Mage</v>
      </c>
      <c r="G25" s="14" t="str" cm="1">
        <f t="array" aca="1" ref="G25" ca="1">IF(INDIRECT(_xlfn.CONCAT("'",IF(ISNUMBER(FIND("'",$A25))=TRUE,_xlfn.CONCAT(LEFT($A25,FIND("'",$A25)-1),"''",RIGHT($A25,LEN($A25)-FIND("'",$A25))),$A25),"'!B4"))&gt;=G$2,"d",IF(INDIRECT(_xlfn.CONCAT("'",IF(ISNUMBER(FIND("'",$A25))=TRUE,_xlfn.CONCAT(LEFT($A25,FIND("'",$A25)-1),"''",RIGHT($A25,LEN($A25)-FIND("'",$A25))),$A25),"'!B5"))&gt;=G$2,"i",""))</f>
        <v>d</v>
      </c>
      <c r="H25" s="1" t="str" cm="1">
        <f t="array" aca="1" ref="H25" ca="1">IF(INDIRECT(_xlfn.CONCAT("'",IF(ISNUMBER(FIND("'",$A25))=TRUE,_xlfn.CONCAT(LEFT($A25,FIND("'",$A25)-1),"''",RIGHT($A25,LEN($A25)-FIND("'",$A25))),$A25),"'!B4"))&gt;=H$2,"d",IF(INDIRECT(_xlfn.CONCAT("'",IF(ISNUMBER(FIND("'",$A25))=TRUE,_xlfn.CONCAT(LEFT($A25,FIND("'",$A25)-1),"''",RIGHT($A25,LEN($A25)-FIND("'",$A25))),$A25),"'!B5"))&gt;=H$2,"i",""))</f>
        <v>d</v>
      </c>
      <c r="I25" s="1" t="str" cm="1">
        <f t="array" aca="1" ref="I25" ca="1">IF(INDIRECT(_xlfn.CONCAT("'",IF(ISNUMBER(FIND("'",$A25))=TRUE,_xlfn.CONCAT(LEFT($A25,FIND("'",$A25)-1),"''",RIGHT($A25,LEN($A25)-FIND("'",$A25))),$A25),"'!B4"))&gt;=I$2,"d",IF(INDIRECT(_xlfn.CONCAT("'",IF(ISNUMBER(FIND("'",$A25))=TRUE,_xlfn.CONCAT(LEFT($A25,FIND("'",$A25)-1),"''",RIGHT($A25,LEN($A25)-FIND("'",$A25))),$A25),"'!B5"))&gt;=I$2,"i",""))</f>
        <v>d</v>
      </c>
      <c r="J25" s="1" t="str" cm="1">
        <f t="array" aca="1" ref="J25" ca="1">IF(INDIRECT(_xlfn.CONCAT("'",IF(ISNUMBER(FIND("'",$A25))=TRUE,_xlfn.CONCAT(LEFT($A25,FIND("'",$A25)-1),"''",RIGHT($A25,LEN($A25)-FIND("'",$A25))),$A25),"'!B4"))&gt;=J$2,"d",IF(INDIRECT(_xlfn.CONCAT("'",IF(ISNUMBER(FIND("'",$A25))=TRUE,_xlfn.CONCAT(LEFT($A25,FIND("'",$A25)-1),"''",RIGHT($A25,LEN($A25)-FIND("'",$A25))),$A25),"'!B5"))&gt;=J$2,"i",""))</f>
        <v>d</v>
      </c>
      <c r="K25" s="1" t="str" cm="1">
        <f t="array" aca="1" ref="K25" ca="1">IF(INDIRECT(_xlfn.CONCAT("'",IF(ISNUMBER(FIND("'",$A25))=TRUE,_xlfn.CONCAT(LEFT($A25,FIND("'",$A25)-1),"''",RIGHT($A25,LEN($A25)-FIND("'",$A25))),$A25),"'!B4"))&gt;=K$2,"d",IF(INDIRECT(_xlfn.CONCAT("'",IF(ISNUMBER(FIND("'",$A25))=TRUE,_xlfn.CONCAT(LEFT($A25,FIND("'",$A25)-1),"''",RIGHT($A25,LEN($A25)-FIND("'",$A25))),$A25),"'!B5"))&gt;=K$2,"i",""))</f>
        <v>d</v>
      </c>
      <c r="L25" s="1" t="str" cm="1">
        <f t="array" aca="1" ref="L25" ca="1">IF(INDIRECT(_xlfn.CONCAT("'",IF(ISNUMBER(FIND("'",$A25))=TRUE,_xlfn.CONCAT(LEFT($A25,FIND("'",$A25)-1),"''",RIGHT($A25,LEN($A25)-FIND("'",$A25))),$A25),"'!B4"))&gt;=L$2,"d",IF(INDIRECT(_xlfn.CONCAT("'",IF(ISNUMBER(FIND("'",$A25))=TRUE,_xlfn.CONCAT(LEFT($A25,FIND("'",$A25)-1),"''",RIGHT($A25,LEN($A25)-FIND("'",$A25))),$A25),"'!B5"))&gt;=L$2,"i",""))</f>
        <v>d</v>
      </c>
      <c r="M25" s="4" t="str" cm="1">
        <f t="array" aca="1" ref="M25" ca="1">IF(INDIRECT(_xlfn.CONCAT("'",IF(ISNUMBER(FIND("'",$A25))=TRUE,_xlfn.CONCAT(LEFT($A25,FIND("'",$A25)-1),"''",RIGHT($A25,LEN($A25)-FIND("'",$A25))),$A25),"'!B4"))&gt;=M$2,"d",IF(INDIRECT(_xlfn.CONCAT("'",IF(ISNUMBER(FIND("'",$A25))=TRUE,_xlfn.CONCAT(LEFT($A25,FIND("'",$A25)-1),"''",RIGHT($A25,LEN($A25)-FIND("'",$A25))),$A25),"'!B5"))&gt;=M$2,"i",""))</f>
        <v>d</v>
      </c>
      <c r="N25" s="95"/>
      <c r="O25" s="14" t="str" cm="1">
        <f t="array" aca="1" ref="O25" ca="1">IF(INDIRECT(_xlfn.CONCAT("'",IF(ISNUMBER(FIND("'",$A25))=TRUE,_xlfn.CONCAT(LEFT($A25,FIND("'",$A25)-1),"''",RIGHT($A25,LEN($A25)-FIND("'",$A25))),$A25),"'!C10"))&gt;=O$2,"d",IF(INDIRECT(_xlfn.CONCAT("'",IF(ISNUMBER(FIND("'",$A25))=TRUE,_xlfn.CONCAT(LEFT($A25,FIND("'",$A25)-1),"''",RIGHT($A25,LEN($A25)-FIND("'",$A25))),$A25),"'!C11"))&gt;=O$2,"i",""))</f>
        <v>d</v>
      </c>
      <c r="P25" s="1" t="str" cm="1">
        <f t="array" aca="1" ref="P25" ca="1">IF(INDIRECT(_xlfn.CONCAT("'",IF(ISNUMBER(FIND("'",$A25))=TRUE,_xlfn.CONCAT(LEFT($A25,FIND("'",$A25)-1),"''",RIGHT($A25,LEN($A25)-FIND("'",$A25))),$A25),"'!C10"))&gt;=P$2,"d",IF(INDIRECT(_xlfn.CONCAT("'",IF(ISNUMBER(FIND("'",$A25))=TRUE,_xlfn.CONCAT(LEFT($A25,FIND("'",$A25)-1),"''",RIGHT($A25,LEN($A25)-FIND("'",$A25))),$A25),"'!C11"))&gt;=P$2,"i",""))</f>
        <v>d</v>
      </c>
      <c r="Q25" s="1" t="str" cm="1">
        <f t="array" aca="1" ref="Q25" ca="1">IF(INDIRECT(_xlfn.CONCAT("'",IF(ISNUMBER(FIND("'",$A25))=TRUE,_xlfn.CONCAT(LEFT($A25,FIND("'",$A25)-1),"''",RIGHT($A25,LEN($A25)-FIND("'",$A25))),$A25),"'!C10"))&gt;=Q$2,"d",IF(INDIRECT(_xlfn.CONCAT("'",IF(ISNUMBER(FIND("'",$A25))=TRUE,_xlfn.CONCAT(LEFT($A25,FIND("'",$A25)-1),"''",RIGHT($A25,LEN($A25)-FIND("'",$A25))),$A25),"'!C11"))&gt;=Q$2,"i",""))</f>
        <v>d</v>
      </c>
      <c r="R25" s="1" t="str" cm="1">
        <f t="array" aca="1" ref="R25" ca="1">IF(INDIRECT(_xlfn.CONCAT("'",IF(ISNUMBER(FIND("'",$A25))=TRUE,_xlfn.CONCAT(LEFT($A25,FIND("'",$A25)-1),"''",RIGHT($A25,LEN($A25)-FIND("'",$A25))),$A25),"'!C10"))&gt;=R$2,"d",IF(INDIRECT(_xlfn.CONCAT("'",IF(ISNUMBER(FIND("'",$A25))=TRUE,_xlfn.CONCAT(LEFT($A25,FIND("'",$A25)-1),"''",RIGHT($A25,LEN($A25)-FIND("'",$A25))),$A25),"'!C11"))&gt;=R$2,"i",""))</f>
        <v>d</v>
      </c>
      <c r="S25" s="1" t="str" cm="1">
        <f t="array" aca="1" ref="S25" ca="1">IF(INDIRECT(_xlfn.CONCAT("'",IF(ISNUMBER(FIND("'",$A25))=TRUE,_xlfn.CONCAT(LEFT($A25,FIND("'",$A25)-1),"''",RIGHT($A25,LEN($A25)-FIND("'",$A25))),$A25),"'!C10"))&gt;=S$2,"d",IF(INDIRECT(_xlfn.CONCAT("'",IF(ISNUMBER(FIND("'",$A25))=TRUE,_xlfn.CONCAT(LEFT($A25,FIND("'",$A25)-1),"''",RIGHT($A25,LEN($A25)-FIND("'",$A25))),$A25),"'!C11"))&gt;=S$2,"i",""))</f>
        <v>d</v>
      </c>
      <c r="T25" s="4" t="str" cm="1">
        <f t="array" aca="1" ref="T25" ca="1">IF(INDIRECT(_xlfn.CONCAT("'",IF(ISNUMBER(FIND("'",$A25))=TRUE,_xlfn.CONCAT(LEFT($A25,FIND("'",$A25)-1),"''",RIGHT($A25,LEN($A25)-FIND("'",$A25))),$A25),"'!C10"))&gt;=T$2,"d",IF(INDIRECT(_xlfn.CONCAT("'",IF(ISNUMBER(FIND("'",$A25))=TRUE,_xlfn.CONCAT(LEFT($A25,FIND("'",$A25)-1),"''",RIGHT($A25,LEN($A25)-FIND("'",$A25))),$A25),"'!C11"))&gt;=T$2,"i",""))</f>
        <v>d</v>
      </c>
    </row>
    <row r="26" spans="1:20" hidden="1" x14ac:dyDescent="0.25">
      <c r="A26" s="54" t="str">
        <v>White Tassel</v>
      </c>
      <c r="B26" s="14" cm="1">
        <f t="array" ref="B26">_xlfn.XLOOKUP(A26,INDEX(Weapon_List,,1),INDEX(Weapon_List,,3),,0,1)</f>
        <v>3</v>
      </c>
      <c r="C26" s="4" t="str" cm="1">
        <f t="array" ref="C26">_xlfn.XLOOKUP(A26,INDEX(Weapon_List,,1),INDEX(Weapon_List,,2),,0,1)</f>
        <v>Polearm</v>
      </c>
      <c r="D26" s="38" t="str" cm="1">
        <f t="array" ref="D26">_xlfn.XLOOKUP(A26,INDEX(Weapon_List,,1),INDEX(Weapon_List,,4),,0,1)</f>
        <v>Liyue 1</v>
      </c>
      <c r="E26" s="38" t="str" cm="1">
        <f t="array" ref="E26">_xlfn.XLOOKUP(A26,INDEX(Weapon_List,,1),INDEX(Weapon_List,,5),,0,1)</f>
        <v>Fatui</v>
      </c>
      <c r="F26" s="38" t="str" cm="1">
        <f t="array" ref="F26">_xlfn.XLOOKUP(A26,INDEX(Weapon_List,,1),INDEX(Weapon_List,,6),,0,1)</f>
        <v>Fatui Agent</v>
      </c>
      <c r="G26" s="14" t="str" cm="1">
        <f t="array" aca="1" ref="G26" ca="1">IF(INDIRECT(_xlfn.CONCAT("'",IF(ISNUMBER(FIND("'",$A26))=TRUE,_xlfn.CONCAT(LEFT($A26,FIND("'",$A26)-1),"''",RIGHT($A26,LEN($A26)-FIND("'",$A26))),$A26),"'!B4"))&gt;=G$2,"d",IF(INDIRECT(_xlfn.CONCAT("'",IF(ISNUMBER(FIND("'",$A26))=TRUE,_xlfn.CONCAT(LEFT($A26,FIND("'",$A26)-1),"''",RIGHT($A26,LEN($A26)-FIND("'",$A26))),$A26),"'!B5"))&gt;=G$2,"i",""))</f>
        <v>d</v>
      </c>
      <c r="H26" s="1" t="str" cm="1">
        <f t="array" aca="1" ref="H26" ca="1">IF(INDIRECT(_xlfn.CONCAT("'",IF(ISNUMBER(FIND("'",$A26))=TRUE,_xlfn.CONCAT(LEFT($A26,FIND("'",$A26)-1),"''",RIGHT($A26,LEN($A26)-FIND("'",$A26))),$A26),"'!B4"))&gt;=H$2,"d",IF(INDIRECT(_xlfn.CONCAT("'",IF(ISNUMBER(FIND("'",$A26))=TRUE,_xlfn.CONCAT(LEFT($A26,FIND("'",$A26)-1),"''",RIGHT($A26,LEN($A26)-FIND("'",$A26))),$A26),"'!B5"))&gt;=H$2,"i",""))</f>
        <v>d</v>
      </c>
      <c r="I26" s="1" t="str" cm="1">
        <f t="array" aca="1" ref="I26" ca="1">IF(INDIRECT(_xlfn.CONCAT("'",IF(ISNUMBER(FIND("'",$A26))=TRUE,_xlfn.CONCAT(LEFT($A26,FIND("'",$A26)-1),"''",RIGHT($A26,LEN($A26)-FIND("'",$A26))),$A26),"'!B4"))&gt;=I$2,"d",IF(INDIRECT(_xlfn.CONCAT("'",IF(ISNUMBER(FIND("'",$A26))=TRUE,_xlfn.CONCAT(LEFT($A26,FIND("'",$A26)-1),"''",RIGHT($A26,LEN($A26)-FIND("'",$A26))),$A26),"'!B5"))&gt;=I$2,"i",""))</f>
        <v>d</v>
      </c>
      <c r="J26" s="1" t="str" cm="1">
        <f t="array" aca="1" ref="J26" ca="1">IF(INDIRECT(_xlfn.CONCAT("'",IF(ISNUMBER(FIND("'",$A26))=TRUE,_xlfn.CONCAT(LEFT($A26,FIND("'",$A26)-1),"''",RIGHT($A26,LEN($A26)-FIND("'",$A26))),$A26),"'!B4"))&gt;=J$2,"d",IF(INDIRECT(_xlfn.CONCAT("'",IF(ISNUMBER(FIND("'",$A26))=TRUE,_xlfn.CONCAT(LEFT($A26,FIND("'",$A26)-1),"''",RIGHT($A26,LEN($A26)-FIND("'",$A26))),$A26),"'!B5"))&gt;=J$2,"i",""))</f>
        <v>d</v>
      </c>
      <c r="K26" s="1" t="str" cm="1">
        <f t="array" aca="1" ref="K26" ca="1">IF(INDIRECT(_xlfn.CONCAT("'",IF(ISNUMBER(FIND("'",$A26))=TRUE,_xlfn.CONCAT(LEFT($A26,FIND("'",$A26)-1),"''",RIGHT($A26,LEN($A26)-FIND("'",$A26))),$A26),"'!B4"))&gt;=K$2,"d",IF(INDIRECT(_xlfn.CONCAT("'",IF(ISNUMBER(FIND("'",$A26))=TRUE,_xlfn.CONCAT(LEFT($A26,FIND("'",$A26)-1),"''",RIGHT($A26,LEN($A26)-FIND("'",$A26))),$A26),"'!B5"))&gt;=K$2,"i",""))</f>
        <v>d</v>
      </c>
      <c r="L26" s="1" t="str" cm="1">
        <f t="array" aca="1" ref="L26" ca="1">IF(INDIRECT(_xlfn.CONCAT("'",IF(ISNUMBER(FIND("'",$A26))=TRUE,_xlfn.CONCAT(LEFT($A26,FIND("'",$A26)-1),"''",RIGHT($A26,LEN($A26)-FIND("'",$A26))),$A26),"'!B4"))&gt;=L$2,"d",IF(INDIRECT(_xlfn.CONCAT("'",IF(ISNUMBER(FIND("'",$A26))=TRUE,_xlfn.CONCAT(LEFT($A26,FIND("'",$A26)-1),"''",RIGHT($A26,LEN($A26)-FIND("'",$A26))),$A26),"'!B5"))&gt;=L$2,"i",""))</f>
        <v>d</v>
      </c>
      <c r="M26" s="4" t="str" cm="1">
        <f t="array" aca="1" ref="M26" ca="1">IF(INDIRECT(_xlfn.CONCAT("'",IF(ISNUMBER(FIND("'",$A26))=TRUE,_xlfn.CONCAT(LEFT($A26,FIND("'",$A26)-1),"''",RIGHT($A26,LEN($A26)-FIND("'",$A26))),$A26),"'!B4"))&gt;=M$2,"d",IF(INDIRECT(_xlfn.CONCAT("'",IF(ISNUMBER(FIND("'",$A26))=TRUE,_xlfn.CONCAT(LEFT($A26,FIND("'",$A26)-1),"''",RIGHT($A26,LEN($A26)-FIND("'",$A26))),$A26),"'!B5"))&gt;=M$2,"i",""))</f>
        <v>d</v>
      </c>
      <c r="N26" s="95"/>
      <c r="O26" s="14" t="str" cm="1">
        <f t="array" aca="1" ref="O26" ca="1">IF(INDIRECT(_xlfn.CONCAT("'",IF(ISNUMBER(FIND("'",$A26))=TRUE,_xlfn.CONCAT(LEFT($A26,FIND("'",$A26)-1),"''",RIGHT($A26,LEN($A26)-FIND("'",$A26))),$A26),"'!C10"))&gt;=O$2,"d",IF(INDIRECT(_xlfn.CONCAT("'",IF(ISNUMBER(FIND("'",$A26))=TRUE,_xlfn.CONCAT(LEFT($A26,FIND("'",$A26)-1),"''",RIGHT($A26,LEN($A26)-FIND("'",$A26))),$A26),"'!C11"))&gt;=O$2,"i",""))</f>
        <v>d</v>
      </c>
      <c r="P26" s="1" t="str" cm="1">
        <f t="array" aca="1" ref="P26" ca="1">IF(INDIRECT(_xlfn.CONCAT("'",IF(ISNUMBER(FIND("'",$A26))=TRUE,_xlfn.CONCAT(LEFT($A26,FIND("'",$A26)-1),"''",RIGHT($A26,LEN($A26)-FIND("'",$A26))),$A26),"'!C10"))&gt;=P$2,"d",IF(INDIRECT(_xlfn.CONCAT("'",IF(ISNUMBER(FIND("'",$A26))=TRUE,_xlfn.CONCAT(LEFT($A26,FIND("'",$A26)-1),"''",RIGHT($A26,LEN($A26)-FIND("'",$A26))),$A26),"'!C11"))&gt;=P$2,"i",""))</f>
        <v>d</v>
      </c>
      <c r="Q26" s="1" t="str" cm="1">
        <f t="array" aca="1" ref="Q26" ca="1">IF(INDIRECT(_xlfn.CONCAT("'",IF(ISNUMBER(FIND("'",$A26))=TRUE,_xlfn.CONCAT(LEFT($A26,FIND("'",$A26)-1),"''",RIGHT($A26,LEN($A26)-FIND("'",$A26))),$A26),"'!C10"))&gt;=Q$2,"d",IF(INDIRECT(_xlfn.CONCAT("'",IF(ISNUMBER(FIND("'",$A26))=TRUE,_xlfn.CONCAT(LEFT($A26,FIND("'",$A26)-1),"''",RIGHT($A26,LEN($A26)-FIND("'",$A26))),$A26),"'!C11"))&gt;=Q$2,"i",""))</f>
        <v>d</v>
      </c>
      <c r="R26" s="1" t="str" cm="1">
        <f t="array" aca="1" ref="R26" ca="1">IF(INDIRECT(_xlfn.CONCAT("'",IF(ISNUMBER(FIND("'",$A26))=TRUE,_xlfn.CONCAT(LEFT($A26,FIND("'",$A26)-1),"''",RIGHT($A26,LEN($A26)-FIND("'",$A26))),$A26),"'!C10"))&gt;=R$2,"d",IF(INDIRECT(_xlfn.CONCAT("'",IF(ISNUMBER(FIND("'",$A26))=TRUE,_xlfn.CONCAT(LEFT($A26,FIND("'",$A26)-1),"''",RIGHT($A26,LEN($A26)-FIND("'",$A26))),$A26),"'!C11"))&gt;=R$2,"i",""))</f>
        <v>d</v>
      </c>
      <c r="S26" s="1" t="str" cm="1">
        <f t="array" aca="1" ref="S26" ca="1">IF(INDIRECT(_xlfn.CONCAT("'",IF(ISNUMBER(FIND("'",$A26))=TRUE,_xlfn.CONCAT(LEFT($A26,FIND("'",$A26)-1),"''",RIGHT($A26,LEN($A26)-FIND("'",$A26))),$A26),"'!C10"))&gt;=S$2,"d",IF(INDIRECT(_xlfn.CONCAT("'",IF(ISNUMBER(FIND("'",$A26))=TRUE,_xlfn.CONCAT(LEFT($A26,FIND("'",$A26)-1),"''",RIGHT($A26,LEN($A26)-FIND("'",$A26))),$A26),"'!C11"))&gt;=S$2,"i",""))</f>
        <v>d</v>
      </c>
      <c r="T26" s="4" t="str" cm="1">
        <f t="array" aca="1" ref="T26" ca="1">IF(INDIRECT(_xlfn.CONCAT("'",IF(ISNUMBER(FIND("'",$A26))=TRUE,_xlfn.CONCAT(LEFT($A26,FIND("'",$A26)-1),"''",RIGHT($A26,LEN($A26)-FIND("'",$A26))),$A26),"'!C10"))&gt;=T$2,"d",IF(INDIRECT(_xlfn.CONCAT("'",IF(ISNUMBER(FIND("'",$A26))=TRUE,_xlfn.CONCAT(LEFT($A26,FIND("'",$A26)-1),"''",RIGHT($A26,LEN($A26)-FIND("'",$A26))),$A26),"'!C11"))&gt;=T$2,"i",""))</f>
        <v>d</v>
      </c>
    </row>
    <row r="27" spans="1:20" hidden="1" x14ac:dyDescent="0.25">
      <c r="A27" s="54" t="str">
        <v>Emerald Orb</v>
      </c>
      <c r="B27" s="14" cm="1">
        <f t="array" ref="B27">_xlfn.XLOOKUP(A27,INDEX(Weapon_List,,1),INDEX(Weapon_List,,3),,0,1)</f>
        <v>3</v>
      </c>
      <c r="C27" s="4" t="str" cm="1">
        <f t="array" ref="C27">_xlfn.XLOOKUP(A27,INDEX(Weapon_List,,1),INDEX(Weapon_List,,2),,0,1)</f>
        <v>Catalyst</v>
      </c>
      <c r="D27" s="38" t="str" cm="1">
        <f t="array" ref="D27">_xlfn.XLOOKUP(A27,INDEX(Weapon_List,,1),INDEX(Weapon_List,,4),,0,1)</f>
        <v>Liyue 1</v>
      </c>
      <c r="E27" s="38" t="str" cm="1">
        <f t="array" ref="E27">_xlfn.XLOOKUP(A27,INDEX(Weapon_List,,1),INDEX(Weapon_List,,5),,0,1)</f>
        <v>Treasure Hoarder</v>
      </c>
      <c r="F27" s="38" t="str" cm="1">
        <f t="array" ref="F27">_xlfn.XLOOKUP(A27,INDEX(Weapon_List,,1),INDEX(Weapon_List,,6),,0,1)</f>
        <v>Fatui Agent</v>
      </c>
      <c r="G27" s="14" t="str" cm="1">
        <f t="array" aca="1" ref="G27" ca="1">IF(INDIRECT(_xlfn.CONCAT("'",IF(ISNUMBER(FIND("'",$A27))=TRUE,_xlfn.CONCAT(LEFT($A27,FIND("'",$A27)-1),"''",RIGHT($A27,LEN($A27)-FIND("'",$A27))),$A27),"'!B4"))&gt;=G$2,"d",IF(INDIRECT(_xlfn.CONCAT("'",IF(ISNUMBER(FIND("'",$A27))=TRUE,_xlfn.CONCAT(LEFT($A27,FIND("'",$A27)-1),"''",RIGHT($A27,LEN($A27)-FIND("'",$A27))),$A27),"'!B5"))&gt;=G$2,"i",""))</f>
        <v>d</v>
      </c>
      <c r="H27" s="1" t="str" cm="1">
        <f t="array" aca="1" ref="H27" ca="1">IF(INDIRECT(_xlfn.CONCAT("'",IF(ISNUMBER(FIND("'",$A27))=TRUE,_xlfn.CONCAT(LEFT($A27,FIND("'",$A27)-1),"''",RIGHT($A27,LEN($A27)-FIND("'",$A27))),$A27),"'!B4"))&gt;=H$2,"d",IF(INDIRECT(_xlfn.CONCAT("'",IF(ISNUMBER(FIND("'",$A27))=TRUE,_xlfn.CONCAT(LEFT($A27,FIND("'",$A27)-1),"''",RIGHT($A27,LEN($A27)-FIND("'",$A27))),$A27),"'!B5"))&gt;=H$2,"i",""))</f>
        <v>d</v>
      </c>
      <c r="I27" s="1" t="str" cm="1">
        <f t="array" aca="1" ref="I27" ca="1">IF(INDIRECT(_xlfn.CONCAT("'",IF(ISNUMBER(FIND("'",$A27))=TRUE,_xlfn.CONCAT(LEFT($A27,FIND("'",$A27)-1),"''",RIGHT($A27,LEN($A27)-FIND("'",$A27))),$A27),"'!B4"))&gt;=I$2,"d",IF(INDIRECT(_xlfn.CONCAT("'",IF(ISNUMBER(FIND("'",$A27))=TRUE,_xlfn.CONCAT(LEFT($A27,FIND("'",$A27)-1),"''",RIGHT($A27,LEN($A27)-FIND("'",$A27))),$A27),"'!B5"))&gt;=I$2,"i",""))</f>
        <v>d</v>
      </c>
      <c r="J27" s="1" t="str" cm="1">
        <f t="array" aca="1" ref="J27" ca="1">IF(INDIRECT(_xlfn.CONCAT("'",IF(ISNUMBER(FIND("'",$A27))=TRUE,_xlfn.CONCAT(LEFT($A27,FIND("'",$A27)-1),"''",RIGHT($A27,LEN($A27)-FIND("'",$A27))),$A27),"'!B4"))&gt;=J$2,"d",IF(INDIRECT(_xlfn.CONCAT("'",IF(ISNUMBER(FIND("'",$A27))=TRUE,_xlfn.CONCAT(LEFT($A27,FIND("'",$A27)-1),"''",RIGHT($A27,LEN($A27)-FIND("'",$A27))),$A27),"'!B5"))&gt;=J$2,"i",""))</f>
        <v>d</v>
      </c>
      <c r="K27" s="1" t="str" cm="1">
        <f t="array" aca="1" ref="K27" ca="1">IF(INDIRECT(_xlfn.CONCAT("'",IF(ISNUMBER(FIND("'",$A27))=TRUE,_xlfn.CONCAT(LEFT($A27,FIND("'",$A27)-1),"''",RIGHT($A27,LEN($A27)-FIND("'",$A27))),$A27),"'!B4"))&gt;=K$2,"d",IF(INDIRECT(_xlfn.CONCAT("'",IF(ISNUMBER(FIND("'",$A27))=TRUE,_xlfn.CONCAT(LEFT($A27,FIND("'",$A27)-1),"''",RIGHT($A27,LEN($A27)-FIND("'",$A27))),$A27),"'!B5"))&gt;=K$2,"i",""))</f>
        <v>d</v>
      </c>
      <c r="L27" s="1" t="str" cm="1">
        <f t="array" aca="1" ref="L27" ca="1">IF(INDIRECT(_xlfn.CONCAT("'",IF(ISNUMBER(FIND("'",$A27))=TRUE,_xlfn.CONCAT(LEFT($A27,FIND("'",$A27)-1),"''",RIGHT($A27,LEN($A27)-FIND("'",$A27))),$A27),"'!B4"))&gt;=L$2,"d",IF(INDIRECT(_xlfn.CONCAT("'",IF(ISNUMBER(FIND("'",$A27))=TRUE,_xlfn.CONCAT(LEFT($A27,FIND("'",$A27)-1),"''",RIGHT($A27,LEN($A27)-FIND("'",$A27))),$A27),"'!B5"))&gt;=L$2,"i",""))</f>
        <v>d</v>
      </c>
      <c r="M27" s="4" t="str" cm="1">
        <f t="array" aca="1" ref="M27" ca="1">IF(INDIRECT(_xlfn.CONCAT("'",IF(ISNUMBER(FIND("'",$A27))=TRUE,_xlfn.CONCAT(LEFT($A27,FIND("'",$A27)-1),"''",RIGHT($A27,LEN($A27)-FIND("'",$A27))),$A27),"'!B4"))&gt;=M$2,"d",IF(INDIRECT(_xlfn.CONCAT("'",IF(ISNUMBER(FIND("'",$A27))=TRUE,_xlfn.CONCAT(LEFT($A27,FIND("'",$A27)-1),"''",RIGHT($A27,LEN($A27)-FIND("'",$A27))),$A27),"'!B5"))&gt;=M$2,"i",""))</f>
        <v>d</v>
      </c>
      <c r="N27" s="95"/>
      <c r="O27" s="14" t="str" cm="1">
        <f t="array" aca="1" ref="O27" ca="1">IF(INDIRECT(_xlfn.CONCAT("'",IF(ISNUMBER(FIND("'",$A27))=TRUE,_xlfn.CONCAT(LEFT($A27,FIND("'",$A27)-1),"''",RIGHT($A27,LEN($A27)-FIND("'",$A27))),$A27),"'!C10"))&gt;=O$2,"d",IF(INDIRECT(_xlfn.CONCAT("'",IF(ISNUMBER(FIND("'",$A27))=TRUE,_xlfn.CONCAT(LEFT($A27,FIND("'",$A27)-1),"''",RIGHT($A27,LEN($A27)-FIND("'",$A27))),$A27),"'!C11"))&gt;=O$2,"i",""))</f>
        <v>d</v>
      </c>
      <c r="P27" s="1" t="str" cm="1">
        <f t="array" aca="1" ref="P27" ca="1">IF(INDIRECT(_xlfn.CONCAT("'",IF(ISNUMBER(FIND("'",$A27))=TRUE,_xlfn.CONCAT(LEFT($A27,FIND("'",$A27)-1),"''",RIGHT($A27,LEN($A27)-FIND("'",$A27))),$A27),"'!C10"))&gt;=P$2,"d",IF(INDIRECT(_xlfn.CONCAT("'",IF(ISNUMBER(FIND("'",$A27))=TRUE,_xlfn.CONCAT(LEFT($A27,FIND("'",$A27)-1),"''",RIGHT($A27,LEN($A27)-FIND("'",$A27))),$A27),"'!C11"))&gt;=P$2,"i",""))</f>
        <v>d</v>
      </c>
      <c r="Q27" s="1" t="str" cm="1">
        <f t="array" aca="1" ref="Q27" ca="1">IF(INDIRECT(_xlfn.CONCAT("'",IF(ISNUMBER(FIND("'",$A27))=TRUE,_xlfn.CONCAT(LEFT($A27,FIND("'",$A27)-1),"''",RIGHT($A27,LEN($A27)-FIND("'",$A27))),$A27),"'!C10"))&gt;=Q$2,"d",IF(INDIRECT(_xlfn.CONCAT("'",IF(ISNUMBER(FIND("'",$A27))=TRUE,_xlfn.CONCAT(LEFT($A27,FIND("'",$A27)-1),"''",RIGHT($A27,LEN($A27)-FIND("'",$A27))),$A27),"'!C11"))&gt;=Q$2,"i",""))</f>
        <v>d</v>
      </c>
      <c r="R27" s="1" t="str" cm="1">
        <f t="array" aca="1" ref="R27" ca="1">IF(INDIRECT(_xlfn.CONCAT("'",IF(ISNUMBER(FIND("'",$A27))=TRUE,_xlfn.CONCAT(LEFT($A27,FIND("'",$A27)-1),"''",RIGHT($A27,LEN($A27)-FIND("'",$A27))),$A27),"'!C10"))&gt;=R$2,"d",IF(INDIRECT(_xlfn.CONCAT("'",IF(ISNUMBER(FIND("'",$A27))=TRUE,_xlfn.CONCAT(LEFT($A27,FIND("'",$A27)-1),"''",RIGHT($A27,LEN($A27)-FIND("'",$A27))),$A27),"'!C11"))&gt;=R$2,"i",""))</f>
        <v>d</v>
      </c>
      <c r="S27" s="1" t="str" cm="1">
        <f t="array" aca="1" ref="S27" ca="1">IF(INDIRECT(_xlfn.CONCAT("'",IF(ISNUMBER(FIND("'",$A27))=TRUE,_xlfn.CONCAT(LEFT($A27,FIND("'",$A27)-1),"''",RIGHT($A27,LEN($A27)-FIND("'",$A27))),$A27),"'!C10"))&gt;=S$2,"d",IF(INDIRECT(_xlfn.CONCAT("'",IF(ISNUMBER(FIND("'",$A27))=TRUE,_xlfn.CONCAT(LEFT($A27,FIND("'",$A27)-1),"''",RIGHT($A27,LEN($A27)-FIND("'",$A27))),$A27),"'!C11"))&gt;=S$2,"i",""))</f>
        <v>d</v>
      </c>
      <c r="T27" s="4" t="str" cm="1">
        <f t="array" aca="1" ref="T27" ca="1">IF(INDIRECT(_xlfn.CONCAT("'",IF(ISNUMBER(FIND("'",$A27))=TRUE,_xlfn.CONCAT(LEFT($A27,FIND("'",$A27)-1),"''",RIGHT($A27,LEN($A27)-FIND("'",$A27))),$A27),"'!C10"))&gt;=T$2,"d",IF(INDIRECT(_xlfn.CONCAT("'",IF(ISNUMBER(FIND("'",$A27))=TRUE,_xlfn.CONCAT(LEFT($A27,FIND("'",$A27)-1),"''",RIGHT($A27,LEN($A27)-FIND("'",$A27))),$A27),"'!C11"))&gt;=T$2,"i",""))</f>
        <v>d</v>
      </c>
    </row>
    <row r="28" spans="1:20" hidden="1" x14ac:dyDescent="0.25">
      <c r="A28" s="54" t="str">
        <v>Magic Guide</v>
      </c>
      <c r="B28" s="14" cm="1">
        <f t="array" ref="B28">_xlfn.XLOOKUP(A28,INDEX(Weapon_List,,1),INDEX(Weapon_List,,3),,0,1)</f>
        <v>3</v>
      </c>
      <c r="C28" s="4" t="str" cm="1">
        <f t="array" ref="C28">_xlfn.XLOOKUP(A28,INDEX(Weapon_List,,1),INDEX(Weapon_List,,2),,0,1)</f>
        <v>Catalyst</v>
      </c>
      <c r="D28" s="38" t="str" cm="1">
        <f t="array" ref="D28">_xlfn.XLOOKUP(A28,INDEX(Weapon_List,,1),INDEX(Weapon_List,,4),,0,1)</f>
        <v>Mondstadt 1</v>
      </c>
      <c r="E28" s="38" t="str" cm="1">
        <f t="array" ref="E28">_xlfn.XLOOKUP(A28,INDEX(Weapon_List,,1),INDEX(Weapon_List,,5),,0,1)</f>
        <v>Slime</v>
      </c>
      <c r="F28" s="38" t="str" cm="1">
        <f t="array" ref="F28">_xlfn.XLOOKUP(A28,INDEX(Weapon_List,,1),INDEX(Weapon_List,,6),,0,1)</f>
        <v>Mitachurl</v>
      </c>
      <c r="G28" s="14" t="str" cm="1">
        <f t="array" aca="1" ref="G28" ca="1">IF(INDIRECT(_xlfn.CONCAT("'",IF(ISNUMBER(FIND("'",$A28))=TRUE,_xlfn.CONCAT(LEFT($A28,FIND("'",$A28)-1),"''",RIGHT($A28,LEN($A28)-FIND("'",$A28))),$A28),"'!B4"))&gt;=G$2,"d",IF(INDIRECT(_xlfn.CONCAT("'",IF(ISNUMBER(FIND("'",$A28))=TRUE,_xlfn.CONCAT(LEFT($A28,FIND("'",$A28)-1),"''",RIGHT($A28,LEN($A28)-FIND("'",$A28))),$A28),"'!B5"))&gt;=G$2,"i",""))</f>
        <v>d</v>
      </c>
      <c r="H28" s="1" t="str" cm="1">
        <f t="array" aca="1" ref="H28" ca="1">IF(INDIRECT(_xlfn.CONCAT("'",IF(ISNUMBER(FIND("'",$A28))=TRUE,_xlfn.CONCAT(LEFT($A28,FIND("'",$A28)-1),"''",RIGHT($A28,LEN($A28)-FIND("'",$A28))),$A28),"'!B4"))&gt;=H$2,"d",IF(INDIRECT(_xlfn.CONCAT("'",IF(ISNUMBER(FIND("'",$A28))=TRUE,_xlfn.CONCAT(LEFT($A28,FIND("'",$A28)-1),"''",RIGHT($A28,LEN($A28)-FIND("'",$A28))),$A28),"'!B5"))&gt;=H$2,"i",""))</f>
        <v>d</v>
      </c>
      <c r="I28" s="1" t="str" cm="1">
        <f t="array" aca="1" ref="I28" ca="1">IF(INDIRECT(_xlfn.CONCAT("'",IF(ISNUMBER(FIND("'",$A28))=TRUE,_xlfn.CONCAT(LEFT($A28,FIND("'",$A28)-1),"''",RIGHT($A28,LEN($A28)-FIND("'",$A28))),$A28),"'!B4"))&gt;=I$2,"d",IF(INDIRECT(_xlfn.CONCAT("'",IF(ISNUMBER(FIND("'",$A28))=TRUE,_xlfn.CONCAT(LEFT($A28,FIND("'",$A28)-1),"''",RIGHT($A28,LEN($A28)-FIND("'",$A28))),$A28),"'!B5"))&gt;=I$2,"i",""))</f>
        <v>d</v>
      </c>
      <c r="J28" s="1" t="str" cm="1">
        <f t="array" aca="1" ref="J28" ca="1">IF(INDIRECT(_xlfn.CONCAT("'",IF(ISNUMBER(FIND("'",$A28))=TRUE,_xlfn.CONCAT(LEFT($A28,FIND("'",$A28)-1),"''",RIGHT($A28,LEN($A28)-FIND("'",$A28))),$A28),"'!B4"))&gt;=J$2,"d",IF(INDIRECT(_xlfn.CONCAT("'",IF(ISNUMBER(FIND("'",$A28))=TRUE,_xlfn.CONCAT(LEFT($A28,FIND("'",$A28)-1),"''",RIGHT($A28,LEN($A28)-FIND("'",$A28))),$A28),"'!B5"))&gt;=J$2,"i",""))</f>
        <v>d</v>
      </c>
      <c r="K28" s="1" t="str" cm="1">
        <f t="array" aca="1" ref="K28" ca="1">IF(INDIRECT(_xlfn.CONCAT("'",IF(ISNUMBER(FIND("'",$A28))=TRUE,_xlfn.CONCAT(LEFT($A28,FIND("'",$A28)-1),"''",RIGHT($A28,LEN($A28)-FIND("'",$A28))),$A28),"'!B4"))&gt;=K$2,"d",IF(INDIRECT(_xlfn.CONCAT("'",IF(ISNUMBER(FIND("'",$A28))=TRUE,_xlfn.CONCAT(LEFT($A28,FIND("'",$A28)-1),"''",RIGHT($A28,LEN($A28)-FIND("'",$A28))),$A28),"'!B5"))&gt;=K$2,"i",""))</f>
        <v>d</v>
      </c>
      <c r="L28" s="1" t="str" cm="1">
        <f t="array" aca="1" ref="L28" ca="1">IF(INDIRECT(_xlfn.CONCAT("'",IF(ISNUMBER(FIND("'",$A28))=TRUE,_xlfn.CONCAT(LEFT($A28,FIND("'",$A28)-1),"''",RIGHT($A28,LEN($A28)-FIND("'",$A28))),$A28),"'!B4"))&gt;=L$2,"d",IF(INDIRECT(_xlfn.CONCAT("'",IF(ISNUMBER(FIND("'",$A28))=TRUE,_xlfn.CONCAT(LEFT($A28,FIND("'",$A28)-1),"''",RIGHT($A28,LEN($A28)-FIND("'",$A28))),$A28),"'!B5"))&gt;=L$2,"i",""))</f>
        <v>d</v>
      </c>
      <c r="M28" s="4" t="str" cm="1">
        <f t="array" aca="1" ref="M28" ca="1">IF(INDIRECT(_xlfn.CONCAT("'",IF(ISNUMBER(FIND("'",$A28))=TRUE,_xlfn.CONCAT(LEFT($A28,FIND("'",$A28)-1),"''",RIGHT($A28,LEN($A28)-FIND("'",$A28))),$A28),"'!B4"))&gt;=M$2,"d",IF(INDIRECT(_xlfn.CONCAT("'",IF(ISNUMBER(FIND("'",$A28))=TRUE,_xlfn.CONCAT(LEFT($A28,FIND("'",$A28)-1),"''",RIGHT($A28,LEN($A28)-FIND("'",$A28))),$A28),"'!B5"))&gt;=M$2,"i",""))</f>
        <v>d</v>
      </c>
      <c r="N28" s="95"/>
      <c r="O28" s="14" t="str" cm="1">
        <f t="array" aca="1" ref="O28" ca="1">IF(INDIRECT(_xlfn.CONCAT("'",IF(ISNUMBER(FIND("'",$A28))=TRUE,_xlfn.CONCAT(LEFT($A28,FIND("'",$A28)-1),"''",RIGHT($A28,LEN($A28)-FIND("'",$A28))),$A28),"'!C10"))&gt;=O$2,"d",IF(INDIRECT(_xlfn.CONCAT("'",IF(ISNUMBER(FIND("'",$A28))=TRUE,_xlfn.CONCAT(LEFT($A28,FIND("'",$A28)-1),"''",RIGHT($A28,LEN($A28)-FIND("'",$A28))),$A28),"'!C11"))&gt;=O$2,"i",""))</f>
        <v>d</v>
      </c>
      <c r="P28" s="1" t="str" cm="1">
        <f t="array" aca="1" ref="P28" ca="1">IF(INDIRECT(_xlfn.CONCAT("'",IF(ISNUMBER(FIND("'",$A28))=TRUE,_xlfn.CONCAT(LEFT($A28,FIND("'",$A28)-1),"''",RIGHT($A28,LEN($A28)-FIND("'",$A28))),$A28),"'!C10"))&gt;=P$2,"d",IF(INDIRECT(_xlfn.CONCAT("'",IF(ISNUMBER(FIND("'",$A28))=TRUE,_xlfn.CONCAT(LEFT($A28,FIND("'",$A28)-1),"''",RIGHT($A28,LEN($A28)-FIND("'",$A28))),$A28),"'!C11"))&gt;=P$2,"i",""))</f>
        <v>d</v>
      </c>
      <c r="Q28" s="1" t="str" cm="1">
        <f t="array" aca="1" ref="Q28" ca="1">IF(INDIRECT(_xlfn.CONCAT("'",IF(ISNUMBER(FIND("'",$A28))=TRUE,_xlfn.CONCAT(LEFT($A28,FIND("'",$A28)-1),"''",RIGHT($A28,LEN($A28)-FIND("'",$A28))),$A28),"'!C10"))&gt;=Q$2,"d",IF(INDIRECT(_xlfn.CONCAT("'",IF(ISNUMBER(FIND("'",$A28))=TRUE,_xlfn.CONCAT(LEFT($A28,FIND("'",$A28)-1),"''",RIGHT($A28,LEN($A28)-FIND("'",$A28))),$A28),"'!C11"))&gt;=Q$2,"i",""))</f>
        <v>d</v>
      </c>
      <c r="R28" s="1" t="str" cm="1">
        <f t="array" aca="1" ref="R28" ca="1">IF(INDIRECT(_xlfn.CONCAT("'",IF(ISNUMBER(FIND("'",$A28))=TRUE,_xlfn.CONCAT(LEFT($A28,FIND("'",$A28)-1),"''",RIGHT($A28,LEN($A28)-FIND("'",$A28))),$A28),"'!C10"))&gt;=R$2,"d",IF(INDIRECT(_xlfn.CONCAT("'",IF(ISNUMBER(FIND("'",$A28))=TRUE,_xlfn.CONCAT(LEFT($A28,FIND("'",$A28)-1),"''",RIGHT($A28,LEN($A28)-FIND("'",$A28))),$A28),"'!C11"))&gt;=R$2,"i",""))</f>
        <v>d</v>
      </c>
      <c r="S28" s="1" t="str" cm="1">
        <f t="array" aca="1" ref="S28" ca="1">IF(INDIRECT(_xlfn.CONCAT("'",IF(ISNUMBER(FIND("'",$A28))=TRUE,_xlfn.CONCAT(LEFT($A28,FIND("'",$A28)-1),"''",RIGHT($A28,LEN($A28)-FIND("'",$A28))),$A28),"'!C10"))&gt;=S$2,"d",IF(INDIRECT(_xlfn.CONCAT("'",IF(ISNUMBER(FIND("'",$A28))=TRUE,_xlfn.CONCAT(LEFT($A28,FIND("'",$A28)-1),"''",RIGHT($A28,LEN($A28)-FIND("'",$A28))),$A28),"'!C11"))&gt;=S$2,"i",""))</f>
        <v>d</v>
      </c>
      <c r="T28" s="4" t="str" cm="1">
        <f t="array" aca="1" ref="T28" ca="1">IF(INDIRECT(_xlfn.CONCAT("'",IF(ISNUMBER(FIND("'",$A28))=TRUE,_xlfn.CONCAT(LEFT($A28,FIND("'",$A28)-1),"''",RIGHT($A28,LEN($A28)-FIND("'",$A28))),$A28),"'!C10"))&gt;=T$2,"d",IF(INDIRECT(_xlfn.CONCAT("'",IF(ISNUMBER(FIND("'",$A28))=TRUE,_xlfn.CONCAT(LEFT($A28,FIND("'",$A28)-1),"''",RIGHT($A28,LEN($A28)-FIND("'",$A28))),$A28),"'!C11"))&gt;=T$2,"i",""))</f>
        <v>d</v>
      </c>
    </row>
    <row r="29" spans="1:20" hidden="1" x14ac:dyDescent="0.25">
      <c r="A29" s="54" t="str">
        <v>Otherworldly Story</v>
      </c>
      <c r="B29" s="14" cm="1">
        <f t="array" ref="B29">_xlfn.XLOOKUP(A29,INDEX(Weapon_List,,1),INDEX(Weapon_List,,3),,0,1)</f>
        <v>3</v>
      </c>
      <c r="C29" s="4" t="str" cm="1">
        <f t="array" ref="C29">_xlfn.XLOOKUP(A29,INDEX(Weapon_List,,1),INDEX(Weapon_List,,2),,0,1)</f>
        <v>Catalyst</v>
      </c>
      <c r="D29" s="38" t="str" cm="1">
        <f t="array" ref="D29">_xlfn.XLOOKUP(A29,INDEX(Weapon_List,,1),INDEX(Weapon_List,,4),,0,1)</f>
        <v>Mondstadt 3</v>
      </c>
      <c r="E29" s="38" t="str" cm="1">
        <f t="array" ref="E29">_xlfn.XLOOKUP(A29,INDEX(Weapon_List,,1),INDEX(Weapon_List,,5),,0,1)</f>
        <v>Hilichurl</v>
      </c>
      <c r="F29" s="38" t="str" cm="1">
        <f t="array" ref="F29">_xlfn.XLOOKUP(A29,INDEX(Weapon_List,,1),INDEX(Weapon_List,,6),,0,1)</f>
        <v>Ruin Machine 1</v>
      </c>
      <c r="G29" s="14" t="str" cm="1">
        <f t="array" aca="1" ref="G29" ca="1">IF(INDIRECT(_xlfn.CONCAT("'",IF(ISNUMBER(FIND("'",$A29))=TRUE,_xlfn.CONCAT(LEFT($A29,FIND("'",$A29)-1),"''",RIGHT($A29,LEN($A29)-FIND("'",$A29))),$A29),"'!B4"))&gt;=G$2,"d",IF(INDIRECT(_xlfn.CONCAT("'",IF(ISNUMBER(FIND("'",$A29))=TRUE,_xlfn.CONCAT(LEFT($A29,FIND("'",$A29)-1),"''",RIGHT($A29,LEN($A29)-FIND("'",$A29))),$A29),"'!B5"))&gt;=G$2,"i",""))</f>
        <v>d</v>
      </c>
      <c r="H29" s="1" t="str" cm="1">
        <f t="array" aca="1" ref="H29" ca="1">IF(INDIRECT(_xlfn.CONCAT("'",IF(ISNUMBER(FIND("'",$A29))=TRUE,_xlfn.CONCAT(LEFT($A29,FIND("'",$A29)-1),"''",RIGHT($A29,LEN($A29)-FIND("'",$A29))),$A29),"'!B4"))&gt;=H$2,"d",IF(INDIRECT(_xlfn.CONCAT("'",IF(ISNUMBER(FIND("'",$A29))=TRUE,_xlfn.CONCAT(LEFT($A29,FIND("'",$A29)-1),"''",RIGHT($A29,LEN($A29)-FIND("'",$A29))),$A29),"'!B5"))&gt;=H$2,"i",""))</f>
        <v>d</v>
      </c>
      <c r="I29" s="1" t="str" cm="1">
        <f t="array" aca="1" ref="I29" ca="1">IF(INDIRECT(_xlfn.CONCAT("'",IF(ISNUMBER(FIND("'",$A29))=TRUE,_xlfn.CONCAT(LEFT($A29,FIND("'",$A29)-1),"''",RIGHT($A29,LEN($A29)-FIND("'",$A29))),$A29),"'!B4"))&gt;=I$2,"d",IF(INDIRECT(_xlfn.CONCAT("'",IF(ISNUMBER(FIND("'",$A29))=TRUE,_xlfn.CONCAT(LEFT($A29,FIND("'",$A29)-1),"''",RIGHT($A29,LEN($A29)-FIND("'",$A29))),$A29),"'!B5"))&gt;=I$2,"i",""))</f>
        <v>d</v>
      </c>
      <c r="J29" s="1" t="str" cm="1">
        <f t="array" aca="1" ref="J29" ca="1">IF(INDIRECT(_xlfn.CONCAT("'",IF(ISNUMBER(FIND("'",$A29))=TRUE,_xlfn.CONCAT(LEFT($A29,FIND("'",$A29)-1),"''",RIGHT($A29,LEN($A29)-FIND("'",$A29))),$A29),"'!B4"))&gt;=J$2,"d",IF(INDIRECT(_xlfn.CONCAT("'",IF(ISNUMBER(FIND("'",$A29))=TRUE,_xlfn.CONCAT(LEFT($A29,FIND("'",$A29)-1),"''",RIGHT($A29,LEN($A29)-FIND("'",$A29))),$A29),"'!B5"))&gt;=J$2,"i",""))</f>
        <v>d</v>
      </c>
      <c r="K29" s="1" t="str" cm="1">
        <f t="array" aca="1" ref="K29" ca="1">IF(INDIRECT(_xlfn.CONCAT("'",IF(ISNUMBER(FIND("'",$A29))=TRUE,_xlfn.CONCAT(LEFT($A29,FIND("'",$A29)-1),"''",RIGHT($A29,LEN($A29)-FIND("'",$A29))),$A29),"'!B4"))&gt;=K$2,"d",IF(INDIRECT(_xlfn.CONCAT("'",IF(ISNUMBER(FIND("'",$A29))=TRUE,_xlfn.CONCAT(LEFT($A29,FIND("'",$A29)-1),"''",RIGHT($A29,LEN($A29)-FIND("'",$A29))),$A29),"'!B5"))&gt;=K$2,"i",""))</f>
        <v>d</v>
      </c>
      <c r="L29" s="1" t="str" cm="1">
        <f t="array" aca="1" ref="L29" ca="1">IF(INDIRECT(_xlfn.CONCAT("'",IF(ISNUMBER(FIND("'",$A29))=TRUE,_xlfn.CONCAT(LEFT($A29,FIND("'",$A29)-1),"''",RIGHT($A29,LEN($A29)-FIND("'",$A29))),$A29),"'!B4"))&gt;=L$2,"d",IF(INDIRECT(_xlfn.CONCAT("'",IF(ISNUMBER(FIND("'",$A29))=TRUE,_xlfn.CONCAT(LEFT($A29,FIND("'",$A29)-1),"''",RIGHT($A29,LEN($A29)-FIND("'",$A29))),$A29),"'!B5"))&gt;=L$2,"i",""))</f>
        <v>d</v>
      </c>
      <c r="M29" s="4" t="str" cm="1">
        <f t="array" aca="1" ref="M29" ca="1">IF(INDIRECT(_xlfn.CONCAT("'",IF(ISNUMBER(FIND("'",$A29))=TRUE,_xlfn.CONCAT(LEFT($A29,FIND("'",$A29)-1),"''",RIGHT($A29,LEN($A29)-FIND("'",$A29))),$A29),"'!B4"))&gt;=M$2,"d",IF(INDIRECT(_xlfn.CONCAT("'",IF(ISNUMBER(FIND("'",$A29))=TRUE,_xlfn.CONCAT(LEFT($A29,FIND("'",$A29)-1),"''",RIGHT($A29,LEN($A29)-FIND("'",$A29))),$A29),"'!B5"))&gt;=M$2,"i",""))</f>
        <v>d</v>
      </c>
      <c r="N29" s="95"/>
      <c r="O29" s="14" t="str" cm="1">
        <f t="array" aca="1" ref="O29" ca="1">IF(INDIRECT(_xlfn.CONCAT("'",IF(ISNUMBER(FIND("'",$A29))=TRUE,_xlfn.CONCAT(LEFT($A29,FIND("'",$A29)-1),"''",RIGHT($A29,LEN($A29)-FIND("'",$A29))),$A29),"'!C10"))&gt;=O$2,"d",IF(INDIRECT(_xlfn.CONCAT("'",IF(ISNUMBER(FIND("'",$A29))=TRUE,_xlfn.CONCAT(LEFT($A29,FIND("'",$A29)-1),"''",RIGHT($A29,LEN($A29)-FIND("'",$A29))),$A29),"'!C11"))&gt;=O$2,"i",""))</f>
        <v>d</v>
      </c>
      <c r="P29" s="1" t="str" cm="1">
        <f t="array" aca="1" ref="P29" ca="1">IF(INDIRECT(_xlfn.CONCAT("'",IF(ISNUMBER(FIND("'",$A29))=TRUE,_xlfn.CONCAT(LEFT($A29,FIND("'",$A29)-1),"''",RIGHT($A29,LEN($A29)-FIND("'",$A29))),$A29),"'!C10"))&gt;=P$2,"d",IF(INDIRECT(_xlfn.CONCAT("'",IF(ISNUMBER(FIND("'",$A29))=TRUE,_xlfn.CONCAT(LEFT($A29,FIND("'",$A29)-1),"''",RIGHT($A29,LEN($A29)-FIND("'",$A29))),$A29),"'!C11"))&gt;=P$2,"i",""))</f>
        <v>d</v>
      </c>
      <c r="Q29" s="1" t="str" cm="1">
        <f t="array" aca="1" ref="Q29" ca="1">IF(INDIRECT(_xlfn.CONCAT("'",IF(ISNUMBER(FIND("'",$A29))=TRUE,_xlfn.CONCAT(LEFT($A29,FIND("'",$A29)-1),"''",RIGHT($A29,LEN($A29)-FIND("'",$A29))),$A29),"'!C10"))&gt;=Q$2,"d",IF(INDIRECT(_xlfn.CONCAT("'",IF(ISNUMBER(FIND("'",$A29))=TRUE,_xlfn.CONCAT(LEFT($A29,FIND("'",$A29)-1),"''",RIGHT($A29,LEN($A29)-FIND("'",$A29))),$A29),"'!C11"))&gt;=Q$2,"i",""))</f>
        <v>d</v>
      </c>
      <c r="R29" s="1" t="str" cm="1">
        <f t="array" aca="1" ref="R29" ca="1">IF(INDIRECT(_xlfn.CONCAT("'",IF(ISNUMBER(FIND("'",$A29))=TRUE,_xlfn.CONCAT(LEFT($A29,FIND("'",$A29)-1),"''",RIGHT($A29,LEN($A29)-FIND("'",$A29))),$A29),"'!C10"))&gt;=R$2,"d",IF(INDIRECT(_xlfn.CONCAT("'",IF(ISNUMBER(FIND("'",$A29))=TRUE,_xlfn.CONCAT(LEFT($A29,FIND("'",$A29)-1),"''",RIGHT($A29,LEN($A29)-FIND("'",$A29))),$A29),"'!C11"))&gt;=R$2,"i",""))</f>
        <v>d</v>
      </c>
      <c r="S29" s="1" t="str" cm="1">
        <f t="array" aca="1" ref="S29" ca="1">IF(INDIRECT(_xlfn.CONCAT("'",IF(ISNUMBER(FIND("'",$A29))=TRUE,_xlfn.CONCAT(LEFT($A29,FIND("'",$A29)-1),"''",RIGHT($A29,LEN($A29)-FIND("'",$A29))),$A29),"'!C10"))&gt;=S$2,"d",IF(INDIRECT(_xlfn.CONCAT("'",IF(ISNUMBER(FIND("'",$A29))=TRUE,_xlfn.CONCAT(LEFT($A29,FIND("'",$A29)-1),"''",RIGHT($A29,LEN($A29)-FIND("'",$A29))),$A29),"'!C11"))&gt;=S$2,"i",""))</f>
        <v>d</v>
      </c>
      <c r="T29" s="4" t="str" cm="1">
        <f t="array" aca="1" ref="T29" ca="1">IF(INDIRECT(_xlfn.CONCAT("'",IF(ISNUMBER(FIND("'",$A29))=TRUE,_xlfn.CONCAT(LEFT($A29,FIND("'",$A29)-1),"''",RIGHT($A29,LEN($A29)-FIND("'",$A29))),$A29),"'!C10"))&gt;=T$2,"d",IF(INDIRECT(_xlfn.CONCAT("'",IF(ISNUMBER(FIND("'",$A29))=TRUE,_xlfn.CONCAT(LEFT($A29,FIND("'",$A29)-1),"''",RIGHT($A29,LEN($A29)-FIND("'",$A29))),$A29),"'!C11"))&gt;=T$2,"i",""))</f>
        <v>d</v>
      </c>
    </row>
    <row r="30" spans="1:20" hidden="1" x14ac:dyDescent="0.25">
      <c r="A30" s="54" t="str">
        <v>TTDS</v>
      </c>
      <c r="B30" s="14" cm="1">
        <f t="array" ref="B30">_xlfn.XLOOKUP(A30,INDEX(Weapon_List,,1),INDEX(Weapon_List,,3),,0,1)</f>
        <v>3</v>
      </c>
      <c r="C30" s="4" t="str" cm="1">
        <f t="array" ref="C30">_xlfn.XLOOKUP(A30,INDEX(Weapon_List,,1),INDEX(Weapon_List,,2),,0,1)</f>
        <v>Catalyst</v>
      </c>
      <c r="D30" s="38" t="str" cm="1">
        <f t="array" ref="D30">_xlfn.XLOOKUP(A30,INDEX(Weapon_List,,1),INDEX(Weapon_List,,4),,0,1)</f>
        <v>Mondstadt 2</v>
      </c>
      <c r="E30" s="38" t="str" cm="1">
        <f t="array" ref="E30">_xlfn.XLOOKUP(A30,INDEX(Weapon_List,,1),INDEX(Weapon_List,,5),,0,1)</f>
        <v>Samachurl</v>
      </c>
      <c r="F30" s="38" t="str" cm="1">
        <f t="array" ref="F30">_xlfn.XLOOKUP(A30,INDEX(Weapon_List,,1),INDEX(Weapon_List,,6),,0,1)</f>
        <v>Abyss Mage</v>
      </c>
      <c r="G30" s="14" t="str" cm="1">
        <f t="array" aca="1" ref="G30" ca="1">IF(INDIRECT(_xlfn.CONCAT("'",IF(ISNUMBER(FIND("'",$A30))=TRUE,_xlfn.CONCAT(LEFT($A30,FIND("'",$A30)-1),"''",RIGHT($A30,LEN($A30)-FIND("'",$A30))),$A30),"'!B4"))&gt;=G$2,"d",IF(INDIRECT(_xlfn.CONCAT("'",IF(ISNUMBER(FIND("'",$A30))=TRUE,_xlfn.CONCAT(LEFT($A30,FIND("'",$A30)-1),"''",RIGHT($A30,LEN($A30)-FIND("'",$A30))),$A30),"'!B5"))&gt;=G$2,"i",""))</f>
        <v>d</v>
      </c>
      <c r="H30" s="1" t="str" cm="1">
        <f t="array" aca="1" ref="H30" ca="1">IF(INDIRECT(_xlfn.CONCAT("'",IF(ISNUMBER(FIND("'",$A30))=TRUE,_xlfn.CONCAT(LEFT($A30,FIND("'",$A30)-1),"''",RIGHT($A30,LEN($A30)-FIND("'",$A30))),$A30),"'!B4"))&gt;=H$2,"d",IF(INDIRECT(_xlfn.CONCAT("'",IF(ISNUMBER(FIND("'",$A30))=TRUE,_xlfn.CONCAT(LEFT($A30,FIND("'",$A30)-1),"''",RIGHT($A30,LEN($A30)-FIND("'",$A30))),$A30),"'!B5"))&gt;=H$2,"i",""))</f>
        <v>d</v>
      </c>
      <c r="I30" s="1" t="str" cm="1">
        <f t="array" aca="1" ref="I30" ca="1">IF(INDIRECT(_xlfn.CONCAT("'",IF(ISNUMBER(FIND("'",$A30))=TRUE,_xlfn.CONCAT(LEFT($A30,FIND("'",$A30)-1),"''",RIGHT($A30,LEN($A30)-FIND("'",$A30))),$A30),"'!B4"))&gt;=I$2,"d",IF(INDIRECT(_xlfn.CONCAT("'",IF(ISNUMBER(FIND("'",$A30))=TRUE,_xlfn.CONCAT(LEFT($A30,FIND("'",$A30)-1),"''",RIGHT($A30,LEN($A30)-FIND("'",$A30))),$A30),"'!B5"))&gt;=I$2,"i",""))</f>
        <v>d</v>
      </c>
      <c r="J30" s="1" t="str" cm="1">
        <f t="array" aca="1" ref="J30" ca="1">IF(INDIRECT(_xlfn.CONCAT("'",IF(ISNUMBER(FIND("'",$A30))=TRUE,_xlfn.CONCAT(LEFT($A30,FIND("'",$A30)-1),"''",RIGHT($A30,LEN($A30)-FIND("'",$A30))),$A30),"'!B4"))&gt;=J$2,"d",IF(INDIRECT(_xlfn.CONCAT("'",IF(ISNUMBER(FIND("'",$A30))=TRUE,_xlfn.CONCAT(LEFT($A30,FIND("'",$A30)-1),"''",RIGHT($A30,LEN($A30)-FIND("'",$A30))),$A30),"'!B5"))&gt;=J$2,"i",""))</f>
        <v>d</v>
      </c>
      <c r="K30" s="1" t="str" cm="1">
        <f t="array" aca="1" ref="K30" ca="1">IF(INDIRECT(_xlfn.CONCAT("'",IF(ISNUMBER(FIND("'",$A30))=TRUE,_xlfn.CONCAT(LEFT($A30,FIND("'",$A30)-1),"''",RIGHT($A30,LEN($A30)-FIND("'",$A30))),$A30),"'!B4"))&gt;=K$2,"d",IF(INDIRECT(_xlfn.CONCAT("'",IF(ISNUMBER(FIND("'",$A30))=TRUE,_xlfn.CONCAT(LEFT($A30,FIND("'",$A30)-1),"''",RIGHT($A30,LEN($A30)-FIND("'",$A30))),$A30),"'!B5"))&gt;=K$2,"i",""))</f>
        <v>d</v>
      </c>
      <c r="L30" s="1" t="str" cm="1">
        <f t="array" aca="1" ref="L30" ca="1">IF(INDIRECT(_xlfn.CONCAT("'",IF(ISNUMBER(FIND("'",$A30))=TRUE,_xlfn.CONCAT(LEFT($A30,FIND("'",$A30)-1),"''",RIGHT($A30,LEN($A30)-FIND("'",$A30))),$A30),"'!B4"))&gt;=L$2,"d",IF(INDIRECT(_xlfn.CONCAT("'",IF(ISNUMBER(FIND("'",$A30))=TRUE,_xlfn.CONCAT(LEFT($A30,FIND("'",$A30)-1),"''",RIGHT($A30,LEN($A30)-FIND("'",$A30))),$A30),"'!B5"))&gt;=L$2,"i",""))</f>
        <v>d</v>
      </c>
      <c r="M30" s="4" t="str" cm="1">
        <f t="array" aca="1" ref="M30" ca="1">IF(INDIRECT(_xlfn.CONCAT("'",IF(ISNUMBER(FIND("'",$A30))=TRUE,_xlfn.CONCAT(LEFT($A30,FIND("'",$A30)-1),"''",RIGHT($A30,LEN($A30)-FIND("'",$A30))),$A30),"'!B4"))&gt;=M$2,"d",IF(INDIRECT(_xlfn.CONCAT("'",IF(ISNUMBER(FIND("'",$A30))=TRUE,_xlfn.CONCAT(LEFT($A30,FIND("'",$A30)-1),"''",RIGHT($A30,LEN($A30)-FIND("'",$A30))),$A30),"'!B5"))&gt;=M$2,"i",""))</f>
        <v>d</v>
      </c>
      <c r="N30" s="95"/>
      <c r="O30" s="14" t="str" cm="1">
        <f t="array" aca="1" ref="O30" ca="1">IF(INDIRECT(_xlfn.CONCAT("'",IF(ISNUMBER(FIND("'",$A30))=TRUE,_xlfn.CONCAT(LEFT($A30,FIND("'",$A30)-1),"''",RIGHT($A30,LEN($A30)-FIND("'",$A30))),$A30),"'!C10"))&gt;=O$2,"d",IF(INDIRECT(_xlfn.CONCAT("'",IF(ISNUMBER(FIND("'",$A30))=TRUE,_xlfn.CONCAT(LEFT($A30,FIND("'",$A30)-1),"''",RIGHT($A30,LEN($A30)-FIND("'",$A30))),$A30),"'!C11"))&gt;=O$2,"i",""))</f>
        <v>d</v>
      </c>
      <c r="P30" s="1" t="str" cm="1">
        <f t="array" aca="1" ref="P30" ca="1">IF(INDIRECT(_xlfn.CONCAT("'",IF(ISNUMBER(FIND("'",$A30))=TRUE,_xlfn.CONCAT(LEFT($A30,FIND("'",$A30)-1),"''",RIGHT($A30,LEN($A30)-FIND("'",$A30))),$A30),"'!C10"))&gt;=P$2,"d",IF(INDIRECT(_xlfn.CONCAT("'",IF(ISNUMBER(FIND("'",$A30))=TRUE,_xlfn.CONCAT(LEFT($A30,FIND("'",$A30)-1),"''",RIGHT($A30,LEN($A30)-FIND("'",$A30))),$A30),"'!C11"))&gt;=P$2,"i",""))</f>
        <v>d</v>
      </c>
      <c r="Q30" s="1" t="str" cm="1">
        <f t="array" aca="1" ref="Q30" ca="1">IF(INDIRECT(_xlfn.CONCAT("'",IF(ISNUMBER(FIND("'",$A30))=TRUE,_xlfn.CONCAT(LEFT($A30,FIND("'",$A30)-1),"''",RIGHT($A30,LEN($A30)-FIND("'",$A30))),$A30),"'!C10"))&gt;=Q$2,"d",IF(INDIRECT(_xlfn.CONCAT("'",IF(ISNUMBER(FIND("'",$A30))=TRUE,_xlfn.CONCAT(LEFT($A30,FIND("'",$A30)-1),"''",RIGHT($A30,LEN($A30)-FIND("'",$A30))),$A30),"'!C11"))&gt;=Q$2,"i",""))</f>
        <v>d</v>
      </c>
      <c r="R30" s="1" t="str" cm="1">
        <f t="array" aca="1" ref="R30" ca="1">IF(INDIRECT(_xlfn.CONCAT("'",IF(ISNUMBER(FIND("'",$A30))=TRUE,_xlfn.CONCAT(LEFT($A30,FIND("'",$A30)-1),"''",RIGHT($A30,LEN($A30)-FIND("'",$A30))),$A30),"'!C10"))&gt;=R$2,"d",IF(INDIRECT(_xlfn.CONCAT("'",IF(ISNUMBER(FIND("'",$A30))=TRUE,_xlfn.CONCAT(LEFT($A30,FIND("'",$A30)-1),"''",RIGHT($A30,LEN($A30)-FIND("'",$A30))),$A30),"'!C11"))&gt;=R$2,"i",""))</f>
        <v>d</v>
      </c>
      <c r="S30" s="1" t="str" cm="1">
        <f t="array" aca="1" ref="S30" ca="1">IF(INDIRECT(_xlfn.CONCAT("'",IF(ISNUMBER(FIND("'",$A30))=TRUE,_xlfn.CONCAT(LEFT($A30,FIND("'",$A30)-1),"''",RIGHT($A30,LEN($A30)-FIND("'",$A30))),$A30),"'!C10"))&gt;=S$2,"d",IF(INDIRECT(_xlfn.CONCAT("'",IF(ISNUMBER(FIND("'",$A30))=TRUE,_xlfn.CONCAT(LEFT($A30,FIND("'",$A30)-1),"''",RIGHT($A30,LEN($A30)-FIND("'",$A30))),$A30),"'!C11"))&gt;=S$2,"i",""))</f>
        <v>d</v>
      </c>
      <c r="T30" s="4" t="str" cm="1">
        <f t="array" aca="1" ref="T30" ca="1">IF(INDIRECT(_xlfn.CONCAT("'",IF(ISNUMBER(FIND("'",$A30))=TRUE,_xlfn.CONCAT(LEFT($A30,FIND("'",$A30)-1),"''",RIGHT($A30,LEN($A30)-FIND("'",$A30))),$A30),"'!C10"))&gt;=T$2,"d",IF(INDIRECT(_xlfn.CONCAT("'",IF(ISNUMBER(FIND("'",$A30))=TRUE,_xlfn.CONCAT(LEFT($A30,FIND("'",$A30)-1),"''",RIGHT($A30,LEN($A30)-FIND("'",$A30))),$A30),"'!C11"))&gt;=T$2,"i",""))</f>
        <v>d</v>
      </c>
    </row>
    <row r="31" spans="1:20" hidden="1" x14ac:dyDescent="0.25">
      <c r="A31" s="54" t="str">
        <v>Twin Nephrite</v>
      </c>
      <c r="B31" s="14" cm="1">
        <f t="array" ref="B31">_xlfn.XLOOKUP(A31,INDEX(Weapon_List,,1),INDEX(Weapon_List,,3),,0,1)</f>
        <v>3</v>
      </c>
      <c r="C31" s="4" t="str" cm="1">
        <f t="array" ref="C31">_xlfn.XLOOKUP(A31,INDEX(Weapon_List,,1),INDEX(Weapon_List,,2),,0,1)</f>
        <v>Catalyst</v>
      </c>
      <c r="D31" s="38" t="str" cm="1">
        <f t="array" ref="D31">_xlfn.XLOOKUP(A31,INDEX(Weapon_List,,1),INDEX(Weapon_List,,4),,0,1)</f>
        <v>Liyue 2</v>
      </c>
      <c r="E31" s="38" t="str" cm="1">
        <f t="array" ref="E31">_xlfn.XLOOKUP(A31,INDEX(Weapon_List,,1),INDEX(Weapon_List,,5),,0,1)</f>
        <v>Fatui</v>
      </c>
      <c r="F31" s="38" t="str" cm="1">
        <f t="array" ref="F31">_xlfn.XLOOKUP(A31,INDEX(Weapon_List,,1),INDEX(Weapon_List,,6),,0,1)</f>
        <v>Fatui Cicin Mage</v>
      </c>
      <c r="G31" s="14" t="str" cm="1">
        <f t="array" aca="1" ref="G31" ca="1">IF(INDIRECT(_xlfn.CONCAT("'",IF(ISNUMBER(FIND("'",$A31))=TRUE,_xlfn.CONCAT(LEFT($A31,FIND("'",$A31)-1),"''",RIGHT($A31,LEN($A31)-FIND("'",$A31))),$A31),"'!B4"))&gt;=G$2,"d",IF(INDIRECT(_xlfn.CONCAT("'",IF(ISNUMBER(FIND("'",$A31))=TRUE,_xlfn.CONCAT(LEFT($A31,FIND("'",$A31)-1),"''",RIGHT($A31,LEN($A31)-FIND("'",$A31))),$A31),"'!B5"))&gt;=G$2,"i",""))</f>
        <v>d</v>
      </c>
      <c r="H31" s="1" t="str" cm="1">
        <f t="array" aca="1" ref="H31" ca="1">IF(INDIRECT(_xlfn.CONCAT("'",IF(ISNUMBER(FIND("'",$A31))=TRUE,_xlfn.CONCAT(LEFT($A31,FIND("'",$A31)-1),"''",RIGHT($A31,LEN($A31)-FIND("'",$A31))),$A31),"'!B4"))&gt;=H$2,"d",IF(INDIRECT(_xlfn.CONCAT("'",IF(ISNUMBER(FIND("'",$A31))=TRUE,_xlfn.CONCAT(LEFT($A31,FIND("'",$A31)-1),"''",RIGHT($A31,LEN($A31)-FIND("'",$A31))),$A31),"'!B5"))&gt;=H$2,"i",""))</f>
        <v>d</v>
      </c>
      <c r="I31" s="1" t="str" cm="1">
        <f t="array" aca="1" ref="I31" ca="1">IF(INDIRECT(_xlfn.CONCAT("'",IF(ISNUMBER(FIND("'",$A31))=TRUE,_xlfn.CONCAT(LEFT($A31,FIND("'",$A31)-1),"''",RIGHT($A31,LEN($A31)-FIND("'",$A31))),$A31),"'!B4"))&gt;=I$2,"d",IF(INDIRECT(_xlfn.CONCAT("'",IF(ISNUMBER(FIND("'",$A31))=TRUE,_xlfn.CONCAT(LEFT($A31,FIND("'",$A31)-1),"''",RIGHT($A31,LEN($A31)-FIND("'",$A31))),$A31),"'!B5"))&gt;=I$2,"i",""))</f>
        <v>d</v>
      </c>
      <c r="J31" s="1" t="str" cm="1">
        <f t="array" aca="1" ref="J31" ca="1">IF(INDIRECT(_xlfn.CONCAT("'",IF(ISNUMBER(FIND("'",$A31))=TRUE,_xlfn.CONCAT(LEFT($A31,FIND("'",$A31)-1),"''",RIGHT($A31,LEN($A31)-FIND("'",$A31))),$A31),"'!B4"))&gt;=J$2,"d",IF(INDIRECT(_xlfn.CONCAT("'",IF(ISNUMBER(FIND("'",$A31))=TRUE,_xlfn.CONCAT(LEFT($A31,FIND("'",$A31)-1),"''",RIGHT($A31,LEN($A31)-FIND("'",$A31))),$A31),"'!B5"))&gt;=J$2,"i",""))</f>
        <v>d</v>
      </c>
      <c r="K31" s="1" t="str" cm="1">
        <f t="array" aca="1" ref="K31" ca="1">IF(INDIRECT(_xlfn.CONCAT("'",IF(ISNUMBER(FIND("'",$A31))=TRUE,_xlfn.CONCAT(LEFT($A31,FIND("'",$A31)-1),"''",RIGHT($A31,LEN($A31)-FIND("'",$A31))),$A31),"'!B4"))&gt;=K$2,"d",IF(INDIRECT(_xlfn.CONCAT("'",IF(ISNUMBER(FIND("'",$A31))=TRUE,_xlfn.CONCAT(LEFT($A31,FIND("'",$A31)-1),"''",RIGHT($A31,LEN($A31)-FIND("'",$A31))),$A31),"'!B5"))&gt;=K$2,"i",""))</f>
        <v>d</v>
      </c>
      <c r="L31" s="1" t="str" cm="1">
        <f t="array" aca="1" ref="L31" ca="1">IF(INDIRECT(_xlfn.CONCAT("'",IF(ISNUMBER(FIND("'",$A31))=TRUE,_xlfn.CONCAT(LEFT($A31,FIND("'",$A31)-1),"''",RIGHT($A31,LEN($A31)-FIND("'",$A31))),$A31),"'!B4"))&gt;=L$2,"d",IF(INDIRECT(_xlfn.CONCAT("'",IF(ISNUMBER(FIND("'",$A31))=TRUE,_xlfn.CONCAT(LEFT($A31,FIND("'",$A31)-1),"''",RIGHT($A31,LEN($A31)-FIND("'",$A31))),$A31),"'!B5"))&gt;=L$2,"i",""))</f>
        <v>d</v>
      </c>
      <c r="M31" s="4" t="str" cm="1">
        <f t="array" aca="1" ref="M31" ca="1">IF(INDIRECT(_xlfn.CONCAT("'",IF(ISNUMBER(FIND("'",$A31))=TRUE,_xlfn.CONCAT(LEFT($A31,FIND("'",$A31)-1),"''",RIGHT($A31,LEN($A31)-FIND("'",$A31))),$A31),"'!B4"))&gt;=M$2,"d",IF(INDIRECT(_xlfn.CONCAT("'",IF(ISNUMBER(FIND("'",$A31))=TRUE,_xlfn.CONCAT(LEFT($A31,FIND("'",$A31)-1),"''",RIGHT($A31,LEN($A31)-FIND("'",$A31))),$A31),"'!B5"))&gt;=M$2,"i",""))</f>
        <v>d</v>
      </c>
      <c r="N31" s="95"/>
      <c r="O31" s="14" t="str" cm="1">
        <f t="array" aca="1" ref="O31" ca="1">IF(INDIRECT(_xlfn.CONCAT("'",IF(ISNUMBER(FIND("'",$A31))=TRUE,_xlfn.CONCAT(LEFT($A31,FIND("'",$A31)-1),"''",RIGHT($A31,LEN($A31)-FIND("'",$A31))),$A31),"'!C10"))&gt;=O$2,"d",IF(INDIRECT(_xlfn.CONCAT("'",IF(ISNUMBER(FIND("'",$A31))=TRUE,_xlfn.CONCAT(LEFT($A31,FIND("'",$A31)-1),"''",RIGHT($A31,LEN($A31)-FIND("'",$A31))),$A31),"'!C11"))&gt;=O$2,"i",""))</f>
        <v>d</v>
      </c>
      <c r="P31" s="1" t="str" cm="1">
        <f t="array" aca="1" ref="P31" ca="1">IF(INDIRECT(_xlfn.CONCAT("'",IF(ISNUMBER(FIND("'",$A31))=TRUE,_xlfn.CONCAT(LEFT($A31,FIND("'",$A31)-1),"''",RIGHT($A31,LEN($A31)-FIND("'",$A31))),$A31),"'!C10"))&gt;=P$2,"d",IF(INDIRECT(_xlfn.CONCAT("'",IF(ISNUMBER(FIND("'",$A31))=TRUE,_xlfn.CONCAT(LEFT($A31,FIND("'",$A31)-1),"''",RIGHT($A31,LEN($A31)-FIND("'",$A31))),$A31),"'!C11"))&gt;=P$2,"i",""))</f>
        <v>d</v>
      </c>
      <c r="Q31" s="1" t="str" cm="1">
        <f t="array" aca="1" ref="Q31" ca="1">IF(INDIRECT(_xlfn.CONCAT("'",IF(ISNUMBER(FIND("'",$A31))=TRUE,_xlfn.CONCAT(LEFT($A31,FIND("'",$A31)-1),"''",RIGHT($A31,LEN($A31)-FIND("'",$A31))),$A31),"'!C10"))&gt;=Q$2,"d",IF(INDIRECT(_xlfn.CONCAT("'",IF(ISNUMBER(FIND("'",$A31))=TRUE,_xlfn.CONCAT(LEFT($A31,FIND("'",$A31)-1),"''",RIGHT($A31,LEN($A31)-FIND("'",$A31))),$A31),"'!C11"))&gt;=Q$2,"i",""))</f>
        <v>d</v>
      </c>
      <c r="R31" s="1" t="str" cm="1">
        <f t="array" aca="1" ref="R31" ca="1">IF(INDIRECT(_xlfn.CONCAT("'",IF(ISNUMBER(FIND("'",$A31))=TRUE,_xlfn.CONCAT(LEFT($A31,FIND("'",$A31)-1),"''",RIGHT($A31,LEN($A31)-FIND("'",$A31))),$A31),"'!C10"))&gt;=R$2,"d",IF(INDIRECT(_xlfn.CONCAT("'",IF(ISNUMBER(FIND("'",$A31))=TRUE,_xlfn.CONCAT(LEFT($A31,FIND("'",$A31)-1),"''",RIGHT($A31,LEN($A31)-FIND("'",$A31))),$A31),"'!C11"))&gt;=R$2,"i",""))</f>
        <v>d</v>
      </c>
      <c r="S31" s="1" t="str" cm="1">
        <f t="array" aca="1" ref="S31" ca="1">IF(INDIRECT(_xlfn.CONCAT("'",IF(ISNUMBER(FIND("'",$A31))=TRUE,_xlfn.CONCAT(LEFT($A31,FIND("'",$A31)-1),"''",RIGHT($A31,LEN($A31)-FIND("'",$A31))),$A31),"'!C10"))&gt;=S$2,"d",IF(INDIRECT(_xlfn.CONCAT("'",IF(ISNUMBER(FIND("'",$A31))=TRUE,_xlfn.CONCAT(LEFT($A31,FIND("'",$A31)-1),"''",RIGHT($A31,LEN($A31)-FIND("'",$A31))),$A31),"'!C11"))&gt;=S$2,"i",""))</f>
        <v>d</v>
      </c>
      <c r="T31" s="4" t="str" cm="1">
        <f t="array" aca="1" ref="T31" ca="1">IF(INDIRECT(_xlfn.CONCAT("'",IF(ISNUMBER(FIND("'",$A31))=TRUE,_xlfn.CONCAT(LEFT($A31,FIND("'",$A31)-1),"''",RIGHT($A31,LEN($A31)-FIND("'",$A31))),$A31),"'!C10"))&gt;=T$2,"d",IF(INDIRECT(_xlfn.CONCAT("'",IF(ISNUMBER(FIND("'",$A31))=TRUE,_xlfn.CONCAT(LEFT($A31,FIND("'",$A31)-1),"''",RIGHT($A31,LEN($A31)-FIND("'",$A31))),$A31),"'!C11"))&gt;=T$2,"i",""))</f>
        <v>d</v>
      </c>
    </row>
    <row r="32" spans="1:20" hidden="1" x14ac:dyDescent="0.25">
      <c r="A32" s="54" t="str">
        <v>Messenger</v>
      </c>
      <c r="B32" s="14" cm="1">
        <f t="array" ref="B32">_xlfn.XLOOKUP(A32,INDEX(Weapon_List,,1),INDEX(Weapon_List,,3),,0,1)</f>
        <v>3</v>
      </c>
      <c r="C32" s="4" t="str" cm="1">
        <f t="array" ref="C32">_xlfn.XLOOKUP(A32,INDEX(Weapon_List,,1),INDEX(Weapon_List,,2),,0,1)</f>
        <v>Bow</v>
      </c>
      <c r="D32" s="38" t="str" cm="1">
        <f t="array" ref="D32">_xlfn.XLOOKUP(A32,INDEX(Weapon_List,,1),INDEX(Weapon_List,,4),,0,1)</f>
        <v>Liyue 2</v>
      </c>
      <c r="E32" s="38" t="str" cm="1">
        <f t="array" ref="E32">_xlfn.XLOOKUP(A32,INDEX(Weapon_List,,1),INDEX(Weapon_List,,5),,0,1)</f>
        <v>Treasure Hoarder</v>
      </c>
      <c r="F32" s="38" t="str" cm="1">
        <f t="array" ref="F32">_xlfn.XLOOKUP(A32,INDEX(Weapon_List,,1),INDEX(Weapon_List,,6),,0,1)</f>
        <v>Fatui Cicin Mage</v>
      </c>
      <c r="G32" s="14" t="str" cm="1">
        <f t="array" aca="1" ref="G32" ca="1">IF(INDIRECT(_xlfn.CONCAT("'",IF(ISNUMBER(FIND("'",$A32))=TRUE,_xlfn.CONCAT(LEFT($A32,FIND("'",$A32)-1),"''",RIGHT($A32,LEN($A32)-FIND("'",$A32))),$A32),"'!B4"))&gt;=G$2,"d",IF(INDIRECT(_xlfn.CONCAT("'",IF(ISNUMBER(FIND("'",$A32))=TRUE,_xlfn.CONCAT(LEFT($A32,FIND("'",$A32)-1),"''",RIGHT($A32,LEN($A32)-FIND("'",$A32))),$A32),"'!B5"))&gt;=G$2,"i",""))</f>
        <v>d</v>
      </c>
      <c r="H32" s="1" t="str" cm="1">
        <f t="array" aca="1" ref="H32" ca="1">IF(INDIRECT(_xlfn.CONCAT("'",IF(ISNUMBER(FIND("'",$A32))=TRUE,_xlfn.CONCAT(LEFT($A32,FIND("'",$A32)-1),"''",RIGHT($A32,LEN($A32)-FIND("'",$A32))),$A32),"'!B4"))&gt;=H$2,"d",IF(INDIRECT(_xlfn.CONCAT("'",IF(ISNUMBER(FIND("'",$A32))=TRUE,_xlfn.CONCAT(LEFT($A32,FIND("'",$A32)-1),"''",RIGHT($A32,LEN($A32)-FIND("'",$A32))),$A32),"'!B5"))&gt;=H$2,"i",""))</f>
        <v>d</v>
      </c>
      <c r="I32" s="1" t="str" cm="1">
        <f t="array" aca="1" ref="I32" ca="1">IF(INDIRECT(_xlfn.CONCAT("'",IF(ISNUMBER(FIND("'",$A32))=TRUE,_xlfn.CONCAT(LEFT($A32,FIND("'",$A32)-1),"''",RIGHT($A32,LEN($A32)-FIND("'",$A32))),$A32),"'!B4"))&gt;=I$2,"d",IF(INDIRECT(_xlfn.CONCAT("'",IF(ISNUMBER(FIND("'",$A32))=TRUE,_xlfn.CONCAT(LEFT($A32,FIND("'",$A32)-1),"''",RIGHT($A32,LEN($A32)-FIND("'",$A32))),$A32),"'!B5"))&gt;=I$2,"i",""))</f>
        <v>d</v>
      </c>
      <c r="J32" s="1" t="str" cm="1">
        <f t="array" aca="1" ref="J32" ca="1">IF(INDIRECT(_xlfn.CONCAT("'",IF(ISNUMBER(FIND("'",$A32))=TRUE,_xlfn.CONCAT(LEFT($A32,FIND("'",$A32)-1),"''",RIGHT($A32,LEN($A32)-FIND("'",$A32))),$A32),"'!B4"))&gt;=J$2,"d",IF(INDIRECT(_xlfn.CONCAT("'",IF(ISNUMBER(FIND("'",$A32))=TRUE,_xlfn.CONCAT(LEFT($A32,FIND("'",$A32)-1),"''",RIGHT($A32,LEN($A32)-FIND("'",$A32))),$A32),"'!B5"))&gt;=J$2,"i",""))</f>
        <v>d</v>
      </c>
      <c r="K32" s="1" t="str" cm="1">
        <f t="array" aca="1" ref="K32" ca="1">IF(INDIRECT(_xlfn.CONCAT("'",IF(ISNUMBER(FIND("'",$A32))=TRUE,_xlfn.CONCAT(LEFT($A32,FIND("'",$A32)-1),"''",RIGHT($A32,LEN($A32)-FIND("'",$A32))),$A32),"'!B4"))&gt;=K$2,"d",IF(INDIRECT(_xlfn.CONCAT("'",IF(ISNUMBER(FIND("'",$A32))=TRUE,_xlfn.CONCAT(LEFT($A32,FIND("'",$A32)-1),"''",RIGHT($A32,LEN($A32)-FIND("'",$A32))),$A32),"'!B5"))&gt;=K$2,"i",""))</f>
        <v>d</v>
      </c>
      <c r="L32" s="1" t="str" cm="1">
        <f t="array" aca="1" ref="L32" ca="1">IF(INDIRECT(_xlfn.CONCAT("'",IF(ISNUMBER(FIND("'",$A32))=TRUE,_xlfn.CONCAT(LEFT($A32,FIND("'",$A32)-1),"''",RIGHT($A32,LEN($A32)-FIND("'",$A32))),$A32),"'!B4"))&gt;=L$2,"d",IF(INDIRECT(_xlfn.CONCAT("'",IF(ISNUMBER(FIND("'",$A32))=TRUE,_xlfn.CONCAT(LEFT($A32,FIND("'",$A32)-1),"''",RIGHT($A32,LEN($A32)-FIND("'",$A32))),$A32),"'!B5"))&gt;=L$2,"i",""))</f>
        <v>d</v>
      </c>
      <c r="M32" s="4" t="str" cm="1">
        <f t="array" aca="1" ref="M32" ca="1">IF(INDIRECT(_xlfn.CONCAT("'",IF(ISNUMBER(FIND("'",$A32))=TRUE,_xlfn.CONCAT(LEFT($A32,FIND("'",$A32)-1),"''",RIGHT($A32,LEN($A32)-FIND("'",$A32))),$A32),"'!B4"))&gt;=M$2,"d",IF(INDIRECT(_xlfn.CONCAT("'",IF(ISNUMBER(FIND("'",$A32))=TRUE,_xlfn.CONCAT(LEFT($A32,FIND("'",$A32)-1),"''",RIGHT($A32,LEN($A32)-FIND("'",$A32))),$A32),"'!B5"))&gt;=M$2,"i",""))</f>
        <v>d</v>
      </c>
      <c r="N32" s="95"/>
      <c r="O32" s="14" t="str" cm="1">
        <f t="array" aca="1" ref="O32" ca="1">IF(INDIRECT(_xlfn.CONCAT("'",IF(ISNUMBER(FIND("'",$A32))=TRUE,_xlfn.CONCAT(LEFT($A32,FIND("'",$A32)-1),"''",RIGHT($A32,LEN($A32)-FIND("'",$A32))),$A32),"'!C10"))&gt;=O$2,"d",IF(INDIRECT(_xlfn.CONCAT("'",IF(ISNUMBER(FIND("'",$A32))=TRUE,_xlfn.CONCAT(LEFT($A32,FIND("'",$A32)-1),"''",RIGHT($A32,LEN($A32)-FIND("'",$A32))),$A32),"'!C11"))&gt;=O$2,"i",""))</f>
        <v>d</v>
      </c>
      <c r="P32" s="1" t="str" cm="1">
        <f t="array" aca="1" ref="P32" ca="1">IF(INDIRECT(_xlfn.CONCAT("'",IF(ISNUMBER(FIND("'",$A32))=TRUE,_xlfn.CONCAT(LEFT($A32,FIND("'",$A32)-1),"''",RIGHT($A32,LEN($A32)-FIND("'",$A32))),$A32),"'!C10"))&gt;=P$2,"d",IF(INDIRECT(_xlfn.CONCAT("'",IF(ISNUMBER(FIND("'",$A32))=TRUE,_xlfn.CONCAT(LEFT($A32,FIND("'",$A32)-1),"''",RIGHT($A32,LEN($A32)-FIND("'",$A32))),$A32),"'!C11"))&gt;=P$2,"i",""))</f>
        <v>d</v>
      </c>
      <c r="Q32" s="1" t="str" cm="1">
        <f t="array" aca="1" ref="Q32" ca="1">IF(INDIRECT(_xlfn.CONCAT("'",IF(ISNUMBER(FIND("'",$A32))=TRUE,_xlfn.CONCAT(LEFT($A32,FIND("'",$A32)-1),"''",RIGHT($A32,LEN($A32)-FIND("'",$A32))),$A32),"'!C10"))&gt;=Q$2,"d",IF(INDIRECT(_xlfn.CONCAT("'",IF(ISNUMBER(FIND("'",$A32))=TRUE,_xlfn.CONCAT(LEFT($A32,FIND("'",$A32)-1),"''",RIGHT($A32,LEN($A32)-FIND("'",$A32))),$A32),"'!C11"))&gt;=Q$2,"i",""))</f>
        <v>d</v>
      </c>
      <c r="R32" s="1" t="str" cm="1">
        <f t="array" aca="1" ref="R32" ca="1">IF(INDIRECT(_xlfn.CONCAT("'",IF(ISNUMBER(FIND("'",$A32))=TRUE,_xlfn.CONCAT(LEFT($A32,FIND("'",$A32)-1),"''",RIGHT($A32,LEN($A32)-FIND("'",$A32))),$A32),"'!C10"))&gt;=R$2,"d",IF(INDIRECT(_xlfn.CONCAT("'",IF(ISNUMBER(FIND("'",$A32))=TRUE,_xlfn.CONCAT(LEFT($A32,FIND("'",$A32)-1),"''",RIGHT($A32,LEN($A32)-FIND("'",$A32))),$A32),"'!C11"))&gt;=R$2,"i",""))</f>
        <v>d</v>
      </c>
      <c r="S32" s="1" t="str" cm="1">
        <f t="array" aca="1" ref="S32" ca="1">IF(INDIRECT(_xlfn.CONCAT("'",IF(ISNUMBER(FIND("'",$A32))=TRUE,_xlfn.CONCAT(LEFT($A32,FIND("'",$A32)-1),"''",RIGHT($A32,LEN($A32)-FIND("'",$A32))),$A32),"'!C10"))&gt;=S$2,"d",IF(INDIRECT(_xlfn.CONCAT("'",IF(ISNUMBER(FIND("'",$A32))=TRUE,_xlfn.CONCAT(LEFT($A32,FIND("'",$A32)-1),"''",RIGHT($A32,LEN($A32)-FIND("'",$A32))),$A32),"'!C11"))&gt;=S$2,"i",""))</f>
        <v>d</v>
      </c>
      <c r="T32" s="4" t="str" cm="1">
        <f t="array" aca="1" ref="T32" ca="1">IF(INDIRECT(_xlfn.CONCAT("'",IF(ISNUMBER(FIND("'",$A32))=TRUE,_xlfn.CONCAT(LEFT($A32,FIND("'",$A32)-1),"''",RIGHT($A32,LEN($A32)-FIND("'",$A32))),$A32),"'!C10"))&gt;=T$2,"d",IF(INDIRECT(_xlfn.CONCAT("'",IF(ISNUMBER(FIND("'",$A32))=TRUE,_xlfn.CONCAT(LEFT($A32,FIND("'",$A32)-1),"''",RIGHT($A32,LEN($A32)-FIND("'",$A32))),$A32),"'!C11"))&gt;=T$2,"i",""))</f>
        <v>d</v>
      </c>
    </row>
    <row r="33" spans="1:20" hidden="1" x14ac:dyDescent="0.25">
      <c r="A33" s="54" t="str">
        <v>Raven Bow</v>
      </c>
      <c r="B33" s="14" cm="1">
        <f t="array" ref="B33">_xlfn.XLOOKUP(A33,INDEX(Weapon_List,,1),INDEX(Weapon_List,,3),,0,1)</f>
        <v>3</v>
      </c>
      <c r="C33" s="4" t="str" cm="1">
        <f t="array" ref="C33">_xlfn.XLOOKUP(A33,INDEX(Weapon_List,,1),INDEX(Weapon_List,,2),,0,1)</f>
        <v>Bow</v>
      </c>
      <c r="D33" s="38" t="str" cm="1">
        <f t="array" ref="D33">_xlfn.XLOOKUP(A33,INDEX(Weapon_List,,1),INDEX(Weapon_List,,4),,0,1)</f>
        <v>Mondstadt 1</v>
      </c>
      <c r="E33" s="38" t="str" cm="1">
        <f t="array" ref="E33">_xlfn.XLOOKUP(A33,INDEX(Weapon_List,,1),INDEX(Weapon_List,,5),,0,1)</f>
        <v>Hilichurl Shooter</v>
      </c>
      <c r="F33" s="38" t="str" cm="1">
        <f t="array" ref="F33">_xlfn.XLOOKUP(A33,INDEX(Weapon_List,,1),INDEX(Weapon_List,,6),,0,1)</f>
        <v>Mitachurl</v>
      </c>
      <c r="G33" s="14" t="str" cm="1">
        <f t="array" aca="1" ref="G33" ca="1">IF(INDIRECT(_xlfn.CONCAT("'",IF(ISNUMBER(FIND("'",$A33))=TRUE,_xlfn.CONCAT(LEFT($A33,FIND("'",$A33)-1),"''",RIGHT($A33,LEN($A33)-FIND("'",$A33))),$A33),"'!B4"))&gt;=G$2,"d",IF(INDIRECT(_xlfn.CONCAT("'",IF(ISNUMBER(FIND("'",$A33))=TRUE,_xlfn.CONCAT(LEFT($A33,FIND("'",$A33)-1),"''",RIGHT($A33,LEN($A33)-FIND("'",$A33))),$A33),"'!B5"))&gt;=G$2,"i",""))</f>
        <v>d</v>
      </c>
      <c r="H33" s="1" t="str" cm="1">
        <f t="array" aca="1" ref="H33" ca="1">IF(INDIRECT(_xlfn.CONCAT("'",IF(ISNUMBER(FIND("'",$A33))=TRUE,_xlfn.CONCAT(LEFT($A33,FIND("'",$A33)-1),"''",RIGHT($A33,LEN($A33)-FIND("'",$A33))),$A33),"'!B4"))&gt;=H$2,"d",IF(INDIRECT(_xlfn.CONCAT("'",IF(ISNUMBER(FIND("'",$A33))=TRUE,_xlfn.CONCAT(LEFT($A33,FIND("'",$A33)-1),"''",RIGHT($A33,LEN($A33)-FIND("'",$A33))),$A33),"'!B5"))&gt;=H$2,"i",""))</f>
        <v>d</v>
      </c>
      <c r="I33" s="1" t="str" cm="1">
        <f t="array" aca="1" ref="I33" ca="1">IF(INDIRECT(_xlfn.CONCAT("'",IF(ISNUMBER(FIND("'",$A33))=TRUE,_xlfn.CONCAT(LEFT($A33,FIND("'",$A33)-1),"''",RIGHT($A33,LEN($A33)-FIND("'",$A33))),$A33),"'!B4"))&gt;=I$2,"d",IF(INDIRECT(_xlfn.CONCAT("'",IF(ISNUMBER(FIND("'",$A33))=TRUE,_xlfn.CONCAT(LEFT($A33,FIND("'",$A33)-1),"''",RIGHT($A33,LEN($A33)-FIND("'",$A33))),$A33),"'!B5"))&gt;=I$2,"i",""))</f>
        <v>d</v>
      </c>
      <c r="J33" s="1" t="str" cm="1">
        <f t="array" aca="1" ref="J33" ca="1">IF(INDIRECT(_xlfn.CONCAT("'",IF(ISNUMBER(FIND("'",$A33))=TRUE,_xlfn.CONCAT(LEFT($A33,FIND("'",$A33)-1),"''",RIGHT($A33,LEN($A33)-FIND("'",$A33))),$A33),"'!B4"))&gt;=J$2,"d",IF(INDIRECT(_xlfn.CONCAT("'",IF(ISNUMBER(FIND("'",$A33))=TRUE,_xlfn.CONCAT(LEFT($A33,FIND("'",$A33)-1),"''",RIGHT($A33,LEN($A33)-FIND("'",$A33))),$A33),"'!B5"))&gt;=J$2,"i",""))</f>
        <v>d</v>
      </c>
      <c r="K33" s="1" t="str" cm="1">
        <f t="array" aca="1" ref="K33" ca="1">IF(INDIRECT(_xlfn.CONCAT("'",IF(ISNUMBER(FIND("'",$A33))=TRUE,_xlfn.CONCAT(LEFT($A33,FIND("'",$A33)-1),"''",RIGHT($A33,LEN($A33)-FIND("'",$A33))),$A33),"'!B4"))&gt;=K$2,"d",IF(INDIRECT(_xlfn.CONCAT("'",IF(ISNUMBER(FIND("'",$A33))=TRUE,_xlfn.CONCAT(LEFT($A33,FIND("'",$A33)-1),"''",RIGHT($A33,LEN($A33)-FIND("'",$A33))),$A33),"'!B5"))&gt;=K$2,"i",""))</f>
        <v>d</v>
      </c>
      <c r="L33" s="1" t="str" cm="1">
        <f t="array" aca="1" ref="L33" ca="1">IF(INDIRECT(_xlfn.CONCAT("'",IF(ISNUMBER(FIND("'",$A33))=TRUE,_xlfn.CONCAT(LEFT($A33,FIND("'",$A33)-1),"''",RIGHT($A33,LEN($A33)-FIND("'",$A33))),$A33),"'!B4"))&gt;=L$2,"d",IF(INDIRECT(_xlfn.CONCAT("'",IF(ISNUMBER(FIND("'",$A33))=TRUE,_xlfn.CONCAT(LEFT($A33,FIND("'",$A33)-1),"''",RIGHT($A33,LEN($A33)-FIND("'",$A33))),$A33),"'!B5"))&gt;=L$2,"i",""))</f>
        <v>d</v>
      </c>
      <c r="M33" s="4" t="str" cm="1">
        <f t="array" aca="1" ref="M33" ca="1">IF(INDIRECT(_xlfn.CONCAT("'",IF(ISNUMBER(FIND("'",$A33))=TRUE,_xlfn.CONCAT(LEFT($A33,FIND("'",$A33)-1),"''",RIGHT($A33,LEN($A33)-FIND("'",$A33))),$A33),"'!B4"))&gt;=M$2,"d",IF(INDIRECT(_xlfn.CONCAT("'",IF(ISNUMBER(FIND("'",$A33))=TRUE,_xlfn.CONCAT(LEFT($A33,FIND("'",$A33)-1),"''",RIGHT($A33,LEN($A33)-FIND("'",$A33))),$A33),"'!B5"))&gt;=M$2,"i",""))</f>
        <v>d</v>
      </c>
      <c r="N33" s="95"/>
      <c r="O33" s="14" t="str" cm="1">
        <f t="array" aca="1" ref="O33" ca="1">IF(INDIRECT(_xlfn.CONCAT("'",IF(ISNUMBER(FIND("'",$A33))=TRUE,_xlfn.CONCAT(LEFT($A33,FIND("'",$A33)-1),"''",RIGHT($A33,LEN($A33)-FIND("'",$A33))),$A33),"'!C10"))&gt;=O$2,"d",IF(INDIRECT(_xlfn.CONCAT("'",IF(ISNUMBER(FIND("'",$A33))=TRUE,_xlfn.CONCAT(LEFT($A33,FIND("'",$A33)-1),"''",RIGHT($A33,LEN($A33)-FIND("'",$A33))),$A33),"'!C11"))&gt;=O$2,"i",""))</f>
        <v>d</v>
      </c>
      <c r="P33" s="1" t="str" cm="1">
        <f t="array" aca="1" ref="P33" ca="1">IF(INDIRECT(_xlfn.CONCAT("'",IF(ISNUMBER(FIND("'",$A33))=TRUE,_xlfn.CONCAT(LEFT($A33,FIND("'",$A33)-1),"''",RIGHT($A33,LEN($A33)-FIND("'",$A33))),$A33),"'!C10"))&gt;=P$2,"d",IF(INDIRECT(_xlfn.CONCAT("'",IF(ISNUMBER(FIND("'",$A33))=TRUE,_xlfn.CONCAT(LEFT($A33,FIND("'",$A33)-1),"''",RIGHT($A33,LEN($A33)-FIND("'",$A33))),$A33),"'!C11"))&gt;=P$2,"i",""))</f>
        <v>d</v>
      </c>
      <c r="Q33" s="1" t="str" cm="1">
        <f t="array" aca="1" ref="Q33" ca="1">IF(INDIRECT(_xlfn.CONCAT("'",IF(ISNUMBER(FIND("'",$A33))=TRUE,_xlfn.CONCAT(LEFT($A33,FIND("'",$A33)-1),"''",RIGHT($A33,LEN($A33)-FIND("'",$A33))),$A33),"'!C10"))&gt;=Q$2,"d",IF(INDIRECT(_xlfn.CONCAT("'",IF(ISNUMBER(FIND("'",$A33))=TRUE,_xlfn.CONCAT(LEFT($A33,FIND("'",$A33)-1),"''",RIGHT($A33,LEN($A33)-FIND("'",$A33))),$A33),"'!C11"))&gt;=Q$2,"i",""))</f>
        <v>d</v>
      </c>
      <c r="R33" s="1" t="str" cm="1">
        <f t="array" aca="1" ref="R33" ca="1">IF(INDIRECT(_xlfn.CONCAT("'",IF(ISNUMBER(FIND("'",$A33))=TRUE,_xlfn.CONCAT(LEFT($A33,FIND("'",$A33)-1),"''",RIGHT($A33,LEN($A33)-FIND("'",$A33))),$A33),"'!C10"))&gt;=R$2,"d",IF(INDIRECT(_xlfn.CONCAT("'",IF(ISNUMBER(FIND("'",$A33))=TRUE,_xlfn.CONCAT(LEFT($A33,FIND("'",$A33)-1),"''",RIGHT($A33,LEN($A33)-FIND("'",$A33))),$A33),"'!C11"))&gt;=R$2,"i",""))</f>
        <v>d</v>
      </c>
      <c r="S33" s="1" t="str" cm="1">
        <f t="array" aca="1" ref="S33" ca="1">IF(INDIRECT(_xlfn.CONCAT("'",IF(ISNUMBER(FIND("'",$A33))=TRUE,_xlfn.CONCAT(LEFT($A33,FIND("'",$A33)-1),"''",RIGHT($A33,LEN($A33)-FIND("'",$A33))),$A33),"'!C10"))&gt;=S$2,"d",IF(INDIRECT(_xlfn.CONCAT("'",IF(ISNUMBER(FIND("'",$A33))=TRUE,_xlfn.CONCAT(LEFT($A33,FIND("'",$A33)-1),"''",RIGHT($A33,LEN($A33)-FIND("'",$A33))),$A33),"'!C11"))&gt;=S$2,"i",""))</f>
        <v>d</v>
      </c>
      <c r="T33" s="4" t="str" cm="1">
        <f t="array" aca="1" ref="T33" ca="1">IF(INDIRECT(_xlfn.CONCAT("'",IF(ISNUMBER(FIND("'",$A33))=TRUE,_xlfn.CONCAT(LEFT($A33,FIND("'",$A33)-1),"''",RIGHT($A33,LEN($A33)-FIND("'",$A33))),$A33),"'!C10"))&gt;=T$2,"d",IF(INDIRECT(_xlfn.CONCAT("'",IF(ISNUMBER(FIND("'",$A33))=TRUE,_xlfn.CONCAT(LEFT($A33,FIND("'",$A33)-1),"''",RIGHT($A33,LEN($A33)-FIND("'",$A33))),$A33),"'!C11"))&gt;=T$2,"i",""))</f>
        <v>d</v>
      </c>
    </row>
    <row r="34" spans="1:20" hidden="1" x14ac:dyDescent="0.25">
      <c r="A34" s="54" t="str">
        <v>Recurve Bow</v>
      </c>
      <c r="B34" s="14" cm="1">
        <f t="array" ref="B34">_xlfn.XLOOKUP(A34,INDEX(Weapon_List,,1),INDEX(Weapon_List,,3),,0,1)</f>
        <v>3</v>
      </c>
      <c r="C34" s="4" t="str" cm="1">
        <f t="array" ref="C34">_xlfn.XLOOKUP(A34,INDEX(Weapon_List,,1),INDEX(Weapon_List,,2),,0,1)</f>
        <v>Bow</v>
      </c>
      <c r="D34" s="38" t="str" cm="1">
        <f t="array" ref="D34">_xlfn.XLOOKUP(A34,INDEX(Weapon_List,,1),INDEX(Weapon_List,,4),,0,1)</f>
        <v>Mondstadt 3</v>
      </c>
      <c r="E34" s="38" t="str" cm="1">
        <f t="array" ref="E34">_xlfn.XLOOKUP(A34,INDEX(Weapon_List,,1),INDEX(Weapon_List,,5),,0,1)</f>
        <v>Samachurl</v>
      </c>
      <c r="F34" s="38" t="str" cm="1">
        <f t="array" ref="F34">_xlfn.XLOOKUP(A34,INDEX(Weapon_List,,1),INDEX(Weapon_List,,6),,0,1)</f>
        <v>Ruin Machine 1</v>
      </c>
      <c r="G34" s="14" t="str" cm="1">
        <f t="array" aca="1" ref="G34" ca="1">IF(INDIRECT(_xlfn.CONCAT("'",IF(ISNUMBER(FIND("'",$A34))=TRUE,_xlfn.CONCAT(LEFT($A34,FIND("'",$A34)-1),"''",RIGHT($A34,LEN($A34)-FIND("'",$A34))),$A34),"'!B4"))&gt;=G$2,"d",IF(INDIRECT(_xlfn.CONCAT("'",IF(ISNUMBER(FIND("'",$A34))=TRUE,_xlfn.CONCAT(LEFT($A34,FIND("'",$A34)-1),"''",RIGHT($A34,LEN($A34)-FIND("'",$A34))),$A34),"'!B5"))&gt;=G$2,"i",""))</f>
        <v>d</v>
      </c>
      <c r="H34" s="1" t="str" cm="1">
        <f t="array" aca="1" ref="H34" ca="1">IF(INDIRECT(_xlfn.CONCAT("'",IF(ISNUMBER(FIND("'",$A34))=TRUE,_xlfn.CONCAT(LEFT($A34,FIND("'",$A34)-1),"''",RIGHT($A34,LEN($A34)-FIND("'",$A34))),$A34),"'!B4"))&gt;=H$2,"d",IF(INDIRECT(_xlfn.CONCAT("'",IF(ISNUMBER(FIND("'",$A34))=TRUE,_xlfn.CONCAT(LEFT($A34,FIND("'",$A34)-1),"''",RIGHT($A34,LEN($A34)-FIND("'",$A34))),$A34),"'!B5"))&gt;=H$2,"i",""))</f>
        <v>d</v>
      </c>
      <c r="I34" s="1" t="str" cm="1">
        <f t="array" aca="1" ref="I34" ca="1">IF(INDIRECT(_xlfn.CONCAT("'",IF(ISNUMBER(FIND("'",$A34))=TRUE,_xlfn.CONCAT(LEFT($A34,FIND("'",$A34)-1),"''",RIGHT($A34,LEN($A34)-FIND("'",$A34))),$A34),"'!B4"))&gt;=I$2,"d",IF(INDIRECT(_xlfn.CONCAT("'",IF(ISNUMBER(FIND("'",$A34))=TRUE,_xlfn.CONCAT(LEFT($A34,FIND("'",$A34)-1),"''",RIGHT($A34,LEN($A34)-FIND("'",$A34))),$A34),"'!B5"))&gt;=I$2,"i",""))</f>
        <v>d</v>
      </c>
      <c r="J34" s="1" t="str" cm="1">
        <f t="array" aca="1" ref="J34" ca="1">IF(INDIRECT(_xlfn.CONCAT("'",IF(ISNUMBER(FIND("'",$A34))=TRUE,_xlfn.CONCAT(LEFT($A34,FIND("'",$A34)-1),"''",RIGHT($A34,LEN($A34)-FIND("'",$A34))),$A34),"'!B4"))&gt;=J$2,"d",IF(INDIRECT(_xlfn.CONCAT("'",IF(ISNUMBER(FIND("'",$A34))=TRUE,_xlfn.CONCAT(LEFT($A34,FIND("'",$A34)-1),"''",RIGHT($A34,LEN($A34)-FIND("'",$A34))),$A34),"'!B5"))&gt;=J$2,"i",""))</f>
        <v>d</v>
      </c>
      <c r="K34" s="1" t="str" cm="1">
        <f t="array" aca="1" ref="K34" ca="1">IF(INDIRECT(_xlfn.CONCAT("'",IF(ISNUMBER(FIND("'",$A34))=TRUE,_xlfn.CONCAT(LEFT($A34,FIND("'",$A34)-1),"''",RIGHT($A34,LEN($A34)-FIND("'",$A34))),$A34),"'!B4"))&gt;=K$2,"d",IF(INDIRECT(_xlfn.CONCAT("'",IF(ISNUMBER(FIND("'",$A34))=TRUE,_xlfn.CONCAT(LEFT($A34,FIND("'",$A34)-1),"''",RIGHT($A34,LEN($A34)-FIND("'",$A34))),$A34),"'!B5"))&gt;=K$2,"i",""))</f>
        <v>d</v>
      </c>
      <c r="L34" s="1" t="str" cm="1">
        <f t="array" aca="1" ref="L34" ca="1">IF(INDIRECT(_xlfn.CONCAT("'",IF(ISNUMBER(FIND("'",$A34))=TRUE,_xlfn.CONCAT(LEFT($A34,FIND("'",$A34)-1),"''",RIGHT($A34,LEN($A34)-FIND("'",$A34))),$A34),"'!B4"))&gt;=L$2,"d",IF(INDIRECT(_xlfn.CONCAT("'",IF(ISNUMBER(FIND("'",$A34))=TRUE,_xlfn.CONCAT(LEFT($A34,FIND("'",$A34)-1),"''",RIGHT($A34,LEN($A34)-FIND("'",$A34))),$A34),"'!B5"))&gt;=L$2,"i",""))</f>
        <v>d</v>
      </c>
      <c r="M34" s="4" t="str" cm="1">
        <f t="array" aca="1" ref="M34" ca="1">IF(INDIRECT(_xlfn.CONCAT("'",IF(ISNUMBER(FIND("'",$A34))=TRUE,_xlfn.CONCAT(LEFT($A34,FIND("'",$A34)-1),"''",RIGHT($A34,LEN($A34)-FIND("'",$A34))),$A34),"'!B4"))&gt;=M$2,"d",IF(INDIRECT(_xlfn.CONCAT("'",IF(ISNUMBER(FIND("'",$A34))=TRUE,_xlfn.CONCAT(LEFT($A34,FIND("'",$A34)-1),"''",RIGHT($A34,LEN($A34)-FIND("'",$A34))),$A34),"'!B5"))&gt;=M$2,"i",""))</f>
        <v>d</v>
      </c>
      <c r="N34" s="95"/>
      <c r="O34" s="14" t="str" cm="1">
        <f t="array" aca="1" ref="O34" ca="1">IF(INDIRECT(_xlfn.CONCAT("'",IF(ISNUMBER(FIND("'",$A34))=TRUE,_xlfn.CONCAT(LEFT($A34,FIND("'",$A34)-1),"''",RIGHT($A34,LEN($A34)-FIND("'",$A34))),$A34),"'!C10"))&gt;=O$2,"d",IF(INDIRECT(_xlfn.CONCAT("'",IF(ISNUMBER(FIND("'",$A34))=TRUE,_xlfn.CONCAT(LEFT($A34,FIND("'",$A34)-1),"''",RIGHT($A34,LEN($A34)-FIND("'",$A34))),$A34),"'!C11"))&gt;=O$2,"i",""))</f>
        <v>d</v>
      </c>
      <c r="P34" s="1" t="str" cm="1">
        <f t="array" aca="1" ref="P34" ca="1">IF(INDIRECT(_xlfn.CONCAT("'",IF(ISNUMBER(FIND("'",$A34))=TRUE,_xlfn.CONCAT(LEFT($A34,FIND("'",$A34)-1),"''",RIGHT($A34,LEN($A34)-FIND("'",$A34))),$A34),"'!C10"))&gt;=P$2,"d",IF(INDIRECT(_xlfn.CONCAT("'",IF(ISNUMBER(FIND("'",$A34))=TRUE,_xlfn.CONCAT(LEFT($A34,FIND("'",$A34)-1),"''",RIGHT($A34,LEN($A34)-FIND("'",$A34))),$A34),"'!C11"))&gt;=P$2,"i",""))</f>
        <v>d</v>
      </c>
      <c r="Q34" s="1" t="str" cm="1">
        <f t="array" aca="1" ref="Q34" ca="1">IF(INDIRECT(_xlfn.CONCAT("'",IF(ISNUMBER(FIND("'",$A34))=TRUE,_xlfn.CONCAT(LEFT($A34,FIND("'",$A34)-1),"''",RIGHT($A34,LEN($A34)-FIND("'",$A34))),$A34),"'!C10"))&gt;=Q$2,"d",IF(INDIRECT(_xlfn.CONCAT("'",IF(ISNUMBER(FIND("'",$A34))=TRUE,_xlfn.CONCAT(LEFT($A34,FIND("'",$A34)-1),"''",RIGHT($A34,LEN($A34)-FIND("'",$A34))),$A34),"'!C11"))&gt;=Q$2,"i",""))</f>
        <v>d</v>
      </c>
      <c r="R34" s="1" t="str" cm="1">
        <f t="array" aca="1" ref="R34" ca="1">IF(INDIRECT(_xlfn.CONCAT("'",IF(ISNUMBER(FIND("'",$A34))=TRUE,_xlfn.CONCAT(LEFT($A34,FIND("'",$A34)-1),"''",RIGHT($A34,LEN($A34)-FIND("'",$A34))),$A34),"'!C10"))&gt;=R$2,"d",IF(INDIRECT(_xlfn.CONCAT("'",IF(ISNUMBER(FIND("'",$A34))=TRUE,_xlfn.CONCAT(LEFT($A34,FIND("'",$A34)-1),"''",RIGHT($A34,LEN($A34)-FIND("'",$A34))),$A34),"'!C11"))&gt;=R$2,"i",""))</f>
        <v>d</v>
      </c>
      <c r="S34" s="1" t="str" cm="1">
        <f t="array" aca="1" ref="S34" ca="1">IF(INDIRECT(_xlfn.CONCAT("'",IF(ISNUMBER(FIND("'",$A34))=TRUE,_xlfn.CONCAT(LEFT($A34,FIND("'",$A34)-1),"''",RIGHT($A34,LEN($A34)-FIND("'",$A34))),$A34),"'!C10"))&gt;=S$2,"d",IF(INDIRECT(_xlfn.CONCAT("'",IF(ISNUMBER(FIND("'",$A34))=TRUE,_xlfn.CONCAT(LEFT($A34,FIND("'",$A34)-1),"''",RIGHT($A34,LEN($A34)-FIND("'",$A34))),$A34),"'!C11"))&gt;=S$2,"i",""))</f>
        <v>d</v>
      </c>
      <c r="T34" s="4" t="str" cm="1">
        <f t="array" aca="1" ref="T34" ca="1">IF(INDIRECT(_xlfn.CONCAT("'",IF(ISNUMBER(FIND("'",$A34))=TRUE,_xlfn.CONCAT(LEFT($A34,FIND("'",$A34)-1),"''",RIGHT($A34,LEN($A34)-FIND("'",$A34))),$A34),"'!C10"))&gt;=T$2,"d",IF(INDIRECT(_xlfn.CONCAT("'",IF(ISNUMBER(FIND("'",$A34))=TRUE,_xlfn.CONCAT(LEFT($A34,FIND("'",$A34)-1),"''",RIGHT($A34,LEN($A34)-FIND("'",$A34))),$A34),"'!C11"))&gt;=T$2,"i",""))</f>
        <v>d</v>
      </c>
    </row>
    <row r="35" spans="1:20" hidden="1" x14ac:dyDescent="0.25">
      <c r="A35" s="54" t="str">
        <v>Sharpshooter's Oath</v>
      </c>
      <c r="B35" s="14" cm="1">
        <f t="array" ref="B35">_xlfn.XLOOKUP(A35,INDEX(Weapon_List,,1),INDEX(Weapon_List,,3),,0,1)</f>
        <v>3</v>
      </c>
      <c r="C35" s="4" t="str" cm="1">
        <f t="array" ref="C35">_xlfn.XLOOKUP(A35,INDEX(Weapon_List,,1),INDEX(Weapon_List,,2),,0,1)</f>
        <v>Bow</v>
      </c>
      <c r="D35" s="38" t="str" cm="1">
        <f t="array" ref="D35">_xlfn.XLOOKUP(A35,INDEX(Weapon_List,,1),INDEX(Weapon_List,,4),,0,1)</f>
        <v>Mondstadt 2</v>
      </c>
      <c r="E35" s="38" t="str" cm="1">
        <f t="array" ref="E35">_xlfn.XLOOKUP(A35,INDEX(Weapon_List,,1),INDEX(Weapon_List,,5),,0,1)</f>
        <v>Slime</v>
      </c>
      <c r="F35" s="38" t="str" cm="1">
        <f t="array" ref="F35">_xlfn.XLOOKUP(A35,INDEX(Weapon_List,,1),INDEX(Weapon_List,,6),,0,1)</f>
        <v>Abyss Mage</v>
      </c>
      <c r="G35" s="14" t="str" cm="1">
        <f t="array" aca="1" ref="G35" ca="1">IF(INDIRECT(_xlfn.CONCAT("'",IF(ISNUMBER(FIND("'",$A35))=TRUE,_xlfn.CONCAT(LEFT($A35,FIND("'",$A35)-1),"''",RIGHT($A35,LEN($A35)-FIND("'",$A35))),$A35),"'!B4"))&gt;=G$2,"d",IF(INDIRECT(_xlfn.CONCAT("'",IF(ISNUMBER(FIND("'",$A35))=TRUE,_xlfn.CONCAT(LEFT($A35,FIND("'",$A35)-1),"''",RIGHT($A35,LEN($A35)-FIND("'",$A35))),$A35),"'!B5"))&gt;=G$2,"i",""))</f>
        <v>d</v>
      </c>
      <c r="H35" s="1" t="str" cm="1">
        <f t="array" aca="1" ref="H35" ca="1">IF(INDIRECT(_xlfn.CONCAT("'",IF(ISNUMBER(FIND("'",$A35))=TRUE,_xlfn.CONCAT(LEFT($A35,FIND("'",$A35)-1),"''",RIGHT($A35,LEN($A35)-FIND("'",$A35))),$A35),"'!B4"))&gt;=H$2,"d",IF(INDIRECT(_xlfn.CONCAT("'",IF(ISNUMBER(FIND("'",$A35))=TRUE,_xlfn.CONCAT(LEFT($A35,FIND("'",$A35)-1),"''",RIGHT($A35,LEN($A35)-FIND("'",$A35))),$A35),"'!B5"))&gt;=H$2,"i",""))</f>
        <v>d</v>
      </c>
      <c r="I35" s="1" t="str" cm="1">
        <f t="array" aca="1" ref="I35" ca="1">IF(INDIRECT(_xlfn.CONCAT("'",IF(ISNUMBER(FIND("'",$A35))=TRUE,_xlfn.CONCAT(LEFT($A35,FIND("'",$A35)-1),"''",RIGHT($A35,LEN($A35)-FIND("'",$A35))),$A35),"'!B4"))&gt;=I$2,"d",IF(INDIRECT(_xlfn.CONCAT("'",IF(ISNUMBER(FIND("'",$A35))=TRUE,_xlfn.CONCAT(LEFT($A35,FIND("'",$A35)-1),"''",RIGHT($A35,LEN($A35)-FIND("'",$A35))),$A35),"'!B5"))&gt;=I$2,"i",""))</f>
        <v>d</v>
      </c>
      <c r="J35" s="1" t="str" cm="1">
        <f t="array" aca="1" ref="J35" ca="1">IF(INDIRECT(_xlfn.CONCAT("'",IF(ISNUMBER(FIND("'",$A35))=TRUE,_xlfn.CONCAT(LEFT($A35,FIND("'",$A35)-1),"''",RIGHT($A35,LEN($A35)-FIND("'",$A35))),$A35),"'!B4"))&gt;=J$2,"d",IF(INDIRECT(_xlfn.CONCAT("'",IF(ISNUMBER(FIND("'",$A35))=TRUE,_xlfn.CONCAT(LEFT($A35,FIND("'",$A35)-1),"''",RIGHT($A35,LEN($A35)-FIND("'",$A35))),$A35),"'!B5"))&gt;=J$2,"i",""))</f>
        <v>d</v>
      </c>
      <c r="K35" s="1" t="str" cm="1">
        <f t="array" aca="1" ref="K35" ca="1">IF(INDIRECT(_xlfn.CONCAT("'",IF(ISNUMBER(FIND("'",$A35))=TRUE,_xlfn.CONCAT(LEFT($A35,FIND("'",$A35)-1),"''",RIGHT($A35,LEN($A35)-FIND("'",$A35))),$A35),"'!B4"))&gt;=K$2,"d",IF(INDIRECT(_xlfn.CONCAT("'",IF(ISNUMBER(FIND("'",$A35))=TRUE,_xlfn.CONCAT(LEFT($A35,FIND("'",$A35)-1),"''",RIGHT($A35,LEN($A35)-FIND("'",$A35))),$A35),"'!B5"))&gt;=K$2,"i",""))</f>
        <v>d</v>
      </c>
      <c r="L35" s="1" t="str" cm="1">
        <f t="array" aca="1" ref="L35" ca="1">IF(INDIRECT(_xlfn.CONCAT("'",IF(ISNUMBER(FIND("'",$A35))=TRUE,_xlfn.CONCAT(LEFT($A35,FIND("'",$A35)-1),"''",RIGHT($A35,LEN($A35)-FIND("'",$A35))),$A35),"'!B4"))&gt;=L$2,"d",IF(INDIRECT(_xlfn.CONCAT("'",IF(ISNUMBER(FIND("'",$A35))=TRUE,_xlfn.CONCAT(LEFT($A35,FIND("'",$A35)-1),"''",RIGHT($A35,LEN($A35)-FIND("'",$A35))),$A35),"'!B5"))&gt;=L$2,"i",""))</f>
        <v>d</v>
      </c>
      <c r="M35" s="4" t="str" cm="1">
        <f t="array" aca="1" ref="M35" ca="1">IF(INDIRECT(_xlfn.CONCAT("'",IF(ISNUMBER(FIND("'",$A35))=TRUE,_xlfn.CONCAT(LEFT($A35,FIND("'",$A35)-1),"''",RIGHT($A35,LEN($A35)-FIND("'",$A35))),$A35),"'!B4"))&gt;=M$2,"d",IF(INDIRECT(_xlfn.CONCAT("'",IF(ISNUMBER(FIND("'",$A35))=TRUE,_xlfn.CONCAT(LEFT($A35,FIND("'",$A35)-1),"''",RIGHT($A35,LEN($A35)-FIND("'",$A35))),$A35),"'!B5"))&gt;=M$2,"i",""))</f>
        <v>d</v>
      </c>
      <c r="N35" s="95"/>
      <c r="O35" s="14" t="str" cm="1">
        <f t="array" aca="1" ref="O35" ca="1">IF(INDIRECT(_xlfn.CONCAT("'",IF(ISNUMBER(FIND("'",$A35))=TRUE,_xlfn.CONCAT(LEFT($A35,FIND("'",$A35)-1),"''",RIGHT($A35,LEN($A35)-FIND("'",$A35))),$A35),"'!C10"))&gt;=O$2,"d",IF(INDIRECT(_xlfn.CONCAT("'",IF(ISNUMBER(FIND("'",$A35))=TRUE,_xlfn.CONCAT(LEFT($A35,FIND("'",$A35)-1),"''",RIGHT($A35,LEN($A35)-FIND("'",$A35))),$A35),"'!C11"))&gt;=O$2,"i",""))</f>
        <v>d</v>
      </c>
      <c r="P35" s="1" t="str" cm="1">
        <f t="array" aca="1" ref="P35" ca="1">IF(INDIRECT(_xlfn.CONCAT("'",IF(ISNUMBER(FIND("'",$A35))=TRUE,_xlfn.CONCAT(LEFT($A35,FIND("'",$A35)-1),"''",RIGHT($A35,LEN($A35)-FIND("'",$A35))),$A35),"'!C10"))&gt;=P$2,"d",IF(INDIRECT(_xlfn.CONCAT("'",IF(ISNUMBER(FIND("'",$A35))=TRUE,_xlfn.CONCAT(LEFT($A35,FIND("'",$A35)-1),"''",RIGHT($A35,LEN($A35)-FIND("'",$A35))),$A35),"'!C11"))&gt;=P$2,"i",""))</f>
        <v>d</v>
      </c>
      <c r="Q35" s="1" t="str" cm="1">
        <f t="array" aca="1" ref="Q35" ca="1">IF(INDIRECT(_xlfn.CONCAT("'",IF(ISNUMBER(FIND("'",$A35))=TRUE,_xlfn.CONCAT(LEFT($A35,FIND("'",$A35)-1),"''",RIGHT($A35,LEN($A35)-FIND("'",$A35))),$A35),"'!C10"))&gt;=Q$2,"d",IF(INDIRECT(_xlfn.CONCAT("'",IF(ISNUMBER(FIND("'",$A35))=TRUE,_xlfn.CONCAT(LEFT($A35,FIND("'",$A35)-1),"''",RIGHT($A35,LEN($A35)-FIND("'",$A35))),$A35),"'!C11"))&gt;=Q$2,"i",""))</f>
        <v>d</v>
      </c>
      <c r="R35" s="1" t="str" cm="1">
        <f t="array" aca="1" ref="R35" ca="1">IF(INDIRECT(_xlfn.CONCAT("'",IF(ISNUMBER(FIND("'",$A35))=TRUE,_xlfn.CONCAT(LEFT($A35,FIND("'",$A35)-1),"''",RIGHT($A35,LEN($A35)-FIND("'",$A35))),$A35),"'!C10"))&gt;=R$2,"d",IF(INDIRECT(_xlfn.CONCAT("'",IF(ISNUMBER(FIND("'",$A35))=TRUE,_xlfn.CONCAT(LEFT($A35,FIND("'",$A35)-1),"''",RIGHT($A35,LEN($A35)-FIND("'",$A35))),$A35),"'!C11"))&gt;=R$2,"i",""))</f>
        <v>d</v>
      </c>
      <c r="S35" s="1" t="str" cm="1">
        <f t="array" aca="1" ref="S35" ca="1">IF(INDIRECT(_xlfn.CONCAT("'",IF(ISNUMBER(FIND("'",$A35))=TRUE,_xlfn.CONCAT(LEFT($A35,FIND("'",$A35)-1),"''",RIGHT($A35,LEN($A35)-FIND("'",$A35))),$A35),"'!C10"))&gt;=S$2,"d",IF(INDIRECT(_xlfn.CONCAT("'",IF(ISNUMBER(FIND("'",$A35))=TRUE,_xlfn.CONCAT(LEFT($A35,FIND("'",$A35)-1),"''",RIGHT($A35,LEN($A35)-FIND("'",$A35))),$A35),"'!C11"))&gt;=S$2,"i",""))</f>
        <v>d</v>
      </c>
      <c r="T35" s="4" t="str" cm="1">
        <f t="array" aca="1" ref="T35" ca="1">IF(INDIRECT(_xlfn.CONCAT("'",IF(ISNUMBER(FIND("'",$A35))=TRUE,_xlfn.CONCAT(LEFT($A35,FIND("'",$A35)-1),"''",RIGHT($A35,LEN($A35)-FIND("'",$A35))),$A35),"'!C10"))&gt;=T$2,"d",IF(INDIRECT(_xlfn.CONCAT("'",IF(ISNUMBER(FIND("'",$A35))=TRUE,_xlfn.CONCAT(LEFT($A35,FIND("'",$A35)-1),"''",RIGHT($A35,LEN($A35)-FIND("'",$A35))),$A35),"'!C11"))&gt;=T$2,"i",""))</f>
        <v>d</v>
      </c>
    </row>
    <row r="36" spans="1:20" hidden="1" x14ac:dyDescent="0.25">
      <c r="A36" s="54" t="str">
        <v>Slingshot</v>
      </c>
      <c r="B36" s="14" cm="1">
        <f t="array" ref="B36">_xlfn.XLOOKUP(A36,INDEX(Weapon_List,,1),INDEX(Weapon_List,,3),,0,1)</f>
        <v>3</v>
      </c>
      <c r="C36" s="4" t="str" cm="1">
        <f t="array" ref="C36">_xlfn.XLOOKUP(A36,INDEX(Weapon_List,,1),INDEX(Weapon_List,,2),,0,1)</f>
        <v>Bow</v>
      </c>
      <c r="D36" s="38" t="str" cm="1">
        <f t="array" ref="D36">_xlfn.XLOOKUP(A36,INDEX(Weapon_List,,1),INDEX(Weapon_List,,4),,0,1)</f>
        <v>Liyue 1</v>
      </c>
      <c r="E36" s="38" t="str" cm="1">
        <f t="array" ref="E36">_xlfn.XLOOKUP(A36,INDEX(Weapon_List,,1),INDEX(Weapon_List,,5),,0,1)</f>
        <v>Hilichurl</v>
      </c>
      <c r="F36" s="38" t="str" cm="1">
        <f t="array" ref="F36">_xlfn.XLOOKUP(A36,INDEX(Weapon_List,,1),INDEX(Weapon_List,,6),,0,1)</f>
        <v>Fatui Agent</v>
      </c>
      <c r="G36" s="14" t="str" cm="1">
        <f t="array" aca="1" ref="G36" ca="1">IF(INDIRECT(_xlfn.CONCAT("'",IF(ISNUMBER(FIND("'",$A36))=TRUE,_xlfn.CONCAT(LEFT($A36,FIND("'",$A36)-1),"''",RIGHT($A36,LEN($A36)-FIND("'",$A36))),$A36),"'!B4"))&gt;=G$2,"d",IF(INDIRECT(_xlfn.CONCAT("'",IF(ISNUMBER(FIND("'",$A36))=TRUE,_xlfn.CONCAT(LEFT($A36,FIND("'",$A36)-1),"''",RIGHT($A36,LEN($A36)-FIND("'",$A36))),$A36),"'!B5"))&gt;=G$2,"i",""))</f>
        <v>d</v>
      </c>
      <c r="H36" s="1" t="str" cm="1">
        <f t="array" aca="1" ref="H36" ca="1">IF(INDIRECT(_xlfn.CONCAT("'",IF(ISNUMBER(FIND("'",$A36))=TRUE,_xlfn.CONCAT(LEFT($A36,FIND("'",$A36)-1),"''",RIGHT($A36,LEN($A36)-FIND("'",$A36))),$A36),"'!B4"))&gt;=H$2,"d",IF(INDIRECT(_xlfn.CONCAT("'",IF(ISNUMBER(FIND("'",$A36))=TRUE,_xlfn.CONCAT(LEFT($A36,FIND("'",$A36)-1),"''",RIGHT($A36,LEN($A36)-FIND("'",$A36))),$A36),"'!B5"))&gt;=H$2,"i",""))</f>
        <v>d</v>
      </c>
      <c r="I36" s="1" t="str" cm="1">
        <f t="array" aca="1" ref="I36" ca="1">IF(INDIRECT(_xlfn.CONCAT("'",IF(ISNUMBER(FIND("'",$A36))=TRUE,_xlfn.CONCAT(LEFT($A36,FIND("'",$A36)-1),"''",RIGHT($A36,LEN($A36)-FIND("'",$A36))),$A36),"'!B4"))&gt;=I$2,"d",IF(INDIRECT(_xlfn.CONCAT("'",IF(ISNUMBER(FIND("'",$A36))=TRUE,_xlfn.CONCAT(LEFT($A36,FIND("'",$A36)-1),"''",RIGHT($A36,LEN($A36)-FIND("'",$A36))),$A36),"'!B5"))&gt;=I$2,"i",""))</f>
        <v>d</v>
      </c>
      <c r="J36" s="1" t="str" cm="1">
        <f t="array" aca="1" ref="J36" ca="1">IF(INDIRECT(_xlfn.CONCAT("'",IF(ISNUMBER(FIND("'",$A36))=TRUE,_xlfn.CONCAT(LEFT($A36,FIND("'",$A36)-1),"''",RIGHT($A36,LEN($A36)-FIND("'",$A36))),$A36),"'!B4"))&gt;=J$2,"d",IF(INDIRECT(_xlfn.CONCAT("'",IF(ISNUMBER(FIND("'",$A36))=TRUE,_xlfn.CONCAT(LEFT($A36,FIND("'",$A36)-1),"''",RIGHT($A36,LEN($A36)-FIND("'",$A36))),$A36),"'!B5"))&gt;=J$2,"i",""))</f>
        <v>d</v>
      </c>
      <c r="K36" s="1" t="str" cm="1">
        <f t="array" aca="1" ref="K36" ca="1">IF(INDIRECT(_xlfn.CONCAT("'",IF(ISNUMBER(FIND("'",$A36))=TRUE,_xlfn.CONCAT(LEFT($A36,FIND("'",$A36)-1),"''",RIGHT($A36,LEN($A36)-FIND("'",$A36))),$A36),"'!B4"))&gt;=K$2,"d",IF(INDIRECT(_xlfn.CONCAT("'",IF(ISNUMBER(FIND("'",$A36))=TRUE,_xlfn.CONCAT(LEFT($A36,FIND("'",$A36)-1),"''",RIGHT($A36,LEN($A36)-FIND("'",$A36))),$A36),"'!B5"))&gt;=K$2,"i",""))</f>
        <v>d</v>
      </c>
      <c r="L36" s="1" t="str" cm="1">
        <f t="array" aca="1" ref="L36" ca="1">IF(INDIRECT(_xlfn.CONCAT("'",IF(ISNUMBER(FIND("'",$A36))=TRUE,_xlfn.CONCAT(LEFT($A36,FIND("'",$A36)-1),"''",RIGHT($A36,LEN($A36)-FIND("'",$A36))),$A36),"'!B4"))&gt;=L$2,"d",IF(INDIRECT(_xlfn.CONCAT("'",IF(ISNUMBER(FIND("'",$A36))=TRUE,_xlfn.CONCAT(LEFT($A36,FIND("'",$A36)-1),"''",RIGHT($A36,LEN($A36)-FIND("'",$A36))),$A36),"'!B5"))&gt;=L$2,"i",""))</f>
        <v>d</v>
      </c>
      <c r="M36" s="4" t="str" cm="1">
        <f t="array" aca="1" ref="M36" ca="1">IF(INDIRECT(_xlfn.CONCAT("'",IF(ISNUMBER(FIND("'",$A36))=TRUE,_xlfn.CONCAT(LEFT($A36,FIND("'",$A36)-1),"''",RIGHT($A36,LEN($A36)-FIND("'",$A36))),$A36),"'!B4"))&gt;=M$2,"d",IF(INDIRECT(_xlfn.CONCAT("'",IF(ISNUMBER(FIND("'",$A36))=TRUE,_xlfn.CONCAT(LEFT($A36,FIND("'",$A36)-1),"''",RIGHT($A36,LEN($A36)-FIND("'",$A36))),$A36),"'!B5"))&gt;=M$2,"i",""))</f>
        <v>d</v>
      </c>
      <c r="N36" s="95"/>
      <c r="O36" s="14" t="str" cm="1">
        <f t="array" aca="1" ref="O36" ca="1">IF(INDIRECT(_xlfn.CONCAT("'",IF(ISNUMBER(FIND("'",$A36))=TRUE,_xlfn.CONCAT(LEFT($A36,FIND("'",$A36)-1),"''",RIGHT($A36,LEN($A36)-FIND("'",$A36))),$A36),"'!C10"))&gt;=O$2,"d",IF(INDIRECT(_xlfn.CONCAT("'",IF(ISNUMBER(FIND("'",$A36))=TRUE,_xlfn.CONCAT(LEFT($A36,FIND("'",$A36)-1),"''",RIGHT($A36,LEN($A36)-FIND("'",$A36))),$A36),"'!C11"))&gt;=O$2,"i",""))</f>
        <v>d</v>
      </c>
      <c r="P36" s="1" t="str" cm="1">
        <f t="array" aca="1" ref="P36" ca="1">IF(INDIRECT(_xlfn.CONCAT("'",IF(ISNUMBER(FIND("'",$A36))=TRUE,_xlfn.CONCAT(LEFT($A36,FIND("'",$A36)-1),"''",RIGHT($A36,LEN($A36)-FIND("'",$A36))),$A36),"'!C10"))&gt;=P$2,"d",IF(INDIRECT(_xlfn.CONCAT("'",IF(ISNUMBER(FIND("'",$A36))=TRUE,_xlfn.CONCAT(LEFT($A36,FIND("'",$A36)-1),"''",RIGHT($A36,LEN($A36)-FIND("'",$A36))),$A36),"'!C11"))&gt;=P$2,"i",""))</f>
        <v>d</v>
      </c>
      <c r="Q36" s="1" t="str" cm="1">
        <f t="array" aca="1" ref="Q36" ca="1">IF(INDIRECT(_xlfn.CONCAT("'",IF(ISNUMBER(FIND("'",$A36))=TRUE,_xlfn.CONCAT(LEFT($A36,FIND("'",$A36)-1),"''",RIGHT($A36,LEN($A36)-FIND("'",$A36))),$A36),"'!C10"))&gt;=Q$2,"d",IF(INDIRECT(_xlfn.CONCAT("'",IF(ISNUMBER(FIND("'",$A36))=TRUE,_xlfn.CONCAT(LEFT($A36,FIND("'",$A36)-1),"''",RIGHT($A36,LEN($A36)-FIND("'",$A36))),$A36),"'!C11"))&gt;=Q$2,"i",""))</f>
        <v>d</v>
      </c>
      <c r="R36" s="1" t="str" cm="1">
        <f t="array" aca="1" ref="R36" ca="1">IF(INDIRECT(_xlfn.CONCAT("'",IF(ISNUMBER(FIND("'",$A36))=TRUE,_xlfn.CONCAT(LEFT($A36,FIND("'",$A36)-1),"''",RIGHT($A36,LEN($A36)-FIND("'",$A36))),$A36),"'!C10"))&gt;=R$2,"d",IF(INDIRECT(_xlfn.CONCAT("'",IF(ISNUMBER(FIND("'",$A36))=TRUE,_xlfn.CONCAT(LEFT($A36,FIND("'",$A36)-1),"''",RIGHT($A36,LEN($A36)-FIND("'",$A36))),$A36),"'!C11"))&gt;=R$2,"i",""))</f>
        <v>d</v>
      </c>
      <c r="S36" s="1" t="str" cm="1">
        <f t="array" aca="1" ref="S36" ca="1">IF(INDIRECT(_xlfn.CONCAT("'",IF(ISNUMBER(FIND("'",$A36))=TRUE,_xlfn.CONCAT(LEFT($A36,FIND("'",$A36)-1),"''",RIGHT($A36,LEN($A36)-FIND("'",$A36))),$A36),"'!C10"))&gt;=S$2,"d",IF(INDIRECT(_xlfn.CONCAT("'",IF(ISNUMBER(FIND("'",$A36))=TRUE,_xlfn.CONCAT(LEFT($A36,FIND("'",$A36)-1),"''",RIGHT($A36,LEN($A36)-FIND("'",$A36))),$A36),"'!C11"))&gt;=S$2,"i",""))</f>
        <v>d</v>
      </c>
      <c r="T36" s="4" t="str" cm="1">
        <f t="array" aca="1" ref="T36" ca="1">IF(INDIRECT(_xlfn.CONCAT("'",IF(ISNUMBER(FIND("'",$A36))=TRUE,_xlfn.CONCAT(LEFT($A36,FIND("'",$A36)-1),"''",RIGHT($A36,LEN($A36)-FIND("'",$A36))),$A36),"'!C10"))&gt;=T$2,"d",IF(INDIRECT(_xlfn.CONCAT("'",IF(ISNUMBER(FIND("'",$A36))=TRUE,_xlfn.CONCAT(LEFT($A36,FIND("'",$A36)-1),"''",RIGHT($A36,LEN($A36)-FIND("'",$A36))),$A36),"'!C11"))&gt;=T$2,"i",""))</f>
        <v>d</v>
      </c>
    </row>
    <row r="37" spans="1:20" hidden="1" x14ac:dyDescent="0.25">
      <c r="A37" s="54" t="str">
        <v>Royal Longsword</v>
      </c>
      <c r="B37" s="14" cm="1">
        <f t="array" ref="B37">_xlfn.XLOOKUP(A37,INDEX(Weapon_List,,1),INDEX(Weapon_List,,3),,0,1)</f>
        <v>4</v>
      </c>
      <c r="C37" s="4" t="str" cm="1">
        <f t="array" ref="C37">_xlfn.XLOOKUP(A37,INDEX(Weapon_List,,1),INDEX(Weapon_List,,2),,0,1)</f>
        <v>Sword</v>
      </c>
      <c r="D37" s="38" t="str" cm="1">
        <f t="array" ref="D37">_xlfn.XLOOKUP(A37,INDEX(Weapon_List,,1),INDEX(Weapon_List,,4),,0,1)</f>
        <v>Mondstadt 1</v>
      </c>
      <c r="E37" s="38" t="str" cm="1">
        <f t="array" ref="E37">_xlfn.XLOOKUP(A37,INDEX(Weapon_List,,1),INDEX(Weapon_List,,5),,0,1)</f>
        <v>Hilichurl Shooter</v>
      </c>
      <c r="F37" s="38" t="str" cm="1">
        <f t="array" ref="F37">_xlfn.XLOOKUP(A37,INDEX(Weapon_List,,1),INDEX(Weapon_List,,6),,0,1)</f>
        <v>Mitachurl</v>
      </c>
      <c r="G37" s="14" t="str" cm="1">
        <f t="array" aca="1" ref="G37" ca="1">IF(INDIRECT(_xlfn.CONCAT("'",IF(ISNUMBER(FIND("'",$A37))=TRUE,_xlfn.CONCAT(LEFT($A37,FIND("'",$A37)-1),"''",RIGHT($A37,LEN($A37)-FIND("'",$A37))),$A37),"'!B4"))&gt;=G$2,"d",IF(INDIRECT(_xlfn.CONCAT("'",IF(ISNUMBER(FIND("'",$A37))=TRUE,_xlfn.CONCAT(LEFT($A37,FIND("'",$A37)-1),"''",RIGHT($A37,LEN($A37)-FIND("'",$A37))),$A37),"'!B5"))&gt;=G$2,"i",""))</f>
        <v>d</v>
      </c>
      <c r="H37" s="1" t="str" cm="1">
        <f t="array" aca="1" ref="H37" ca="1">IF(INDIRECT(_xlfn.CONCAT("'",IF(ISNUMBER(FIND("'",$A37))=TRUE,_xlfn.CONCAT(LEFT($A37,FIND("'",$A37)-1),"''",RIGHT($A37,LEN($A37)-FIND("'",$A37))),$A37),"'!B4"))&gt;=H$2,"d",IF(INDIRECT(_xlfn.CONCAT("'",IF(ISNUMBER(FIND("'",$A37))=TRUE,_xlfn.CONCAT(LEFT($A37,FIND("'",$A37)-1),"''",RIGHT($A37,LEN($A37)-FIND("'",$A37))),$A37),"'!B5"))&gt;=H$2,"i",""))</f>
        <v>d</v>
      </c>
      <c r="I37" s="1" t="str" cm="1">
        <f t="array" aca="1" ref="I37" ca="1">IF(INDIRECT(_xlfn.CONCAT("'",IF(ISNUMBER(FIND("'",$A37))=TRUE,_xlfn.CONCAT(LEFT($A37,FIND("'",$A37)-1),"''",RIGHT($A37,LEN($A37)-FIND("'",$A37))),$A37),"'!B4"))&gt;=I$2,"d",IF(INDIRECT(_xlfn.CONCAT("'",IF(ISNUMBER(FIND("'",$A37))=TRUE,_xlfn.CONCAT(LEFT($A37,FIND("'",$A37)-1),"''",RIGHT($A37,LEN($A37)-FIND("'",$A37))),$A37),"'!B5"))&gt;=I$2,"i",""))</f>
        <v>d</v>
      </c>
      <c r="J37" s="1" t="str" cm="1">
        <f t="array" aca="1" ref="J37" ca="1">IF(INDIRECT(_xlfn.CONCAT("'",IF(ISNUMBER(FIND("'",$A37))=TRUE,_xlfn.CONCAT(LEFT($A37,FIND("'",$A37)-1),"''",RIGHT($A37,LEN($A37)-FIND("'",$A37))),$A37),"'!B4"))&gt;=J$2,"d",IF(INDIRECT(_xlfn.CONCAT("'",IF(ISNUMBER(FIND("'",$A37))=TRUE,_xlfn.CONCAT(LEFT($A37,FIND("'",$A37)-1),"''",RIGHT($A37,LEN($A37)-FIND("'",$A37))),$A37),"'!B5"))&gt;=J$2,"i",""))</f>
        <v>d</v>
      </c>
      <c r="K37" s="1" t="str" cm="1">
        <f t="array" aca="1" ref="K37" ca="1">IF(INDIRECT(_xlfn.CONCAT("'",IF(ISNUMBER(FIND("'",$A37))=TRUE,_xlfn.CONCAT(LEFT($A37,FIND("'",$A37)-1),"''",RIGHT($A37,LEN($A37)-FIND("'",$A37))),$A37),"'!B4"))&gt;=K$2,"d",IF(INDIRECT(_xlfn.CONCAT("'",IF(ISNUMBER(FIND("'",$A37))=TRUE,_xlfn.CONCAT(LEFT($A37,FIND("'",$A37)-1),"''",RIGHT($A37,LEN($A37)-FIND("'",$A37))),$A37),"'!B5"))&gt;=K$2,"i",""))</f>
        <v>d</v>
      </c>
      <c r="L37" s="1" t="str" cm="1">
        <f t="array" aca="1" ref="L37" ca="1">IF(INDIRECT(_xlfn.CONCAT("'",IF(ISNUMBER(FIND("'",$A37))=TRUE,_xlfn.CONCAT(LEFT($A37,FIND("'",$A37)-1),"''",RIGHT($A37,LEN($A37)-FIND("'",$A37))),$A37),"'!B4"))&gt;=L$2,"d",IF(INDIRECT(_xlfn.CONCAT("'",IF(ISNUMBER(FIND("'",$A37))=TRUE,_xlfn.CONCAT(LEFT($A37,FIND("'",$A37)-1),"''",RIGHT($A37,LEN($A37)-FIND("'",$A37))),$A37),"'!B5"))&gt;=L$2,"i",""))</f>
        <v>d</v>
      </c>
      <c r="M37" s="4" t="str" cm="1">
        <f t="array" aca="1" ref="M37" ca="1">IF(INDIRECT(_xlfn.CONCAT("'",IF(ISNUMBER(FIND("'",$A37))=TRUE,_xlfn.CONCAT(LEFT($A37,FIND("'",$A37)-1),"''",RIGHT($A37,LEN($A37)-FIND("'",$A37))),$A37),"'!B4"))&gt;=M$2,"d",IF(INDIRECT(_xlfn.CONCAT("'",IF(ISNUMBER(FIND("'",$A37))=TRUE,_xlfn.CONCAT(LEFT($A37,FIND("'",$A37)-1),"''",RIGHT($A37,LEN($A37)-FIND("'",$A37))),$A37),"'!B5"))&gt;=M$2,"i",""))</f>
        <v>d</v>
      </c>
      <c r="N37" s="95"/>
      <c r="O37" s="14" t="str" cm="1">
        <f t="array" aca="1" ref="O37" ca="1">IF(INDIRECT(_xlfn.CONCAT("'",IF(ISNUMBER(FIND("'",$A37))=TRUE,_xlfn.CONCAT(LEFT($A37,FIND("'",$A37)-1),"''",RIGHT($A37,LEN($A37)-FIND("'",$A37))),$A37),"'!C10"))&gt;=O$2,"d",IF(INDIRECT(_xlfn.CONCAT("'",IF(ISNUMBER(FIND("'",$A37))=TRUE,_xlfn.CONCAT(LEFT($A37,FIND("'",$A37)-1),"''",RIGHT($A37,LEN($A37)-FIND("'",$A37))),$A37),"'!C11"))&gt;=O$2,"i",""))</f>
        <v>d</v>
      </c>
      <c r="P37" s="1" t="str" cm="1">
        <f t="array" aca="1" ref="P37" ca="1">IF(INDIRECT(_xlfn.CONCAT("'",IF(ISNUMBER(FIND("'",$A37))=TRUE,_xlfn.CONCAT(LEFT($A37,FIND("'",$A37)-1),"''",RIGHT($A37,LEN($A37)-FIND("'",$A37))),$A37),"'!C10"))&gt;=P$2,"d",IF(INDIRECT(_xlfn.CONCAT("'",IF(ISNUMBER(FIND("'",$A37))=TRUE,_xlfn.CONCAT(LEFT($A37,FIND("'",$A37)-1),"''",RIGHT($A37,LEN($A37)-FIND("'",$A37))),$A37),"'!C11"))&gt;=P$2,"i",""))</f>
        <v>d</v>
      </c>
      <c r="Q37" s="1" t="str" cm="1">
        <f t="array" aca="1" ref="Q37" ca="1">IF(INDIRECT(_xlfn.CONCAT("'",IF(ISNUMBER(FIND("'",$A37))=TRUE,_xlfn.CONCAT(LEFT($A37,FIND("'",$A37)-1),"''",RIGHT($A37,LEN($A37)-FIND("'",$A37))),$A37),"'!C10"))&gt;=Q$2,"d",IF(INDIRECT(_xlfn.CONCAT("'",IF(ISNUMBER(FIND("'",$A37))=TRUE,_xlfn.CONCAT(LEFT($A37,FIND("'",$A37)-1),"''",RIGHT($A37,LEN($A37)-FIND("'",$A37))),$A37),"'!C11"))&gt;=Q$2,"i",""))</f>
        <v>d</v>
      </c>
      <c r="R37" s="1" t="str" cm="1">
        <f t="array" aca="1" ref="R37" ca="1">IF(INDIRECT(_xlfn.CONCAT("'",IF(ISNUMBER(FIND("'",$A37))=TRUE,_xlfn.CONCAT(LEFT($A37,FIND("'",$A37)-1),"''",RIGHT($A37,LEN($A37)-FIND("'",$A37))),$A37),"'!C10"))&gt;=R$2,"d",IF(INDIRECT(_xlfn.CONCAT("'",IF(ISNUMBER(FIND("'",$A37))=TRUE,_xlfn.CONCAT(LEFT($A37,FIND("'",$A37)-1),"''",RIGHT($A37,LEN($A37)-FIND("'",$A37))),$A37),"'!C11"))&gt;=R$2,"i",""))</f>
        <v>d</v>
      </c>
      <c r="S37" s="1" t="str" cm="1">
        <f t="array" aca="1" ref="S37" ca="1">IF(INDIRECT(_xlfn.CONCAT("'",IF(ISNUMBER(FIND("'",$A37))=TRUE,_xlfn.CONCAT(LEFT($A37,FIND("'",$A37)-1),"''",RIGHT($A37,LEN($A37)-FIND("'",$A37))),$A37),"'!C10"))&gt;=S$2,"d",IF(INDIRECT(_xlfn.CONCAT("'",IF(ISNUMBER(FIND("'",$A37))=TRUE,_xlfn.CONCAT(LEFT($A37,FIND("'",$A37)-1),"''",RIGHT($A37,LEN($A37)-FIND("'",$A37))),$A37),"'!C11"))&gt;=S$2,"i",""))</f>
        <v>d</v>
      </c>
      <c r="T37" s="4" t="str" cm="1">
        <f t="array" aca="1" ref="T37" ca="1">IF(INDIRECT(_xlfn.CONCAT("'",IF(ISNUMBER(FIND("'",$A37))=TRUE,_xlfn.CONCAT(LEFT($A37,FIND("'",$A37)-1),"''",RIGHT($A37,LEN($A37)-FIND("'",$A37))),$A37),"'!C10"))&gt;=T$2,"d",IF(INDIRECT(_xlfn.CONCAT("'",IF(ISNUMBER(FIND("'",$A37))=TRUE,_xlfn.CONCAT(LEFT($A37,FIND("'",$A37)-1),"''",RIGHT($A37,LEN($A37)-FIND("'",$A37))),$A37),"'!C11"))&gt;=T$2,"i",""))</f>
        <v>d</v>
      </c>
    </row>
    <row r="38" spans="1:20" hidden="1" x14ac:dyDescent="0.25">
      <c r="A38" s="54" t="str">
        <v>Royal Greatsword</v>
      </c>
      <c r="B38" s="14" cm="1">
        <f t="array" ref="B38">_xlfn.XLOOKUP(A38,INDEX(Weapon_List,,1),INDEX(Weapon_List,,3),,0,1)</f>
        <v>4</v>
      </c>
      <c r="C38" s="4" t="str" cm="1">
        <f t="array" ref="C38">_xlfn.XLOOKUP(A38,INDEX(Weapon_List,,1),INDEX(Weapon_List,,2),,0,1)</f>
        <v>Claymore</v>
      </c>
      <c r="D38" s="38" t="str" cm="1">
        <f t="array" ref="D38">_xlfn.XLOOKUP(A38,INDEX(Weapon_List,,1),INDEX(Weapon_List,,4),,0,1)</f>
        <v>Mondstadt 3</v>
      </c>
      <c r="E38" s="38" t="str" cm="1">
        <f t="array" ref="E38">_xlfn.XLOOKUP(A38,INDEX(Weapon_List,,1),INDEX(Weapon_List,,5),,0,1)</f>
        <v>Slime</v>
      </c>
      <c r="F38" s="38" t="str" cm="1">
        <f t="array" ref="F38">_xlfn.XLOOKUP(A38,INDEX(Weapon_List,,1),INDEX(Weapon_List,,6),,0,1)</f>
        <v>Ruin Machine 1</v>
      </c>
      <c r="G38" s="14" t="str" cm="1">
        <f t="array" aca="1" ref="G38" ca="1">IF(INDIRECT(_xlfn.CONCAT("'",IF(ISNUMBER(FIND("'",$A38))=TRUE,_xlfn.CONCAT(LEFT($A38,FIND("'",$A38)-1),"''",RIGHT($A38,LEN($A38)-FIND("'",$A38))),$A38),"'!B4"))&gt;=G$2,"d",IF(INDIRECT(_xlfn.CONCAT("'",IF(ISNUMBER(FIND("'",$A38))=TRUE,_xlfn.CONCAT(LEFT($A38,FIND("'",$A38)-1),"''",RIGHT($A38,LEN($A38)-FIND("'",$A38))),$A38),"'!B5"))&gt;=G$2,"i",""))</f>
        <v>d</v>
      </c>
      <c r="H38" s="1" t="str" cm="1">
        <f t="array" aca="1" ref="H38" ca="1">IF(INDIRECT(_xlfn.CONCAT("'",IF(ISNUMBER(FIND("'",$A38))=TRUE,_xlfn.CONCAT(LEFT($A38,FIND("'",$A38)-1),"''",RIGHT($A38,LEN($A38)-FIND("'",$A38))),$A38),"'!B4"))&gt;=H$2,"d",IF(INDIRECT(_xlfn.CONCAT("'",IF(ISNUMBER(FIND("'",$A38))=TRUE,_xlfn.CONCAT(LEFT($A38,FIND("'",$A38)-1),"''",RIGHT($A38,LEN($A38)-FIND("'",$A38))),$A38),"'!B5"))&gt;=H$2,"i",""))</f>
        <v>d</v>
      </c>
      <c r="I38" s="1" t="str" cm="1">
        <f t="array" aca="1" ref="I38" ca="1">IF(INDIRECT(_xlfn.CONCAT("'",IF(ISNUMBER(FIND("'",$A38))=TRUE,_xlfn.CONCAT(LEFT($A38,FIND("'",$A38)-1),"''",RIGHT($A38,LEN($A38)-FIND("'",$A38))),$A38),"'!B4"))&gt;=I$2,"d",IF(INDIRECT(_xlfn.CONCAT("'",IF(ISNUMBER(FIND("'",$A38))=TRUE,_xlfn.CONCAT(LEFT($A38,FIND("'",$A38)-1),"''",RIGHT($A38,LEN($A38)-FIND("'",$A38))),$A38),"'!B5"))&gt;=I$2,"i",""))</f>
        <v>d</v>
      </c>
      <c r="J38" s="1" t="str" cm="1">
        <f t="array" aca="1" ref="J38" ca="1">IF(INDIRECT(_xlfn.CONCAT("'",IF(ISNUMBER(FIND("'",$A38))=TRUE,_xlfn.CONCAT(LEFT($A38,FIND("'",$A38)-1),"''",RIGHT($A38,LEN($A38)-FIND("'",$A38))),$A38),"'!B4"))&gt;=J$2,"d",IF(INDIRECT(_xlfn.CONCAT("'",IF(ISNUMBER(FIND("'",$A38))=TRUE,_xlfn.CONCAT(LEFT($A38,FIND("'",$A38)-1),"''",RIGHT($A38,LEN($A38)-FIND("'",$A38))),$A38),"'!B5"))&gt;=J$2,"i",""))</f>
        <v>d</v>
      </c>
      <c r="K38" s="1" t="str" cm="1">
        <f t="array" aca="1" ref="K38" ca="1">IF(INDIRECT(_xlfn.CONCAT("'",IF(ISNUMBER(FIND("'",$A38))=TRUE,_xlfn.CONCAT(LEFT($A38,FIND("'",$A38)-1),"''",RIGHT($A38,LEN($A38)-FIND("'",$A38))),$A38),"'!B4"))&gt;=K$2,"d",IF(INDIRECT(_xlfn.CONCAT("'",IF(ISNUMBER(FIND("'",$A38))=TRUE,_xlfn.CONCAT(LEFT($A38,FIND("'",$A38)-1),"''",RIGHT($A38,LEN($A38)-FIND("'",$A38))),$A38),"'!B5"))&gt;=K$2,"i",""))</f>
        <v>d</v>
      </c>
      <c r="L38" s="1" t="str" cm="1">
        <f t="array" aca="1" ref="L38" ca="1">IF(INDIRECT(_xlfn.CONCAT("'",IF(ISNUMBER(FIND("'",$A38))=TRUE,_xlfn.CONCAT(LEFT($A38,FIND("'",$A38)-1),"''",RIGHT($A38,LEN($A38)-FIND("'",$A38))),$A38),"'!B4"))&gt;=L$2,"d",IF(INDIRECT(_xlfn.CONCAT("'",IF(ISNUMBER(FIND("'",$A38))=TRUE,_xlfn.CONCAT(LEFT($A38,FIND("'",$A38)-1),"''",RIGHT($A38,LEN($A38)-FIND("'",$A38))),$A38),"'!B5"))&gt;=L$2,"i",""))</f>
        <v>d</v>
      </c>
      <c r="M38" s="4" t="str" cm="1">
        <f t="array" aca="1" ref="M38" ca="1">IF(INDIRECT(_xlfn.CONCAT("'",IF(ISNUMBER(FIND("'",$A38))=TRUE,_xlfn.CONCAT(LEFT($A38,FIND("'",$A38)-1),"''",RIGHT($A38,LEN($A38)-FIND("'",$A38))),$A38),"'!B4"))&gt;=M$2,"d",IF(INDIRECT(_xlfn.CONCAT("'",IF(ISNUMBER(FIND("'",$A38))=TRUE,_xlfn.CONCAT(LEFT($A38,FIND("'",$A38)-1),"''",RIGHT($A38,LEN($A38)-FIND("'",$A38))),$A38),"'!B5"))&gt;=M$2,"i",""))</f>
        <v>d</v>
      </c>
      <c r="N38" s="95"/>
      <c r="O38" s="14" t="str" cm="1">
        <f t="array" aca="1" ref="O38" ca="1">IF(INDIRECT(_xlfn.CONCAT("'",IF(ISNUMBER(FIND("'",$A38))=TRUE,_xlfn.CONCAT(LEFT($A38,FIND("'",$A38)-1),"''",RIGHT($A38,LEN($A38)-FIND("'",$A38))),$A38),"'!C10"))&gt;=O$2,"d",IF(INDIRECT(_xlfn.CONCAT("'",IF(ISNUMBER(FIND("'",$A38))=TRUE,_xlfn.CONCAT(LEFT($A38,FIND("'",$A38)-1),"''",RIGHT($A38,LEN($A38)-FIND("'",$A38))),$A38),"'!C11"))&gt;=O$2,"i",""))</f>
        <v>d</v>
      </c>
      <c r="P38" s="1" t="str" cm="1">
        <f t="array" aca="1" ref="P38" ca="1">IF(INDIRECT(_xlfn.CONCAT("'",IF(ISNUMBER(FIND("'",$A38))=TRUE,_xlfn.CONCAT(LEFT($A38,FIND("'",$A38)-1),"''",RIGHT($A38,LEN($A38)-FIND("'",$A38))),$A38),"'!C10"))&gt;=P$2,"d",IF(INDIRECT(_xlfn.CONCAT("'",IF(ISNUMBER(FIND("'",$A38))=TRUE,_xlfn.CONCAT(LEFT($A38,FIND("'",$A38)-1),"''",RIGHT($A38,LEN($A38)-FIND("'",$A38))),$A38),"'!C11"))&gt;=P$2,"i",""))</f>
        <v>d</v>
      </c>
      <c r="Q38" s="1" t="str" cm="1">
        <f t="array" aca="1" ref="Q38" ca="1">IF(INDIRECT(_xlfn.CONCAT("'",IF(ISNUMBER(FIND("'",$A38))=TRUE,_xlfn.CONCAT(LEFT($A38,FIND("'",$A38)-1),"''",RIGHT($A38,LEN($A38)-FIND("'",$A38))),$A38),"'!C10"))&gt;=Q$2,"d",IF(INDIRECT(_xlfn.CONCAT("'",IF(ISNUMBER(FIND("'",$A38))=TRUE,_xlfn.CONCAT(LEFT($A38,FIND("'",$A38)-1),"''",RIGHT($A38,LEN($A38)-FIND("'",$A38))),$A38),"'!C11"))&gt;=Q$2,"i",""))</f>
        <v>d</v>
      </c>
      <c r="R38" s="1" t="str" cm="1">
        <f t="array" aca="1" ref="R38" ca="1">IF(INDIRECT(_xlfn.CONCAT("'",IF(ISNUMBER(FIND("'",$A38))=TRUE,_xlfn.CONCAT(LEFT($A38,FIND("'",$A38)-1),"''",RIGHT($A38,LEN($A38)-FIND("'",$A38))),$A38),"'!C10"))&gt;=R$2,"d",IF(INDIRECT(_xlfn.CONCAT("'",IF(ISNUMBER(FIND("'",$A38))=TRUE,_xlfn.CONCAT(LEFT($A38,FIND("'",$A38)-1),"''",RIGHT($A38,LEN($A38)-FIND("'",$A38))),$A38),"'!C11"))&gt;=R$2,"i",""))</f>
        <v>d</v>
      </c>
      <c r="S38" s="1" t="str" cm="1">
        <f t="array" aca="1" ref="S38" ca="1">IF(INDIRECT(_xlfn.CONCAT("'",IF(ISNUMBER(FIND("'",$A38))=TRUE,_xlfn.CONCAT(LEFT($A38,FIND("'",$A38)-1),"''",RIGHT($A38,LEN($A38)-FIND("'",$A38))),$A38),"'!C10"))&gt;=S$2,"d",IF(INDIRECT(_xlfn.CONCAT("'",IF(ISNUMBER(FIND("'",$A38))=TRUE,_xlfn.CONCAT(LEFT($A38,FIND("'",$A38)-1),"''",RIGHT($A38,LEN($A38)-FIND("'",$A38))),$A38),"'!C11"))&gt;=S$2,"i",""))</f>
        <v>d</v>
      </c>
      <c r="T38" s="4" t="str" cm="1">
        <f t="array" aca="1" ref="T38" ca="1">IF(INDIRECT(_xlfn.CONCAT("'",IF(ISNUMBER(FIND("'",$A38))=TRUE,_xlfn.CONCAT(LEFT($A38,FIND("'",$A38)-1),"''",RIGHT($A38,LEN($A38)-FIND("'",$A38))),$A38),"'!C10"))&gt;=T$2,"d",IF(INDIRECT(_xlfn.CONCAT("'",IF(ISNUMBER(FIND("'",$A38))=TRUE,_xlfn.CONCAT(LEFT($A38,FIND("'",$A38)-1),"''",RIGHT($A38,LEN($A38)-FIND("'",$A38))),$A38),"'!C11"))&gt;=T$2,"i",""))</f>
        <v>d</v>
      </c>
    </row>
    <row r="39" spans="1:20" hidden="1" x14ac:dyDescent="0.25">
      <c r="A39" s="54" t="str">
        <v>Royal Spear</v>
      </c>
      <c r="B39" s="14" cm="1">
        <f t="array" ref="B39">_xlfn.XLOOKUP(A39,INDEX(Weapon_List,,1),INDEX(Weapon_List,,3),,0,1)</f>
        <v>4</v>
      </c>
      <c r="C39" s="4" t="str" cm="1">
        <f t="array" ref="C39">_xlfn.XLOOKUP(A39,INDEX(Weapon_List,,1),INDEX(Weapon_List,,2),,0,1)</f>
        <v>Polearm</v>
      </c>
      <c r="D39" s="38" t="str" cm="1">
        <f t="array" ref="D39">_xlfn.XLOOKUP(A39,INDEX(Weapon_List,,1),INDEX(Weapon_List,,4),,0,1)</f>
        <v>Liyue 2</v>
      </c>
      <c r="E39" s="38" t="str" cm="1">
        <f t="array" ref="E39">_xlfn.XLOOKUP(A39,INDEX(Weapon_List,,1),INDEX(Weapon_List,,5),,0,1)</f>
        <v>Fatui</v>
      </c>
      <c r="F39" s="38" t="str" cm="1">
        <f t="array" ref="F39">_xlfn.XLOOKUP(A39,INDEX(Weapon_List,,1),INDEX(Weapon_List,,6),,0,1)</f>
        <v>Fatui Cicin Mage</v>
      </c>
      <c r="G39" s="14" t="str" cm="1">
        <f t="array" aca="1" ref="G39" ca="1">IF(INDIRECT(_xlfn.CONCAT("'",IF(ISNUMBER(FIND("'",$A39))=TRUE,_xlfn.CONCAT(LEFT($A39,FIND("'",$A39)-1),"''",RIGHT($A39,LEN($A39)-FIND("'",$A39))),$A39),"'!B4"))&gt;=G$2,"d",IF(INDIRECT(_xlfn.CONCAT("'",IF(ISNUMBER(FIND("'",$A39))=TRUE,_xlfn.CONCAT(LEFT($A39,FIND("'",$A39)-1),"''",RIGHT($A39,LEN($A39)-FIND("'",$A39))),$A39),"'!B5"))&gt;=G$2,"i",""))</f>
        <v>d</v>
      </c>
      <c r="H39" s="1" t="str" cm="1">
        <f t="array" aca="1" ref="H39" ca="1">IF(INDIRECT(_xlfn.CONCAT("'",IF(ISNUMBER(FIND("'",$A39))=TRUE,_xlfn.CONCAT(LEFT($A39,FIND("'",$A39)-1),"''",RIGHT($A39,LEN($A39)-FIND("'",$A39))),$A39),"'!B4"))&gt;=H$2,"d",IF(INDIRECT(_xlfn.CONCAT("'",IF(ISNUMBER(FIND("'",$A39))=TRUE,_xlfn.CONCAT(LEFT($A39,FIND("'",$A39)-1),"''",RIGHT($A39,LEN($A39)-FIND("'",$A39))),$A39),"'!B5"))&gt;=H$2,"i",""))</f>
        <v>d</v>
      </c>
      <c r="I39" s="1" t="str" cm="1">
        <f t="array" aca="1" ref="I39" ca="1">IF(INDIRECT(_xlfn.CONCAT("'",IF(ISNUMBER(FIND("'",$A39))=TRUE,_xlfn.CONCAT(LEFT($A39,FIND("'",$A39)-1),"''",RIGHT($A39,LEN($A39)-FIND("'",$A39))),$A39),"'!B4"))&gt;=I$2,"d",IF(INDIRECT(_xlfn.CONCAT("'",IF(ISNUMBER(FIND("'",$A39))=TRUE,_xlfn.CONCAT(LEFT($A39,FIND("'",$A39)-1),"''",RIGHT($A39,LEN($A39)-FIND("'",$A39))),$A39),"'!B5"))&gt;=I$2,"i",""))</f>
        <v>d</v>
      </c>
      <c r="J39" s="1" t="str" cm="1">
        <f t="array" aca="1" ref="J39" ca="1">IF(INDIRECT(_xlfn.CONCAT("'",IF(ISNUMBER(FIND("'",$A39))=TRUE,_xlfn.CONCAT(LEFT($A39,FIND("'",$A39)-1),"''",RIGHT($A39,LEN($A39)-FIND("'",$A39))),$A39),"'!B4"))&gt;=J$2,"d",IF(INDIRECT(_xlfn.CONCAT("'",IF(ISNUMBER(FIND("'",$A39))=TRUE,_xlfn.CONCAT(LEFT($A39,FIND("'",$A39)-1),"''",RIGHT($A39,LEN($A39)-FIND("'",$A39))),$A39),"'!B5"))&gt;=J$2,"i",""))</f>
        <v>d</v>
      </c>
      <c r="K39" s="1" t="str" cm="1">
        <f t="array" aca="1" ref="K39" ca="1">IF(INDIRECT(_xlfn.CONCAT("'",IF(ISNUMBER(FIND("'",$A39))=TRUE,_xlfn.CONCAT(LEFT($A39,FIND("'",$A39)-1),"''",RIGHT($A39,LEN($A39)-FIND("'",$A39))),$A39),"'!B4"))&gt;=K$2,"d",IF(INDIRECT(_xlfn.CONCAT("'",IF(ISNUMBER(FIND("'",$A39))=TRUE,_xlfn.CONCAT(LEFT($A39,FIND("'",$A39)-1),"''",RIGHT($A39,LEN($A39)-FIND("'",$A39))),$A39),"'!B5"))&gt;=K$2,"i",""))</f>
        <v>d</v>
      </c>
      <c r="L39" s="1" t="str" cm="1">
        <f t="array" aca="1" ref="L39" ca="1">IF(INDIRECT(_xlfn.CONCAT("'",IF(ISNUMBER(FIND("'",$A39))=TRUE,_xlfn.CONCAT(LEFT($A39,FIND("'",$A39)-1),"''",RIGHT($A39,LEN($A39)-FIND("'",$A39))),$A39),"'!B4"))&gt;=L$2,"d",IF(INDIRECT(_xlfn.CONCAT("'",IF(ISNUMBER(FIND("'",$A39))=TRUE,_xlfn.CONCAT(LEFT($A39,FIND("'",$A39)-1),"''",RIGHT($A39,LEN($A39)-FIND("'",$A39))),$A39),"'!B5"))&gt;=L$2,"i",""))</f>
        <v>d</v>
      </c>
      <c r="M39" s="4" t="str" cm="1">
        <f t="array" aca="1" ref="M39" ca="1">IF(INDIRECT(_xlfn.CONCAT("'",IF(ISNUMBER(FIND("'",$A39))=TRUE,_xlfn.CONCAT(LEFT($A39,FIND("'",$A39)-1),"''",RIGHT($A39,LEN($A39)-FIND("'",$A39))),$A39),"'!B4"))&gt;=M$2,"d",IF(INDIRECT(_xlfn.CONCAT("'",IF(ISNUMBER(FIND("'",$A39))=TRUE,_xlfn.CONCAT(LEFT($A39,FIND("'",$A39)-1),"''",RIGHT($A39,LEN($A39)-FIND("'",$A39))),$A39),"'!B5"))&gt;=M$2,"i",""))</f>
        <v>d</v>
      </c>
      <c r="N39" s="95"/>
      <c r="O39" s="14" t="str" cm="1">
        <f t="array" aca="1" ref="O39" ca="1">IF(INDIRECT(_xlfn.CONCAT("'",IF(ISNUMBER(FIND("'",$A39))=TRUE,_xlfn.CONCAT(LEFT($A39,FIND("'",$A39)-1),"''",RIGHT($A39,LEN($A39)-FIND("'",$A39))),$A39),"'!C10"))&gt;=O$2,"d",IF(INDIRECT(_xlfn.CONCAT("'",IF(ISNUMBER(FIND("'",$A39))=TRUE,_xlfn.CONCAT(LEFT($A39,FIND("'",$A39)-1),"''",RIGHT($A39,LEN($A39)-FIND("'",$A39))),$A39),"'!C11"))&gt;=O$2,"i",""))</f>
        <v>d</v>
      </c>
      <c r="P39" s="1" t="str" cm="1">
        <f t="array" aca="1" ref="P39" ca="1">IF(INDIRECT(_xlfn.CONCAT("'",IF(ISNUMBER(FIND("'",$A39))=TRUE,_xlfn.CONCAT(LEFT($A39,FIND("'",$A39)-1),"''",RIGHT($A39,LEN($A39)-FIND("'",$A39))),$A39),"'!C10"))&gt;=P$2,"d",IF(INDIRECT(_xlfn.CONCAT("'",IF(ISNUMBER(FIND("'",$A39))=TRUE,_xlfn.CONCAT(LEFT($A39,FIND("'",$A39)-1),"''",RIGHT($A39,LEN($A39)-FIND("'",$A39))),$A39),"'!C11"))&gt;=P$2,"i",""))</f>
        <v>d</v>
      </c>
      <c r="Q39" s="1" t="str" cm="1">
        <f t="array" aca="1" ref="Q39" ca="1">IF(INDIRECT(_xlfn.CONCAT("'",IF(ISNUMBER(FIND("'",$A39))=TRUE,_xlfn.CONCAT(LEFT($A39,FIND("'",$A39)-1),"''",RIGHT($A39,LEN($A39)-FIND("'",$A39))),$A39),"'!C10"))&gt;=Q$2,"d",IF(INDIRECT(_xlfn.CONCAT("'",IF(ISNUMBER(FIND("'",$A39))=TRUE,_xlfn.CONCAT(LEFT($A39,FIND("'",$A39)-1),"''",RIGHT($A39,LEN($A39)-FIND("'",$A39))),$A39),"'!C11"))&gt;=Q$2,"i",""))</f>
        <v>d</v>
      </c>
      <c r="R39" s="1" t="str" cm="1">
        <f t="array" aca="1" ref="R39" ca="1">IF(INDIRECT(_xlfn.CONCAT("'",IF(ISNUMBER(FIND("'",$A39))=TRUE,_xlfn.CONCAT(LEFT($A39,FIND("'",$A39)-1),"''",RIGHT($A39,LEN($A39)-FIND("'",$A39))),$A39),"'!C10"))&gt;=R$2,"d",IF(INDIRECT(_xlfn.CONCAT("'",IF(ISNUMBER(FIND("'",$A39))=TRUE,_xlfn.CONCAT(LEFT($A39,FIND("'",$A39)-1),"''",RIGHT($A39,LEN($A39)-FIND("'",$A39))),$A39),"'!C11"))&gt;=R$2,"i",""))</f>
        <v>d</v>
      </c>
      <c r="S39" s="1" t="str" cm="1">
        <f t="array" aca="1" ref="S39" ca="1">IF(INDIRECT(_xlfn.CONCAT("'",IF(ISNUMBER(FIND("'",$A39))=TRUE,_xlfn.CONCAT(LEFT($A39,FIND("'",$A39)-1),"''",RIGHT($A39,LEN($A39)-FIND("'",$A39))),$A39),"'!C10"))&gt;=S$2,"d",IF(INDIRECT(_xlfn.CONCAT("'",IF(ISNUMBER(FIND("'",$A39))=TRUE,_xlfn.CONCAT(LEFT($A39,FIND("'",$A39)-1),"''",RIGHT($A39,LEN($A39)-FIND("'",$A39))),$A39),"'!C11"))&gt;=S$2,"i",""))</f>
        <v>d</v>
      </c>
      <c r="T39" s="4" t="str" cm="1">
        <f t="array" aca="1" ref="T39" ca="1">IF(INDIRECT(_xlfn.CONCAT("'",IF(ISNUMBER(FIND("'",$A39))=TRUE,_xlfn.CONCAT(LEFT($A39,FIND("'",$A39)-1),"''",RIGHT($A39,LEN($A39)-FIND("'",$A39))),$A39),"'!C10"))&gt;=T$2,"d",IF(INDIRECT(_xlfn.CONCAT("'",IF(ISNUMBER(FIND("'",$A39))=TRUE,_xlfn.CONCAT(LEFT($A39,FIND("'",$A39)-1),"''",RIGHT($A39,LEN($A39)-FIND("'",$A39))),$A39),"'!C11"))&gt;=T$2,"i",""))</f>
        <v>d</v>
      </c>
    </row>
    <row r="40" spans="1:20" hidden="1" x14ac:dyDescent="0.25">
      <c r="A40" s="54" t="str">
        <v>Royal Grimoire</v>
      </c>
      <c r="B40" s="14" cm="1">
        <f t="array" ref="B40">_xlfn.XLOOKUP(A40,INDEX(Weapon_List,,1),INDEX(Weapon_List,,3),,0,1)</f>
        <v>4</v>
      </c>
      <c r="C40" s="4" t="str" cm="1">
        <f t="array" ref="C40">_xlfn.XLOOKUP(A40,INDEX(Weapon_List,,1),INDEX(Weapon_List,,2),,0,1)</f>
        <v>Catalyst</v>
      </c>
      <c r="D40" s="38" t="str" cm="1">
        <f t="array" ref="D40">_xlfn.XLOOKUP(A40,INDEX(Weapon_List,,1),INDEX(Weapon_List,,4),,0,1)</f>
        <v>Mondstadt 1</v>
      </c>
      <c r="E40" s="38" t="str" cm="1">
        <f t="array" ref="E40">_xlfn.XLOOKUP(A40,INDEX(Weapon_List,,1),INDEX(Weapon_List,,5),,0,1)</f>
        <v>Fatui</v>
      </c>
      <c r="F40" s="38" t="str" cm="1">
        <f t="array" ref="F40">_xlfn.XLOOKUP(A40,INDEX(Weapon_List,,1),INDEX(Weapon_List,,6),,0,1)</f>
        <v>Mitachurl</v>
      </c>
      <c r="G40" s="14" t="str" cm="1">
        <f t="array" aca="1" ref="G40" ca="1">IF(INDIRECT(_xlfn.CONCAT("'",IF(ISNUMBER(FIND("'",$A40))=TRUE,_xlfn.CONCAT(LEFT($A40,FIND("'",$A40)-1),"''",RIGHT($A40,LEN($A40)-FIND("'",$A40))),$A40),"'!B4"))&gt;=G$2,"d",IF(INDIRECT(_xlfn.CONCAT("'",IF(ISNUMBER(FIND("'",$A40))=TRUE,_xlfn.CONCAT(LEFT($A40,FIND("'",$A40)-1),"''",RIGHT($A40,LEN($A40)-FIND("'",$A40))),$A40),"'!B5"))&gt;=G$2,"i",""))</f>
        <v>d</v>
      </c>
      <c r="H40" s="1" t="str" cm="1">
        <f t="array" aca="1" ref="H40" ca="1">IF(INDIRECT(_xlfn.CONCAT("'",IF(ISNUMBER(FIND("'",$A40))=TRUE,_xlfn.CONCAT(LEFT($A40,FIND("'",$A40)-1),"''",RIGHT($A40,LEN($A40)-FIND("'",$A40))),$A40),"'!B4"))&gt;=H$2,"d",IF(INDIRECT(_xlfn.CONCAT("'",IF(ISNUMBER(FIND("'",$A40))=TRUE,_xlfn.CONCAT(LEFT($A40,FIND("'",$A40)-1),"''",RIGHT($A40,LEN($A40)-FIND("'",$A40))),$A40),"'!B5"))&gt;=H$2,"i",""))</f>
        <v>d</v>
      </c>
      <c r="I40" s="1" t="str" cm="1">
        <f t="array" aca="1" ref="I40" ca="1">IF(INDIRECT(_xlfn.CONCAT("'",IF(ISNUMBER(FIND("'",$A40))=TRUE,_xlfn.CONCAT(LEFT($A40,FIND("'",$A40)-1),"''",RIGHT($A40,LEN($A40)-FIND("'",$A40))),$A40),"'!B4"))&gt;=I$2,"d",IF(INDIRECT(_xlfn.CONCAT("'",IF(ISNUMBER(FIND("'",$A40))=TRUE,_xlfn.CONCAT(LEFT($A40,FIND("'",$A40)-1),"''",RIGHT($A40,LEN($A40)-FIND("'",$A40))),$A40),"'!B5"))&gt;=I$2,"i",""))</f>
        <v>d</v>
      </c>
      <c r="J40" s="1" t="str" cm="1">
        <f t="array" aca="1" ref="J40" ca="1">IF(INDIRECT(_xlfn.CONCAT("'",IF(ISNUMBER(FIND("'",$A40))=TRUE,_xlfn.CONCAT(LEFT($A40,FIND("'",$A40)-1),"''",RIGHT($A40,LEN($A40)-FIND("'",$A40))),$A40),"'!B4"))&gt;=J$2,"d",IF(INDIRECT(_xlfn.CONCAT("'",IF(ISNUMBER(FIND("'",$A40))=TRUE,_xlfn.CONCAT(LEFT($A40,FIND("'",$A40)-1),"''",RIGHT($A40,LEN($A40)-FIND("'",$A40))),$A40),"'!B5"))&gt;=J$2,"i",""))</f>
        <v>d</v>
      </c>
      <c r="K40" s="1" t="str" cm="1">
        <f t="array" aca="1" ref="K40" ca="1">IF(INDIRECT(_xlfn.CONCAT("'",IF(ISNUMBER(FIND("'",$A40))=TRUE,_xlfn.CONCAT(LEFT($A40,FIND("'",$A40)-1),"''",RIGHT($A40,LEN($A40)-FIND("'",$A40))),$A40),"'!B4"))&gt;=K$2,"d",IF(INDIRECT(_xlfn.CONCAT("'",IF(ISNUMBER(FIND("'",$A40))=TRUE,_xlfn.CONCAT(LEFT($A40,FIND("'",$A40)-1),"''",RIGHT($A40,LEN($A40)-FIND("'",$A40))),$A40),"'!B5"))&gt;=K$2,"i",""))</f>
        <v>d</v>
      </c>
      <c r="L40" s="1" t="str" cm="1">
        <f t="array" aca="1" ref="L40" ca="1">IF(INDIRECT(_xlfn.CONCAT("'",IF(ISNUMBER(FIND("'",$A40))=TRUE,_xlfn.CONCAT(LEFT($A40,FIND("'",$A40)-1),"''",RIGHT($A40,LEN($A40)-FIND("'",$A40))),$A40),"'!B4"))&gt;=L$2,"d",IF(INDIRECT(_xlfn.CONCAT("'",IF(ISNUMBER(FIND("'",$A40))=TRUE,_xlfn.CONCAT(LEFT($A40,FIND("'",$A40)-1),"''",RIGHT($A40,LEN($A40)-FIND("'",$A40))),$A40),"'!B5"))&gt;=L$2,"i",""))</f>
        <v>d</v>
      </c>
      <c r="M40" s="4" t="str" cm="1">
        <f t="array" aca="1" ref="M40" ca="1">IF(INDIRECT(_xlfn.CONCAT("'",IF(ISNUMBER(FIND("'",$A40))=TRUE,_xlfn.CONCAT(LEFT($A40,FIND("'",$A40)-1),"''",RIGHT($A40,LEN($A40)-FIND("'",$A40))),$A40),"'!B4"))&gt;=M$2,"d",IF(INDIRECT(_xlfn.CONCAT("'",IF(ISNUMBER(FIND("'",$A40))=TRUE,_xlfn.CONCAT(LEFT($A40,FIND("'",$A40)-1),"''",RIGHT($A40,LEN($A40)-FIND("'",$A40))),$A40),"'!B5"))&gt;=M$2,"i",""))</f>
        <v>d</v>
      </c>
      <c r="N40" s="95"/>
      <c r="O40" s="14" t="str" cm="1">
        <f t="array" aca="1" ref="O40" ca="1">IF(INDIRECT(_xlfn.CONCAT("'",IF(ISNUMBER(FIND("'",$A40))=TRUE,_xlfn.CONCAT(LEFT($A40,FIND("'",$A40)-1),"''",RIGHT($A40,LEN($A40)-FIND("'",$A40))),$A40),"'!C10"))&gt;=O$2,"d",IF(INDIRECT(_xlfn.CONCAT("'",IF(ISNUMBER(FIND("'",$A40))=TRUE,_xlfn.CONCAT(LEFT($A40,FIND("'",$A40)-1),"''",RIGHT($A40,LEN($A40)-FIND("'",$A40))),$A40),"'!C11"))&gt;=O$2,"i",""))</f>
        <v>d</v>
      </c>
      <c r="P40" s="1" t="str" cm="1">
        <f t="array" aca="1" ref="P40" ca="1">IF(INDIRECT(_xlfn.CONCAT("'",IF(ISNUMBER(FIND("'",$A40))=TRUE,_xlfn.CONCAT(LEFT($A40,FIND("'",$A40)-1),"''",RIGHT($A40,LEN($A40)-FIND("'",$A40))),$A40),"'!C10"))&gt;=P$2,"d",IF(INDIRECT(_xlfn.CONCAT("'",IF(ISNUMBER(FIND("'",$A40))=TRUE,_xlfn.CONCAT(LEFT($A40,FIND("'",$A40)-1),"''",RIGHT($A40,LEN($A40)-FIND("'",$A40))),$A40),"'!C11"))&gt;=P$2,"i",""))</f>
        <v>d</v>
      </c>
      <c r="Q40" s="1" t="str" cm="1">
        <f t="array" aca="1" ref="Q40" ca="1">IF(INDIRECT(_xlfn.CONCAT("'",IF(ISNUMBER(FIND("'",$A40))=TRUE,_xlfn.CONCAT(LEFT($A40,FIND("'",$A40)-1),"''",RIGHT($A40,LEN($A40)-FIND("'",$A40))),$A40),"'!C10"))&gt;=Q$2,"d",IF(INDIRECT(_xlfn.CONCAT("'",IF(ISNUMBER(FIND("'",$A40))=TRUE,_xlfn.CONCAT(LEFT($A40,FIND("'",$A40)-1),"''",RIGHT($A40,LEN($A40)-FIND("'",$A40))),$A40),"'!C11"))&gt;=Q$2,"i",""))</f>
        <v>d</v>
      </c>
      <c r="R40" s="1" t="str" cm="1">
        <f t="array" aca="1" ref="R40" ca="1">IF(INDIRECT(_xlfn.CONCAT("'",IF(ISNUMBER(FIND("'",$A40))=TRUE,_xlfn.CONCAT(LEFT($A40,FIND("'",$A40)-1),"''",RIGHT($A40,LEN($A40)-FIND("'",$A40))),$A40),"'!C10"))&gt;=R$2,"d",IF(INDIRECT(_xlfn.CONCAT("'",IF(ISNUMBER(FIND("'",$A40))=TRUE,_xlfn.CONCAT(LEFT($A40,FIND("'",$A40)-1),"''",RIGHT($A40,LEN($A40)-FIND("'",$A40))),$A40),"'!C11"))&gt;=R$2,"i",""))</f>
        <v>d</v>
      </c>
      <c r="S40" s="1" t="str" cm="1">
        <f t="array" aca="1" ref="S40" ca="1">IF(INDIRECT(_xlfn.CONCAT("'",IF(ISNUMBER(FIND("'",$A40))=TRUE,_xlfn.CONCAT(LEFT($A40,FIND("'",$A40)-1),"''",RIGHT($A40,LEN($A40)-FIND("'",$A40))),$A40),"'!C10"))&gt;=S$2,"d",IF(INDIRECT(_xlfn.CONCAT("'",IF(ISNUMBER(FIND("'",$A40))=TRUE,_xlfn.CONCAT(LEFT($A40,FIND("'",$A40)-1),"''",RIGHT($A40,LEN($A40)-FIND("'",$A40))),$A40),"'!C11"))&gt;=S$2,"i",""))</f>
        <v>d</v>
      </c>
      <c r="T40" s="4" t="str" cm="1">
        <f t="array" aca="1" ref="T40" ca="1">IF(INDIRECT(_xlfn.CONCAT("'",IF(ISNUMBER(FIND("'",$A40))=TRUE,_xlfn.CONCAT(LEFT($A40,FIND("'",$A40)-1),"''",RIGHT($A40,LEN($A40)-FIND("'",$A40))),$A40),"'!C10"))&gt;=T$2,"d",IF(INDIRECT(_xlfn.CONCAT("'",IF(ISNUMBER(FIND("'",$A40))=TRUE,_xlfn.CONCAT(LEFT($A40,FIND("'",$A40)-1),"''",RIGHT($A40,LEN($A40)-FIND("'",$A40))),$A40),"'!C11"))&gt;=T$2,"i",""))</f>
        <v>d</v>
      </c>
    </row>
    <row r="41" spans="1:20" hidden="1" x14ac:dyDescent="0.25">
      <c r="A41" s="54" t="str">
        <v>Royal Bow</v>
      </c>
      <c r="B41" s="14" cm="1">
        <f t="array" ref="B41">_xlfn.XLOOKUP(A41,INDEX(Weapon_List,,1),INDEX(Weapon_List,,3),,0,1)</f>
        <v>4</v>
      </c>
      <c r="C41" s="4" t="str" cm="1">
        <f t="array" ref="C41">_xlfn.XLOOKUP(A41,INDEX(Weapon_List,,1),INDEX(Weapon_List,,2),,0,1)</f>
        <v>Bow</v>
      </c>
      <c r="D41" s="38" t="str" cm="1">
        <f t="array" ref="D41">_xlfn.XLOOKUP(A41,INDEX(Weapon_List,,1),INDEX(Weapon_List,,4),,0,1)</f>
        <v>Mondstadt 3</v>
      </c>
      <c r="E41" s="38" t="str" cm="1">
        <f t="array" ref="E41">_xlfn.XLOOKUP(A41,INDEX(Weapon_List,,1),INDEX(Weapon_List,,5),,0,1)</f>
        <v>Slime</v>
      </c>
      <c r="F41" s="38" t="str" cm="1">
        <f t="array" ref="F41">_xlfn.XLOOKUP(A41,INDEX(Weapon_List,,1),INDEX(Weapon_List,,6),,0,1)</f>
        <v>Ruin Machine 1</v>
      </c>
      <c r="G41" s="14" t="str" cm="1">
        <f t="array" aca="1" ref="G41" ca="1">IF(INDIRECT(_xlfn.CONCAT("'",IF(ISNUMBER(FIND("'",$A41))=TRUE,_xlfn.CONCAT(LEFT($A41,FIND("'",$A41)-1),"''",RIGHT($A41,LEN($A41)-FIND("'",$A41))),$A41),"'!B4"))&gt;=G$2,"d",IF(INDIRECT(_xlfn.CONCAT("'",IF(ISNUMBER(FIND("'",$A41))=TRUE,_xlfn.CONCAT(LEFT($A41,FIND("'",$A41)-1),"''",RIGHT($A41,LEN($A41)-FIND("'",$A41))),$A41),"'!B5"))&gt;=G$2,"i",""))</f>
        <v>d</v>
      </c>
      <c r="H41" s="1" t="str" cm="1">
        <f t="array" aca="1" ref="H41" ca="1">IF(INDIRECT(_xlfn.CONCAT("'",IF(ISNUMBER(FIND("'",$A41))=TRUE,_xlfn.CONCAT(LEFT($A41,FIND("'",$A41)-1),"''",RIGHT($A41,LEN($A41)-FIND("'",$A41))),$A41),"'!B4"))&gt;=H$2,"d",IF(INDIRECT(_xlfn.CONCAT("'",IF(ISNUMBER(FIND("'",$A41))=TRUE,_xlfn.CONCAT(LEFT($A41,FIND("'",$A41)-1),"''",RIGHT($A41,LEN($A41)-FIND("'",$A41))),$A41),"'!B5"))&gt;=H$2,"i",""))</f>
        <v>d</v>
      </c>
      <c r="I41" s="1" t="str" cm="1">
        <f t="array" aca="1" ref="I41" ca="1">IF(INDIRECT(_xlfn.CONCAT("'",IF(ISNUMBER(FIND("'",$A41))=TRUE,_xlfn.CONCAT(LEFT($A41,FIND("'",$A41)-1),"''",RIGHT($A41,LEN($A41)-FIND("'",$A41))),$A41),"'!B4"))&gt;=I$2,"d",IF(INDIRECT(_xlfn.CONCAT("'",IF(ISNUMBER(FIND("'",$A41))=TRUE,_xlfn.CONCAT(LEFT($A41,FIND("'",$A41)-1),"''",RIGHT($A41,LEN($A41)-FIND("'",$A41))),$A41),"'!B5"))&gt;=I$2,"i",""))</f>
        <v>d</v>
      </c>
      <c r="J41" s="1" t="str" cm="1">
        <f t="array" aca="1" ref="J41" ca="1">IF(INDIRECT(_xlfn.CONCAT("'",IF(ISNUMBER(FIND("'",$A41))=TRUE,_xlfn.CONCAT(LEFT($A41,FIND("'",$A41)-1),"''",RIGHT($A41,LEN($A41)-FIND("'",$A41))),$A41),"'!B4"))&gt;=J$2,"d",IF(INDIRECT(_xlfn.CONCAT("'",IF(ISNUMBER(FIND("'",$A41))=TRUE,_xlfn.CONCAT(LEFT($A41,FIND("'",$A41)-1),"''",RIGHT($A41,LEN($A41)-FIND("'",$A41))),$A41),"'!B5"))&gt;=J$2,"i",""))</f>
        <v>d</v>
      </c>
      <c r="K41" s="1" t="str" cm="1">
        <f t="array" aca="1" ref="K41" ca="1">IF(INDIRECT(_xlfn.CONCAT("'",IF(ISNUMBER(FIND("'",$A41))=TRUE,_xlfn.CONCAT(LEFT($A41,FIND("'",$A41)-1),"''",RIGHT($A41,LEN($A41)-FIND("'",$A41))),$A41),"'!B4"))&gt;=K$2,"d",IF(INDIRECT(_xlfn.CONCAT("'",IF(ISNUMBER(FIND("'",$A41))=TRUE,_xlfn.CONCAT(LEFT($A41,FIND("'",$A41)-1),"''",RIGHT($A41,LEN($A41)-FIND("'",$A41))),$A41),"'!B5"))&gt;=K$2,"i",""))</f>
        <v>d</v>
      </c>
      <c r="L41" s="1" t="str" cm="1">
        <f t="array" aca="1" ref="L41" ca="1">IF(INDIRECT(_xlfn.CONCAT("'",IF(ISNUMBER(FIND("'",$A41))=TRUE,_xlfn.CONCAT(LEFT($A41,FIND("'",$A41)-1),"''",RIGHT($A41,LEN($A41)-FIND("'",$A41))),$A41),"'!B4"))&gt;=L$2,"d",IF(INDIRECT(_xlfn.CONCAT("'",IF(ISNUMBER(FIND("'",$A41))=TRUE,_xlfn.CONCAT(LEFT($A41,FIND("'",$A41)-1),"''",RIGHT($A41,LEN($A41)-FIND("'",$A41))),$A41),"'!B5"))&gt;=L$2,"i",""))</f>
        <v>d</v>
      </c>
      <c r="M41" s="4" t="str" cm="1">
        <f t="array" aca="1" ref="M41" ca="1">IF(INDIRECT(_xlfn.CONCAT("'",IF(ISNUMBER(FIND("'",$A41))=TRUE,_xlfn.CONCAT(LEFT($A41,FIND("'",$A41)-1),"''",RIGHT($A41,LEN($A41)-FIND("'",$A41))),$A41),"'!B4"))&gt;=M$2,"d",IF(INDIRECT(_xlfn.CONCAT("'",IF(ISNUMBER(FIND("'",$A41))=TRUE,_xlfn.CONCAT(LEFT($A41,FIND("'",$A41)-1),"''",RIGHT($A41,LEN($A41)-FIND("'",$A41))),$A41),"'!B5"))&gt;=M$2,"i",""))</f>
        <v>d</v>
      </c>
      <c r="N41" s="95"/>
      <c r="O41" s="14" t="str" cm="1">
        <f t="array" aca="1" ref="O41" ca="1">IF(INDIRECT(_xlfn.CONCAT("'",IF(ISNUMBER(FIND("'",$A41))=TRUE,_xlfn.CONCAT(LEFT($A41,FIND("'",$A41)-1),"''",RIGHT($A41,LEN($A41)-FIND("'",$A41))),$A41),"'!C10"))&gt;=O$2,"d",IF(INDIRECT(_xlfn.CONCAT("'",IF(ISNUMBER(FIND("'",$A41))=TRUE,_xlfn.CONCAT(LEFT($A41,FIND("'",$A41)-1),"''",RIGHT($A41,LEN($A41)-FIND("'",$A41))),$A41),"'!C11"))&gt;=O$2,"i",""))</f>
        <v>d</v>
      </c>
      <c r="P41" s="1" t="str" cm="1">
        <f t="array" aca="1" ref="P41" ca="1">IF(INDIRECT(_xlfn.CONCAT("'",IF(ISNUMBER(FIND("'",$A41))=TRUE,_xlfn.CONCAT(LEFT($A41,FIND("'",$A41)-1),"''",RIGHT($A41,LEN($A41)-FIND("'",$A41))),$A41),"'!C10"))&gt;=P$2,"d",IF(INDIRECT(_xlfn.CONCAT("'",IF(ISNUMBER(FIND("'",$A41))=TRUE,_xlfn.CONCAT(LEFT($A41,FIND("'",$A41)-1),"''",RIGHT($A41,LEN($A41)-FIND("'",$A41))),$A41),"'!C11"))&gt;=P$2,"i",""))</f>
        <v>d</v>
      </c>
      <c r="Q41" s="1" t="str" cm="1">
        <f t="array" aca="1" ref="Q41" ca="1">IF(INDIRECT(_xlfn.CONCAT("'",IF(ISNUMBER(FIND("'",$A41))=TRUE,_xlfn.CONCAT(LEFT($A41,FIND("'",$A41)-1),"''",RIGHT($A41,LEN($A41)-FIND("'",$A41))),$A41),"'!C10"))&gt;=Q$2,"d",IF(INDIRECT(_xlfn.CONCAT("'",IF(ISNUMBER(FIND("'",$A41))=TRUE,_xlfn.CONCAT(LEFT($A41,FIND("'",$A41)-1),"''",RIGHT($A41,LEN($A41)-FIND("'",$A41))),$A41),"'!C11"))&gt;=Q$2,"i",""))</f>
        <v>d</v>
      </c>
      <c r="R41" s="1" t="str" cm="1">
        <f t="array" aca="1" ref="R41" ca="1">IF(INDIRECT(_xlfn.CONCAT("'",IF(ISNUMBER(FIND("'",$A41))=TRUE,_xlfn.CONCAT(LEFT($A41,FIND("'",$A41)-1),"''",RIGHT($A41,LEN($A41)-FIND("'",$A41))),$A41),"'!C10"))&gt;=R$2,"d",IF(INDIRECT(_xlfn.CONCAT("'",IF(ISNUMBER(FIND("'",$A41))=TRUE,_xlfn.CONCAT(LEFT($A41,FIND("'",$A41)-1),"''",RIGHT($A41,LEN($A41)-FIND("'",$A41))),$A41),"'!C11"))&gt;=R$2,"i",""))</f>
        <v>d</v>
      </c>
      <c r="S41" s="1" t="str" cm="1">
        <f t="array" aca="1" ref="S41" ca="1">IF(INDIRECT(_xlfn.CONCAT("'",IF(ISNUMBER(FIND("'",$A41))=TRUE,_xlfn.CONCAT(LEFT($A41,FIND("'",$A41)-1),"''",RIGHT($A41,LEN($A41)-FIND("'",$A41))),$A41),"'!C10"))&gt;=S$2,"d",IF(INDIRECT(_xlfn.CONCAT("'",IF(ISNUMBER(FIND("'",$A41))=TRUE,_xlfn.CONCAT(LEFT($A41,FIND("'",$A41)-1),"''",RIGHT($A41,LEN($A41)-FIND("'",$A41))),$A41),"'!C11"))&gt;=S$2,"i",""))</f>
        <v>d</v>
      </c>
      <c r="T41" s="4" t="str" cm="1">
        <f t="array" aca="1" ref="T41" ca="1">IF(INDIRECT(_xlfn.CONCAT("'",IF(ISNUMBER(FIND("'",$A41))=TRUE,_xlfn.CONCAT(LEFT($A41,FIND("'",$A41)-1),"''",RIGHT($A41,LEN($A41)-FIND("'",$A41))),$A41),"'!C10"))&gt;=T$2,"d",IF(INDIRECT(_xlfn.CONCAT("'",IF(ISNUMBER(FIND("'",$A41))=TRUE,_xlfn.CONCAT(LEFT($A41,FIND("'",$A41)-1),"''",RIGHT($A41,LEN($A41)-FIND("'",$A41))),$A41),"'!C11"))&gt;=T$2,"i",""))</f>
        <v>d</v>
      </c>
    </row>
    <row r="42" spans="1:20" hidden="1" x14ac:dyDescent="0.25">
      <c r="A42" s="54" t="str">
        <v>Blackcliff Longsword</v>
      </c>
      <c r="B42" s="14" cm="1">
        <f t="array" ref="B42">_xlfn.XLOOKUP(A42,INDEX(Weapon_List,,1),INDEX(Weapon_List,,3),,0,1)</f>
        <v>4</v>
      </c>
      <c r="C42" s="4" t="str" cm="1">
        <f t="array" ref="C42">_xlfn.XLOOKUP(A42,INDEX(Weapon_List,,1),INDEX(Weapon_List,,2),,0,1)</f>
        <v>Sword</v>
      </c>
      <c r="D42" s="38" t="str" cm="1">
        <f t="array" ref="D42">_xlfn.XLOOKUP(A42,INDEX(Weapon_List,,1),INDEX(Weapon_List,,4),,0,1)</f>
        <v>Liyue 1</v>
      </c>
      <c r="E42" s="38" t="str" cm="1">
        <f t="array" ref="E42">_xlfn.XLOOKUP(A42,INDEX(Weapon_List,,1),INDEX(Weapon_List,,5),,0,1)</f>
        <v>Hilichurl Shooter</v>
      </c>
      <c r="F42" s="38" t="str" cm="1">
        <f t="array" ref="F42">_xlfn.XLOOKUP(A42,INDEX(Weapon_List,,1),INDEX(Weapon_List,,6),,0,1)</f>
        <v>Fatui Agent</v>
      </c>
      <c r="G42" s="14" t="str" cm="1">
        <f t="array" aca="1" ref="G42" ca="1">IF(INDIRECT(_xlfn.CONCAT("'",IF(ISNUMBER(FIND("'",$A42))=TRUE,_xlfn.CONCAT(LEFT($A42,FIND("'",$A42)-1),"''",RIGHT($A42,LEN($A42)-FIND("'",$A42))),$A42),"'!B4"))&gt;=G$2,"d",IF(INDIRECT(_xlfn.CONCAT("'",IF(ISNUMBER(FIND("'",$A42))=TRUE,_xlfn.CONCAT(LEFT($A42,FIND("'",$A42)-1),"''",RIGHT($A42,LEN($A42)-FIND("'",$A42))),$A42),"'!B5"))&gt;=G$2,"i",""))</f>
        <v>d</v>
      </c>
      <c r="H42" s="1" t="str" cm="1">
        <f t="array" aca="1" ref="H42" ca="1">IF(INDIRECT(_xlfn.CONCAT("'",IF(ISNUMBER(FIND("'",$A42))=TRUE,_xlfn.CONCAT(LEFT($A42,FIND("'",$A42)-1),"''",RIGHT($A42,LEN($A42)-FIND("'",$A42))),$A42),"'!B4"))&gt;=H$2,"d",IF(INDIRECT(_xlfn.CONCAT("'",IF(ISNUMBER(FIND("'",$A42))=TRUE,_xlfn.CONCAT(LEFT($A42,FIND("'",$A42)-1),"''",RIGHT($A42,LEN($A42)-FIND("'",$A42))),$A42),"'!B5"))&gt;=H$2,"i",""))</f>
        <v>d</v>
      </c>
      <c r="I42" s="1" t="str" cm="1">
        <f t="array" aca="1" ref="I42" ca="1">IF(INDIRECT(_xlfn.CONCAT("'",IF(ISNUMBER(FIND("'",$A42))=TRUE,_xlfn.CONCAT(LEFT($A42,FIND("'",$A42)-1),"''",RIGHT($A42,LEN($A42)-FIND("'",$A42))),$A42),"'!B4"))&gt;=I$2,"d",IF(INDIRECT(_xlfn.CONCAT("'",IF(ISNUMBER(FIND("'",$A42))=TRUE,_xlfn.CONCAT(LEFT($A42,FIND("'",$A42)-1),"''",RIGHT($A42,LEN($A42)-FIND("'",$A42))),$A42),"'!B5"))&gt;=I$2,"i",""))</f>
        <v>d</v>
      </c>
      <c r="J42" s="1" t="str" cm="1">
        <f t="array" aca="1" ref="J42" ca="1">IF(INDIRECT(_xlfn.CONCAT("'",IF(ISNUMBER(FIND("'",$A42))=TRUE,_xlfn.CONCAT(LEFT($A42,FIND("'",$A42)-1),"''",RIGHT($A42,LEN($A42)-FIND("'",$A42))),$A42),"'!B4"))&gt;=J$2,"d",IF(INDIRECT(_xlfn.CONCAT("'",IF(ISNUMBER(FIND("'",$A42))=TRUE,_xlfn.CONCAT(LEFT($A42,FIND("'",$A42)-1),"''",RIGHT($A42,LEN($A42)-FIND("'",$A42))),$A42),"'!B5"))&gt;=J$2,"i",""))</f>
        <v>d</v>
      </c>
      <c r="K42" s="1" t="str" cm="1">
        <f t="array" aca="1" ref="K42" ca="1">IF(INDIRECT(_xlfn.CONCAT("'",IF(ISNUMBER(FIND("'",$A42))=TRUE,_xlfn.CONCAT(LEFT($A42,FIND("'",$A42)-1),"''",RIGHT($A42,LEN($A42)-FIND("'",$A42))),$A42),"'!B4"))&gt;=K$2,"d",IF(INDIRECT(_xlfn.CONCAT("'",IF(ISNUMBER(FIND("'",$A42))=TRUE,_xlfn.CONCAT(LEFT($A42,FIND("'",$A42)-1),"''",RIGHT($A42,LEN($A42)-FIND("'",$A42))),$A42),"'!B5"))&gt;=K$2,"i",""))</f>
        <v>d</v>
      </c>
      <c r="L42" s="1" t="str" cm="1">
        <f t="array" aca="1" ref="L42" ca="1">IF(INDIRECT(_xlfn.CONCAT("'",IF(ISNUMBER(FIND("'",$A42))=TRUE,_xlfn.CONCAT(LEFT($A42,FIND("'",$A42)-1),"''",RIGHT($A42,LEN($A42)-FIND("'",$A42))),$A42),"'!B4"))&gt;=L$2,"d",IF(INDIRECT(_xlfn.CONCAT("'",IF(ISNUMBER(FIND("'",$A42))=TRUE,_xlfn.CONCAT(LEFT($A42,FIND("'",$A42)-1),"''",RIGHT($A42,LEN($A42)-FIND("'",$A42))),$A42),"'!B5"))&gt;=L$2,"i",""))</f>
        <v>d</v>
      </c>
      <c r="M42" s="4" t="str" cm="1">
        <f t="array" aca="1" ref="M42" ca="1">IF(INDIRECT(_xlfn.CONCAT("'",IF(ISNUMBER(FIND("'",$A42))=TRUE,_xlfn.CONCAT(LEFT($A42,FIND("'",$A42)-1),"''",RIGHT($A42,LEN($A42)-FIND("'",$A42))),$A42),"'!B4"))&gt;=M$2,"d",IF(INDIRECT(_xlfn.CONCAT("'",IF(ISNUMBER(FIND("'",$A42))=TRUE,_xlfn.CONCAT(LEFT($A42,FIND("'",$A42)-1),"''",RIGHT($A42,LEN($A42)-FIND("'",$A42))),$A42),"'!B5"))&gt;=M$2,"i",""))</f>
        <v>d</v>
      </c>
      <c r="N42" s="95"/>
      <c r="O42" s="14" t="str" cm="1">
        <f t="array" aca="1" ref="O42" ca="1">IF(INDIRECT(_xlfn.CONCAT("'",IF(ISNUMBER(FIND("'",$A42))=TRUE,_xlfn.CONCAT(LEFT($A42,FIND("'",$A42)-1),"''",RIGHT($A42,LEN($A42)-FIND("'",$A42))),$A42),"'!C10"))&gt;=O$2,"d",IF(INDIRECT(_xlfn.CONCAT("'",IF(ISNUMBER(FIND("'",$A42))=TRUE,_xlfn.CONCAT(LEFT($A42,FIND("'",$A42)-1),"''",RIGHT($A42,LEN($A42)-FIND("'",$A42))),$A42),"'!C11"))&gt;=O$2,"i",""))</f>
        <v>d</v>
      </c>
      <c r="P42" s="1" t="str" cm="1">
        <f t="array" aca="1" ref="P42" ca="1">IF(INDIRECT(_xlfn.CONCAT("'",IF(ISNUMBER(FIND("'",$A42))=TRUE,_xlfn.CONCAT(LEFT($A42,FIND("'",$A42)-1),"''",RIGHT($A42,LEN($A42)-FIND("'",$A42))),$A42),"'!C10"))&gt;=P$2,"d",IF(INDIRECT(_xlfn.CONCAT("'",IF(ISNUMBER(FIND("'",$A42))=TRUE,_xlfn.CONCAT(LEFT($A42,FIND("'",$A42)-1),"''",RIGHT($A42,LEN($A42)-FIND("'",$A42))),$A42),"'!C11"))&gt;=P$2,"i",""))</f>
        <v>d</v>
      </c>
      <c r="Q42" s="1" t="str" cm="1">
        <f t="array" aca="1" ref="Q42" ca="1">IF(INDIRECT(_xlfn.CONCAT("'",IF(ISNUMBER(FIND("'",$A42))=TRUE,_xlfn.CONCAT(LEFT($A42,FIND("'",$A42)-1),"''",RIGHT($A42,LEN($A42)-FIND("'",$A42))),$A42),"'!C10"))&gt;=Q$2,"d",IF(INDIRECT(_xlfn.CONCAT("'",IF(ISNUMBER(FIND("'",$A42))=TRUE,_xlfn.CONCAT(LEFT($A42,FIND("'",$A42)-1),"''",RIGHT($A42,LEN($A42)-FIND("'",$A42))),$A42),"'!C11"))&gt;=Q$2,"i",""))</f>
        <v>d</v>
      </c>
      <c r="R42" s="1" t="str" cm="1">
        <f t="array" aca="1" ref="R42" ca="1">IF(INDIRECT(_xlfn.CONCAT("'",IF(ISNUMBER(FIND("'",$A42))=TRUE,_xlfn.CONCAT(LEFT($A42,FIND("'",$A42)-1),"''",RIGHT($A42,LEN($A42)-FIND("'",$A42))),$A42),"'!C10"))&gt;=R$2,"d",IF(INDIRECT(_xlfn.CONCAT("'",IF(ISNUMBER(FIND("'",$A42))=TRUE,_xlfn.CONCAT(LEFT($A42,FIND("'",$A42)-1),"''",RIGHT($A42,LEN($A42)-FIND("'",$A42))),$A42),"'!C11"))&gt;=R$2,"i",""))</f>
        <v>d</v>
      </c>
      <c r="S42" s="1" t="str" cm="1">
        <f t="array" aca="1" ref="S42" ca="1">IF(INDIRECT(_xlfn.CONCAT("'",IF(ISNUMBER(FIND("'",$A42))=TRUE,_xlfn.CONCAT(LEFT($A42,FIND("'",$A42)-1),"''",RIGHT($A42,LEN($A42)-FIND("'",$A42))),$A42),"'!C10"))&gt;=S$2,"d",IF(INDIRECT(_xlfn.CONCAT("'",IF(ISNUMBER(FIND("'",$A42))=TRUE,_xlfn.CONCAT(LEFT($A42,FIND("'",$A42)-1),"''",RIGHT($A42,LEN($A42)-FIND("'",$A42))),$A42),"'!C11"))&gt;=S$2,"i",""))</f>
        <v>d</v>
      </c>
      <c r="T42" s="4" t="str" cm="1">
        <f t="array" aca="1" ref="T42" ca="1">IF(INDIRECT(_xlfn.CONCAT("'",IF(ISNUMBER(FIND("'",$A42))=TRUE,_xlfn.CONCAT(LEFT($A42,FIND("'",$A42)-1),"''",RIGHT($A42,LEN($A42)-FIND("'",$A42))),$A42),"'!C10"))&gt;=T$2,"d",IF(INDIRECT(_xlfn.CONCAT("'",IF(ISNUMBER(FIND("'",$A42))=TRUE,_xlfn.CONCAT(LEFT($A42,FIND("'",$A42)-1),"''",RIGHT($A42,LEN($A42)-FIND("'",$A42))),$A42),"'!C11"))&gt;=T$2,"i",""))</f>
        <v>d</v>
      </c>
    </row>
    <row r="43" spans="1:20" hidden="1" x14ac:dyDescent="0.25">
      <c r="A43" s="54" t="str">
        <v>Blackcliff Slasher</v>
      </c>
      <c r="B43" s="14" cm="1">
        <f t="array" ref="B43">_xlfn.XLOOKUP(A43,INDEX(Weapon_List,,1),INDEX(Weapon_List,,3),,0,1)</f>
        <v>4</v>
      </c>
      <c r="C43" s="4" t="str" cm="1">
        <f t="array" ref="C43">_xlfn.XLOOKUP(A43,INDEX(Weapon_List,,1),INDEX(Weapon_List,,2),,0,1)</f>
        <v>Claymore</v>
      </c>
      <c r="D43" s="38" t="str" cm="1">
        <f t="array" ref="D43">_xlfn.XLOOKUP(A43,INDEX(Weapon_List,,1),INDEX(Weapon_List,,4),,0,1)</f>
        <v>Liyue 2</v>
      </c>
      <c r="E43" s="38" t="str" cm="1">
        <f t="array" ref="E43">_xlfn.XLOOKUP(A43,INDEX(Weapon_List,,1),INDEX(Weapon_List,,5),,0,1)</f>
        <v>Fatui</v>
      </c>
      <c r="F43" s="38" t="str" cm="1">
        <f t="array" ref="F43">_xlfn.XLOOKUP(A43,INDEX(Weapon_List,,1),INDEX(Weapon_List,,6),,0,1)</f>
        <v>Fatui Cicin Mage</v>
      </c>
      <c r="G43" s="14" t="str" cm="1">
        <f t="array" aca="1" ref="G43" ca="1">IF(INDIRECT(_xlfn.CONCAT("'",IF(ISNUMBER(FIND("'",$A43))=TRUE,_xlfn.CONCAT(LEFT($A43,FIND("'",$A43)-1),"''",RIGHT($A43,LEN($A43)-FIND("'",$A43))),$A43),"'!B4"))&gt;=G$2,"d",IF(INDIRECT(_xlfn.CONCAT("'",IF(ISNUMBER(FIND("'",$A43))=TRUE,_xlfn.CONCAT(LEFT($A43,FIND("'",$A43)-1),"''",RIGHT($A43,LEN($A43)-FIND("'",$A43))),$A43),"'!B5"))&gt;=G$2,"i",""))</f>
        <v>d</v>
      </c>
      <c r="H43" s="1" t="str" cm="1">
        <f t="array" aca="1" ref="H43" ca="1">IF(INDIRECT(_xlfn.CONCAT("'",IF(ISNUMBER(FIND("'",$A43))=TRUE,_xlfn.CONCAT(LEFT($A43,FIND("'",$A43)-1),"''",RIGHT($A43,LEN($A43)-FIND("'",$A43))),$A43),"'!B4"))&gt;=H$2,"d",IF(INDIRECT(_xlfn.CONCAT("'",IF(ISNUMBER(FIND("'",$A43))=TRUE,_xlfn.CONCAT(LEFT($A43,FIND("'",$A43)-1),"''",RIGHT($A43,LEN($A43)-FIND("'",$A43))),$A43),"'!B5"))&gt;=H$2,"i",""))</f>
        <v>d</v>
      </c>
      <c r="I43" s="1" t="str" cm="1">
        <f t="array" aca="1" ref="I43" ca="1">IF(INDIRECT(_xlfn.CONCAT("'",IF(ISNUMBER(FIND("'",$A43))=TRUE,_xlfn.CONCAT(LEFT($A43,FIND("'",$A43)-1),"''",RIGHT($A43,LEN($A43)-FIND("'",$A43))),$A43),"'!B4"))&gt;=I$2,"d",IF(INDIRECT(_xlfn.CONCAT("'",IF(ISNUMBER(FIND("'",$A43))=TRUE,_xlfn.CONCAT(LEFT($A43,FIND("'",$A43)-1),"''",RIGHT($A43,LEN($A43)-FIND("'",$A43))),$A43),"'!B5"))&gt;=I$2,"i",""))</f>
        <v>d</v>
      </c>
      <c r="J43" s="1" t="str" cm="1">
        <f t="array" aca="1" ref="J43" ca="1">IF(INDIRECT(_xlfn.CONCAT("'",IF(ISNUMBER(FIND("'",$A43))=TRUE,_xlfn.CONCAT(LEFT($A43,FIND("'",$A43)-1),"''",RIGHT($A43,LEN($A43)-FIND("'",$A43))),$A43),"'!B4"))&gt;=J$2,"d",IF(INDIRECT(_xlfn.CONCAT("'",IF(ISNUMBER(FIND("'",$A43))=TRUE,_xlfn.CONCAT(LEFT($A43,FIND("'",$A43)-1),"''",RIGHT($A43,LEN($A43)-FIND("'",$A43))),$A43),"'!B5"))&gt;=J$2,"i",""))</f>
        <v>d</v>
      </c>
      <c r="K43" s="1" t="str" cm="1">
        <f t="array" aca="1" ref="K43" ca="1">IF(INDIRECT(_xlfn.CONCAT("'",IF(ISNUMBER(FIND("'",$A43))=TRUE,_xlfn.CONCAT(LEFT($A43,FIND("'",$A43)-1),"''",RIGHT($A43,LEN($A43)-FIND("'",$A43))),$A43),"'!B4"))&gt;=K$2,"d",IF(INDIRECT(_xlfn.CONCAT("'",IF(ISNUMBER(FIND("'",$A43))=TRUE,_xlfn.CONCAT(LEFT($A43,FIND("'",$A43)-1),"''",RIGHT($A43,LEN($A43)-FIND("'",$A43))),$A43),"'!B5"))&gt;=K$2,"i",""))</f>
        <v>d</v>
      </c>
      <c r="L43" s="1" t="str" cm="1">
        <f t="array" aca="1" ref="L43" ca="1">IF(INDIRECT(_xlfn.CONCAT("'",IF(ISNUMBER(FIND("'",$A43))=TRUE,_xlfn.CONCAT(LEFT($A43,FIND("'",$A43)-1),"''",RIGHT($A43,LEN($A43)-FIND("'",$A43))),$A43),"'!B4"))&gt;=L$2,"d",IF(INDIRECT(_xlfn.CONCAT("'",IF(ISNUMBER(FIND("'",$A43))=TRUE,_xlfn.CONCAT(LEFT($A43,FIND("'",$A43)-1),"''",RIGHT($A43,LEN($A43)-FIND("'",$A43))),$A43),"'!B5"))&gt;=L$2,"i",""))</f>
        <v>d</v>
      </c>
      <c r="M43" s="4" t="str" cm="1">
        <f t="array" aca="1" ref="M43" ca="1">IF(INDIRECT(_xlfn.CONCAT("'",IF(ISNUMBER(FIND("'",$A43))=TRUE,_xlfn.CONCAT(LEFT($A43,FIND("'",$A43)-1),"''",RIGHT($A43,LEN($A43)-FIND("'",$A43))),$A43),"'!B4"))&gt;=M$2,"d",IF(INDIRECT(_xlfn.CONCAT("'",IF(ISNUMBER(FIND("'",$A43))=TRUE,_xlfn.CONCAT(LEFT($A43,FIND("'",$A43)-1),"''",RIGHT($A43,LEN($A43)-FIND("'",$A43))),$A43),"'!B5"))&gt;=M$2,"i",""))</f>
        <v>d</v>
      </c>
      <c r="N43" s="95"/>
      <c r="O43" s="14" t="str" cm="1">
        <f t="array" aca="1" ref="O43" ca="1">IF(INDIRECT(_xlfn.CONCAT("'",IF(ISNUMBER(FIND("'",$A43))=TRUE,_xlfn.CONCAT(LEFT($A43,FIND("'",$A43)-1),"''",RIGHT($A43,LEN($A43)-FIND("'",$A43))),$A43),"'!C10"))&gt;=O$2,"d",IF(INDIRECT(_xlfn.CONCAT("'",IF(ISNUMBER(FIND("'",$A43))=TRUE,_xlfn.CONCAT(LEFT($A43,FIND("'",$A43)-1),"''",RIGHT($A43,LEN($A43)-FIND("'",$A43))),$A43),"'!C11"))&gt;=O$2,"i",""))</f>
        <v>d</v>
      </c>
      <c r="P43" s="1" t="str" cm="1">
        <f t="array" aca="1" ref="P43" ca="1">IF(INDIRECT(_xlfn.CONCAT("'",IF(ISNUMBER(FIND("'",$A43))=TRUE,_xlfn.CONCAT(LEFT($A43,FIND("'",$A43)-1),"''",RIGHT($A43,LEN($A43)-FIND("'",$A43))),$A43),"'!C10"))&gt;=P$2,"d",IF(INDIRECT(_xlfn.CONCAT("'",IF(ISNUMBER(FIND("'",$A43))=TRUE,_xlfn.CONCAT(LEFT($A43,FIND("'",$A43)-1),"''",RIGHT($A43,LEN($A43)-FIND("'",$A43))),$A43),"'!C11"))&gt;=P$2,"i",""))</f>
        <v>d</v>
      </c>
      <c r="Q43" s="1" t="str" cm="1">
        <f t="array" aca="1" ref="Q43" ca="1">IF(INDIRECT(_xlfn.CONCAT("'",IF(ISNUMBER(FIND("'",$A43))=TRUE,_xlfn.CONCAT(LEFT($A43,FIND("'",$A43)-1),"''",RIGHT($A43,LEN($A43)-FIND("'",$A43))),$A43),"'!C10"))&gt;=Q$2,"d",IF(INDIRECT(_xlfn.CONCAT("'",IF(ISNUMBER(FIND("'",$A43))=TRUE,_xlfn.CONCAT(LEFT($A43,FIND("'",$A43)-1),"''",RIGHT($A43,LEN($A43)-FIND("'",$A43))),$A43),"'!C11"))&gt;=Q$2,"i",""))</f>
        <v>d</v>
      </c>
      <c r="R43" s="1" t="str" cm="1">
        <f t="array" aca="1" ref="R43" ca="1">IF(INDIRECT(_xlfn.CONCAT("'",IF(ISNUMBER(FIND("'",$A43))=TRUE,_xlfn.CONCAT(LEFT($A43,FIND("'",$A43)-1),"''",RIGHT($A43,LEN($A43)-FIND("'",$A43))),$A43),"'!C10"))&gt;=R$2,"d",IF(INDIRECT(_xlfn.CONCAT("'",IF(ISNUMBER(FIND("'",$A43))=TRUE,_xlfn.CONCAT(LEFT($A43,FIND("'",$A43)-1),"''",RIGHT($A43,LEN($A43)-FIND("'",$A43))),$A43),"'!C11"))&gt;=R$2,"i",""))</f>
        <v>d</v>
      </c>
      <c r="S43" s="1" t="str" cm="1">
        <f t="array" aca="1" ref="S43" ca="1">IF(INDIRECT(_xlfn.CONCAT("'",IF(ISNUMBER(FIND("'",$A43))=TRUE,_xlfn.CONCAT(LEFT($A43,FIND("'",$A43)-1),"''",RIGHT($A43,LEN($A43)-FIND("'",$A43))),$A43),"'!C10"))&gt;=S$2,"d",IF(INDIRECT(_xlfn.CONCAT("'",IF(ISNUMBER(FIND("'",$A43))=TRUE,_xlfn.CONCAT(LEFT($A43,FIND("'",$A43)-1),"''",RIGHT($A43,LEN($A43)-FIND("'",$A43))),$A43),"'!C11"))&gt;=S$2,"i",""))</f>
        <v>d</v>
      </c>
      <c r="T43" s="4" t="str" cm="1">
        <f t="array" aca="1" ref="T43" ca="1">IF(INDIRECT(_xlfn.CONCAT("'",IF(ISNUMBER(FIND("'",$A43))=TRUE,_xlfn.CONCAT(LEFT($A43,FIND("'",$A43)-1),"''",RIGHT($A43,LEN($A43)-FIND("'",$A43))),$A43),"'!C10"))&gt;=T$2,"d",IF(INDIRECT(_xlfn.CONCAT("'",IF(ISNUMBER(FIND("'",$A43))=TRUE,_xlfn.CONCAT(LEFT($A43,FIND("'",$A43)-1),"''",RIGHT($A43,LEN($A43)-FIND("'",$A43))),$A43),"'!C11"))&gt;=T$2,"i",""))</f>
        <v>d</v>
      </c>
    </row>
    <row r="44" spans="1:20" hidden="1" x14ac:dyDescent="0.25">
      <c r="A44" s="54" t="str">
        <v>Blackcliff Pole</v>
      </c>
      <c r="B44" s="14" cm="1">
        <f t="array" ref="B44">_xlfn.XLOOKUP(A44,INDEX(Weapon_List,,1),INDEX(Weapon_List,,3),,0,1)</f>
        <v>4</v>
      </c>
      <c r="C44" s="4" t="str" cm="1">
        <f t="array" ref="C44">_xlfn.XLOOKUP(A44,INDEX(Weapon_List,,1),INDEX(Weapon_List,,2),,0,1)</f>
        <v>Polearm</v>
      </c>
      <c r="D44" s="38" t="str" cm="1">
        <f t="array" ref="D44">_xlfn.XLOOKUP(A44,INDEX(Weapon_List,,1),INDEX(Weapon_List,,4),,0,1)</f>
        <v>Liyue 2</v>
      </c>
      <c r="E44" s="38" t="str" cm="1">
        <f t="array" ref="E44">_xlfn.XLOOKUP(A44,INDEX(Weapon_List,,1),INDEX(Weapon_List,,5),,0,1)</f>
        <v>Fatui</v>
      </c>
      <c r="F44" s="38" t="str" cm="1">
        <f t="array" ref="F44">_xlfn.XLOOKUP(A44,INDEX(Weapon_List,,1),INDEX(Weapon_List,,6),,0,1)</f>
        <v>Fatui Cicin Mage</v>
      </c>
      <c r="G44" s="14" t="str" cm="1">
        <f t="array" aca="1" ref="G44" ca="1">IF(INDIRECT(_xlfn.CONCAT("'",IF(ISNUMBER(FIND("'",$A44))=TRUE,_xlfn.CONCAT(LEFT($A44,FIND("'",$A44)-1),"''",RIGHT($A44,LEN($A44)-FIND("'",$A44))),$A44),"'!B4"))&gt;=G$2,"d",IF(INDIRECT(_xlfn.CONCAT("'",IF(ISNUMBER(FIND("'",$A44))=TRUE,_xlfn.CONCAT(LEFT($A44,FIND("'",$A44)-1),"''",RIGHT($A44,LEN($A44)-FIND("'",$A44))),$A44),"'!B5"))&gt;=G$2,"i",""))</f>
        <v>d</v>
      </c>
      <c r="H44" s="1" t="str" cm="1">
        <f t="array" aca="1" ref="H44" ca="1">IF(INDIRECT(_xlfn.CONCAT("'",IF(ISNUMBER(FIND("'",$A44))=TRUE,_xlfn.CONCAT(LEFT($A44,FIND("'",$A44)-1),"''",RIGHT($A44,LEN($A44)-FIND("'",$A44))),$A44),"'!B4"))&gt;=H$2,"d",IF(INDIRECT(_xlfn.CONCAT("'",IF(ISNUMBER(FIND("'",$A44))=TRUE,_xlfn.CONCAT(LEFT($A44,FIND("'",$A44)-1),"''",RIGHT($A44,LEN($A44)-FIND("'",$A44))),$A44),"'!B5"))&gt;=H$2,"i",""))</f>
        <v>d</v>
      </c>
      <c r="I44" s="1" t="str" cm="1">
        <f t="array" aca="1" ref="I44" ca="1">IF(INDIRECT(_xlfn.CONCAT("'",IF(ISNUMBER(FIND("'",$A44))=TRUE,_xlfn.CONCAT(LEFT($A44,FIND("'",$A44)-1),"''",RIGHT($A44,LEN($A44)-FIND("'",$A44))),$A44),"'!B4"))&gt;=I$2,"d",IF(INDIRECT(_xlfn.CONCAT("'",IF(ISNUMBER(FIND("'",$A44))=TRUE,_xlfn.CONCAT(LEFT($A44,FIND("'",$A44)-1),"''",RIGHT($A44,LEN($A44)-FIND("'",$A44))),$A44),"'!B5"))&gt;=I$2,"i",""))</f>
        <v>d</v>
      </c>
      <c r="J44" s="1" t="str" cm="1">
        <f t="array" aca="1" ref="J44" ca="1">IF(INDIRECT(_xlfn.CONCAT("'",IF(ISNUMBER(FIND("'",$A44))=TRUE,_xlfn.CONCAT(LEFT($A44,FIND("'",$A44)-1),"''",RIGHT($A44,LEN($A44)-FIND("'",$A44))),$A44),"'!B4"))&gt;=J$2,"d",IF(INDIRECT(_xlfn.CONCAT("'",IF(ISNUMBER(FIND("'",$A44))=TRUE,_xlfn.CONCAT(LEFT($A44,FIND("'",$A44)-1),"''",RIGHT($A44,LEN($A44)-FIND("'",$A44))),$A44),"'!B5"))&gt;=J$2,"i",""))</f>
        <v>d</v>
      </c>
      <c r="K44" s="1" t="str" cm="1">
        <f t="array" aca="1" ref="K44" ca="1">IF(INDIRECT(_xlfn.CONCAT("'",IF(ISNUMBER(FIND("'",$A44))=TRUE,_xlfn.CONCAT(LEFT($A44,FIND("'",$A44)-1),"''",RIGHT($A44,LEN($A44)-FIND("'",$A44))),$A44),"'!B4"))&gt;=K$2,"d",IF(INDIRECT(_xlfn.CONCAT("'",IF(ISNUMBER(FIND("'",$A44))=TRUE,_xlfn.CONCAT(LEFT($A44,FIND("'",$A44)-1),"''",RIGHT($A44,LEN($A44)-FIND("'",$A44))),$A44),"'!B5"))&gt;=K$2,"i",""))</f>
        <v>d</v>
      </c>
      <c r="L44" s="1" t="str" cm="1">
        <f t="array" aca="1" ref="L44" ca="1">IF(INDIRECT(_xlfn.CONCAT("'",IF(ISNUMBER(FIND("'",$A44))=TRUE,_xlfn.CONCAT(LEFT($A44,FIND("'",$A44)-1),"''",RIGHT($A44,LEN($A44)-FIND("'",$A44))),$A44),"'!B4"))&gt;=L$2,"d",IF(INDIRECT(_xlfn.CONCAT("'",IF(ISNUMBER(FIND("'",$A44))=TRUE,_xlfn.CONCAT(LEFT($A44,FIND("'",$A44)-1),"''",RIGHT($A44,LEN($A44)-FIND("'",$A44))),$A44),"'!B5"))&gt;=L$2,"i",""))</f>
        <v>d</v>
      </c>
      <c r="M44" s="4" t="str" cm="1">
        <f t="array" aca="1" ref="M44" ca="1">IF(INDIRECT(_xlfn.CONCAT("'",IF(ISNUMBER(FIND("'",$A44))=TRUE,_xlfn.CONCAT(LEFT($A44,FIND("'",$A44)-1),"''",RIGHT($A44,LEN($A44)-FIND("'",$A44))),$A44),"'!B4"))&gt;=M$2,"d",IF(INDIRECT(_xlfn.CONCAT("'",IF(ISNUMBER(FIND("'",$A44))=TRUE,_xlfn.CONCAT(LEFT($A44,FIND("'",$A44)-1),"''",RIGHT($A44,LEN($A44)-FIND("'",$A44))),$A44),"'!B5"))&gt;=M$2,"i",""))</f>
        <v>d</v>
      </c>
      <c r="N44" s="95"/>
      <c r="O44" s="14" t="str" cm="1">
        <f t="array" aca="1" ref="O44" ca="1">IF(INDIRECT(_xlfn.CONCAT("'",IF(ISNUMBER(FIND("'",$A44))=TRUE,_xlfn.CONCAT(LEFT($A44,FIND("'",$A44)-1),"''",RIGHT($A44,LEN($A44)-FIND("'",$A44))),$A44),"'!C10"))&gt;=O$2,"d",IF(INDIRECT(_xlfn.CONCAT("'",IF(ISNUMBER(FIND("'",$A44))=TRUE,_xlfn.CONCAT(LEFT($A44,FIND("'",$A44)-1),"''",RIGHT($A44,LEN($A44)-FIND("'",$A44))),$A44),"'!C11"))&gt;=O$2,"i",""))</f>
        <v>d</v>
      </c>
      <c r="P44" s="1" t="str" cm="1">
        <f t="array" aca="1" ref="P44" ca="1">IF(INDIRECT(_xlfn.CONCAT("'",IF(ISNUMBER(FIND("'",$A44))=TRUE,_xlfn.CONCAT(LEFT($A44,FIND("'",$A44)-1),"''",RIGHT($A44,LEN($A44)-FIND("'",$A44))),$A44),"'!C10"))&gt;=P$2,"d",IF(INDIRECT(_xlfn.CONCAT("'",IF(ISNUMBER(FIND("'",$A44))=TRUE,_xlfn.CONCAT(LEFT($A44,FIND("'",$A44)-1),"''",RIGHT($A44,LEN($A44)-FIND("'",$A44))),$A44),"'!C11"))&gt;=P$2,"i",""))</f>
        <v>d</v>
      </c>
      <c r="Q44" s="1" t="str" cm="1">
        <f t="array" aca="1" ref="Q44" ca="1">IF(INDIRECT(_xlfn.CONCAT("'",IF(ISNUMBER(FIND("'",$A44))=TRUE,_xlfn.CONCAT(LEFT($A44,FIND("'",$A44)-1),"''",RIGHT($A44,LEN($A44)-FIND("'",$A44))),$A44),"'!C10"))&gt;=Q$2,"d",IF(INDIRECT(_xlfn.CONCAT("'",IF(ISNUMBER(FIND("'",$A44))=TRUE,_xlfn.CONCAT(LEFT($A44,FIND("'",$A44)-1),"''",RIGHT($A44,LEN($A44)-FIND("'",$A44))),$A44),"'!C11"))&gt;=Q$2,"i",""))</f>
        <v>d</v>
      </c>
      <c r="R44" s="1" t="str" cm="1">
        <f t="array" aca="1" ref="R44" ca="1">IF(INDIRECT(_xlfn.CONCAT("'",IF(ISNUMBER(FIND("'",$A44))=TRUE,_xlfn.CONCAT(LEFT($A44,FIND("'",$A44)-1),"''",RIGHT($A44,LEN($A44)-FIND("'",$A44))),$A44),"'!C10"))&gt;=R$2,"d",IF(INDIRECT(_xlfn.CONCAT("'",IF(ISNUMBER(FIND("'",$A44))=TRUE,_xlfn.CONCAT(LEFT($A44,FIND("'",$A44)-1),"''",RIGHT($A44,LEN($A44)-FIND("'",$A44))),$A44),"'!C11"))&gt;=R$2,"i",""))</f>
        <v>d</v>
      </c>
      <c r="S44" s="1" t="str" cm="1">
        <f t="array" aca="1" ref="S44" ca="1">IF(INDIRECT(_xlfn.CONCAT("'",IF(ISNUMBER(FIND("'",$A44))=TRUE,_xlfn.CONCAT(LEFT($A44,FIND("'",$A44)-1),"''",RIGHT($A44,LEN($A44)-FIND("'",$A44))),$A44),"'!C10"))&gt;=S$2,"d",IF(INDIRECT(_xlfn.CONCAT("'",IF(ISNUMBER(FIND("'",$A44))=TRUE,_xlfn.CONCAT(LEFT($A44,FIND("'",$A44)-1),"''",RIGHT($A44,LEN($A44)-FIND("'",$A44))),$A44),"'!C11"))&gt;=S$2,"i",""))</f>
        <v>d</v>
      </c>
      <c r="T44" s="4" t="str" cm="1">
        <f t="array" aca="1" ref="T44" ca="1">IF(INDIRECT(_xlfn.CONCAT("'",IF(ISNUMBER(FIND("'",$A44))=TRUE,_xlfn.CONCAT(LEFT($A44,FIND("'",$A44)-1),"''",RIGHT($A44,LEN($A44)-FIND("'",$A44))),$A44),"'!C10"))&gt;=T$2,"d",IF(INDIRECT(_xlfn.CONCAT("'",IF(ISNUMBER(FIND("'",$A44))=TRUE,_xlfn.CONCAT(LEFT($A44,FIND("'",$A44)-1),"''",RIGHT($A44,LEN($A44)-FIND("'",$A44))),$A44),"'!C11"))&gt;=T$2,"i",""))</f>
        <v>d</v>
      </c>
    </row>
    <row r="45" spans="1:20" hidden="1" x14ac:dyDescent="0.25">
      <c r="A45" s="54" t="str">
        <v>Blackcliff Agate</v>
      </c>
      <c r="B45" s="14" cm="1">
        <f t="array" ref="B45">_xlfn.XLOOKUP(A45,INDEX(Weapon_List,,1),INDEX(Weapon_List,,3),,0,1)</f>
        <v>4</v>
      </c>
      <c r="C45" s="4" t="str" cm="1">
        <f t="array" ref="C45">_xlfn.XLOOKUP(A45,INDEX(Weapon_List,,1),INDEX(Weapon_List,,2),,0,1)</f>
        <v>Catalyst</v>
      </c>
      <c r="D45" s="38" t="str" cm="1">
        <f t="array" ref="D45">_xlfn.XLOOKUP(A45,INDEX(Weapon_List,,1),INDEX(Weapon_List,,4),,0,1)</f>
        <v>Liyue 1</v>
      </c>
      <c r="E45" s="38" t="str" cm="1">
        <f t="array" ref="E45">_xlfn.XLOOKUP(A45,INDEX(Weapon_List,,1),INDEX(Weapon_List,,5),,0,1)</f>
        <v>Samachurl</v>
      </c>
      <c r="F45" s="38" t="str" cm="1">
        <f t="array" ref="F45">_xlfn.XLOOKUP(A45,INDEX(Weapon_List,,1),INDEX(Weapon_List,,6),,0,1)</f>
        <v>Fatui Agent</v>
      </c>
      <c r="G45" s="14" t="str" cm="1">
        <f t="array" aca="1" ref="G45" ca="1">IF(INDIRECT(_xlfn.CONCAT("'",IF(ISNUMBER(FIND("'",$A45))=TRUE,_xlfn.CONCAT(LEFT($A45,FIND("'",$A45)-1),"''",RIGHT($A45,LEN($A45)-FIND("'",$A45))),$A45),"'!B4"))&gt;=G$2,"d",IF(INDIRECT(_xlfn.CONCAT("'",IF(ISNUMBER(FIND("'",$A45))=TRUE,_xlfn.CONCAT(LEFT($A45,FIND("'",$A45)-1),"''",RIGHT($A45,LEN($A45)-FIND("'",$A45))),$A45),"'!B5"))&gt;=G$2,"i",""))</f>
        <v>d</v>
      </c>
      <c r="H45" s="1" t="str" cm="1">
        <f t="array" aca="1" ref="H45" ca="1">IF(INDIRECT(_xlfn.CONCAT("'",IF(ISNUMBER(FIND("'",$A45))=TRUE,_xlfn.CONCAT(LEFT($A45,FIND("'",$A45)-1),"''",RIGHT($A45,LEN($A45)-FIND("'",$A45))),$A45),"'!B4"))&gt;=H$2,"d",IF(INDIRECT(_xlfn.CONCAT("'",IF(ISNUMBER(FIND("'",$A45))=TRUE,_xlfn.CONCAT(LEFT($A45,FIND("'",$A45)-1),"''",RIGHT($A45,LEN($A45)-FIND("'",$A45))),$A45),"'!B5"))&gt;=H$2,"i",""))</f>
        <v>d</v>
      </c>
      <c r="I45" s="1" t="str" cm="1">
        <f t="array" aca="1" ref="I45" ca="1">IF(INDIRECT(_xlfn.CONCAT("'",IF(ISNUMBER(FIND("'",$A45))=TRUE,_xlfn.CONCAT(LEFT($A45,FIND("'",$A45)-1),"''",RIGHT($A45,LEN($A45)-FIND("'",$A45))),$A45),"'!B4"))&gt;=I$2,"d",IF(INDIRECT(_xlfn.CONCAT("'",IF(ISNUMBER(FIND("'",$A45))=TRUE,_xlfn.CONCAT(LEFT($A45,FIND("'",$A45)-1),"''",RIGHT($A45,LEN($A45)-FIND("'",$A45))),$A45),"'!B5"))&gt;=I$2,"i",""))</f>
        <v>d</v>
      </c>
      <c r="J45" s="1" t="str" cm="1">
        <f t="array" aca="1" ref="J45" ca="1">IF(INDIRECT(_xlfn.CONCAT("'",IF(ISNUMBER(FIND("'",$A45))=TRUE,_xlfn.CONCAT(LEFT($A45,FIND("'",$A45)-1),"''",RIGHT($A45,LEN($A45)-FIND("'",$A45))),$A45),"'!B4"))&gt;=J$2,"d",IF(INDIRECT(_xlfn.CONCAT("'",IF(ISNUMBER(FIND("'",$A45))=TRUE,_xlfn.CONCAT(LEFT($A45,FIND("'",$A45)-1),"''",RIGHT($A45,LEN($A45)-FIND("'",$A45))),$A45),"'!B5"))&gt;=J$2,"i",""))</f>
        <v>d</v>
      </c>
      <c r="K45" s="1" t="str" cm="1">
        <f t="array" aca="1" ref="K45" ca="1">IF(INDIRECT(_xlfn.CONCAT("'",IF(ISNUMBER(FIND("'",$A45))=TRUE,_xlfn.CONCAT(LEFT($A45,FIND("'",$A45)-1),"''",RIGHT($A45,LEN($A45)-FIND("'",$A45))),$A45),"'!B4"))&gt;=K$2,"d",IF(INDIRECT(_xlfn.CONCAT("'",IF(ISNUMBER(FIND("'",$A45))=TRUE,_xlfn.CONCAT(LEFT($A45,FIND("'",$A45)-1),"''",RIGHT($A45,LEN($A45)-FIND("'",$A45))),$A45),"'!B5"))&gt;=K$2,"i",""))</f>
        <v>d</v>
      </c>
      <c r="L45" s="1" t="str" cm="1">
        <f t="array" aca="1" ref="L45" ca="1">IF(INDIRECT(_xlfn.CONCAT("'",IF(ISNUMBER(FIND("'",$A45))=TRUE,_xlfn.CONCAT(LEFT($A45,FIND("'",$A45)-1),"''",RIGHT($A45,LEN($A45)-FIND("'",$A45))),$A45),"'!B4"))&gt;=L$2,"d",IF(INDIRECT(_xlfn.CONCAT("'",IF(ISNUMBER(FIND("'",$A45))=TRUE,_xlfn.CONCAT(LEFT($A45,FIND("'",$A45)-1),"''",RIGHT($A45,LEN($A45)-FIND("'",$A45))),$A45),"'!B5"))&gt;=L$2,"i",""))</f>
        <v>d</v>
      </c>
      <c r="M45" s="4" t="str" cm="1">
        <f t="array" aca="1" ref="M45" ca="1">IF(INDIRECT(_xlfn.CONCAT("'",IF(ISNUMBER(FIND("'",$A45))=TRUE,_xlfn.CONCAT(LEFT($A45,FIND("'",$A45)-1),"''",RIGHT($A45,LEN($A45)-FIND("'",$A45))),$A45),"'!B4"))&gt;=M$2,"d",IF(INDIRECT(_xlfn.CONCAT("'",IF(ISNUMBER(FIND("'",$A45))=TRUE,_xlfn.CONCAT(LEFT($A45,FIND("'",$A45)-1),"''",RIGHT($A45,LEN($A45)-FIND("'",$A45))),$A45),"'!B5"))&gt;=M$2,"i",""))</f>
        <v>d</v>
      </c>
      <c r="N45" s="95"/>
      <c r="O45" s="14" t="str" cm="1">
        <f t="array" aca="1" ref="O45" ca="1">IF(INDIRECT(_xlfn.CONCAT("'",IF(ISNUMBER(FIND("'",$A45))=TRUE,_xlfn.CONCAT(LEFT($A45,FIND("'",$A45)-1),"''",RIGHT($A45,LEN($A45)-FIND("'",$A45))),$A45),"'!C10"))&gt;=O$2,"d",IF(INDIRECT(_xlfn.CONCAT("'",IF(ISNUMBER(FIND("'",$A45))=TRUE,_xlfn.CONCAT(LEFT($A45,FIND("'",$A45)-1),"''",RIGHT($A45,LEN($A45)-FIND("'",$A45))),$A45),"'!C11"))&gt;=O$2,"i",""))</f>
        <v>d</v>
      </c>
      <c r="P45" s="1" t="str" cm="1">
        <f t="array" aca="1" ref="P45" ca="1">IF(INDIRECT(_xlfn.CONCAT("'",IF(ISNUMBER(FIND("'",$A45))=TRUE,_xlfn.CONCAT(LEFT($A45,FIND("'",$A45)-1),"''",RIGHT($A45,LEN($A45)-FIND("'",$A45))),$A45),"'!C10"))&gt;=P$2,"d",IF(INDIRECT(_xlfn.CONCAT("'",IF(ISNUMBER(FIND("'",$A45))=TRUE,_xlfn.CONCAT(LEFT($A45,FIND("'",$A45)-1),"''",RIGHT($A45,LEN($A45)-FIND("'",$A45))),$A45),"'!C11"))&gt;=P$2,"i",""))</f>
        <v>d</v>
      </c>
      <c r="Q45" s="1" t="str" cm="1">
        <f t="array" aca="1" ref="Q45" ca="1">IF(INDIRECT(_xlfn.CONCAT("'",IF(ISNUMBER(FIND("'",$A45))=TRUE,_xlfn.CONCAT(LEFT($A45,FIND("'",$A45)-1),"''",RIGHT($A45,LEN($A45)-FIND("'",$A45))),$A45),"'!C10"))&gt;=Q$2,"d",IF(INDIRECT(_xlfn.CONCAT("'",IF(ISNUMBER(FIND("'",$A45))=TRUE,_xlfn.CONCAT(LEFT($A45,FIND("'",$A45)-1),"''",RIGHT($A45,LEN($A45)-FIND("'",$A45))),$A45),"'!C11"))&gt;=Q$2,"i",""))</f>
        <v>d</v>
      </c>
      <c r="R45" s="1" t="str" cm="1">
        <f t="array" aca="1" ref="R45" ca="1">IF(INDIRECT(_xlfn.CONCAT("'",IF(ISNUMBER(FIND("'",$A45))=TRUE,_xlfn.CONCAT(LEFT($A45,FIND("'",$A45)-1),"''",RIGHT($A45,LEN($A45)-FIND("'",$A45))),$A45),"'!C10"))&gt;=R$2,"d",IF(INDIRECT(_xlfn.CONCAT("'",IF(ISNUMBER(FIND("'",$A45))=TRUE,_xlfn.CONCAT(LEFT($A45,FIND("'",$A45)-1),"''",RIGHT($A45,LEN($A45)-FIND("'",$A45))),$A45),"'!C11"))&gt;=R$2,"i",""))</f>
        <v>d</v>
      </c>
      <c r="S45" s="1" t="str" cm="1">
        <f t="array" aca="1" ref="S45" ca="1">IF(INDIRECT(_xlfn.CONCAT("'",IF(ISNUMBER(FIND("'",$A45))=TRUE,_xlfn.CONCAT(LEFT($A45,FIND("'",$A45)-1),"''",RIGHT($A45,LEN($A45)-FIND("'",$A45))),$A45),"'!C10"))&gt;=S$2,"d",IF(INDIRECT(_xlfn.CONCAT("'",IF(ISNUMBER(FIND("'",$A45))=TRUE,_xlfn.CONCAT(LEFT($A45,FIND("'",$A45)-1),"''",RIGHT($A45,LEN($A45)-FIND("'",$A45))),$A45),"'!C11"))&gt;=S$2,"i",""))</f>
        <v>d</v>
      </c>
      <c r="T45" s="4" t="str" cm="1">
        <f t="array" aca="1" ref="T45" ca="1">IF(INDIRECT(_xlfn.CONCAT("'",IF(ISNUMBER(FIND("'",$A45))=TRUE,_xlfn.CONCAT(LEFT($A45,FIND("'",$A45)-1),"''",RIGHT($A45,LEN($A45)-FIND("'",$A45))),$A45),"'!C10"))&gt;=T$2,"d",IF(INDIRECT(_xlfn.CONCAT("'",IF(ISNUMBER(FIND("'",$A45))=TRUE,_xlfn.CONCAT(LEFT($A45,FIND("'",$A45)-1),"''",RIGHT($A45,LEN($A45)-FIND("'",$A45))),$A45),"'!C11"))&gt;=T$2,"i",""))</f>
        <v>d</v>
      </c>
    </row>
    <row r="46" spans="1:20" hidden="1" x14ac:dyDescent="0.25">
      <c r="A46" s="54" t="str">
        <v>Blackcliff Warbow</v>
      </c>
      <c r="B46" s="14" cm="1">
        <f t="array" ref="B46">_xlfn.XLOOKUP(A46,INDEX(Weapon_List,,1),INDEX(Weapon_List,,3),,0,1)</f>
        <v>4</v>
      </c>
      <c r="C46" s="4" t="str" cm="1">
        <f t="array" ref="C46">_xlfn.XLOOKUP(A46,INDEX(Weapon_List,,1),INDEX(Weapon_List,,2),,0,1)</f>
        <v>Bow</v>
      </c>
      <c r="D46" s="38" t="str" cm="1">
        <f t="array" ref="D46">_xlfn.XLOOKUP(A46,INDEX(Weapon_List,,1),INDEX(Weapon_List,,4),,0,1)</f>
        <v>Liyue 1</v>
      </c>
      <c r="E46" s="38" t="str" cm="1">
        <f t="array" ref="E46">_xlfn.XLOOKUP(A46,INDEX(Weapon_List,,1),INDEX(Weapon_List,,5),,0,1)</f>
        <v>Whopperflower</v>
      </c>
      <c r="F46" s="38" t="str" cm="1">
        <f t="array" ref="F46">_xlfn.XLOOKUP(A46,INDEX(Weapon_List,,1),INDEX(Weapon_List,,6),,0,1)</f>
        <v>Fatui Agent</v>
      </c>
      <c r="G46" s="14" t="str" cm="1">
        <f t="array" aca="1" ref="G46" ca="1">IF(INDIRECT(_xlfn.CONCAT("'",IF(ISNUMBER(FIND("'",$A46))=TRUE,_xlfn.CONCAT(LEFT($A46,FIND("'",$A46)-1),"''",RIGHT($A46,LEN($A46)-FIND("'",$A46))),$A46),"'!B4"))&gt;=G$2,"d",IF(INDIRECT(_xlfn.CONCAT("'",IF(ISNUMBER(FIND("'",$A46))=TRUE,_xlfn.CONCAT(LEFT($A46,FIND("'",$A46)-1),"''",RIGHT($A46,LEN($A46)-FIND("'",$A46))),$A46),"'!B5"))&gt;=G$2,"i",""))</f>
        <v>d</v>
      </c>
      <c r="H46" s="1" t="str" cm="1">
        <f t="array" aca="1" ref="H46" ca="1">IF(INDIRECT(_xlfn.CONCAT("'",IF(ISNUMBER(FIND("'",$A46))=TRUE,_xlfn.CONCAT(LEFT($A46,FIND("'",$A46)-1),"''",RIGHT($A46,LEN($A46)-FIND("'",$A46))),$A46),"'!B4"))&gt;=H$2,"d",IF(INDIRECT(_xlfn.CONCAT("'",IF(ISNUMBER(FIND("'",$A46))=TRUE,_xlfn.CONCAT(LEFT($A46,FIND("'",$A46)-1),"''",RIGHT($A46,LEN($A46)-FIND("'",$A46))),$A46),"'!B5"))&gt;=H$2,"i",""))</f>
        <v>d</v>
      </c>
      <c r="I46" s="1" t="str" cm="1">
        <f t="array" aca="1" ref="I46" ca="1">IF(INDIRECT(_xlfn.CONCAT("'",IF(ISNUMBER(FIND("'",$A46))=TRUE,_xlfn.CONCAT(LEFT($A46,FIND("'",$A46)-1),"''",RIGHT($A46,LEN($A46)-FIND("'",$A46))),$A46),"'!B4"))&gt;=I$2,"d",IF(INDIRECT(_xlfn.CONCAT("'",IF(ISNUMBER(FIND("'",$A46))=TRUE,_xlfn.CONCAT(LEFT($A46,FIND("'",$A46)-1),"''",RIGHT($A46,LEN($A46)-FIND("'",$A46))),$A46),"'!B5"))&gt;=I$2,"i",""))</f>
        <v>d</v>
      </c>
      <c r="J46" s="1" t="str" cm="1">
        <f t="array" aca="1" ref="J46" ca="1">IF(INDIRECT(_xlfn.CONCAT("'",IF(ISNUMBER(FIND("'",$A46))=TRUE,_xlfn.CONCAT(LEFT($A46,FIND("'",$A46)-1),"''",RIGHT($A46,LEN($A46)-FIND("'",$A46))),$A46),"'!B4"))&gt;=J$2,"d",IF(INDIRECT(_xlfn.CONCAT("'",IF(ISNUMBER(FIND("'",$A46))=TRUE,_xlfn.CONCAT(LEFT($A46,FIND("'",$A46)-1),"''",RIGHT($A46,LEN($A46)-FIND("'",$A46))),$A46),"'!B5"))&gt;=J$2,"i",""))</f>
        <v>d</v>
      </c>
      <c r="K46" s="1" t="str" cm="1">
        <f t="array" aca="1" ref="K46" ca="1">IF(INDIRECT(_xlfn.CONCAT("'",IF(ISNUMBER(FIND("'",$A46))=TRUE,_xlfn.CONCAT(LEFT($A46,FIND("'",$A46)-1),"''",RIGHT($A46,LEN($A46)-FIND("'",$A46))),$A46),"'!B4"))&gt;=K$2,"d",IF(INDIRECT(_xlfn.CONCAT("'",IF(ISNUMBER(FIND("'",$A46))=TRUE,_xlfn.CONCAT(LEFT($A46,FIND("'",$A46)-1),"''",RIGHT($A46,LEN($A46)-FIND("'",$A46))),$A46),"'!B5"))&gt;=K$2,"i",""))</f>
        <v>d</v>
      </c>
      <c r="L46" s="1" t="str" cm="1">
        <f t="array" aca="1" ref="L46" ca="1">IF(INDIRECT(_xlfn.CONCAT("'",IF(ISNUMBER(FIND("'",$A46))=TRUE,_xlfn.CONCAT(LEFT($A46,FIND("'",$A46)-1),"''",RIGHT($A46,LEN($A46)-FIND("'",$A46))),$A46),"'!B4"))&gt;=L$2,"d",IF(INDIRECT(_xlfn.CONCAT("'",IF(ISNUMBER(FIND("'",$A46))=TRUE,_xlfn.CONCAT(LEFT($A46,FIND("'",$A46)-1),"''",RIGHT($A46,LEN($A46)-FIND("'",$A46))),$A46),"'!B5"))&gt;=L$2,"i",""))</f>
        <v>d</v>
      </c>
      <c r="M46" s="4" t="str" cm="1">
        <f t="array" aca="1" ref="M46" ca="1">IF(INDIRECT(_xlfn.CONCAT("'",IF(ISNUMBER(FIND("'",$A46))=TRUE,_xlfn.CONCAT(LEFT($A46,FIND("'",$A46)-1),"''",RIGHT($A46,LEN($A46)-FIND("'",$A46))),$A46),"'!B4"))&gt;=M$2,"d",IF(INDIRECT(_xlfn.CONCAT("'",IF(ISNUMBER(FIND("'",$A46))=TRUE,_xlfn.CONCAT(LEFT($A46,FIND("'",$A46)-1),"''",RIGHT($A46,LEN($A46)-FIND("'",$A46))),$A46),"'!B5"))&gt;=M$2,"i",""))</f>
        <v>d</v>
      </c>
      <c r="N46" s="95"/>
      <c r="O46" s="14" t="str" cm="1">
        <f t="array" aca="1" ref="O46" ca="1">IF(INDIRECT(_xlfn.CONCAT("'",IF(ISNUMBER(FIND("'",$A46))=TRUE,_xlfn.CONCAT(LEFT($A46,FIND("'",$A46)-1),"''",RIGHT($A46,LEN($A46)-FIND("'",$A46))),$A46),"'!C10"))&gt;=O$2,"d",IF(INDIRECT(_xlfn.CONCAT("'",IF(ISNUMBER(FIND("'",$A46))=TRUE,_xlfn.CONCAT(LEFT($A46,FIND("'",$A46)-1),"''",RIGHT($A46,LEN($A46)-FIND("'",$A46))),$A46),"'!C11"))&gt;=O$2,"i",""))</f>
        <v>d</v>
      </c>
      <c r="P46" s="1" t="str" cm="1">
        <f t="array" aca="1" ref="P46" ca="1">IF(INDIRECT(_xlfn.CONCAT("'",IF(ISNUMBER(FIND("'",$A46))=TRUE,_xlfn.CONCAT(LEFT($A46,FIND("'",$A46)-1),"''",RIGHT($A46,LEN($A46)-FIND("'",$A46))),$A46),"'!C10"))&gt;=P$2,"d",IF(INDIRECT(_xlfn.CONCAT("'",IF(ISNUMBER(FIND("'",$A46))=TRUE,_xlfn.CONCAT(LEFT($A46,FIND("'",$A46)-1),"''",RIGHT($A46,LEN($A46)-FIND("'",$A46))),$A46),"'!C11"))&gt;=P$2,"i",""))</f>
        <v>d</v>
      </c>
      <c r="Q46" s="1" t="str" cm="1">
        <f t="array" aca="1" ref="Q46" ca="1">IF(INDIRECT(_xlfn.CONCAT("'",IF(ISNUMBER(FIND("'",$A46))=TRUE,_xlfn.CONCAT(LEFT($A46,FIND("'",$A46)-1),"''",RIGHT($A46,LEN($A46)-FIND("'",$A46))),$A46),"'!C10"))&gt;=Q$2,"d",IF(INDIRECT(_xlfn.CONCAT("'",IF(ISNUMBER(FIND("'",$A46))=TRUE,_xlfn.CONCAT(LEFT($A46,FIND("'",$A46)-1),"''",RIGHT($A46,LEN($A46)-FIND("'",$A46))),$A46),"'!C11"))&gt;=Q$2,"i",""))</f>
        <v>d</v>
      </c>
      <c r="R46" s="1" t="str" cm="1">
        <f t="array" aca="1" ref="R46" ca="1">IF(INDIRECT(_xlfn.CONCAT("'",IF(ISNUMBER(FIND("'",$A46))=TRUE,_xlfn.CONCAT(LEFT($A46,FIND("'",$A46)-1),"''",RIGHT($A46,LEN($A46)-FIND("'",$A46))),$A46),"'!C10"))&gt;=R$2,"d",IF(INDIRECT(_xlfn.CONCAT("'",IF(ISNUMBER(FIND("'",$A46))=TRUE,_xlfn.CONCAT(LEFT($A46,FIND("'",$A46)-1),"''",RIGHT($A46,LEN($A46)-FIND("'",$A46))),$A46),"'!C11"))&gt;=R$2,"i",""))</f>
        <v>d</v>
      </c>
      <c r="S46" s="1" t="str" cm="1">
        <f t="array" aca="1" ref="S46" ca="1">IF(INDIRECT(_xlfn.CONCAT("'",IF(ISNUMBER(FIND("'",$A46))=TRUE,_xlfn.CONCAT(LEFT($A46,FIND("'",$A46)-1),"''",RIGHT($A46,LEN($A46)-FIND("'",$A46))),$A46),"'!C10"))&gt;=S$2,"d",IF(INDIRECT(_xlfn.CONCAT("'",IF(ISNUMBER(FIND("'",$A46))=TRUE,_xlfn.CONCAT(LEFT($A46,FIND("'",$A46)-1),"''",RIGHT($A46,LEN($A46)-FIND("'",$A46))),$A46),"'!C11"))&gt;=S$2,"i",""))</f>
        <v>d</v>
      </c>
      <c r="T46" s="4" t="str" cm="1">
        <f t="array" aca="1" ref="T46" ca="1">IF(INDIRECT(_xlfn.CONCAT("'",IF(ISNUMBER(FIND("'",$A46))=TRUE,_xlfn.CONCAT(LEFT($A46,FIND("'",$A46)-1),"''",RIGHT($A46,LEN($A46)-FIND("'",$A46))),$A46),"'!C10"))&gt;=T$2,"d",IF(INDIRECT(_xlfn.CONCAT("'",IF(ISNUMBER(FIND("'",$A46))=TRUE,_xlfn.CONCAT(LEFT($A46,FIND("'",$A46)-1),"''",RIGHT($A46,LEN($A46)-FIND("'",$A46))),$A46),"'!C11"))&gt;=T$2,"i",""))</f>
        <v>d</v>
      </c>
    </row>
    <row r="47" spans="1:20" hidden="1" x14ac:dyDescent="0.25">
      <c r="A47" s="54" t="str">
        <v>The Black Sword</v>
      </c>
      <c r="B47" s="14" cm="1">
        <f t="array" ref="B47">_xlfn.XLOOKUP(A47,INDEX(Weapon_List,,1),INDEX(Weapon_List,,3),,0,1)</f>
        <v>4</v>
      </c>
      <c r="C47" s="4" t="str" cm="1">
        <f t="array" ref="C47">_xlfn.XLOOKUP(A47,INDEX(Weapon_List,,1),INDEX(Weapon_List,,2),,0,1)</f>
        <v>Sword</v>
      </c>
      <c r="D47" s="38" t="str" cm="1">
        <f t="array" ref="D47">_xlfn.XLOOKUP(A47,INDEX(Weapon_List,,1),INDEX(Weapon_List,,4),,0,1)</f>
        <v>Mondstadt 2</v>
      </c>
      <c r="E47" s="38" t="str" cm="1">
        <f t="array" ref="E47">_xlfn.XLOOKUP(A47,INDEX(Weapon_List,,1),INDEX(Weapon_List,,5),,0,1)</f>
        <v>Slime</v>
      </c>
      <c r="F47" s="38" t="str" cm="1">
        <f t="array" ref="F47">_xlfn.XLOOKUP(A47,INDEX(Weapon_List,,1),INDEX(Weapon_List,,6),,0,1)</f>
        <v>Abyss Mage</v>
      </c>
      <c r="G47" s="14" t="str" cm="1">
        <f t="array" aca="1" ref="G47" ca="1">IF(INDIRECT(_xlfn.CONCAT("'",IF(ISNUMBER(FIND("'",$A47))=TRUE,_xlfn.CONCAT(LEFT($A47,FIND("'",$A47)-1),"''",RIGHT($A47,LEN($A47)-FIND("'",$A47))),$A47),"'!B4"))&gt;=G$2,"d",IF(INDIRECT(_xlfn.CONCAT("'",IF(ISNUMBER(FIND("'",$A47))=TRUE,_xlfn.CONCAT(LEFT($A47,FIND("'",$A47)-1),"''",RIGHT($A47,LEN($A47)-FIND("'",$A47))),$A47),"'!B5"))&gt;=G$2,"i",""))</f>
        <v>d</v>
      </c>
      <c r="H47" s="1" t="str" cm="1">
        <f t="array" aca="1" ref="H47" ca="1">IF(INDIRECT(_xlfn.CONCAT("'",IF(ISNUMBER(FIND("'",$A47))=TRUE,_xlfn.CONCAT(LEFT($A47,FIND("'",$A47)-1),"''",RIGHT($A47,LEN($A47)-FIND("'",$A47))),$A47),"'!B4"))&gt;=H$2,"d",IF(INDIRECT(_xlfn.CONCAT("'",IF(ISNUMBER(FIND("'",$A47))=TRUE,_xlfn.CONCAT(LEFT($A47,FIND("'",$A47)-1),"''",RIGHT($A47,LEN($A47)-FIND("'",$A47))),$A47),"'!B5"))&gt;=H$2,"i",""))</f>
        <v>d</v>
      </c>
      <c r="I47" s="1" t="str" cm="1">
        <f t="array" aca="1" ref="I47" ca="1">IF(INDIRECT(_xlfn.CONCAT("'",IF(ISNUMBER(FIND("'",$A47))=TRUE,_xlfn.CONCAT(LEFT($A47,FIND("'",$A47)-1),"''",RIGHT($A47,LEN($A47)-FIND("'",$A47))),$A47),"'!B4"))&gt;=I$2,"d",IF(INDIRECT(_xlfn.CONCAT("'",IF(ISNUMBER(FIND("'",$A47))=TRUE,_xlfn.CONCAT(LEFT($A47,FIND("'",$A47)-1),"''",RIGHT($A47,LEN($A47)-FIND("'",$A47))),$A47),"'!B5"))&gt;=I$2,"i",""))</f>
        <v>d</v>
      </c>
      <c r="J47" s="1" t="str" cm="1">
        <f t="array" aca="1" ref="J47" ca="1">IF(INDIRECT(_xlfn.CONCAT("'",IF(ISNUMBER(FIND("'",$A47))=TRUE,_xlfn.CONCAT(LEFT($A47,FIND("'",$A47)-1),"''",RIGHT($A47,LEN($A47)-FIND("'",$A47))),$A47),"'!B4"))&gt;=J$2,"d",IF(INDIRECT(_xlfn.CONCAT("'",IF(ISNUMBER(FIND("'",$A47))=TRUE,_xlfn.CONCAT(LEFT($A47,FIND("'",$A47)-1),"''",RIGHT($A47,LEN($A47)-FIND("'",$A47))),$A47),"'!B5"))&gt;=J$2,"i",""))</f>
        <v>d</v>
      </c>
      <c r="K47" s="1" t="str" cm="1">
        <f t="array" aca="1" ref="K47" ca="1">IF(INDIRECT(_xlfn.CONCAT("'",IF(ISNUMBER(FIND("'",$A47))=TRUE,_xlfn.CONCAT(LEFT($A47,FIND("'",$A47)-1),"''",RIGHT($A47,LEN($A47)-FIND("'",$A47))),$A47),"'!B4"))&gt;=K$2,"d",IF(INDIRECT(_xlfn.CONCAT("'",IF(ISNUMBER(FIND("'",$A47))=TRUE,_xlfn.CONCAT(LEFT($A47,FIND("'",$A47)-1),"''",RIGHT($A47,LEN($A47)-FIND("'",$A47))),$A47),"'!B5"))&gt;=K$2,"i",""))</f>
        <v>d</v>
      </c>
      <c r="L47" s="1" t="str" cm="1">
        <f t="array" aca="1" ref="L47" ca="1">IF(INDIRECT(_xlfn.CONCAT("'",IF(ISNUMBER(FIND("'",$A47))=TRUE,_xlfn.CONCAT(LEFT($A47,FIND("'",$A47)-1),"''",RIGHT($A47,LEN($A47)-FIND("'",$A47))),$A47),"'!B4"))&gt;=L$2,"d",IF(INDIRECT(_xlfn.CONCAT("'",IF(ISNUMBER(FIND("'",$A47))=TRUE,_xlfn.CONCAT(LEFT($A47,FIND("'",$A47)-1),"''",RIGHT($A47,LEN($A47)-FIND("'",$A47))),$A47),"'!B5"))&gt;=L$2,"i",""))</f>
        <v>d</v>
      </c>
      <c r="M47" s="4" t="str" cm="1">
        <f t="array" aca="1" ref="M47" ca="1">IF(INDIRECT(_xlfn.CONCAT("'",IF(ISNUMBER(FIND("'",$A47))=TRUE,_xlfn.CONCAT(LEFT($A47,FIND("'",$A47)-1),"''",RIGHT($A47,LEN($A47)-FIND("'",$A47))),$A47),"'!B4"))&gt;=M$2,"d",IF(INDIRECT(_xlfn.CONCAT("'",IF(ISNUMBER(FIND("'",$A47))=TRUE,_xlfn.CONCAT(LEFT($A47,FIND("'",$A47)-1),"''",RIGHT($A47,LEN($A47)-FIND("'",$A47))),$A47),"'!B5"))&gt;=M$2,"i",""))</f>
        <v>d</v>
      </c>
      <c r="N47" s="95"/>
      <c r="O47" s="14" t="str" cm="1">
        <f t="array" aca="1" ref="O47" ca="1">IF(INDIRECT(_xlfn.CONCAT("'",IF(ISNUMBER(FIND("'",$A47))=TRUE,_xlfn.CONCAT(LEFT($A47,FIND("'",$A47)-1),"''",RIGHT($A47,LEN($A47)-FIND("'",$A47))),$A47),"'!C10"))&gt;=O$2,"d",IF(INDIRECT(_xlfn.CONCAT("'",IF(ISNUMBER(FIND("'",$A47))=TRUE,_xlfn.CONCAT(LEFT($A47,FIND("'",$A47)-1),"''",RIGHT($A47,LEN($A47)-FIND("'",$A47))),$A47),"'!C11"))&gt;=O$2,"i",""))</f>
        <v>d</v>
      </c>
      <c r="P47" s="1" t="str" cm="1">
        <f t="array" aca="1" ref="P47" ca="1">IF(INDIRECT(_xlfn.CONCAT("'",IF(ISNUMBER(FIND("'",$A47))=TRUE,_xlfn.CONCAT(LEFT($A47,FIND("'",$A47)-1),"''",RIGHT($A47,LEN($A47)-FIND("'",$A47))),$A47),"'!C10"))&gt;=P$2,"d",IF(INDIRECT(_xlfn.CONCAT("'",IF(ISNUMBER(FIND("'",$A47))=TRUE,_xlfn.CONCAT(LEFT($A47,FIND("'",$A47)-1),"''",RIGHT($A47,LEN($A47)-FIND("'",$A47))),$A47),"'!C11"))&gt;=P$2,"i",""))</f>
        <v>d</v>
      </c>
      <c r="Q47" s="1" t="str" cm="1">
        <f t="array" aca="1" ref="Q47" ca="1">IF(INDIRECT(_xlfn.CONCAT("'",IF(ISNUMBER(FIND("'",$A47))=TRUE,_xlfn.CONCAT(LEFT($A47,FIND("'",$A47)-1),"''",RIGHT($A47,LEN($A47)-FIND("'",$A47))),$A47),"'!C10"))&gt;=Q$2,"d",IF(INDIRECT(_xlfn.CONCAT("'",IF(ISNUMBER(FIND("'",$A47))=TRUE,_xlfn.CONCAT(LEFT($A47,FIND("'",$A47)-1),"''",RIGHT($A47,LEN($A47)-FIND("'",$A47))),$A47),"'!C11"))&gt;=Q$2,"i",""))</f>
        <v>d</v>
      </c>
      <c r="R47" s="1" t="str" cm="1">
        <f t="array" aca="1" ref="R47" ca="1">IF(INDIRECT(_xlfn.CONCAT("'",IF(ISNUMBER(FIND("'",$A47))=TRUE,_xlfn.CONCAT(LEFT($A47,FIND("'",$A47)-1),"''",RIGHT($A47,LEN($A47)-FIND("'",$A47))),$A47),"'!C10"))&gt;=R$2,"d",IF(INDIRECT(_xlfn.CONCAT("'",IF(ISNUMBER(FIND("'",$A47))=TRUE,_xlfn.CONCAT(LEFT($A47,FIND("'",$A47)-1),"''",RIGHT($A47,LEN($A47)-FIND("'",$A47))),$A47),"'!C11"))&gt;=R$2,"i",""))</f>
        <v>d</v>
      </c>
      <c r="S47" s="1" t="str" cm="1">
        <f t="array" aca="1" ref="S47" ca="1">IF(INDIRECT(_xlfn.CONCAT("'",IF(ISNUMBER(FIND("'",$A47))=TRUE,_xlfn.CONCAT(LEFT($A47,FIND("'",$A47)-1),"''",RIGHT($A47,LEN($A47)-FIND("'",$A47))),$A47),"'!C10"))&gt;=S$2,"d",IF(INDIRECT(_xlfn.CONCAT("'",IF(ISNUMBER(FIND("'",$A47))=TRUE,_xlfn.CONCAT(LEFT($A47,FIND("'",$A47)-1),"''",RIGHT($A47,LEN($A47)-FIND("'",$A47))),$A47),"'!C11"))&gt;=S$2,"i",""))</f>
        <v>d</v>
      </c>
      <c r="T47" s="4" t="str" cm="1">
        <f t="array" aca="1" ref="T47" ca="1">IF(INDIRECT(_xlfn.CONCAT("'",IF(ISNUMBER(FIND("'",$A47))=TRUE,_xlfn.CONCAT(LEFT($A47,FIND("'",$A47)-1),"''",RIGHT($A47,LEN($A47)-FIND("'",$A47))),$A47),"'!C10"))&gt;=T$2,"d",IF(INDIRECT(_xlfn.CONCAT("'",IF(ISNUMBER(FIND("'",$A47))=TRUE,_xlfn.CONCAT(LEFT($A47,FIND("'",$A47)-1),"''",RIGHT($A47,LEN($A47)-FIND("'",$A47))),$A47),"'!C11"))&gt;=T$2,"i",""))</f>
        <v>d</v>
      </c>
    </row>
    <row r="48" spans="1:20" hidden="1" x14ac:dyDescent="0.25">
      <c r="A48" s="54" t="str">
        <v>Serpent Spine</v>
      </c>
      <c r="B48" s="14" cm="1">
        <f t="array" ref="B48">_xlfn.XLOOKUP(A48,INDEX(Weapon_List,,1),INDEX(Weapon_List,,3),,0,1)</f>
        <v>4</v>
      </c>
      <c r="C48" s="4" t="str" cm="1">
        <f t="array" ref="C48">_xlfn.XLOOKUP(A48,INDEX(Weapon_List,,1),INDEX(Weapon_List,,2),,0,1)</f>
        <v>Claymore</v>
      </c>
      <c r="D48" s="38" t="str" cm="1">
        <f t="array" ref="D48">_xlfn.XLOOKUP(A48,INDEX(Weapon_List,,1),INDEX(Weapon_List,,4),,0,1)</f>
        <v>Liyue 3</v>
      </c>
      <c r="E48" s="38" t="str" cm="1">
        <f t="array" ref="E48">_xlfn.XLOOKUP(A48,INDEX(Weapon_List,,1),INDEX(Weapon_List,,5),,0,1)</f>
        <v>Whopperflower</v>
      </c>
      <c r="F48" s="38" t="str" cm="1">
        <f t="array" ref="F48">_xlfn.XLOOKUP(A48,INDEX(Weapon_List,,1),INDEX(Weapon_List,,6),,0,1)</f>
        <v>Vishap</v>
      </c>
      <c r="G48" s="14" t="str" cm="1">
        <f t="array" aca="1" ref="G48" ca="1">IF(INDIRECT(_xlfn.CONCAT("'",IF(ISNUMBER(FIND("'",$A48))=TRUE,_xlfn.CONCAT(LEFT($A48,FIND("'",$A48)-1),"''",RIGHT($A48,LEN($A48)-FIND("'",$A48))),$A48),"'!B4"))&gt;=G$2,"d",IF(INDIRECT(_xlfn.CONCAT("'",IF(ISNUMBER(FIND("'",$A48))=TRUE,_xlfn.CONCAT(LEFT($A48,FIND("'",$A48)-1),"''",RIGHT($A48,LEN($A48)-FIND("'",$A48))),$A48),"'!B5"))&gt;=G$2,"i",""))</f>
        <v>d</v>
      </c>
      <c r="H48" s="1" t="str" cm="1">
        <f t="array" aca="1" ref="H48" ca="1">IF(INDIRECT(_xlfn.CONCAT("'",IF(ISNUMBER(FIND("'",$A48))=TRUE,_xlfn.CONCAT(LEFT($A48,FIND("'",$A48)-1),"''",RIGHT($A48,LEN($A48)-FIND("'",$A48))),$A48),"'!B4"))&gt;=H$2,"d",IF(INDIRECT(_xlfn.CONCAT("'",IF(ISNUMBER(FIND("'",$A48))=TRUE,_xlfn.CONCAT(LEFT($A48,FIND("'",$A48)-1),"''",RIGHT($A48,LEN($A48)-FIND("'",$A48))),$A48),"'!B5"))&gt;=H$2,"i",""))</f>
        <v>d</v>
      </c>
      <c r="I48" s="1" t="str" cm="1">
        <f t="array" aca="1" ref="I48" ca="1">IF(INDIRECT(_xlfn.CONCAT("'",IF(ISNUMBER(FIND("'",$A48))=TRUE,_xlfn.CONCAT(LEFT($A48,FIND("'",$A48)-1),"''",RIGHT($A48,LEN($A48)-FIND("'",$A48))),$A48),"'!B4"))&gt;=I$2,"d",IF(INDIRECT(_xlfn.CONCAT("'",IF(ISNUMBER(FIND("'",$A48))=TRUE,_xlfn.CONCAT(LEFT($A48,FIND("'",$A48)-1),"''",RIGHT($A48,LEN($A48)-FIND("'",$A48))),$A48),"'!B5"))&gt;=I$2,"i",""))</f>
        <v>d</v>
      </c>
      <c r="J48" s="1" t="str" cm="1">
        <f t="array" aca="1" ref="J48" ca="1">IF(INDIRECT(_xlfn.CONCAT("'",IF(ISNUMBER(FIND("'",$A48))=TRUE,_xlfn.CONCAT(LEFT($A48,FIND("'",$A48)-1),"''",RIGHT($A48,LEN($A48)-FIND("'",$A48))),$A48),"'!B4"))&gt;=J$2,"d",IF(INDIRECT(_xlfn.CONCAT("'",IF(ISNUMBER(FIND("'",$A48))=TRUE,_xlfn.CONCAT(LEFT($A48,FIND("'",$A48)-1),"''",RIGHT($A48,LEN($A48)-FIND("'",$A48))),$A48),"'!B5"))&gt;=J$2,"i",""))</f>
        <v>d</v>
      </c>
      <c r="K48" s="1" t="str" cm="1">
        <f t="array" aca="1" ref="K48" ca="1">IF(INDIRECT(_xlfn.CONCAT("'",IF(ISNUMBER(FIND("'",$A48))=TRUE,_xlfn.CONCAT(LEFT($A48,FIND("'",$A48)-1),"''",RIGHT($A48,LEN($A48)-FIND("'",$A48))),$A48),"'!B4"))&gt;=K$2,"d",IF(INDIRECT(_xlfn.CONCAT("'",IF(ISNUMBER(FIND("'",$A48))=TRUE,_xlfn.CONCAT(LEFT($A48,FIND("'",$A48)-1),"''",RIGHT($A48,LEN($A48)-FIND("'",$A48))),$A48),"'!B5"))&gt;=K$2,"i",""))</f>
        <v>d</v>
      </c>
      <c r="L48" s="1" t="str" cm="1">
        <f t="array" aca="1" ref="L48" ca="1">IF(INDIRECT(_xlfn.CONCAT("'",IF(ISNUMBER(FIND("'",$A48))=TRUE,_xlfn.CONCAT(LEFT($A48,FIND("'",$A48)-1),"''",RIGHT($A48,LEN($A48)-FIND("'",$A48))),$A48),"'!B4"))&gt;=L$2,"d",IF(INDIRECT(_xlfn.CONCAT("'",IF(ISNUMBER(FIND("'",$A48))=TRUE,_xlfn.CONCAT(LEFT($A48,FIND("'",$A48)-1),"''",RIGHT($A48,LEN($A48)-FIND("'",$A48))),$A48),"'!B5"))&gt;=L$2,"i",""))</f>
        <v>d</v>
      </c>
      <c r="M48" s="4" t="str" cm="1">
        <f t="array" aca="1" ref="M48" ca="1">IF(INDIRECT(_xlfn.CONCAT("'",IF(ISNUMBER(FIND("'",$A48))=TRUE,_xlfn.CONCAT(LEFT($A48,FIND("'",$A48)-1),"''",RIGHT($A48,LEN($A48)-FIND("'",$A48))),$A48),"'!B4"))&gt;=M$2,"d",IF(INDIRECT(_xlfn.CONCAT("'",IF(ISNUMBER(FIND("'",$A48))=TRUE,_xlfn.CONCAT(LEFT($A48,FIND("'",$A48)-1),"''",RIGHT($A48,LEN($A48)-FIND("'",$A48))),$A48),"'!B5"))&gt;=M$2,"i",""))</f>
        <v>d</v>
      </c>
      <c r="N48" s="95"/>
      <c r="O48" s="14" t="str" cm="1">
        <f t="array" aca="1" ref="O48" ca="1">IF(INDIRECT(_xlfn.CONCAT("'",IF(ISNUMBER(FIND("'",$A48))=TRUE,_xlfn.CONCAT(LEFT($A48,FIND("'",$A48)-1),"''",RIGHT($A48,LEN($A48)-FIND("'",$A48))),$A48),"'!C10"))&gt;=O$2,"d",IF(INDIRECT(_xlfn.CONCAT("'",IF(ISNUMBER(FIND("'",$A48))=TRUE,_xlfn.CONCAT(LEFT($A48,FIND("'",$A48)-1),"''",RIGHT($A48,LEN($A48)-FIND("'",$A48))),$A48),"'!C11"))&gt;=O$2,"i",""))</f>
        <v>d</v>
      </c>
      <c r="P48" s="1" t="str" cm="1">
        <f t="array" aca="1" ref="P48" ca="1">IF(INDIRECT(_xlfn.CONCAT("'",IF(ISNUMBER(FIND("'",$A48))=TRUE,_xlfn.CONCAT(LEFT($A48,FIND("'",$A48)-1),"''",RIGHT($A48,LEN($A48)-FIND("'",$A48))),$A48),"'!C10"))&gt;=P$2,"d",IF(INDIRECT(_xlfn.CONCAT("'",IF(ISNUMBER(FIND("'",$A48))=TRUE,_xlfn.CONCAT(LEFT($A48,FIND("'",$A48)-1),"''",RIGHT($A48,LEN($A48)-FIND("'",$A48))),$A48),"'!C11"))&gt;=P$2,"i",""))</f>
        <v>d</v>
      </c>
      <c r="Q48" s="1" t="str" cm="1">
        <f t="array" aca="1" ref="Q48" ca="1">IF(INDIRECT(_xlfn.CONCAT("'",IF(ISNUMBER(FIND("'",$A48))=TRUE,_xlfn.CONCAT(LEFT($A48,FIND("'",$A48)-1),"''",RIGHT($A48,LEN($A48)-FIND("'",$A48))),$A48),"'!C10"))&gt;=Q$2,"d",IF(INDIRECT(_xlfn.CONCAT("'",IF(ISNUMBER(FIND("'",$A48))=TRUE,_xlfn.CONCAT(LEFT($A48,FIND("'",$A48)-1),"''",RIGHT($A48,LEN($A48)-FIND("'",$A48))),$A48),"'!C11"))&gt;=Q$2,"i",""))</f>
        <v>d</v>
      </c>
      <c r="R48" s="1" t="str" cm="1">
        <f t="array" aca="1" ref="R48" ca="1">IF(INDIRECT(_xlfn.CONCAT("'",IF(ISNUMBER(FIND("'",$A48))=TRUE,_xlfn.CONCAT(LEFT($A48,FIND("'",$A48)-1),"''",RIGHT($A48,LEN($A48)-FIND("'",$A48))),$A48),"'!C10"))&gt;=R$2,"d",IF(INDIRECT(_xlfn.CONCAT("'",IF(ISNUMBER(FIND("'",$A48))=TRUE,_xlfn.CONCAT(LEFT($A48,FIND("'",$A48)-1),"''",RIGHT($A48,LEN($A48)-FIND("'",$A48))),$A48),"'!C11"))&gt;=R$2,"i",""))</f>
        <v>d</v>
      </c>
      <c r="S48" s="1" t="str" cm="1">
        <f t="array" aca="1" ref="S48" ca="1">IF(INDIRECT(_xlfn.CONCAT("'",IF(ISNUMBER(FIND("'",$A48))=TRUE,_xlfn.CONCAT(LEFT($A48,FIND("'",$A48)-1),"''",RIGHT($A48,LEN($A48)-FIND("'",$A48))),$A48),"'!C10"))&gt;=S$2,"d",IF(INDIRECT(_xlfn.CONCAT("'",IF(ISNUMBER(FIND("'",$A48))=TRUE,_xlfn.CONCAT(LEFT($A48,FIND("'",$A48)-1),"''",RIGHT($A48,LEN($A48)-FIND("'",$A48))),$A48),"'!C11"))&gt;=S$2,"i",""))</f>
        <v>d</v>
      </c>
      <c r="T48" s="4" t="str" cm="1">
        <f t="array" aca="1" ref="T48" ca="1">IF(INDIRECT(_xlfn.CONCAT("'",IF(ISNUMBER(FIND("'",$A48))=TRUE,_xlfn.CONCAT(LEFT($A48,FIND("'",$A48)-1),"''",RIGHT($A48,LEN($A48)-FIND("'",$A48))),$A48),"'!C10"))&gt;=T$2,"d",IF(INDIRECT(_xlfn.CONCAT("'",IF(ISNUMBER(FIND("'",$A48))=TRUE,_xlfn.CONCAT(LEFT($A48,FIND("'",$A48)-1),"''",RIGHT($A48,LEN($A48)-FIND("'",$A48))),$A48),"'!C11"))&gt;=T$2,"i",""))</f>
        <v>d</v>
      </c>
    </row>
    <row r="49" spans="1:20" hidden="1" x14ac:dyDescent="0.25">
      <c r="A49" s="54" t="str">
        <v>Deathmatch</v>
      </c>
      <c r="B49" s="14" cm="1">
        <f t="array" ref="B49">_xlfn.XLOOKUP(A49,INDEX(Weapon_List,,1),INDEX(Weapon_List,,3),,0,1)</f>
        <v>4</v>
      </c>
      <c r="C49" s="4" t="str" cm="1">
        <f t="array" ref="C49">_xlfn.XLOOKUP(A49,INDEX(Weapon_List,,1),INDEX(Weapon_List,,2),,0,1)</f>
        <v>Polearm</v>
      </c>
      <c r="D49" s="38" t="str" cm="1">
        <f t="array" ref="D49">_xlfn.XLOOKUP(A49,INDEX(Weapon_List,,1),INDEX(Weapon_List,,4),,0,1)</f>
        <v>Mondstadt 2</v>
      </c>
      <c r="E49" s="38" t="str" cm="1">
        <f t="array" ref="E49">_xlfn.XLOOKUP(A49,INDEX(Weapon_List,,1),INDEX(Weapon_List,,5),,0,1)</f>
        <v>Whopperflower</v>
      </c>
      <c r="F49" s="38" t="str" cm="1">
        <f t="array" ref="F49">_xlfn.XLOOKUP(A49,INDEX(Weapon_List,,1),INDEX(Weapon_List,,6),,0,1)</f>
        <v>Abyss Mage</v>
      </c>
      <c r="G49" s="14" t="str" cm="1">
        <f t="array" aca="1" ref="G49" ca="1">IF(INDIRECT(_xlfn.CONCAT("'",IF(ISNUMBER(FIND("'",$A49))=TRUE,_xlfn.CONCAT(LEFT($A49,FIND("'",$A49)-1),"''",RIGHT($A49,LEN($A49)-FIND("'",$A49))),$A49),"'!B4"))&gt;=G$2,"d",IF(INDIRECT(_xlfn.CONCAT("'",IF(ISNUMBER(FIND("'",$A49))=TRUE,_xlfn.CONCAT(LEFT($A49,FIND("'",$A49)-1),"''",RIGHT($A49,LEN($A49)-FIND("'",$A49))),$A49),"'!B5"))&gt;=G$2,"i",""))</f>
        <v>d</v>
      </c>
      <c r="H49" s="1" t="str" cm="1">
        <f t="array" aca="1" ref="H49" ca="1">IF(INDIRECT(_xlfn.CONCAT("'",IF(ISNUMBER(FIND("'",$A49))=TRUE,_xlfn.CONCAT(LEFT($A49,FIND("'",$A49)-1),"''",RIGHT($A49,LEN($A49)-FIND("'",$A49))),$A49),"'!B4"))&gt;=H$2,"d",IF(INDIRECT(_xlfn.CONCAT("'",IF(ISNUMBER(FIND("'",$A49))=TRUE,_xlfn.CONCAT(LEFT($A49,FIND("'",$A49)-1),"''",RIGHT($A49,LEN($A49)-FIND("'",$A49))),$A49),"'!B5"))&gt;=H$2,"i",""))</f>
        <v>d</v>
      </c>
      <c r="I49" s="1" t="str" cm="1">
        <f t="array" aca="1" ref="I49" ca="1">IF(INDIRECT(_xlfn.CONCAT("'",IF(ISNUMBER(FIND("'",$A49))=TRUE,_xlfn.CONCAT(LEFT($A49,FIND("'",$A49)-1),"''",RIGHT($A49,LEN($A49)-FIND("'",$A49))),$A49),"'!B4"))&gt;=I$2,"d",IF(INDIRECT(_xlfn.CONCAT("'",IF(ISNUMBER(FIND("'",$A49))=TRUE,_xlfn.CONCAT(LEFT($A49,FIND("'",$A49)-1),"''",RIGHT($A49,LEN($A49)-FIND("'",$A49))),$A49),"'!B5"))&gt;=I$2,"i",""))</f>
        <v>d</v>
      </c>
      <c r="J49" s="1" t="str" cm="1">
        <f t="array" aca="1" ref="J49" ca="1">IF(INDIRECT(_xlfn.CONCAT("'",IF(ISNUMBER(FIND("'",$A49))=TRUE,_xlfn.CONCAT(LEFT($A49,FIND("'",$A49)-1),"''",RIGHT($A49,LEN($A49)-FIND("'",$A49))),$A49),"'!B4"))&gt;=J$2,"d",IF(INDIRECT(_xlfn.CONCAT("'",IF(ISNUMBER(FIND("'",$A49))=TRUE,_xlfn.CONCAT(LEFT($A49,FIND("'",$A49)-1),"''",RIGHT($A49,LEN($A49)-FIND("'",$A49))),$A49),"'!B5"))&gt;=J$2,"i",""))</f>
        <v>d</v>
      </c>
      <c r="K49" s="1" t="str" cm="1">
        <f t="array" aca="1" ref="K49" ca="1">IF(INDIRECT(_xlfn.CONCAT("'",IF(ISNUMBER(FIND("'",$A49))=TRUE,_xlfn.CONCAT(LEFT($A49,FIND("'",$A49)-1),"''",RIGHT($A49,LEN($A49)-FIND("'",$A49))),$A49),"'!B4"))&gt;=K$2,"d",IF(INDIRECT(_xlfn.CONCAT("'",IF(ISNUMBER(FIND("'",$A49))=TRUE,_xlfn.CONCAT(LEFT($A49,FIND("'",$A49)-1),"''",RIGHT($A49,LEN($A49)-FIND("'",$A49))),$A49),"'!B5"))&gt;=K$2,"i",""))</f>
        <v>d</v>
      </c>
      <c r="L49" s="1" t="str" cm="1">
        <f t="array" aca="1" ref="L49" ca="1">IF(INDIRECT(_xlfn.CONCAT("'",IF(ISNUMBER(FIND("'",$A49))=TRUE,_xlfn.CONCAT(LEFT($A49,FIND("'",$A49)-1),"''",RIGHT($A49,LEN($A49)-FIND("'",$A49))),$A49),"'!B4"))&gt;=L$2,"d",IF(INDIRECT(_xlfn.CONCAT("'",IF(ISNUMBER(FIND("'",$A49))=TRUE,_xlfn.CONCAT(LEFT($A49,FIND("'",$A49)-1),"''",RIGHT($A49,LEN($A49)-FIND("'",$A49))),$A49),"'!B5"))&gt;=L$2,"i",""))</f>
        <v>d</v>
      </c>
      <c r="M49" s="4" t="str" cm="1">
        <f t="array" aca="1" ref="M49" ca="1">IF(INDIRECT(_xlfn.CONCAT("'",IF(ISNUMBER(FIND("'",$A49))=TRUE,_xlfn.CONCAT(LEFT($A49,FIND("'",$A49)-1),"''",RIGHT($A49,LEN($A49)-FIND("'",$A49))),$A49),"'!B4"))&gt;=M$2,"d",IF(INDIRECT(_xlfn.CONCAT("'",IF(ISNUMBER(FIND("'",$A49))=TRUE,_xlfn.CONCAT(LEFT($A49,FIND("'",$A49)-1),"''",RIGHT($A49,LEN($A49)-FIND("'",$A49))),$A49),"'!B5"))&gt;=M$2,"i",""))</f>
        <v>d</v>
      </c>
      <c r="N49" s="95"/>
      <c r="O49" s="14" t="str" cm="1">
        <f t="array" aca="1" ref="O49" ca="1">IF(INDIRECT(_xlfn.CONCAT("'",IF(ISNUMBER(FIND("'",$A49))=TRUE,_xlfn.CONCAT(LEFT($A49,FIND("'",$A49)-1),"''",RIGHT($A49,LEN($A49)-FIND("'",$A49))),$A49),"'!C10"))&gt;=O$2,"d",IF(INDIRECT(_xlfn.CONCAT("'",IF(ISNUMBER(FIND("'",$A49))=TRUE,_xlfn.CONCAT(LEFT($A49,FIND("'",$A49)-1),"''",RIGHT($A49,LEN($A49)-FIND("'",$A49))),$A49),"'!C11"))&gt;=O$2,"i",""))</f>
        <v>d</v>
      </c>
      <c r="P49" s="1" t="str" cm="1">
        <f t="array" aca="1" ref="P49" ca="1">IF(INDIRECT(_xlfn.CONCAT("'",IF(ISNUMBER(FIND("'",$A49))=TRUE,_xlfn.CONCAT(LEFT($A49,FIND("'",$A49)-1),"''",RIGHT($A49,LEN($A49)-FIND("'",$A49))),$A49),"'!C10"))&gt;=P$2,"d",IF(INDIRECT(_xlfn.CONCAT("'",IF(ISNUMBER(FIND("'",$A49))=TRUE,_xlfn.CONCAT(LEFT($A49,FIND("'",$A49)-1),"''",RIGHT($A49,LEN($A49)-FIND("'",$A49))),$A49),"'!C11"))&gt;=P$2,"i",""))</f>
        <v>d</v>
      </c>
      <c r="Q49" s="1" t="str" cm="1">
        <f t="array" aca="1" ref="Q49" ca="1">IF(INDIRECT(_xlfn.CONCAT("'",IF(ISNUMBER(FIND("'",$A49))=TRUE,_xlfn.CONCAT(LEFT($A49,FIND("'",$A49)-1),"''",RIGHT($A49,LEN($A49)-FIND("'",$A49))),$A49),"'!C10"))&gt;=Q$2,"d",IF(INDIRECT(_xlfn.CONCAT("'",IF(ISNUMBER(FIND("'",$A49))=TRUE,_xlfn.CONCAT(LEFT($A49,FIND("'",$A49)-1),"''",RIGHT($A49,LEN($A49)-FIND("'",$A49))),$A49),"'!C11"))&gt;=Q$2,"i",""))</f>
        <v>d</v>
      </c>
      <c r="R49" s="1" t="str" cm="1">
        <f t="array" aca="1" ref="R49" ca="1">IF(INDIRECT(_xlfn.CONCAT("'",IF(ISNUMBER(FIND("'",$A49))=TRUE,_xlfn.CONCAT(LEFT($A49,FIND("'",$A49)-1),"''",RIGHT($A49,LEN($A49)-FIND("'",$A49))),$A49),"'!C10"))&gt;=R$2,"d",IF(INDIRECT(_xlfn.CONCAT("'",IF(ISNUMBER(FIND("'",$A49))=TRUE,_xlfn.CONCAT(LEFT($A49,FIND("'",$A49)-1),"''",RIGHT($A49,LEN($A49)-FIND("'",$A49))),$A49),"'!C11"))&gt;=R$2,"i",""))</f>
        <v>d</v>
      </c>
      <c r="S49" s="1" t="str" cm="1">
        <f t="array" aca="1" ref="S49" ca="1">IF(INDIRECT(_xlfn.CONCAT("'",IF(ISNUMBER(FIND("'",$A49))=TRUE,_xlfn.CONCAT(LEFT($A49,FIND("'",$A49)-1),"''",RIGHT($A49,LEN($A49)-FIND("'",$A49))),$A49),"'!C10"))&gt;=S$2,"d",IF(INDIRECT(_xlfn.CONCAT("'",IF(ISNUMBER(FIND("'",$A49))=TRUE,_xlfn.CONCAT(LEFT($A49,FIND("'",$A49)-1),"''",RIGHT($A49,LEN($A49)-FIND("'",$A49))),$A49),"'!C11"))&gt;=S$2,"i",""))</f>
        <v>d</v>
      </c>
      <c r="T49" s="4" t="str" cm="1">
        <f t="array" aca="1" ref="T49" ca="1">IF(INDIRECT(_xlfn.CONCAT("'",IF(ISNUMBER(FIND("'",$A49))=TRUE,_xlfn.CONCAT(LEFT($A49,FIND("'",$A49)-1),"''",RIGHT($A49,LEN($A49)-FIND("'",$A49))),$A49),"'!C10"))&gt;=T$2,"d",IF(INDIRECT(_xlfn.CONCAT("'",IF(ISNUMBER(FIND("'",$A49))=TRUE,_xlfn.CONCAT(LEFT($A49,FIND("'",$A49)-1),"''",RIGHT($A49,LEN($A49)-FIND("'",$A49))),$A49),"'!C11"))&gt;=T$2,"i",""))</f>
        <v>d</v>
      </c>
    </row>
    <row r="50" spans="1:20" hidden="1" x14ac:dyDescent="0.25">
      <c r="A50" s="54" t="str">
        <v>Solar Pearl</v>
      </c>
      <c r="B50" s="14" cm="1">
        <f t="array" ref="B50">_xlfn.XLOOKUP(A50,INDEX(Weapon_List,,1),INDEX(Weapon_List,,3),,0,1)</f>
        <v>4</v>
      </c>
      <c r="C50" s="4" t="str" cm="1">
        <f t="array" ref="C50">_xlfn.XLOOKUP(A50,INDEX(Weapon_List,,1),INDEX(Weapon_List,,2),,0,1)</f>
        <v>Catalyst</v>
      </c>
      <c r="D50" s="38" t="str" cm="1">
        <f t="array" ref="D50">_xlfn.XLOOKUP(A50,INDEX(Weapon_List,,1),INDEX(Weapon_List,,4),,0,1)</f>
        <v>Liyue 1</v>
      </c>
      <c r="E50" s="38" t="str" cm="1">
        <f t="array" ref="E50">_xlfn.XLOOKUP(A50,INDEX(Weapon_List,,1),INDEX(Weapon_List,,5),,0,1)</f>
        <v>Whopperflower</v>
      </c>
      <c r="F50" s="38" t="str" cm="1">
        <f t="array" ref="F50">_xlfn.XLOOKUP(A50,INDEX(Weapon_List,,1),INDEX(Weapon_List,,6),,0,1)</f>
        <v>Fatui Agent</v>
      </c>
      <c r="G50" s="14" t="str" cm="1">
        <f t="array" aca="1" ref="G50" ca="1">IF(INDIRECT(_xlfn.CONCAT("'",IF(ISNUMBER(FIND("'",$A50))=TRUE,_xlfn.CONCAT(LEFT($A50,FIND("'",$A50)-1),"''",RIGHT($A50,LEN($A50)-FIND("'",$A50))),$A50),"'!B4"))&gt;=G$2,"d",IF(INDIRECT(_xlfn.CONCAT("'",IF(ISNUMBER(FIND("'",$A50))=TRUE,_xlfn.CONCAT(LEFT($A50,FIND("'",$A50)-1),"''",RIGHT($A50,LEN($A50)-FIND("'",$A50))),$A50),"'!B5"))&gt;=G$2,"i",""))</f>
        <v>d</v>
      </c>
      <c r="H50" s="1" t="str" cm="1">
        <f t="array" aca="1" ref="H50" ca="1">IF(INDIRECT(_xlfn.CONCAT("'",IF(ISNUMBER(FIND("'",$A50))=TRUE,_xlfn.CONCAT(LEFT($A50,FIND("'",$A50)-1),"''",RIGHT($A50,LEN($A50)-FIND("'",$A50))),$A50),"'!B4"))&gt;=H$2,"d",IF(INDIRECT(_xlfn.CONCAT("'",IF(ISNUMBER(FIND("'",$A50))=TRUE,_xlfn.CONCAT(LEFT($A50,FIND("'",$A50)-1),"''",RIGHT($A50,LEN($A50)-FIND("'",$A50))),$A50),"'!B5"))&gt;=H$2,"i",""))</f>
        <v>d</v>
      </c>
      <c r="I50" s="1" t="str" cm="1">
        <f t="array" aca="1" ref="I50" ca="1">IF(INDIRECT(_xlfn.CONCAT("'",IF(ISNUMBER(FIND("'",$A50))=TRUE,_xlfn.CONCAT(LEFT($A50,FIND("'",$A50)-1),"''",RIGHT($A50,LEN($A50)-FIND("'",$A50))),$A50),"'!B4"))&gt;=I$2,"d",IF(INDIRECT(_xlfn.CONCAT("'",IF(ISNUMBER(FIND("'",$A50))=TRUE,_xlfn.CONCAT(LEFT($A50,FIND("'",$A50)-1),"''",RIGHT($A50,LEN($A50)-FIND("'",$A50))),$A50),"'!B5"))&gt;=I$2,"i",""))</f>
        <v>d</v>
      </c>
      <c r="J50" s="1" t="str" cm="1">
        <f t="array" aca="1" ref="J50" ca="1">IF(INDIRECT(_xlfn.CONCAT("'",IF(ISNUMBER(FIND("'",$A50))=TRUE,_xlfn.CONCAT(LEFT($A50,FIND("'",$A50)-1),"''",RIGHT($A50,LEN($A50)-FIND("'",$A50))),$A50),"'!B4"))&gt;=J$2,"d",IF(INDIRECT(_xlfn.CONCAT("'",IF(ISNUMBER(FIND("'",$A50))=TRUE,_xlfn.CONCAT(LEFT($A50,FIND("'",$A50)-1),"''",RIGHT($A50,LEN($A50)-FIND("'",$A50))),$A50),"'!B5"))&gt;=J$2,"i",""))</f>
        <v>d</v>
      </c>
      <c r="K50" s="1" t="str" cm="1">
        <f t="array" aca="1" ref="K50" ca="1">IF(INDIRECT(_xlfn.CONCAT("'",IF(ISNUMBER(FIND("'",$A50))=TRUE,_xlfn.CONCAT(LEFT($A50,FIND("'",$A50)-1),"''",RIGHT($A50,LEN($A50)-FIND("'",$A50))),$A50),"'!B4"))&gt;=K$2,"d",IF(INDIRECT(_xlfn.CONCAT("'",IF(ISNUMBER(FIND("'",$A50))=TRUE,_xlfn.CONCAT(LEFT($A50,FIND("'",$A50)-1),"''",RIGHT($A50,LEN($A50)-FIND("'",$A50))),$A50),"'!B5"))&gt;=K$2,"i",""))</f>
        <v>d</v>
      </c>
      <c r="L50" s="1" t="str" cm="1">
        <f t="array" aca="1" ref="L50" ca="1">IF(INDIRECT(_xlfn.CONCAT("'",IF(ISNUMBER(FIND("'",$A50))=TRUE,_xlfn.CONCAT(LEFT($A50,FIND("'",$A50)-1),"''",RIGHT($A50,LEN($A50)-FIND("'",$A50))),$A50),"'!B4"))&gt;=L$2,"d",IF(INDIRECT(_xlfn.CONCAT("'",IF(ISNUMBER(FIND("'",$A50))=TRUE,_xlfn.CONCAT(LEFT($A50,FIND("'",$A50)-1),"''",RIGHT($A50,LEN($A50)-FIND("'",$A50))),$A50),"'!B5"))&gt;=L$2,"i",""))</f>
        <v>d</v>
      </c>
      <c r="M50" s="4" t="str" cm="1">
        <f t="array" aca="1" ref="M50" ca="1">IF(INDIRECT(_xlfn.CONCAT("'",IF(ISNUMBER(FIND("'",$A50))=TRUE,_xlfn.CONCAT(LEFT($A50,FIND("'",$A50)-1),"''",RIGHT($A50,LEN($A50)-FIND("'",$A50))),$A50),"'!B4"))&gt;=M$2,"d",IF(INDIRECT(_xlfn.CONCAT("'",IF(ISNUMBER(FIND("'",$A50))=TRUE,_xlfn.CONCAT(LEFT($A50,FIND("'",$A50)-1),"''",RIGHT($A50,LEN($A50)-FIND("'",$A50))),$A50),"'!B5"))&gt;=M$2,"i",""))</f>
        <v>d</v>
      </c>
      <c r="N50" s="95"/>
      <c r="O50" s="14" t="str" cm="1">
        <f t="array" aca="1" ref="O50" ca="1">IF(INDIRECT(_xlfn.CONCAT("'",IF(ISNUMBER(FIND("'",$A50))=TRUE,_xlfn.CONCAT(LEFT($A50,FIND("'",$A50)-1),"''",RIGHT($A50,LEN($A50)-FIND("'",$A50))),$A50),"'!C10"))&gt;=O$2,"d",IF(INDIRECT(_xlfn.CONCAT("'",IF(ISNUMBER(FIND("'",$A50))=TRUE,_xlfn.CONCAT(LEFT($A50,FIND("'",$A50)-1),"''",RIGHT($A50,LEN($A50)-FIND("'",$A50))),$A50),"'!C11"))&gt;=O$2,"i",""))</f>
        <v>d</v>
      </c>
      <c r="P50" s="1" t="str" cm="1">
        <f t="array" aca="1" ref="P50" ca="1">IF(INDIRECT(_xlfn.CONCAT("'",IF(ISNUMBER(FIND("'",$A50))=TRUE,_xlfn.CONCAT(LEFT($A50,FIND("'",$A50)-1),"''",RIGHT($A50,LEN($A50)-FIND("'",$A50))),$A50),"'!C10"))&gt;=P$2,"d",IF(INDIRECT(_xlfn.CONCAT("'",IF(ISNUMBER(FIND("'",$A50))=TRUE,_xlfn.CONCAT(LEFT($A50,FIND("'",$A50)-1),"''",RIGHT($A50,LEN($A50)-FIND("'",$A50))),$A50),"'!C11"))&gt;=P$2,"i",""))</f>
        <v>d</v>
      </c>
      <c r="Q50" s="1" t="str" cm="1">
        <f t="array" aca="1" ref="Q50" ca="1">IF(INDIRECT(_xlfn.CONCAT("'",IF(ISNUMBER(FIND("'",$A50))=TRUE,_xlfn.CONCAT(LEFT($A50,FIND("'",$A50)-1),"''",RIGHT($A50,LEN($A50)-FIND("'",$A50))),$A50),"'!C10"))&gt;=Q$2,"d",IF(INDIRECT(_xlfn.CONCAT("'",IF(ISNUMBER(FIND("'",$A50))=TRUE,_xlfn.CONCAT(LEFT($A50,FIND("'",$A50)-1),"''",RIGHT($A50,LEN($A50)-FIND("'",$A50))),$A50),"'!C11"))&gt;=Q$2,"i",""))</f>
        <v>d</v>
      </c>
      <c r="R50" s="1" t="str" cm="1">
        <f t="array" aca="1" ref="R50" ca="1">IF(INDIRECT(_xlfn.CONCAT("'",IF(ISNUMBER(FIND("'",$A50))=TRUE,_xlfn.CONCAT(LEFT($A50,FIND("'",$A50)-1),"''",RIGHT($A50,LEN($A50)-FIND("'",$A50))),$A50),"'!C10"))&gt;=R$2,"d",IF(INDIRECT(_xlfn.CONCAT("'",IF(ISNUMBER(FIND("'",$A50))=TRUE,_xlfn.CONCAT(LEFT($A50,FIND("'",$A50)-1),"''",RIGHT($A50,LEN($A50)-FIND("'",$A50))),$A50),"'!C11"))&gt;=R$2,"i",""))</f>
        <v>d</v>
      </c>
      <c r="S50" s="1" t="str" cm="1">
        <f t="array" aca="1" ref="S50" ca="1">IF(INDIRECT(_xlfn.CONCAT("'",IF(ISNUMBER(FIND("'",$A50))=TRUE,_xlfn.CONCAT(LEFT($A50,FIND("'",$A50)-1),"''",RIGHT($A50,LEN($A50)-FIND("'",$A50))),$A50),"'!C10"))&gt;=S$2,"d",IF(INDIRECT(_xlfn.CONCAT("'",IF(ISNUMBER(FIND("'",$A50))=TRUE,_xlfn.CONCAT(LEFT($A50,FIND("'",$A50)-1),"''",RIGHT($A50,LEN($A50)-FIND("'",$A50))),$A50),"'!C11"))&gt;=S$2,"i",""))</f>
        <v>d</v>
      </c>
      <c r="T50" s="4" t="str" cm="1">
        <f t="array" aca="1" ref="T50" ca="1">IF(INDIRECT(_xlfn.CONCAT("'",IF(ISNUMBER(FIND("'",$A50))=TRUE,_xlfn.CONCAT(LEFT($A50,FIND("'",$A50)-1),"''",RIGHT($A50,LEN($A50)-FIND("'",$A50))),$A50),"'!C10"))&gt;=T$2,"d",IF(INDIRECT(_xlfn.CONCAT("'",IF(ISNUMBER(FIND("'",$A50))=TRUE,_xlfn.CONCAT(LEFT($A50,FIND("'",$A50)-1),"''",RIGHT($A50,LEN($A50)-FIND("'",$A50))),$A50),"'!C11"))&gt;=T$2,"i",""))</f>
        <v>d</v>
      </c>
    </row>
    <row r="51" spans="1:20" hidden="1" x14ac:dyDescent="0.25">
      <c r="A51" s="54" t="str">
        <v>The Veridescent Hunt</v>
      </c>
      <c r="B51" s="14" cm="1">
        <f t="array" ref="B51">_xlfn.XLOOKUP(A51,INDEX(Weapon_List,,1),INDEX(Weapon_List,,3),,0,1)</f>
        <v>4</v>
      </c>
      <c r="C51" s="4" t="str" cm="1">
        <f t="array" ref="C51">_xlfn.XLOOKUP(A51,INDEX(Weapon_List,,1),INDEX(Weapon_List,,2),,0,1)</f>
        <v>Bow</v>
      </c>
      <c r="D51" s="38" t="str" cm="1">
        <f t="array" ref="D51">_xlfn.XLOOKUP(A51,INDEX(Weapon_List,,1),INDEX(Weapon_List,,4),,0,1)</f>
        <v>Mondstadt 1</v>
      </c>
      <c r="E51" s="38" t="str" cm="1">
        <f t="array" ref="E51">_xlfn.XLOOKUP(A51,INDEX(Weapon_List,,1),INDEX(Weapon_List,,5),,0,1)</f>
        <v>Hilichurl Shooter</v>
      </c>
      <c r="F51" s="38" t="str" cm="1">
        <f t="array" ref="F51">_xlfn.XLOOKUP(A51,INDEX(Weapon_List,,1),INDEX(Weapon_List,,6),,0,1)</f>
        <v>Mitachurl</v>
      </c>
      <c r="G51" s="14" t="str" cm="1">
        <f t="array" aca="1" ref="G51" ca="1">IF(INDIRECT(_xlfn.CONCAT("'",IF(ISNUMBER(FIND("'",$A51))=TRUE,_xlfn.CONCAT(LEFT($A51,FIND("'",$A51)-1),"''",RIGHT($A51,LEN($A51)-FIND("'",$A51))),$A51),"'!B4"))&gt;=G$2,"d",IF(INDIRECT(_xlfn.CONCAT("'",IF(ISNUMBER(FIND("'",$A51))=TRUE,_xlfn.CONCAT(LEFT($A51,FIND("'",$A51)-1),"''",RIGHT($A51,LEN($A51)-FIND("'",$A51))),$A51),"'!B5"))&gt;=G$2,"i",""))</f>
        <v>d</v>
      </c>
      <c r="H51" s="1" t="str" cm="1">
        <f t="array" aca="1" ref="H51" ca="1">IF(INDIRECT(_xlfn.CONCAT("'",IF(ISNUMBER(FIND("'",$A51))=TRUE,_xlfn.CONCAT(LEFT($A51,FIND("'",$A51)-1),"''",RIGHT($A51,LEN($A51)-FIND("'",$A51))),$A51),"'!B4"))&gt;=H$2,"d",IF(INDIRECT(_xlfn.CONCAT("'",IF(ISNUMBER(FIND("'",$A51))=TRUE,_xlfn.CONCAT(LEFT($A51,FIND("'",$A51)-1),"''",RIGHT($A51,LEN($A51)-FIND("'",$A51))),$A51),"'!B5"))&gt;=H$2,"i",""))</f>
        <v>d</v>
      </c>
      <c r="I51" s="1" t="str" cm="1">
        <f t="array" aca="1" ref="I51" ca="1">IF(INDIRECT(_xlfn.CONCAT("'",IF(ISNUMBER(FIND("'",$A51))=TRUE,_xlfn.CONCAT(LEFT($A51,FIND("'",$A51)-1),"''",RIGHT($A51,LEN($A51)-FIND("'",$A51))),$A51),"'!B4"))&gt;=I$2,"d",IF(INDIRECT(_xlfn.CONCAT("'",IF(ISNUMBER(FIND("'",$A51))=TRUE,_xlfn.CONCAT(LEFT($A51,FIND("'",$A51)-1),"''",RIGHT($A51,LEN($A51)-FIND("'",$A51))),$A51),"'!B5"))&gt;=I$2,"i",""))</f>
        <v>d</v>
      </c>
      <c r="J51" s="1" t="str" cm="1">
        <f t="array" aca="1" ref="J51" ca="1">IF(INDIRECT(_xlfn.CONCAT("'",IF(ISNUMBER(FIND("'",$A51))=TRUE,_xlfn.CONCAT(LEFT($A51,FIND("'",$A51)-1),"''",RIGHT($A51,LEN($A51)-FIND("'",$A51))),$A51),"'!B4"))&gt;=J$2,"d",IF(INDIRECT(_xlfn.CONCAT("'",IF(ISNUMBER(FIND("'",$A51))=TRUE,_xlfn.CONCAT(LEFT($A51,FIND("'",$A51)-1),"''",RIGHT($A51,LEN($A51)-FIND("'",$A51))),$A51),"'!B5"))&gt;=J$2,"i",""))</f>
        <v>d</v>
      </c>
      <c r="K51" s="1" t="str" cm="1">
        <f t="array" aca="1" ref="K51" ca="1">IF(INDIRECT(_xlfn.CONCAT("'",IF(ISNUMBER(FIND("'",$A51))=TRUE,_xlfn.CONCAT(LEFT($A51,FIND("'",$A51)-1),"''",RIGHT($A51,LEN($A51)-FIND("'",$A51))),$A51),"'!B4"))&gt;=K$2,"d",IF(INDIRECT(_xlfn.CONCAT("'",IF(ISNUMBER(FIND("'",$A51))=TRUE,_xlfn.CONCAT(LEFT($A51,FIND("'",$A51)-1),"''",RIGHT($A51,LEN($A51)-FIND("'",$A51))),$A51),"'!B5"))&gt;=K$2,"i",""))</f>
        <v>d</v>
      </c>
      <c r="L51" s="1" t="str" cm="1">
        <f t="array" aca="1" ref="L51" ca="1">IF(INDIRECT(_xlfn.CONCAT("'",IF(ISNUMBER(FIND("'",$A51))=TRUE,_xlfn.CONCAT(LEFT($A51,FIND("'",$A51)-1),"''",RIGHT($A51,LEN($A51)-FIND("'",$A51))),$A51),"'!B4"))&gt;=L$2,"d",IF(INDIRECT(_xlfn.CONCAT("'",IF(ISNUMBER(FIND("'",$A51))=TRUE,_xlfn.CONCAT(LEFT($A51,FIND("'",$A51)-1),"''",RIGHT($A51,LEN($A51)-FIND("'",$A51))),$A51),"'!B5"))&gt;=L$2,"i",""))</f>
        <v>d</v>
      </c>
      <c r="M51" s="4" t="str" cm="1">
        <f t="array" aca="1" ref="M51" ca="1">IF(INDIRECT(_xlfn.CONCAT("'",IF(ISNUMBER(FIND("'",$A51))=TRUE,_xlfn.CONCAT(LEFT($A51,FIND("'",$A51)-1),"''",RIGHT($A51,LEN($A51)-FIND("'",$A51))),$A51),"'!B4"))&gt;=M$2,"d",IF(INDIRECT(_xlfn.CONCAT("'",IF(ISNUMBER(FIND("'",$A51))=TRUE,_xlfn.CONCAT(LEFT($A51,FIND("'",$A51)-1),"''",RIGHT($A51,LEN($A51)-FIND("'",$A51))),$A51),"'!B5"))&gt;=M$2,"i",""))</f>
        <v>d</v>
      </c>
      <c r="N51" s="95"/>
      <c r="O51" s="14" t="str" cm="1">
        <f t="array" aca="1" ref="O51" ca="1">IF(INDIRECT(_xlfn.CONCAT("'",IF(ISNUMBER(FIND("'",$A51))=TRUE,_xlfn.CONCAT(LEFT($A51,FIND("'",$A51)-1),"''",RIGHT($A51,LEN($A51)-FIND("'",$A51))),$A51),"'!C10"))&gt;=O$2,"d",IF(INDIRECT(_xlfn.CONCAT("'",IF(ISNUMBER(FIND("'",$A51))=TRUE,_xlfn.CONCAT(LEFT($A51,FIND("'",$A51)-1),"''",RIGHT($A51,LEN($A51)-FIND("'",$A51))),$A51),"'!C11"))&gt;=O$2,"i",""))</f>
        <v>d</v>
      </c>
      <c r="P51" s="1" t="str" cm="1">
        <f t="array" aca="1" ref="P51" ca="1">IF(INDIRECT(_xlfn.CONCAT("'",IF(ISNUMBER(FIND("'",$A51))=TRUE,_xlfn.CONCAT(LEFT($A51,FIND("'",$A51)-1),"''",RIGHT($A51,LEN($A51)-FIND("'",$A51))),$A51),"'!C10"))&gt;=P$2,"d",IF(INDIRECT(_xlfn.CONCAT("'",IF(ISNUMBER(FIND("'",$A51))=TRUE,_xlfn.CONCAT(LEFT($A51,FIND("'",$A51)-1),"''",RIGHT($A51,LEN($A51)-FIND("'",$A51))),$A51),"'!C11"))&gt;=P$2,"i",""))</f>
        <v>d</v>
      </c>
      <c r="Q51" s="1" t="str" cm="1">
        <f t="array" aca="1" ref="Q51" ca="1">IF(INDIRECT(_xlfn.CONCAT("'",IF(ISNUMBER(FIND("'",$A51))=TRUE,_xlfn.CONCAT(LEFT($A51,FIND("'",$A51)-1),"''",RIGHT($A51,LEN($A51)-FIND("'",$A51))),$A51),"'!C10"))&gt;=Q$2,"d",IF(INDIRECT(_xlfn.CONCAT("'",IF(ISNUMBER(FIND("'",$A51))=TRUE,_xlfn.CONCAT(LEFT($A51,FIND("'",$A51)-1),"''",RIGHT($A51,LEN($A51)-FIND("'",$A51))),$A51),"'!C11"))&gt;=Q$2,"i",""))</f>
        <v>d</v>
      </c>
      <c r="R51" s="1" t="str" cm="1">
        <f t="array" aca="1" ref="R51" ca="1">IF(INDIRECT(_xlfn.CONCAT("'",IF(ISNUMBER(FIND("'",$A51))=TRUE,_xlfn.CONCAT(LEFT($A51,FIND("'",$A51)-1),"''",RIGHT($A51,LEN($A51)-FIND("'",$A51))),$A51),"'!C10"))&gt;=R$2,"d",IF(INDIRECT(_xlfn.CONCAT("'",IF(ISNUMBER(FIND("'",$A51))=TRUE,_xlfn.CONCAT(LEFT($A51,FIND("'",$A51)-1),"''",RIGHT($A51,LEN($A51)-FIND("'",$A51))),$A51),"'!C11"))&gt;=R$2,"i",""))</f>
        <v>d</v>
      </c>
      <c r="S51" s="1" t="str" cm="1">
        <f t="array" aca="1" ref="S51" ca="1">IF(INDIRECT(_xlfn.CONCAT("'",IF(ISNUMBER(FIND("'",$A51))=TRUE,_xlfn.CONCAT(LEFT($A51,FIND("'",$A51)-1),"''",RIGHT($A51,LEN($A51)-FIND("'",$A51))),$A51),"'!C10"))&gt;=S$2,"d",IF(INDIRECT(_xlfn.CONCAT("'",IF(ISNUMBER(FIND("'",$A51))=TRUE,_xlfn.CONCAT(LEFT($A51,FIND("'",$A51)-1),"''",RIGHT($A51,LEN($A51)-FIND("'",$A51))),$A51),"'!C11"))&gt;=S$2,"i",""))</f>
        <v>d</v>
      </c>
      <c r="T51" s="4" t="str" cm="1">
        <f t="array" aca="1" ref="T51" ca="1">IF(INDIRECT(_xlfn.CONCAT("'",IF(ISNUMBER(FIND("'",$A51))=TRUE,_xlfn.CONCAT(LEFT($A51,FIND("'",$A51)-1),"''",RIGHT($A51,LEN($A51)-FIND("'",$A51))),$A51),"'!C10"))&gt;=T$2,"d",IF(INDIRECT(_xlfn.CONCAT("'",IF(ISNUMBER(FIND("'",$A51))=TRUE,_xlfn.CONCAT(LEFT($A51,FIND("'",$A51)-1),"''",RIGHT($A51,LEN($A51)-FIND("'",$A51))),$A51),"'!C11"))&gt;=T$2,"i",""))</f>
        <v>d</v>
      </c>
    </row>
    <row r="52" spans="1:20" hidden="1" x14ac:dyDescent="0.25">
      <c r="A52" s="54" t="str">
        <v>Prototype Rancour</v>
      </c>
      <c r="B52" s="14" cm="1">
        <f t="array" ref="B52">_xlfn.XLOOKUP(A52,INDEX(Weapon_List,,1),INDEX(Weapon_List,,3),,0,1)</f>
        <v>4</v>
      </c>
      <c r="C52" s="4" t="str" cm="1">
        <f t="array" ref="C52">_xlfn.XLOOKUP(A52,INDEX(Weapon_List,,1),INDEX(Weapon_List,,2),,0,1)</f>
        <v>Sword</v>
      </c>
      <c r="D52" s="38" t="str" cm="1">
        <f t="array" ref="D52">_xlfn.XLOOKUP(A52,INDEX(Weapon_List,,1),INDEX(Weapon_List,,4),,0,1)</f>
        <v>Liyue 2</v>
      </c>
      <c r="E52" s="38" t="str" cm="1">
        <f t="array" ref="E52">_xlfn.XLOOKUP(A52,INDEX(Weapon_List,,1),INDEX(Weapon_List,,5),,0,1)</f>
        <v>Fatui</v>
      </c>
      <c r="F52" s="38" t="str" cm="1">
        <f t="array" ref="F52">_xlfn.XLOOKUP(A52,INDEX(Weapon_List,,1),INDEX(Weapon_List,,6),,0,1)</f>
        <v>Fatui Cicin Mage</v>
      </c>
      <c r="G52" s="14" t="str" cm="1">
        <f t="array" aca="1" ref="G52" ca="1">IF(INDIRECT(_xlfn.CONCAT("'",IF(ISNUMBER(FIND("'",$A52))=TRUE,_xlfn.CONCAT(LEFT($A52,FIND("'",$A52)-1),"''",RIGHT($A52,LEN($A52)-FIND("'",$A52))),$A52),"'!B4"))&gt;=G$2,"d",IF(INDIRECT(_xlfn.CONCAT("'",IF(ISNUMBER(FIND("'",$A52))=TRUE,_xlfn.CONCAT(LEFT($A52,FIND("'",$A52)-1),"''",RIGHT($A52,LEN($A52)-FIND("'",$A52))),$A52),"'!B5"))&gt;=G$2,"i",""))</f>
        <v>d</v>
      </c>
      <c r="H52" s="1" t="str" cm="1">
        <f t="array" aca="1" ref="H52" ca="1">IF(INDIRECT(_xlfn.CONCAT("'",IF(ISNUMBER(FIND("'",$A52))=TRUE,_xlfn.CONCAT(LEFT($A52,FIND("'",$A52)-1),"''",RIGHT($A52,LEN($A52)-FIND("'",$A52))),$A52),"'!B4"))&gt;=H$2,"d",IF(INDIRECT(_xlfn.CONCAT("'",IF(ISNUMBER(FIND("'",$A52))=TRUE,_xlfn.CONCAT(LEFT($A52,FIND("'",$A52)-1),"''",RIGHT($A52,LEN($A52)-FIND("'",$A52))),$A52),"'!B5"))&gt;=H$2,"i",""))</f>
        <v>d</v>
      </c>
      <c r="I52" s="1" t="str" cm="1">
        <f t="array" aca="1" ref="I52" ca="1">IF(INDIRECT(_xlfn.CONCAT("'",IF(ISNUMBER(FIND("'",$A52))=TRUE,_xlfn.CONCAT(LEFT($A52,FIND("'",$A52)-1),"''",RIGHT($A52,LEN($A52)-FIND("'",$A52))),$A52),"'!B4"))&gt;=I$2,"d",IF(INDIRECT(_xlfn.CONCAT("'",IF(ISNUMBER(FIND("'",$A52))=TRUE,_xlfn.CONCAT(LEFT($A52,FIND("'",$A52)-1),"''",RIGHT($A52,LEN($A52)-FIND("'",$A52))),$A52),"'!B5"))&gt;=I$2,"i",""))</f>
        <v>d</v>
      </c>
      <c r="J52" s="1" t="str" cm="1">
        <f t="array" aca="1" ref="J52" ca="1">IF(INDIRECT(_xlfn.CONCAT("'",IF(ISNUMBER(FIND("'",$A52))=TRUE,_xlfn.CONCAT(LEFT($A52,FIND("'",$A52)-1),"''",RIGHT($A52,LEN($A52)-FIND("'",$A52))),$A52),"'!B4"))&gt;=J$2,"d",IF(INDIRECT(_xlfn.CONCAT("'",IF(ISNUMBER(FIND("'",$A52))=TRUE,_xlfn.CONCAT(LEFT($A52,FIND("'",$A52)-1),"''",RIGHT($A52,LEN($A52)-FIND("'",$A52))),$A52),"'!B5"))&gt;=J$2,"i",""))</f>
        <v>d</v>
      </c>
      <c r="K52" s="1" t="str" cm="1">
        <f t="array" aca="1" ref="K52" ca="1">IF(INDIRECT(_xlfn.CONCAT("'",IF(ISNUMBER(FIND("'",$A52))=TRUE,_xlfn.CONCAT(LEFT($A52,FIND("'",$A52)-1),"''",RIGHT($A52,LEN($A52)-FIND("'",$A52))),$A52),"'!B4"))&gt;=K$2,"d",IF(INDIRECT(_xlfn.CONCAT("'",IF(ISNUMBER(FIND("'",$A52))=TRUE,_xlfn.CONCAT(LEFT($A52,FIND("'",$A52)-1),"''",RIGHT($A52,LEN($A52)-FIND("'",$A52))),$A52),"'!B5"))&gt;=K$2,"i",""))</f>
        <v>d</v>
      </c>
      <c r="L52" s="1" t="str" cm="1">
        <f t="array" aca="1" ref="L52" ca="1">IF(INDIRECT(_xlfn.CONCAT("'",IF(ISNUMBER(FIND("'",$A52))=TRUE,_xlfn.CONCAT(LEFT($A52,FIND("'",$A52)-1),"''",RIGHT($A52,LEN($A52)-FIND("'",$A52))),$A52),"'!B4"))&gt;=L$2,"d",IF(INDIRECT(_xlfn.CONCAT("'",IF(ISNUMBER(FIND("'",$A52))=TRUE,_xlfn.CONCAT(LEFT($A52,FIND("'",$A52)-1),"''",RIGHT($A52,LEN($A52)-FIND("'",$A52))),$A52),"'!B5"))&gt;=L$2,"i",""))</f>
        <v>d</v>
      </c>
      <c r="M52" s="4" t="str" cm="1">
        <f t="array" aca="1" ref="M52" ca="1">IF(INDIRECT(_xlfn.CONCAT("'",IF(ISNUMBER(FIND("'",$A52))=TRUE,_xlfn.CONCAT(LEFT($A52,FIND("'",$A52)-1),"''",RIGHT($A52,LEN($A52)-FIND("'",$A52))),$A52),"'!B4"))&gt;=M$2,"d",IF(INDIRECT(_xlfn.CONCAT("'",IF(ISNUMBER(FIND("'",$A52))=TRUE,_xlfn.CONCAT(LEFT($A52,FIND("'",$A52)-1),"''",RIGHT($A52,LEN($A52)-FIND("'",$A52))),$A52),"'!B5"))&gt;=M$2,"i",""))</f>
        <v>d</v>
      </c>
      <c r="N52" s="95"/>
      <c r="O52" s="14" t="str" cm="1">
        <f t="array" aca="1" ref="O52" ca="1">IF(INDIRECT(_xlfn.CONCAT("'",IF(ISNUMBER(FIND("'",$A52))=TRUE,_xlfn.CONCAT(LEFT($A52,FIND("'",$A52)-1),"''",RIGHT($A52,LEN($A52)-FIND("'",$A52))),$A52),"'!C10"))&gt;=O$2,"d",IF(INDIRECT(_xlfn.CONCAT("'",IF(ISNUMBER(FIND("'",$A52))=TRUE,_xlfn.CONCAT(LEFT($A52,FIND("'",$A52)-1),"''",RIGHT($A52,LEN($A52)-FIND("'",$A52))),$A52),"'!C11"))&gt;=O$2,"i",""))</f>
        <v>d</v>
      </c>
      <c r="P52" s="1" t="str" cm="1">
        <f t="array" aca="1" ref="P52" ca="1">IF(INDIRECT(_xlfn.CONCAT("'",IF(ISNUMBER(FIND("'",$A52))=TRUE,_xlfn.CONCAT(LEFT($A52,FIND("'",$A52)-1),"''",RIGHT($A52,LEN($A52)-FIND("'",$A52))),$A52),"'!C10"))&gt;=P$2,"d",IF(INDIRECT(_xlfn.CONCAT("'",IF(ISNUMBER(FIND("'",$A52))=TRUE,_xlfn.CONCAT(LEFT($A52,FIND("'",$A52)-1),"''",RIGHT($A52,LEN($A52)-FIND("'",$A52))),$A52),"'!C11"))&gt;=P$2,"i",""))</f>
        <v>d</v>
      </c>
      <c r="Q52" s="1" t="str" cm="1">
        <f t="array" aca="1" ref="Q52" ca="1">IF(INDIRECT(_xlfn.CONCAT("'",IF(ISNUMBER(FIND("'",$A52))=TRUE,_xlfn.CONCAT(LEFT($A52,FIND("'",$A52)-1),"''",RIGHT($A52,LEN($A52)-FIND("'",$A52))),$A52),"'!C10"))&gt;=Q$2,"d",IF(INDIRECT(_xlfn.CONCAT("'",IF(ISNUMBER(FIND("'",$A52))=TRUE,_xlfn.CONCAT(LEFT($A52,FIND("'",$A52)-1),"''",RIGHT($A52,LEN($A52)-FIND("'",$A52))),$A52),"'!C11"))&gt;=Q$2,"i",""))</f>
        <v>d</v>
      </c>
      <c r="R52" s="1" t="str" cm="1">
        <f t="array" aca="1" ref="R52" ca="1">IF(INDIRECT(_xlfn.CONCAT("'",IF(ISNUMBER(FIND("'",$A52))=TRUE,_xlfn.CONCAT(LEFT($A52,FIND("'",$A52)-1),"''",RIGHT($A52,LEN($A52)-FIND("'",$A52))),$A52),"'!C10"))&gt;=R$2,"d",IF(INDIRECT(_xlfn.CONCAT("'",IF(ISNUMBER(FIND("'",$A52))=TRUE,_xlfn.CONCAT(LEFT($A52,FIND("'",$A52)-1),"''",RIGHT($A52,LEN($A52)-FIND("'",$A52))),$A52),"'!C11"))&gt;=R$2,"i",""))</f>
        <v>d</v>
      </c>
      <c r="S52" s="1" t="str" cm="1">
        <f t="array" aca="1" ref="S52" ca="1">IF(INDIRECT(_xlfn.CONCAT("'",IF(ISNUMBER(FIND("'",$A52))=TRUE,_xlfn.CONCAT(LEFT($A52,FIND("'",$A52)-1),"''",RIGHT($A52,LEN($A52)-FIND("'",$A52))),$A52),"'!C10"))&gt;=S$2,"d",IF(INDIRECT(_xlfn.CONCAT("'",IF(ISNUMBER(FIND("'",$A52))=TRUE,_xlfn.CONCAT(LEFT($A52,FIND("'",$A52)-1),"''",RIGHT($A52,LEN($A52)-FIND("'",$A52))),$A52),"'!C11"))&gt;=S$2,"i",""))</f>
        <v>d</v>
      </c>
      <c r="T52" s="4" t="str" cm="1">
        <f t="array" aca="1" ref="T52" ca="1">IF(INDIRECT(_xlfn.CONCAT("'",IF(ISNUMBER(FIND("'",$A52))=TRUE,_xlfn.CONCAT(LEFT($A52,FIND("'",$A52)-1),"''",RIGHT($A52,LEN($A52)-FIND("'",$A52))),$A52),"'!C10"))&gt;=T$2,"d",IF(INDIRECT(_xlfn.CONCAT("'",IF(ISNUMBER(FIND("'",$A52))=TRUE,_xlfn.CONCAT(LEFT($A52,FIND("'",$A52)-1),"''",RIGHT($A52,LEN($A52)-FIND("'",$A52))),$A52),"'!C11"))&gt;=T$2,"i",""))</f>
        <v>d</v>
      </c>
    </row>
    <row r="53" spans="1:20" hidden="1" x14ac:dyDescent="0.25">
      <c r="A53" s="54" t="str">
        <v>Prototype Archaic</v>
      </c>
      <c r="B53" s="14" cm="1">
        <f t="array" ref="B53">_xlfn.XLOOKUP(A53,INDEX(Weapon_List,,1),INDEX(Weapon_List,,3),,0,1)</f>
        <v>4</v>
      </c>
      <c r="C53" s="4" t="str" cm="1">
        <f t="array" ref="C53">_xlfn.XLOOKUP(A53,INDEX(Weapon_List,,1),INDEX(Weapon_List,,2),,0,1)</f>
        <v>Claymore</v>
      </c>
      <c r="D53" s="38" t="str" cm="1">
        <f t="array" ref="D53">_xlfn.XLOOKUP(A53,INDEX(Weapon_List,,1),INDEX(Weapon_List,,4),,0,1)</f>
        <v>Liyue 3</v>
      </c>
      <c r="E53" s="38" t="str" cm="1">
        <f t="array" ref="E53">_xlfn.XLOOKUP(A53,INDEX(Weapon_List,,1),INDEX(Weapon_List,,5),,0,1)</f>
        <v>Hilichurl</v>
      </c>
      <c r="F53" s="38" t="str" cm="1">
        <f t="array" ref="F53">_xlfn.XLOOKUP(A53,INDEX(Weapon_List,,1),INDEX(Weapon_List,,6),,0,1)</f>
        <v>Vishap</v>
      </c>
      <c r="G53" s="14" t="str" cm="1">
        <f t="array" aca="1" ref="G53" ca="1">IF(INDIRECT(_xlfn.CONCAT("'",IF(ISNUMBER(FIND("'",$A53))=TRUE,_xlfn.CONCAT(LEFT($A53,FIND("'",$A53)-1),"''",RIGHT($A53,LEN($A53)-FIND("'",$A53))),$A53),"'!B4"))&gt;=G$2,"d",IF(INDIRECT(_xlfn.CONCAT("'",IF(ISNUMBER(FIND("'",$A53))=TRUE,_xlfn.CONCAT(LEFT($A53,FIND("'",$A53)-1),"''",RIGHT($A53,LEN($A53)-FIND("'",$A53))),$A53),"'!B5"))&gt;=G$2,"i",""))</f>
        <v>d</v>
      </c>
      <c r="H53" s="1" t="str" cm="1">
        <f t="array" aca="1" ref="H53" ca="1">IF(INDIRECT(_xlfn.CONCAT("'",IF(ISNUMBER(FIND("'",$A53))=TRUE,_xlfn.CONCAT(LEFT($A53,FIND("'",$A53)-1),"''",RIGHT($A53,LEN($A53)-FIND("'",$A53))),$A53),"'!B4"))&gt;=H$2,"d",IF(INDIRECT(_xlfn.CONCAT("'",IF(ISNUMBER(FIND("'",$A53))=TRUE,_xlfn.CONCAT(LEFT($A53,FIND("'",$A53)-1),"''",RIGHT($A53,LEN($A53)-FIND("'",$A53))),$A53),"'!B5"))&gt;=H$2,"i",""))</f>
        <v>d</v>
      </c>
      <c r="I53" s="1" t="str" cm="1">
        <f t="array" aca="1" ref="I53" ca="1">IF(INDIRECT(_xlfn.CONCAT("'",IF(ISNUMBER(FIND("'",$A53))=TRUE,_xlfn.CONCAT(LEFT($A53,FIND("'",$A53)-1),"''",RIGHT($A53,LEN($A53)-FIND("'",$A53))),$A53),"'!B4"))&gt;=I$2,"d",IF(INDIRECT(_xlfn.CONCAT("'",IF(ISNUMBER(FIND("'",$A53))=TRUE,_xlfn.CONCAT(LEFT($A53,FIND("'",$A53)-1),"''",RIGHT($A53,LEN($A53)-FIND("'",$A53))),$A53),"'!B5"))&gt;=I$2,"i",""))</f>
        <v>d</v>
      </c>
      <c r="J53" s="1" t="str" cm="1">
        <f t="array" aca="1" ref="J53" ca="1">IF(INDIRECT(_xlfn.CONCAT("'",IF(ISNUMBER(FIND("'",$A53))=TRUE,_xlfn.CONCAT(LEFT($A53,FIND("'",$A53)-1),"''",RIGHT($A53,LEN($A53)-FIND("'",$A53))),$A53),"'!B4"))&gt;=J$2,"d",IF(INDIRECT(_xlfn.CONCAT("'",IF(ISNUMBER(FIND("'",$A53))=TRUE,_xlfn.CONCAT(LEFT($A53,FIND("'",$A53)-1),"''",RIGHT($A53,LEN($A53)-FIND("'",$A53))),$A53),"'!B5"))&gt;=J$2,"i",""))</f>
        <v>d</v>
      </c>
      <c r="K53" s="1" t="str" cm="1">
        <f t="array" aca="1" ref="K53" ca="1">IF(INDIRECT(_xlfn.CONCAT("'",IF(ISNUMBER(FIND("'",$A53))=TRUE,_xlfn.CONCAT(LEFT($A53,FIND("'",$A53)-1),"''",RIGHT($A53,LEN($A53)-FIND("'",$A53))),$A53),"'!B4"))&gt;=K$2,"d",IF(INDIRECT(_xlfn.CONCAT("'",IF(ISNUMBER(FIND("'",$A53))=TRUE,_xlfn.CONCAT(LEFT($A53,FIND("'",$A53)-1),"''",RIGHT($A53,LEN($A53)-FIND("'",$A53))),$A53),"'!B5"))&gt;=K$2,"i",""))</f>
        <v>d</v>
      </c>
      <c r="L53" s="1" t="str" cm="1">
        <f t="array" aca="1" ref="L53" ca="1">IF(INDIRECT(_xlfn.CONCAT("'",IF(ISNUMBER(FIND("'",$A53))=TRUE,_xlfn.CONCAT(LEFT($A53,FIND("'",$A53)-1),"''",RIGHT($A53,LEN($A53)-FIND("'",$A53))),$A53),"'!B4"))&gt;=L$2,"d",IF(INDIRECT(_xlfn.CONCAT("'",IF(ISNUMBER(FIND("'",$A53))=TRUE,_xlfn.CONCAT(LEFT($A53,FIND("'",$A53)-1),"''",RIGHT($A53,LEN($A53)-FIND("'",$A53))),$A53),"'!B5"))&gt;=L$2,"i",""))</f>
        <v>d</v>
      </c>
      <c r="M53" s="4" t="str" cm="1">
        <f t="array" aca="1" ref="M53" ca="1">IF(INDIRECT(_xlfn.CONCAT("'",IF(ISNUMBER(FIND("'",$A53))=TRUE,_xlfn.CONCAT(LEFT($A53,FIND("'",$A53)-1),"''",RIGHT($A53,LEN($A53)-FIND("'",$A53))),$A53),"'!B4"))&gt;=M$2,"d",IF(INDIRECT(_xlfn.CONCAT("'",IF(ISNUMBER(FIND("'",$A53))=TRUE,_xlfn.CONCAT(LEFT($A53,FIND("'",$A53)-1),"''",RIGHT($A53,LEN($A53)-FIND("'",$A53))),$A53),"'!B5"))&gt;=M$2,"i",""))</f>
        <v>d</v>
      </c>
      <c r="N53" s="95"/>
      <c r="O53" s="14" t="str" cm="1">
        <f t="array" aca="1" ref="O53" ca="1">IF(INDIRECT(_xlfn.CONCAT("'",IF(ISNUMBER(FIND("'",$A53))=TRUE,_xlfn.CONCAT(LEFT($A53,FIND("'",$A53)-1),"''",RIGHT($A53,LEN($A53)-FIND("'",$A53))),$A53),"'!C10"))&gt;=O$2,"d",IF(INDIRECT(_xlfn.CONCAT("'",IF(ISNUMBER(FIND("'",$A53))=TRUE,_xlfn.CONCAT(LEFT($A53,FIND("'",$A53)-1),"''",RIGHT($A53,LEN($A53)-FIND("'",$A53))),$A53),"'!C11"))&gt;=O$2,"i",""))</f>
        <v>d</v>
      </c>
      <c r="P53" s="1" t="str" cm="1">
        <f t="array" aca="1" ref="P53" ca="1">IF(INDIRECT(_xlfn.CONCAT("'",IF(ISNUMBER(FIND("'",$A53))=TRUE,_xlfn.CONCAT(LEFT($A53,FIND("'",$A53)-1),"''",RIGHT($A53,LEN($A53)-FIND("'",$A53))),$A53),"'!C10"))&gt;=P$2,"d",IF(INDIRECT(_xlfn.CONCAT("'",IF(ISNUMBER(FIND("'",$A53))=TRUE,_xlfn.CONCAT(LEFT($A53,FIND("'",$A53)-1),"''",RIGHT($A53,LEN($A53)-FIND("'",$A53))),$A53),"'!C11"))&gt;=P$2,"i",""))</f>
        <v>d</v>
      </c>
      <c r="Q53" s="1" t="str" cm="1">
        <f t="array" aca="1" ref="Q53" ca="1">IF(INDIRECT(_xlfn.CONCAT("'",IF(ISNUMBER(FIND("'",$A53))=TRUE,_xlfn.CONCAT(LEFT($A53,FIND("'",$A53)-1),"''",RIGHT($A53,LEN($A53)-FIND("'",$A53))),$A53),"'!C10"))&gt;=Q$2,"d",IF(INDIRECT(_xlfn.CONCAT("'",IF(ISNUMBER(FIND("'",$A53))=TRUE,_xlfn.CONCAT(LEFT($A53,FIND("'",$A53)-1),"''",RIGHT($A53,LEN($A53)-FIND("'",$A53))),$A53),"'!C11"))&gt;=Q$2,"i",""))</f>
        <v>d</v>
      </c>
      <c r="R53" s="1" t="str" cm="1">
        <f t="array" aca="1" ref="R53" ca="1">IF(INDIRECT(_xlfn.CONCAT("'",IF(ISNUMBER(FIND("'",$A53))=TRUE,_xlfn.CONCAT(LEFT($A53,FIND("'",$A53)-1),"''",RIGHT($A53,LEN($A53)-FIND("'",$A53))),$A53),"'!C10"))&gt;=R$2,"d",IF(INDIRECT(_xlfn.CONCAT("'",IF(ISNUMBER(FIND("'",$A53))=TRUE,_xlfn.CONCAT(LEFT($A53,FIND("'",$A53)-1),"''",RIGHT($A53,LEN($A53)-FIND("'",$A53))),$A53),"'!C11"))&gt;=R$2,"i",""))</f>
        <v>d</v>
      </c>
      <c r="S53" s="1" t="str" cm="1">
        <f t="array" aca="1" ref="S53" ca="1">IF(INDIRECT(_xlfn.CONCAT("'",IF(ISNUMBER(FIND("'",$A53))=TRUE,_xlfn.CONCAT(LEFT($A53,FIND("'",$A53)-1),"''",RIGHT($A53,LEN($A53)-FIND("'",$A53))),$A53),"'!C10"))&gt;=S$2,"d",IF(INDIRECT(_xlfn.CONCAT("'",IF(ISNUMBER(FIND("'",$A53))=TRUE,_xlfn.CONCAT(LEFT($A53,FIND("'",$A53)-1),"''",RIGHT($A53,LEN($A53)-FIND("'",$A53))),$A53),"'!C11"))&gt;=S$2,"i",""))</f>
        <v>d</v>
      </c>
      <c r="T53" s="4" t="str" cm="1">
        <f t="array" aca="1" ref="T53" ca="1">IF(INDIRECT(_xlfn.CONCAT("'",IF(ISNUMBER(FIND("'",$A53))=TRUE,_xlfn.CONCAT(LEFT($A53,FIND("'",$A53)-1),"''",RIGHT($A53,LEN($A53)-FIND("'",$A53))),$A53),"'!C10"))&gt;=T$2,"d",IF(INDIRECT(_xlfn.CONCAT("'",IF(ISNUMBER(FIND("'",$A53))=TRUE,_xlfn.CONCAT(LEFT($A53,FIND("'",$A53)-1),"''",RIGHT($A53,LEN($A53)-FIND("'",$A53))),$A53),"'!C11"))&gt;=T$2,"i",""))</f>
        <v>d</v>
      </c>
    </row>
    <row r="54" spans="1:20" hidden="1" x14ac:dyDescent="0.25">
      <c r="A54" s="54" t="str">
        <v>Prototype Starglitter</v>
      </c>
      <c r="B54" s="14" cm="1">
        <f t="array" ref="B54">_xlfn.XLOOKUP(A54,INDEX(Weapon_List,,1),INDEX(Weapon_List,,3),,0,1)</f>
        <v>4</v>
      </c>
      <c r="C54" s="4" t="str" cm="1">
        <f t="array" ref="C54">_xlfn.XLOOKUP(A54,INDEX(Weapon_List,,1),INDEX(Weapon_List,,2),,0,1)</f>
        <v>Polearm</v>
      </c>
      <c r="D54" s="38" t="str" cm="1">
        <f t="array" ref="D54">_xlfn.XLOOKUP(A54,INDEX(Weapon_List,,1),INDEX(Weapon_List,,4),,0,1)</f>
        <v>Liyue 3</v>
      </c>
      <c r="E54" s="38" t="str" cm="1">
        <f t="array" ref="E54">_xlfn.XLOOKUP(A54,INDEX(Weapon_List,,1),INDEX(Weapon_List,,5),,0,1)</f>
        <v>Hilichurl</v>
      </c>
      <c r="F54" s="38" t="str" cm="1">
        <f t="array" ref="F54">_xlfn.XLOOKUP(A54,INDEX(Weapon_List,,1),INDEX(Weapon_List,,6),,0,1)</f>
        <v>Vishap</v>
      </c>
      <c r="G54" s="14" t="str" cm="1">
        <f t="array" aca="1" ref="G54" ca="1">IF(INDIRECT(_xlfn.CONCAT("'",IF(ISNUMBER(FIND("'",$A54))=TRUE,_xlfn.CONCAT(LEFT($A54,FIND("'",$A54)-1),"''",RIGHT($A54,LEN($A54)-FIND("'",$A54))),$A54),"'!B4"))&gt;=G$2,"d",IF(INDIRECT(_xlfn.CONCAT("'",IF(ISNUMBER(FIND("'",$A54))=TRUE,_xlfn.CONCAT(LEFT($A54,FIND("'",$A54)-1),"''",RIGHT($A54,LEN($A54)-FIND("'",$A54))),$A54),"'!B5"))&gt;=G$2,"i",""))</f>
        <v>d</v>
      </c>
      <c r="H54" s="1" t="str" cm="1">
        <f t="array" aca="1" ref="H54" ca="1">IF(INDIRECT(_xlfn.CONCAT("'",IF(ISNUMBER(FIND("'",$A54))=TRUE,_xlfn.CONCAT(LEFT($A54,FIND("'",$A54)-1),"''",RIGHT($A54,LEN($A54)-FIND("'",$A54))),$A54),"'!B4"))&gt;=H$2,"d",IF(INDIRECT(_xlfn.CONCAT("'",IF(ISNUMBER(FIND("'",$A54))=TRUE,_xlfn.CONCAT(LEFT($A54,FIND("'",$A54)-1),"''",RIGHT($A54,LEN($A54)-FIND("'",$A54))),$A54),"'!B5"))&gt;=H$2,"i",""))</f>
        <v>d</v>
      </c>
      <c r="I54" s="1" t="str" cm="1">
        <f t="array" aca="1" ref="I54" ca="1">IF(INDIRECT(_xlfn.CONCAT("'",IF(ISNUMBER(FIND("'",$A54))=TRUE,_xlfn.CONCAT(LEFT($A54,FIND("'",$A54)-1),"''",RIGHT($A54,LEN($A54)-FIND("'",$A54))),$A54),"'!B4"))&gt;=I$2,"d",IF(INDIRECT(_xlfn.CONCAT("'",IF(ISNUMBER(FIND("'",$A54))=TRUE,_xlfn.CONCAT(LEFT($A54,FIND("'",$A54)-1),"''",RIGHT($A54,LEN($A54)-FIND("'",$A54))),$A54),"'!B5"))&gt;=I$2,"i",""))</f>
        <v>d</v>
      </c>
      <c r="J54" s="1" t="str" cm="1">
        <f t="array" aca="1" ref="J54" ca="1">IF(INDIRECT(_xlfn.CONCAT("'",IF(ISNUMBER(FIND("'",$A54))=TRUE,_xlfn.CONCAT(LEFT($A54,FIND("'",$A54)-1),"''",RIGHT($A54,LEN($A54)-FIND("'",$A54))),$A54),"'!B4"))&gt;=J$2,"d",IF(INDIRECT(_xlfn.CONCAT("'",IF(ISNUMBER(FIND("'",$A54))=TRUE,_xlfn.CONCAT(LEFT($A54,FIND("'",$A54)-1),"''",RIGHT($A54,LEN($A54)-FIND("'",$A54))),$A54),"'!B5"))&gt;=J$2,"i",""))</f>
        <v>d</v>
      </c>
      <c r="K54" s="1" t="str" cm="1">
        <f t="array" aca="1" ref="K54" ca="1">IF(INDIRECT(_xlfn.CONCAT("'",IF(ISNUMBER(FIND("'",$A54))=TRUE,_xlfn.CONCAT(LEFT($A54,FIND("'",$A54)-1),"''",RIGHT($A54,LEN($A54)-FIND("'",$A54))),$A54),"'!B4"))&gt;=K$2,"d",IF(INDIRECT(_xlfn.CONCAT("'",IF(ISNUMBER(FIND("'",$A54))=TRUE,_xlfn.CONCAT(LEFT($A54,FIND("'",$A54)-1),"''",RIGHT($A54,LEN($A54)-FIND("'",$A54))),$A54),"'!B5"))&gt;=K$2,"i",""))</f>
        <v>d</v>
      </c>
      <c r="L54" s="1" t="str" cm="1">
        <f t="array" aca="1" ref="L54" ca="1">IF(INDIRECT(_xlfn.CONCAT("'",IF(ISNUMBER(FIND("'",$A54))=TRUE,_xlfn.CONCAT(LEFT($A54,FIND("'",$A54)-1),"''",RIGHT($A54,LEN($A54)-FIND("'",$A54))),$A54),"'!B4"))&gt;=L$2,"d",IF(INDIRECT(_xlfn.CONCAT("'",IF(ISNUMBER(FIND("'",$A54))=TRUE,_xlfn.CONCAT(LEFT($A54,FIND("'",$A54)-1),"''",RIGHT($A54,LEN($A54)-FIND("'",$A54))),$A54),"'!B5"))&gt;=L$2,"i",""))</f>
        <v>d</v>
      </c>
      <c r="M54" s="4" t="str" cm="1">
        <f t="array" aca="1" ref="M54" ca="1">IF(INDIRECT(_xlfn.CONCAT("'",IF(ISNUMBER(FIND("'",$A54))=TRUE,_xlfn.CONCAT(LEFT($A54,FIND("'",$A54)-1),"''",RIGHT($A54,LEN($A54)-FIND("'",$A54))),$A54),"'!B4"))&gt;=M$2,"d",IF(INDIRECT(_xlfn.CONCAT("'",IF(ISNUMBER(FIND("'",$A54))=TRUE,_xlfn.CONCAT(LEFT($A54,FIND("'",$A54)-1),"''",RIGHT($A54,LEN($A54)-FIND("'",$A54))),$A54),"'!B5"))&gt;=M$2,"i",""))</f>
        <v>d</v>
      </c>
      <c r="N54" s="95"/>
      <c r="O54" s="14" t="str" cm="1">
        <f t="array" aca="1" ref="O54" ca="1">IF(INDIRECT(_xlfn.CONCAT("'",IF(ISNUMBER(FIND("'",$A54))=TRUE,_xlfn.CONCAT(LEFT($A54,FIND("'",$A54)-1),"''",RIGHT($A54,LEN($A54)-FIND("'",$A54))),$A54),"'!C10"))&gt;=O$2,"d",IF(INDIRECT(_xlfn.CONCAT("'",IF(ISNUMBER(FIND("'",$A54))=TRUE,_xlfn.CONCAT(LEFT($A54,FIND("'",$A54)-1),"''",RIGHT($A54,LEN($A54)-FIND("'",$A54))),$A54),"'!C11"))&gt;=O$2,"i",""))</f>
        <v>d</v>
      </c>
      <c r="P54" s="1" t="str" cm="1">
        <f t="array" aca="1" ref="P54" ca="1">IF(INDIRECT(_xlfn.CONCAT("'",IF(ISNUMBER(FIND("'",$A54))=TRUE,_xlfn.CONCAT(LEFT($A54,FIND("'",$A54)-1),"''",RIGHT($A54,LEN($A54)-FIND("'",$A54))),$A54),"'!C10"))&gt;=P$2,"d",IF(INDIRECT(_xlfn.CONCAT("'",IF(ISNUMBER(FIND("'",$A54))=TRUE,_xlfn.CONCAT(LEFT($A54,FIND("'",$A54)-1),"''",RIGHT($A54,LEN($A54)-FIND("'",$A54))),$A54),"'!C11"))&gt;=P$2,"i",""))</f>
        <v>d</v>
      </c>
      <c r="Q54" s="1" t="str" cm="1">
        <f t="array" aca="1" ref="Q54" ca="1">IF(INDIRECT(_xlfn.CONCAT("'",IF(ISNUMBER(FIND("'",$A54))=TRUE,_xlfn.CONCAT(LEFT($A54,FIND("'",$A54)-1),"''",RIGHT($A54,LEN($A54)-FIND("'",$A54))),$A54),"'!C10"))&gt;=Q$2,"d",IF(INDIRECT(_xlfn.CONCAT("'",IF(ISNUMBER(FIND("'",$A54))=TRUE,_xlfn.CONCAT(LEFT($A54,FIND("'",$A54)-1),"''",RIGHT($A54,LEN($A54)-FIND("'",$A54))),$A54),"'!C11"))&gt;=Q$2,"i",""))</f>
        <v>d</v>
      </c>
      <c r="R54" s="1" t="str" cm="1">
        <f t="array" aca="1" ref="R54" ca="1">IF(INDIRECT(_xlfn.CONCAT("'",IF(ISNUMBER(FIND("'",$A54))=TRUE,_xlfn.CONCAT(LEFT($A54,FIND("'",$A54)-1),"''",RIGHT($A54,LEN($A54)-FIND("'",$A54))),$A54),"'!C10"))&gt;=R$2,"d",IF(INDIRECT(_xlfn.CONCAT("'",IF(ISNUMBER(FIND("'",$A54))=TRUE,_xlfn.CONCAT(LEFT($A54,FIND("'",$A54)-1),"''",RIGHT($A54,LEN($A54)-FIND("'",$A54))),$A54),"'!C11"))&gt;=R$2,"i",""))</f>
        <v>d</v>
      </c>
      <c r="S54" s="1" t="str" cm="1">
        <f t="array" aca="1" ref="S54" ca="1">IF(INDIRECT(_xlfn.CONCAT("'",IF(ISNUMBER(FIND("'",$A54))=TRUE,_xlfn.CONCAT(LEFT($A54,FIND("'",$A54)-1),"''",RIGHT($A54,LEN($A54)-FIND("'",$A54))),$A54),"'!C10"))&gt;=S$2,"d",IF(INDIRECT(_xlfn.CONCAT("'",IF(ISNUMBER(FIND("'",$A54))=TRUE,_xlfn.CONCAT(LEFT($A54,FIND("'",$A54)-1),"''",RIGHT($A54,LEN($A54)-FIND("'",$A54))),$A54),"'!C11"))&gt;=S$2,"i",""))</f>
        <v>d</v>
      </c>
      <c r="T54" s="4" t="str" cm="1">
        <f t="array" aca="1" ref="T54" ca="1">IF(INDIRECT(_xlfn.CONCAT("'",IF(ISNUMBER(FIND("'",$A54))=TRUE,_xlfn.CONCAT(LEFT($A54,FIND("'",$A54)-1),"''",RIGHT($A54,LEN($A54)-FIND("'",$A54))),$A54),"'!C10"))&gt;=T$2,"d",IF(INDIRECT(_xlfn.CONCAT("'",IF(ISNUMBER(FIND("'",$A54))=TRUE,_xlfn.CONCAT(LEFT($A54,FIND("'",$A54)-1),"''",RIGHT($A54,LEN($A54)-FIND("'",$A54))),$A54),"'!C11"))&gt;=T$2,"i",""))</f>
        <v>d</v>
      </c>
    </row>
    <row r="55" spans="1:20" hidden="1" x14ac:dyDescent="0.25">
      <c r="A55" s="54" t="str">
        <v>Prototype Amber</v>
      </c>
      <c r="B55" s="14" cm="1">
        <f t="array" ref="B55">_xlfn.XLOOKUP(A55,INDEX(Weapon_List,,1),INDEX(Weapon_List,,3),,0,1)</f>
        <v>4</v>
      </c>
      <c r="C55" s="4" t="str" cm="1">
        <f t="array" ref="C55">_xlfn.XLOOKUP(A55,INDEX(Weapon_List,,1),INDEX(Weapon_List,,2),,0,1)</f>
        <v>Catalyst</v>
      </c>
      <c r="D55" s="38" t="str" cm="1">
        <f t="array" ref="D55">_xlfn.XLOOKUP(A55,INDEX(Weapon_List,,1),INDEX(Weapon_List,,4),,0,1)</f>
        <v>Liyue 2</v>
      </c>
      <c r="E55" s="38" t="str" cm="1">
        <f t="array" ref="E55">_xlfn.XLOOKUP(A55,INDEX(Weapon_List,,1),INDEX(Weapon_List,,5),,0,1)</f>
        <v>Hilichurl Shooter</v>
      </c>
      <c r="F55" s="38" t="str" cm="1">
        <f t="array" ref="F55">_xlfn.XLOOKUP(A55,INDEX(Weapon_List,,1),INDEX(Weapon_List,,6),,0,1)</f>
        <v>Fatui Cicin Mage</v>
      </c>
      <c r="G55" s="14" t="str" cm="1">
        <f t="array" aca="1" ref="G55" ca="1">IF(INDIRECT(_xlfn.CONCAT("'",IF(ISNUMBER(FIND("'",$A55))=TRUE,_xlfn.CONCAT(LEFT($A55,FIND("'",$A55)-1),"''",RIGHT($A55,LEN($A55)-FIND("'",$A55))),$A55),"'!B4"))&gt;=G$2,"d",IF(INDIRECT(_xlfn.CONCAT("'",IF(ISNUMBER(FIND("'",$A55))=TRUE,_xlfn.CONCAT(LEFT($A55,FIND("'",$A55)-1),"''",RIGHT($A55,LEN($A55)-FIND("'",$A55))),$A55),"'!B5"))&gt;=G$2,"i",""))</f>
        <v>d</v>
      </c>
      <c r="H55" s="1" t="str" cm="1">
        <f t="array" aca="1" ref="H55" ca="1">IF(INDIRECT(_xlfn.CONCAT("'",IF(ISNUMBER(FIND("'",$A55))=TRUE,_xlfn.CONCAT(LEFT($A55,FIND("'",$A55)-1),"''",RIGHT($A55,LEN($A55)-FIND("'",$A55))),$A55),"'!B4"))&gt;=H$2,"d",IF(INDIRECT(_xlfn.CONCAT("'",IF(ISNUMBER(FIND("'",$A55))=TRUE,_xlfn.CONCAT(LEFT($A55,FIND("'",$A55)-1),"''",RIGHT($A55,LEN($A55)-FIND("'",$A55))),$A55),"'!B5"))&gt;=H$2,"i",""))</f>
        <v>d</v>
      </c>
      <c r="I55" s="1" t="str" cm="1">
        <f t="array" aca="1" ref="I55" ca="1">IF(INDIRECT(_xlfn.CONCAT("'",IF(ISNUMBER(FIND("'",$A55))=TRUE,_xlfn.CONCAT(LEFT($A55,FIND("'",$A55)-1),"''",RIGHT($A55,LEN($A55)-FIND("'",$A55))),$A55),"'!B4"))&gt;=I$2,"d",IF(INDIRECT(_xlfn.CONCAT("'",IF(ISNUMBER(FIND("'",$A55))=TRUE,_xlfn.CONCAT(LEFT($A55,FIND("'",$A55)-1),"''",RIGHT($A55,LEN($A55)-FIND("'",$A55))),$A55),"'!B5"))&gt;=I$2,"i",""))</f>
        <v>d</v>
      </c>
      <c r="J55" s="1" t="str" cm="1">
        <f t="array" aca="1" ref="J55" ca="1">IF(INDIRECT(_xlfn.CONCAT("'",IF(ISNUMBER(FIND("'",$A55))=TRUE,_xlfn.CONCAT(LEFT($A55,FIND("'",$A55)-1),"''",RIGHT($A55,LEN($A55)-FIND("'",$A55))),$A55),"'!B4"))&gt;=J$2,"d",IF(INDIRECT(_xlfn.CONCAT("'",IF(ISNUMBER(FIND("'",$A55))=TRUE,_xlfn.CONCAT(LEFT($A55,FIND("'",$A55)-1),"''",RIGHT($A55,LEN($A55)-FIND("'",$A55))),$A55),"'!B5"))&gt;=J$2,"i",""))</f>
        <v>d</v>
      </c>
      <c r="K55" s="1" t="str" cm="1">
        <f t="array" aca="1" ref="K55" ca="1">IF(INDIRECT(_xlfn.CONCAT("'",IF(ISNUMBER(FIND("'",$A55))=TRUE,_xlfn.CONCAT(LEFT($A55,FIND("'",$A55)-1),"''",RIGHT($A55,LEN($A55)-FIND("'",$A55))),$A55),"'!B4"))&gt;=K$2,"d",IF(INDIRECT(_xlfn.CONCAT("'",IF(ISNUMBER(FIND("'",$A55))=TRUE,_xlfn.CONCAT(LEFT($A55,FIND("'",$A55)-1),"''",RIGHT($A55,LEN($A55)-FIND("'",$A55))),$A55),"'!B5"))&gt;=K$2,"i",""))</f>
        <v>d</v>
      </c>
      <c r="L55" s="1" t="str" cm="1">
        <f t="array" aca="1" ref="L55" ca="1">IF(INDIRECT(_xlfn.CONCAT("'",IF(ISNUMBER(FIND("'",$A55))=TRUE,_xlfn.CONCAT(LEFT($A55,FIND("'",$A55)-1),"''",RIGHT($A55,LEN($A55)-FIND("'",$A55))),$A55),"'!B4"))&gt;=L$2,"d",IF(INDIRECT(_xlfn.CONCAT("'",IF(ISNUMBER(FIND("'",$A55))=TRUE,_xlfn.CONCAT(LEFT($A55,FIND("'",$A55)-1),"''",RIGHT($A55,LEN($A55)-FIND("'",$A55))),$A55),"'!B5"))&gt;=L$2,"i",""))</f>
        <v>d</v>
      </c>
      <c r="M55" s="4" t="str" cm="1">
        <f t="array" aca="1" ref="M55" ca="1">IF(INDIRECT(_xlfn.CONCAT("'",IF(ISNUMBER(FIND("'",$A55))=TRUE,_xlfn.CONCAT(LEFT($A55,FIND("'",$A55)-1),"''",RIGHT($A55,LEN($A55)-FIND("'",$A55))),$A55),"'!B4"))&gt;=M$2,"d",IF(INDIRECT(_xlfn.CONCAT("'",IF(ISNUMBER(FIND("'",$A55))=TRUE,_xlfn.CONCAT(LEFT($A55,FIND("'",$A55)-1),"''",RIGHT($A55,LEN($A55)-FIND("'",$A55))),$A55),"'!B5"))&gt;=M$2,"i",""))</f>
        <v>d</v>
      </c>
      <c r="N55" s="95"/>
      <c r="O55" s="14" t="str" cm="1">
        <f t="array" aca="1" ref="O55" ca="1">IF(INDIRECT(_xlfn.CONCAT("'",IF(ISNUMBER(FIND("'",$A55))=TRUE,_xlfn.CONCAT(LEFT($A55,FIND("'",$A55)-1),"''",RIGHT($A55,LEN($A55)-FIND("'",$A55))),$A55),"'!C10"))&gt;=O$2,"d",IF(INDIRECT(_xlfn.CONCAT("'",IF(ISNUMBER(FIND("'",$A55))=TRUE,_xlfn.CONCAT(LEFT($A55,FIND("'",$A55)-1),"''",RIGHT($A55,LEN($A55)-FIND("'",$A55))),$A55),"'!C11"))&gt;=O$2,"i",""))</f>
        <v>d</v>
      </c>
      <c r="P55" s="1" t="str" cm="1">
        <f t="array" aca="1" ref="P55" ca="1">IF(INDIRECT(_xlfn.CONCAT("'",IF(ISNUMBER(FIND("'",$A55))=TRUE,_xlfn.CONCAT(LEFT($A55,FIND("'",$A55)-1),"''",RIGHT($A55,LEN($A55)-FIND("'",$A55))),$A55),"'!C10"))&gt;=P$2,"d",IF(INDIRECT(_xlfn.CONCAT("'",IF(ISNUMBER(FIND("'",$A55))=TRUE,_xlfn.CONCAT(LEFT($A55,FIND("'",$A55)-1),"''",RIGHT($A55,LEN($A55)-FIND("'",$A55))),$A55),"'!C11"))&gt;=P$2,"i",""))</f>
        <v>d</v>
      </c>
      <c r="Q55" s="1" t="str" cm="1">
        <f t="array" aca="1" ref="Q55" ca="1">IF(INDIRECT(_xlfn.CONCAT("'",IF(ISNUMBER(FIND("'",$A55))=TRUE,_xlfn.CONCAT(LEFT($A55,FIND("'",$A55)-1),"''",RIGHT($A55,LEN($A55)-FIND("'",$A55))),$A55),"'!C10"))&gt;=Q$2,"d",IF(INDIRECT(_xlfn.CONCAT("'",IF(ISNUMBER(FIND("'",$A55))=TRUE,_xlfn.CONCAT(LEFT($A55,FIND("'",$A55)-1),"''",RIGHT($A55,LEN($A55)-FIND("'",$A55))),$A55),"'!C11"))&gt;=Q$2,"i",""))</f>
        <v>d</v>
      </c>
      <c r="R55" s="1" t="str" cm="1">
        <f t="array" aca="1" ref="R55" ca="1">IF(INDIRECT(_xlfn.CONCAT("'",IF(ISNUMBER(FIND("'",$A55))=TRUE,_xlfn.CONCAT(LEFT($A55,FIND("'",$A55)-1),"''",RIGHT($A55,LEN($A55)-FIND("'",$A55))),$A55),"'!C10"))&gt;=R$2,"d",IF(INDIRECT(_xlfn.CONCAT("'",IF(ISNUMBER(FIND("'",$A55))=TRUE,_xlfn.CONCAT(LEFT($A55,FIND("'",$A55)-1),"''",RIGHT($A55,LEN($A55)-FIND("'",$A55))),$A55),"'!C11"))&gt;=R$2,"i",""))</f>
        <v>d</v>
      </c>
      <c r="S55" s="1" t="str" cm="1">
        <f t="array" aca="1" ref="S55" ca="1">IF(INDIRECT(_xlfn.CONCAT("'",IF(ISNUMBER(FIND("'",$A55))=TRUE,_xlfn.CONCAT(LEFT($A55,FIND("'",$A55)-1),"''",RIGHT($A55,LEN($A55)-FIND("'",$A55))),$A55),"'!C10"))&gt;=S$2,"d",IF(INDIRECT(_xlfn.CONCAT("'",IF(ISNUMBER(FIND("'",$A55))=TRUE,_xlfn.CONCAT(LEFT($A55,FIND("'",$A55)-1),"''",RIGHT($A55,LEN($A55)-FIND("'",$A55))),$A55),"'!C11"))&gt;=S$2,"i",""))</f>
        <v>d</v>
      </c>
      <c r="T55" s="4" t="str" cm="1">
        <f t="array" aca="1" ref="T55" ca="1">IF(INDIRECT(_xlfn.CONCAT("'",IF(ISNUMBER(FIND("'",$A55))=TRUE,_xlfn.CONCAT(LEFT($A55,FIND("'",$A55)-1),"''",RIGHT($A55,LEN($A55)-FIND("'",$A55))),$A55),"'!C10"))&gt;=T$2,"d",IF(INDIRECT(_xlfn.CONCAT("'",IF(ISNUMBER(FIND("'",$A55))=TRUE,_xlfn.CONCAT(LEFT($A55,FIND("'",$A55)-1),"''",RIGHT($A55,LEN($A55)-FIND("'",$A55))),$A55),"'!C11"))&gt;=T$2,"i",""))</f>
        <v>d</v>
      </c>
    </row>
    <row r="56" spans="1:20" hidden="1" x14ac:dyDescent="0.25">
      <c r="A56" s="54" t="str">
        <v>Prototype Crescent</v>
      </c>
      <c r="B56" s="14" cm="1">
        <f t="array" ref="B56">_xlfn.XLOOKUP(A56,INDEX(Weapon_List,,1),INDEX(Weapon_List,,3),,0,1)</f>
        <v>4</v>
      </c>
      <c r="C56" s="4" t="str" cm="1">
        <f t="array" ref="C56">_xlfn.XLOOKUP(A56,INDEX(Weapon_List,,1),INDEX(Weapon_List,,2),,0,1)</f>
        <v>Bow</v>
      </c>
      <c r="D56" s="38" t="str" cm="1">
        <f t="array" ref="D56">_xlfn.XLOOKUP(A56,INDEX(Weapon_List,,1),INDEX(Weapon_List,,4),,0,1)</f>
        <v>Liyue 2</v>
      </c>
      <c r="E56" s="38" t="str" cm="1">
        <f t="array" ref="E56">_xlfn.XLOOKUP(A56,INDEX(Weapon_List,,1),INDEX(Weapon_List,,5),,0,1)</f>
        <v>Treasure Hoarder</v>
      </c>
      <c r="F56" s="38" t="str" cm="1">
        <f t="array" ref="F56">_xlfn.XLOOKUP(A56,INDEX(Weapon_List,,1),INDEX(Weapon_List,,6),,0,1)</f>
        <v>Fatui Cicin Mage</v>
      </c>
      <c r="G56" s="14" t="str" cm="1">
        <f t="array" aca="1" ref="G56" ca="1">IF(INDIRECT(_xlfn.CONCAT("'",IF(ISNUMBER(FIND("'",$A56))=TRUE,_xlfn.CONCAT(LEFT($A56,FIND("'",$A56)-1),"''",RIGHT($A56,LEN($A56)-FIND("'",$A56))),$A56),"'!B4"))&gt;=G$2,"d",IF(INDIRECT(_xlfn.CONCAT("'",IF(ISNUMBER(FIND("'",$A56))=TRUE,_xlfn.CONCAT(LEFT($A56,FIND("'",$A56)-1),"''",RIGHT($A56,LEN($A56)-FIND("'",$A56))),$A56),"'!B5"))&gt;=G$2,"i",""))</f>
        <v>d</v>
      </c>
      <c r="H56" s="1" t="str" cm="1">
        <f t="array" aca="1" ref="H56" ca="1">IF(INDIRECT(_xlfn.CONCAT("'",IF(ISNUMBER(FIND("'",$A56))=TRUE,_xlfn.CONCAT(LEFT($A56,FIND("'",$A56)-1),"''",RIGHT($A56,LEN($A56)-FIND("'",$A56))),$A56),"'!B4"))&gt;=H$2,"d",IF(INDIRECT(_xlfn.CONCAT("'",IF(ISNUMBER(FIND("'",$A56))=TRUE,_xlfn.CONCAT(LEFT($A56,FIND("'",$A56)-1),"''",RIGHT($A56,LEN($A56)-FIND("'",$A56))),$A56),"'!B5"))&gt;=H$2,"i",""))</f>
        <v>d</v>
      </c>
      <c r="I56" s="1" t="str" cm="1">
        <f t="array" aca="1" ref="I56" ca="1">IF(INDIRECT(_xlfn.CONCAT("'",IF(ISNUMBER(FIND("'",$A56))=TRUE,_xlfn.CONCAT(LEFT($A56,FIND("'",$A56)-1),"''",RIGHT($A56,LEN($A56)-FIND("'",$A56))),$A56),"'!B4"))&gt;=I$2,"d",IF(INDIRECT(_xlfn.CONCAT("'",IF(ISNUMBER(FIND("'",$A56))=TRUE,_xlfn.CONCAT(LEFT($A56,FIND("'",$A56)-1),"''",RIGHT($A56,LEN($A56)-FIND("'",$A56))),$A56),"'!B5"))&gt;=I$2,"i",""))</f>
        <v>d</v>
      </c>
      <c r="J56" s="1" t="str" cm="1">
        <f t="array" aca="1" ref="J56" ca="1">IF(INDIRECT(_xlfn.CONCAT("'",IF(ISNUMBER(FIND("'",$A56))=TRUE,_xlfn.CONCAT(LEFT($A56,FIND("'",$A56)-1),"''",RIGHT($A56,LEN($A56)-FIND("'",$A56))),$A56),"'!B4"))&gt;=J$2,"d",IF(INDIRECT(_xlfn.CONCAT("'",IF(ISNUMBER(FIND("'",$A56))=TRUE,_xlfn.CONCAT(LEFT($A56,FIND("'",$A56)-1),"''",RIGHT($A56,LEN($A56)-FIND("'",$A56))),$A56),"'!B5"))&gt;=J$2,"i",""))</f>
        <v>d</v>
      </c>
      <c r="K56" s="1" t="str" cm="1">
        <f t="array" aca="1" ref="K56" ca="1">IF(INDIRECT(_xlfn.CONCAT("'",IF(ISNUMBER(FIND("'",$A56))=TRUE,_xlfn.CONCAT(LEFT($A56,FIND("'",$A56)-1),"''",RIGHT($A56,LEN($A56)-FIND("'",$A56))),$A56),"'!B4"))&gt;=K$2,"d",IF(INDIRECT(_xlfn.CONCAT("'",IF(ISNUMBER(FIND("'",$A56))=TRUE,_xlfn.CONCAT(LEFT($A56,FIND("'",$A56)-1),"''",RIGHT($A56,LEN($A56)-FIND("'",$A56))),$A56),"'!B5"))&gt;=K$2,"i",""))</f>
        <v>d</v>
      </c>
      <c r="L56" s="1" t="str" cm="1">
        <f t="array" aca="1" ref="L56" ca="1">IF(INDIRECT(_xlfn.CONCAT("'",IF(ISNUMBER(FIND("'",$A56))=TRUE,_xlfn.CONCAT(LEFT($A56,FIND("'",$A56)-1),"''",RIGHT($A56,LEN($A56)-FIND("'",$A56))),$A56),"'!B4"))&gt;=L$2,"d",IF(INDIRECT(_xlfn.CONCAT("'",IF(ISNUMBER(FIND("'",$A56))=TRUE,_xlfn.CONCAT(LEFT($A56,FIND("'",$A56)-1),"''",RIGHT($A56,LEN($A56)-FIND("'",$A56))),$A56),"'!B5"))&gt;=L$2,"i",""))</f>
        <v>d</v>
      </c>
      <c r="M56" s="4" t="str" cm="1">
        <f t="array" aca="1" ref="M56" ca="1">IF(INDIRECT(_xlfn.CONCAT("'",IF(ISNUMBER(FIND("'",$A56))=TRUE,_xlfn.CONCAT(LEFT($A56,FIND("'",$A56)-1),"''",RIGHT($A56,LEN($A56)-FIND("'",$A56))),$A56),"'!B4"))&gt;=M$2,"d",IF(INDIRECT(_xlfn.CONCAT("'",IF(ISNUMBER(FIND("'",$A56))=TRUE,_xlfn.CONCAT(LEFT($A56,FIND("'",$A56)-1),"''",RIGHT($A56,LEN($A56)-FIND("'",$A56))),$A56),"'!B5"))&gt;=M$2,"i",""))</f>
        <v>d</v>
      </c>
      <c r="N56" s="95"/>
      <c r="O56" s="14" t="str" cm="1">
        <f t="array" aca="1" ref="O56" ca="1">IF(INDIRECT(_xlfn.CONCAT("'",IF(ISNUMBER(FIND("'",$A56))=TRUE,_xlfn.CONCAT(LEFT($A56,FIND("'",$A56)-1),"''",RIGHT($A56,LEN($A56)-FIND("'",$A56))),$A56),"'!C10"))&gt;=O$2,"d",IF(INDIRECT(_xlfn.CONCAT("'",IF(ISNUMBER(FIND("'",$A56))=TRUE,_xlfn.CONCAT(LEFT($A56,FIND("'",$A56)-1),"''",RIGHT($A56,LEN($A56)-FIND("'",$A56))),$A56),"'!C11"))&gt;=O$2,"i",""))</f>
        <v>d</v>
      </c>
      <c r="P56" s="1" t="str" cm="1">
        <f t="array" aca="1" ref="P56" ca="1">IF(INDIRECT(_xlfn.CONCAT("'",IF(ISNUMBER(FIND("'",$A56))=TRUE,_xlfn.CONCAT(LEFT($A56,FIND("'",$A56)-1),"''",RIGHT($A56,LEN($A56)-FIND("'",$A56))),$A56),"'!C10"))&gt;=P$2,"d",IF(INDIRECT(_xlfn.CONCAT("'",IF(ISNUMBER(FIND("'",$A56))=TRUE,_xlfn.CONCAT(LEFT($A56,FIND("'",$A56)-1),"''",RIGHT($A56,LEN($A56)-FIND("'",$A56))),$A56),"'!C11"))&gt;=P$2,"i",""))</f>
        <v>d</v>
      </c>
      <c r="Q56" s="1" t="str" cm="1">
        <f t="array" aca="1" ref="Q56" ca="1">IF(INDIRECT(_xlfn.CONCAT("'",IF(ISNUMBER(FIND("'",$A56))=TRUE,_xlfn.CONCAT(LEFT($A56,FIND("'",$A56)-1),"''",RIGHT($A56,LEN($A56)-FIND("'",$A56))),$A56),"'!C10"))&gt;=Q$2,"d",IF(INDIRECT(_xlfn.CONCAT("'",IF(ISNUMBER(FIND("'",$A56))=TRUE,_xlfn.CONCAT(LEFT($A56,FIND("'",$A56)-1),"''",RIGHT($A56,LEN($A56)-FIND("'",$A56))),$A56),"'!C11"))&gt;=Q$2,"i",""))</f>
        <v>d</v>
      </c>
      <c r="R56" s="1" t="str" cm="1">
        <f t="array" aca="1" ref="R56" ca="1">IF(INDIRECT(_xlfn.CONCAT("'",IF(ISNUMBER(FIND("'",$A56))=TRUE,_xlfn.CONCAT(LEFT($A56,FIND("'",$A56)-1),"''",RIGHT($A56,LEN($A56)-FIND("'",$A56))),$A56),"'!C10"))&gt;=R$2,"d",IF(INDIRECT(_xlfn.CONCAT("'",IF(ISNUMBER(FIND("'",$A56))=TRUE,_xlfn.CONCAT(LEFT($A56,FIND("'",$A56)-1),"''",RIGHT($A56,LEN($A56)-FIND("'",$A56))),$A56),"'!C11"))&gt;=R$2,"i",""))</f>
        <v>d</v>
      </c>
      <c r="S56" s="1" t="str" cm="1">
        <f t="array" aca="1" ref="S56" ca="1">IF(INDIRECT(_xlfn.CONCAT("'",IF(ISNUMBER(FIND("'",$A56))=TRUE,_xlfn.CONCAT(LEFT($A56,FIND("'",$A56)-1),"''",RIGHT($A56,LEN($A56)-FIND("'",$A56))),$A56),"'!C10"))&gt;=S$2,"d",IF(INDIRECT(_xlfn.CONCAT("'",IF(ISNUMBER(FIND("'",$A56))=TRUE,_xlfn.CONCAT(LEFT($A56,FIND("'",$A56)-1),"''",RIGHT($A56,LEN($A56)-FIND("'",$A56))),$A56),"'!C11"))&gt;=S$2,"i",""))</f>
        <v>d</v>
      </c>
      <c r="T56" s="4" t="str" cm="1">
        <f t="array" aca="1" ref="T56" ca="1">IF(INDIRECT(_xlfn.CONCAT("'",IF(ISNUMBER(FIND("'",$A56))=TRUE,_xlfn.CONCAT(LEFT($A56,FIND("'",$A56)-1),"''",RIGHT($A56,LEN($A56)-FIND("'",$A56))),$A56),"'!C10"))&gt;=T$2,"d",IF(INDIRECT(_xlfn.CONCAT("'",IF(ISNUMBER(FIND("'",$A56))=TRUE,_xlfn.CONCAT(LEFT($A56,FIND("'",$A56)-1),"''",RIGHT($A56,LEN($A56)-FIND("'",$A56))),$A56),"'!C11"))&gt;=T$2,"i",""))</f>
        <v>d</v>
      </c>
    </row>
    <row r="57" spans="1:20" hidden="1" x14ac:dyDescent="0.25">
      <c r="A57" s="54" t="str">
        <v>Iron Sting</v>
      </c>
      <c r="B57" s="14" cm="1">
        <f t="array" ref="B57">_xlfn.XLOOKUP(A57,INDEX(Weapon_List,,1),INDEX(Weapon_List,,3),,0,1)</f>
        <v>4</v>
      </c>
      <c r="C57" s="4" t="str" cm="1">
        <f t="array" ref="C57">_xlfn.XLOOKUP(A57,INDEX(Weapon_List,,1),INDEX(Weapon_List,,2),,0,1)</f>
        <v>Sword</v>
      </c>
      <c r="D57" s="38" t="str" cm="1">
        <f t="array" ref="D57">_xlfn.XLOOKUP(A57,INDEX(Weapon_List,,1),INDEX(Weapon_List,,4),,0,1)</f>
        <v>Liyue 3</v>
      </c>
      <c r="E57" s="38" t="str" cm="1">
        <f t="array" ref="E57">_xlfn.XLOOKUP(A57,INDEX(Weapon_List,,1),INDEX(Weapon_List,,5),,0,1)</f>
        <v>Whopperflower</v>
      </c>
      <c r="F57" s="38" t="str" cm="1">
        <f t="array" ref="F57">_xlfn.XLOOKUP(A57,INDEX(Weapon_List,,1),INDEX(Weapon_List,,6),,0,1)</f>
        <v>Vishap</v>
      </c>
      <c r="G57" s="14" t="str" cm="1">
        <f t="array" aca="1" ref="G57" ca="1">IF(INDIRECT(_xlfn.CONCAT("'",IF(ISNUMBER(FIND("'",$A57))=TRUE,_xlfn.CONCAT(LEFT($A57,FIND("'",$A57)-1),"''",RIGHT($A57,LEN($A57)-FIND("'",$A57))),$A57),"'!B4"))&gt;=G$2,"d",IF(INDIRECT(_xlfn.CONCAT("'",IF(ISNUMBER(FIND("'",$A57))=TRUE,_xlfn.CONCAT(LEFT($A57,FIND("'",$A57)-1),"''",RIGHT($A57,LEN($A57)-FIND("'",$A57))),$A57),"'!B5"))&gt;=G$2,"i",""))</f>
        <v>d</v>
      </c>
      <c r="H57" s="1" t="str" cm="1">
        <f t="array" aca="1" ref="H57" ca="1">IF(INDIRECT(_xlfn.CONCAT("'",IF(ISNUMBER(FIND("'",$A57))=TRUE,_xlfn.CONCAT(LEFT($A57,FIND("'",$A57)-1),"''",RIGHT($A57,LEN($A57)-FIND("'",$A57))),$A57),"'!B4"))&gt;=H$2,"d",IF(INDIRECT(_xlfn.CONCAT("'",IF(ISNUMBER(FIND("'",$A57))=TRUE,_xlfn.CONCAT(LEFT($A57,FIND("'",$A57)-1),"''",RIGHT($A57,LEN($A57)-FIND("'",$A57))),$A57),"'!B5"))&gt;=H$2,"i",""))</f>
        <v>d</v>
      </c>
      <c r="I57" s="1" t="str" cm="1">
        <f t="array" aca="1" ref="I57" ca="1">IF(INDIRECT(_xlfn.CONCAT("'",IF(ISNUMBER(FIND("'",$A57))=TRUE,_xlfn.CONCAT(LEFT($A57,FIND("'",$A57)-1),"''",RIGHT($A57,LEN($A57)-FIND("'",$A57))),$A57),"'!B4"))&gt;=I$2,"d",IF(INDIRECT(_xlfn.CONCAT("'",IF(ISNUMBER(FIND("'",$A57))=TRUE,_xlfn.CONCAT(LEFT($A57,FIND("'",$A57)-1),"''",RIGHT($A57,LEN($A57)-FIND("'",$A57))),$A57),"'!B5"))&gt;=I$2,"i",""))</f>
        <v>d</v>
      </c>
      <c r="J57" s="1" t="str" cm="1">
        <f t="array" aca="1" ref="J57" ca="1">IF(INDIRECT(_xlfn.CONCAT("'",IF(ISNUMBER(FIND("'",$A57))=TRUE,_xlfn.CONCAT(LEFT($A57,FIND("'",$A57)-1),"''",RIGHT($A57,LEN($A57)-FIND("'",$A57))),$A57),"'!B4"))&gt;=J$2,"d",IF(INDIRECT(_xlfn.CONCAT("'",IF(ISNUMBER(FIND("'",$A57))=TRUE,_xlfn.CONCAT(LEFT($A57,FIND("'",$A57)-1),"''",RIGHT($A57,LEN($A57)-FIND("'",$A57))),$A57),"'!B5"))&gt;=J$2,"i",""))</f>
        <v>d</v>
      </c>
      <c r="K57" s="1" t="str" cm="1">
        <f t="array" aca="1" ref="K57" ca="1">IF(INDIRECT(_xlfn.CONCAT("'",IF(ISNUMBER(FIND("'",$A57))=TRUE,_xlfn.CONCAT(LEFT($A57,FIND("'",$A57)-1),"''",RIGHT($A57,LEN($A57)-FIND("'",$A57))),$A57),"'!B4"))&gt;=K$2,"d",IF(INDIRECT(_xlfn.CONCAT("'",IF(ISNUMBER(FIND("'",$A57))=TRUE,_xlfn.CONCAT(LEFT($A57,FIND("'",$A57)-1),"''",RIGHT($A57,LEN($A57)-FIND("'",$A57))),$A57),"'!B5"))&gt;=K$2,"i",""))</f>
        <v>d</v>
      </c>
      <c r="L57" s="1" t="str" cm="1">
        <f t="array" aca="1" ref="L57" ca="1">IF(INDIRECT(_xlfn.CONCAT("'",IF(ISNUMBER(FIND("'",$A57))=TRUE,_xlfn.CONCAT(LEFT($A57,FIND("'",$A57)-1),"''",RIGHT($A57,LEN($A57)-FIND("'",$A57))),$A57),"'!B4"))&gt;=L$2,"d",IF(INDIRECT(_xlfn.CONCAT("'",IF(ISNUMBER(FIND("'",$A57))=TRUE,_xlfn.CONCAT(LEFT($A57,FIND("'",$A57)-1),"''",RIGHT($A57,LEN($A57)-FIND("'",$A57))),$A57),"'!B5"))&gt;=L$2,"i",""))</f>
        <v>d</v>
      </c>
      <c r="M57" s="4" t="str" cm="1">
        <f t="array" aca="1" ref="M57" ca="1">IF(INDIRECT(_xlfn.CONCAT("'",IF(ISNUMBER(FIND("'",$A57))=TRUE,_xlfn.CONCAT(LEFT($A57,FIND("'",$A57)-1),"''",RIGHT($A57,LEN($A57)-FIND("'",$A57))),$A57),"'!B4"))&gt;=M$2,"d",IF(INDIRECT(_xlfn.CONCAT("'",IF(ISNUMBER(FIND("'",$A57))=TRUE,_xlfn.CONCAT(LEFT($A57,FIND("'",$A57)-1),"''",RIGHT($A57,LEN($A57)-FIND("'",$A57))),$A57),"'!B5"))&gt;=M$2,"i",""))</f>
        <v>d</v>
      </c>
      <c r="N57" s="95"/>
      <c r="O57" s="14" t="str" cm="1">
        <f t="array" aca="1" ref="O57" ca="1">IF(INDIRECT(_xlfn.CONCAT("'",IF(ISNUMBER(FIND("'",$A57))=TRUE,_xlfn.CONCAT(LEFT($A57,FIND("'",$A57)-1),"''",RIGHT($A57,LEN($A57)-FIND("'",$A57))),$A57),"'!C10"))&gt;=O$2,"d",IF(INDIRECT(_xlfn.CONCAT("'",IF(ISNUMBER(FIND("'",$A57))=TRUE,_xlfn.CONCAT(LEFT($A57,FIND("'",$A57)-1),"''",RIGHT($A57,LEN($A57)-FIND("'",$A57))),$A57),"'!C11"))&gt;=O$2,"i",""))</f>
        <v>d</v>
      </c>
      <c r="P57" s="1" t="str" cm="1">
        <f t="array" aca="1" ref="P57" ca="1">IF(INDIRECT(_xlfn.CONCAT("'",IF(ISNUMBER(FIND("'",$A57))=TRUE,_xlfn.CONCAT(LEFT($A57,FIND("'",$A57)-1),"''",RIGHT($A57,LEN($A57)-FIND("'",$A57))),$A57),"'!C10"))&gt;=P$2,"d",IF(INDIRECT(_xlfn.CONCAT("'",IF(ISNUMBER(FIND("'",$A57))=TRUE,_xlfn.CONCAT(LEFT($A57,FIND("'",$A57)-1),"''",RIGHT($A57,LEN($A57)-FIND("'",$A57))),$A57),"'!C11"))&gt;=P$2,"i",""))</f>
        <v>d</v>
      </c>
      <c r="Q57" s="1" t="str" cm="1">
        <f t="array" aca="1" ref="Q57" ca="1">IF(INDIRECT(_xlfn.CONCAT("'",IF(ISNUMBER(FIND("'",$A57))=TRUE,_xlfn.CONCAT(LEFT($A57,FIND("'",$A57)-1),"''",RIGHT($A57,LEN($A57)-FIND("'",$A57))),$A57),"'!C10"))&gt;=Q$2,"d",IF(INDIRECT(_xlfn.CONCAT("'",IF(ISNUMBER(FIND("'",$A57))=TRUE,_xlfn.CONCAT(LEFT($A57,FIND("'",$A57)-1),"''",RIGHT($A57,LEN($A57)-FIND("'",$A57))),$A57),"'!C11"))&gt;=Q$2,"i",""))</f>
        <v>d</v>
      </c>
      <c r="R57" s="1" t="str" cm="1">
        <f t="array" aca="1" ref="R57" ca="1">IF(INDIRECT(_xlfn.CONCAT("'",IF(ISNUMBER(FIND("'",$A57))=TRUE,_xlfn.CONCAT(LEFT($A57,FIND("'",$A57)-1),"''",RIGHT($A57,LEN($A57)-FIND("'",$A57))),$A57),"'!C10"))&gt;=R$2,"d",IF(INDIRECT(_xlfn.CONCAT("'",IF(ISNUMBER(FIND("'",$A57))=TRUE,_xlfn.CONCAT(LEFT($A57,FIND("'",$A57)-1),"''",RIGHT($A57,LEN($A57)-FIND("'",$A57))),$A57),"'!C11"))&gt;=R$2,"i",""))</f>
        <v>d</v>
      </c>
      <c r="S57" s="1" t="str" cm="1">
        <f t="array" aca="1" ref="S57" ca="1">IF(INDIRECT(_xlfn.CONCAT("'",IF(ISNUMBER(FIND("'",$A57))=TRUE,_xlfn.CONCAT(LEFT($A57,FIND("'",$A57)-1),"''",RIGHT($A57,LEN($A57)-FIND("'",$A57))),$A57),"'!C10"))&gt;=S$2,"d",IF(INDIRECT(_xlfn.CONCAT("'",IF(ISNUMBER(FIND("'",$A57))=TRUE,_xlfn.CONCAT(LEFT($A57,FIND("'",$A57)-1),"''",RIGHT($A57,LEN($A57)-FIND("'",$A57))),$A57),"'!C11"))&gt;=S$2,"i",""))</f>
        <v>d</v>
      </c>
      <c r="T57" s="4" t="str" cm="1">
        <f t="array" aca="1" ref="T57" ca="1">IF(INDIRECT(_xlfn.CONCAT("'",IF(ISNUMBER(FIND("'",$A57))=TRUE,_xlfn.CONCAT(LEFT($A57,FIND("'",$A57)-1),"''",RIGHT($A57,LEN($A57)-FIND("'",$A57))),$A57),"'!C10"))&gt;=T$2,"d",IF(INDIRECT(_xlfn.CONCAT("'",IF(ISNUMBER(FIND("'",$A57))=TRUE,_xlfn.CONCAT(LEFT($A57,FIND("'",$A57)-1),"''",RIGHT($A57,LEN($A57)-FIND("'",$A57))),$A57),"'!C11"))&gt;=T$2,"i",""))</f>
        <v>d</v>
      </c>
    </row>
    <row r="58" spans="1:20" hidden="1" x14ac:dyDescent="0.25">
      <c r="A58" s="54" t="str">
        <v>Whiteblind</v>
      </c>
      <c r="B58" s="14" cm="1">
        <f t="array" ref="B58">_xlfn.XLOOKUP(A58,INDEX(Weapon_List,,1),INDEX(Weapon_List,,3),,0,1)</f>
        <v>4</v>
      </c>
      <c r="C58" s="4" t="str" cm="1">
        <f t="array" ref="C58">_xlfn.XLOOKUP(A58,INDEX(Weapon_List,,1),INDEX(Weapon_List,,2),,0,1)</f>
        <v>Claymore</v>
      </c>
      <c r="D58" s="38" t="str" cm="1">
        <f t="array" ref="D58">_xlfn.XLOOKUP(A58,INDEX(Weapon_List,,1),INDEX(Weapon_List,,4),,0,1)</f>
        <v>Liyue 1</v>
      </c>
      <c r="E58" s="38" t="str" cm="1">
        <f t="array" ref="E58">_xlfn.XLOOKUP(A58,INDEX(Weapon_List,,1),INDEX(Weapon_List,,5),,0,1)</f>
        <v>Treasure Hoarder</v>
      </c>
      <c r="F58" s="38" t="str" cm="1">
        <f t="array" ref="F58">_xlfn.XLOOKUP(A58,INDEX(Weapon_List,,1),INDEX(Weapon_List,,6),,0,1)</f>
        <v>Fatui Agent</v>
      </c>
      <c r="G58" s="14" t="str" cm="1">
        <f t="array" aca="1" ref="G58" ca="1">IF(INDIRECT(_xlfn.CONCAT("'",IF(ISNUMBER(FIND("'",$A58))=TRUE,_xlfn.CONCAT(LEFT($A58,FIND("'",$A58)-1),"''",RIGHT($A58,LEN($A58)-FIND("'",$A58))),$A58),"'!B4"))&gt;=G$2,"d",IF(INDIRECT(_xlfn.CONCAT("'",IF(ISNUMBER(FIND("'",$A58))=TRUE,_xlfn.CONCAT(LEFT($A58,FIND("'",$A58)-1),"''",RIGHT($A58,LEN($A58)-FIND("'",$A58))),$A58),"'!B5"))&gt;=G$2,"i",""))</f>
        <v>d</v>
      </c>
      <c r="H58" s="1" t="str" cm="1">
        <f t="array" aca="1" ref="H58" ca="1">IF(INDIRECT(_xlfn.CONCAT("'",IF(ISNUMBER(FIND("'",$A58))=TRUE,_xlfn.CONCAT(LEFT($A58,FIND("'",$A58)-1),"''",RIGHT($A58,LEN($A58)-FIND("'",$A58))),$A58),"'!B4"))&gt;=H$2,"d",IF(INDIRECT(_xlfn.CONCAT("'",IF(ISNUMBER(FIND("'",$A58))=TRUE,_xlfn.CONCAT(LEFT($A58,FIND("'",$A58)-1),"''",RIGHT($A58,LEN($A58)-FIND("'",$A58))),$A58),"'!B5"))&gt;=H$2,"i",""))</f>
        <v>d</v>
      </c>
      <c r="I58" s="1" t="str" cm="1">
        <f t="array" aca="1" ref="I58" ca="1">IF(INDIRECT(_xlfn.CONCAT("'",IF(ISNUMBER(FIND("'",$A58))=TRUE,_xlfn.CONCAT(LEFT($A58,FIND("'",$A58)-1),"''",RIGHT($A58,LEN($A58)-FIND("'",$A58))),$A58),"'!B4"))&gt;=I$2,"d",IF(INDIRECT(_xlfn.CONCAT("'",IF(ISNUMBER(FIND("'",$A58))=TRUE,_xlfn.CONCAT(LEFT($A58,FIND("'",$A58)-1),"''",RIGHT($A58,LEN($A58)-FIND("'",$A58))),$A58),"'!B5"))&gt;=I$2,"i",""))</f>
        <v>d</v>
      </c>
      <c r="J58" s="1" t="str" cm="1">
        <f t="array" aca="1" ref="J58" ca="1">IF(INDIRECT(_xlfn.CONCAT("'",IF(ISNUMBER(FIND("'",$A58))=TRUE,_xlfn.CONCAT(LEFT($A58,FIND("'",$A58)-1),"''",RIGHT($A58,LEN($A58)-FIND("'",$A58))),$A58),"'!B4"))&gt;=J$2,"d",IF(INDIRECT(_xlfn.CONCAT("'",IF(ISNUMBER(FIND("'",$A58))=TRUE,_xlfn.CONCAT(LEFT($A58,FIND("'",$A58)-1),"''",RIGHT($A58,LEN($A58)-FIND("'",$A58))),$A58),"'!B5"))&gt;=J$2,"i",""))</f>
        <v>d</v>
      </c>
      <c r="K58" s="1" t="str" cm="1">
        <f t="array" aca="1" ref="K58" ca="1">IF(INDIRECT(_xlfn.CONCAT("'",IF(ISNUMBER(FIND("'",$A58))=TRUE,_xlfn.CONCAT(LEFT($A58,FIND("'",$A58)-1),"''",RIGHT($A58,LEN($A58)-FIND("'",$A58))),$A58),"'!B4"))&gt;=K$2,"d",IF(INDIRECT(_xlfn.CONCAT("'",IF(ISNUMBER(FIND("'",$A58))=TRUE,_xlfn.CONCAT(LEFT($A58,FIND("'",$A58)-1),"''",RIGHT($A58,LEN($A58)-FIND("'",$A58))),$A58),"'!B5"))&gt;=K$2,"i",""))</f>
        <v>d</v>
      </c>
      <c r="L58" s="1" t="str" cm="1">
        <f t="array" aca="1" ref="L58" ca="1">IF(INDIRECT(_xlfn.CONCAT("'",IF(ISNUMBER(FIND("'",$A58))=TRUE,_xlfn.CONCAT(LEFT($A58,FIND("'",$A58)-1),"''",RIGHT($A58,LEN($A58)-FIND("'",$A58))),$A58),"'!B4"))&gt;=L$2,"d",IF(INDIRECT(_xlfn.CONCAT("'",IF(ISNUMBER(FIND("'",$A58))=TRUE,_xlfn.CONCAT(LEFT($A58,FIND("'",$A58)-1),"''",RIGHT($A58,LEN($A58)-FIND("'",$A58))),$A58),"'!B5"))&gt;=L$2,"i",""))</f>
        <v>d</v>
      </c>
      <c r="M58" s="4" t="str" cm="1">
        <f t="array" aca="1" ref="M58" ca="1">IF(INDIRECT(_xlfn.CONCAT("'",IF(ISNUMBER(FIND("'",$A58))=TRUE,_xlfn.CONCAT(LEFT($A58,FIND("'",$A58)-1),"''",RIGHT($A58,LEN($A58)-FIND("'",$A58))),$A58),"'!B4"))&gt;=M$2,"d",IF(INDIRECT(_xlfn.CONCAT("'",IF(ISNUMBER(FIND("'",$A58))=TRUE,_xlfn.CONCAT(LEFT($A58,FIND("'",$A58)-1),"''",RIGHT($A58,LEN($A58)-FIND("'",$A58))),$A58),"'!B5"))&gt;=M$2,"i",""))</f>
        <v>d</v>
      </c>
      <c r="N58" s="95"/>
      <c r="O58" s="14" t="str" cm="1">
        <f t="array" aca="1" ref="O58" ca="1">IF(INDIRECT(_xlfn.CONCAT("'",IF(ISNUMBER(FIND("'",$A58))=TRUE,_xlfn.CONCAT(LEFT($A58,FIND("'",$A58)-1),"''",RIGHT($A58,LEN($A58)-FIND("'",$A58))),$A58),"'!C10"))&gt;=O$2,"d",IF(INDIRECT(_xlfn.CONCAT("'",IF(ISNUMBER(FIND("'",$A58))=TRUE,_xlfn.CONCAT(LEFT($A58,FIND("'",$A58)-1),"''",RIGHT($A58,LEN($A58)-FIND("'",$A58))),$A58),"'!C11"))&gt;=O$2,"i",""))</f>
        <v>d</v>
      </c>
      <c r="P58" s="1" t="str" cm="1">
        <f t="array" aca="1" ref="P58" ca="1">IF(INDIRECT(_xlfn.CONCAT("'",IF(ISNUMBER(FIND("'",$A58))=TRUE,_xlfn.CONCAT(LEFT($A58,FIND("'",$A58)-1),"''",RIGHT($A58,LEN($A58)-FIND("'",$A58))),$A58),"'!C10"))&gt;=P$2,"d",IF(INDIRECT(_xlfn.CONCAT("'",IF(ISNUMBER(FIND("'",$A58))=TRUE,_xlfn.CONCAT(LEFT($A58,FIND("'",$A58)-1),"''",RIGHT($A58,LEN($A58)-FIND("'",$A58))),$A58),"'!C11"))&gt;=P$2,"i",""))</f>
        <v>d</v>
      </c>
      <c r="Q58" s="1" t="str" cm="1">
        <f t="array" aca="1" ref="Q58" ca="1">IF(INDIRECT(_xlfn.CONCAT("'",IF(ISNUMBER(FIND("'",$A58))=TRUE,_xlfn.CONCAT(LEFT($A58,FIND("'",$A58)-1),"''",RIGHT($A58,LEN($A58)-FIND("'",$A58))),$A58),"'!C10"))&gt;=Q$2,"d",IF(INDIRECT(_xlfn.CONCAT("'",IF(ISNUMBER(FIND("'",$A58))=TRUE,_xlfn.CONCAT(LEFT($A58,FIND("'",$A58)-1),"''",RIGHT($A58,LEN($A58)-FIND("'",$A58))),$A58),"'!C11"))&gt;=Q$2,"i",""))</f>
        <v>d</v>
      </c>
      <c r="R58" s="1" t="str" cm="1">
        <f t="array" aca="1" ref="R58" ca="1">IF(INDIRECT(_xlfn.CONCAT("'",IF(ISNUMBER(FIND("'",$A58))=TRUE,_xlfn.CONCAT(LEFT($A58,FIND("'",$A58)-1),"''",RIGHT($A58,LEN($A58)-FIND("'",$A58))),$A58),"'!C10"))&gt;=R$2,"d",IF(INDIRECT(_xlfn.CONCAT("'",IF(ISNUMBER(FIND("'",$A58))=TRUE,_xlfn.CONCAT(LEFT($A58,FIND("'",$A58)-1),"''",RIGHT($A58,LEN($A58)-FIND("'",$A58))),$A58),"'!C11"))&gt;=R$2,"i",""))</f>
        <v>d</v>
      </c>
      <c r="S58" s="1" t="str" cm="1">
        <f t="array" aca="1" ref="S58" ca="1">IF(INDIRECT(_xlfn.CONCAT("'",IF(ISNUMBER(FIND("'",$A58))=TRUE,_xlfn.CONCAT(LEFT($A58,FIND("'",$A58)-1),"''",RIGHT($A58,LEN($A58)-FIND("'",$A58))),$A58),"'!C10"))&gt;=S$2,"d",IF(INDIRECT(_xlfn.CONCAT("'",IF(ISNUMBER(FIND("'",$A58))=TRUE,_xlfn.CONCAT(LEFT($A58,FIND("'",$A58)-1),"''",RIGHT($A58,LEN($A58)-FIND("'",$A58))),$A58),"'!C11"))&gt;=S$2,"i",""))</f>
        <v>d</v>
      </c>
      <c r="T58" s="4" t="str" cm="1">
        <f t="array" aca="1" ref="T58" ca="1">IF(INDIRECT(_xlfn.CONCAT("'",IF(ISNUMBER(FIND("'",$A58))=TRUE,_xlfn.CONCAT(LEFT($A58,FIND("'",$A58)-1),"''",RIGHT($A58,LEN($A58)-FIND("'",$A58))),$A58),"'!C10"))&gt;=T$2,"d",IF(INDIRECT(_xlfn.CONCAT("'",IF(ISNUMBER(FIND("'",$A58))=TRUE,_xlfn.CONCAT(LEFT($A58,FIND("'",$A58)-1),"''",RIGHT($A58,LEN($A58)-FIND("'",$A58))),$A58),"'!C11"))&gt;=T$2,"i",""))</f>
        <v>d</v>
      </c>
    </row>
    <row r="59" spans="1:20" hidden="1" x14ac:dyDescent="0.25">
      <c r="A59" s="54" t="str">
        <v>Crescent Pike</v>
      </c>
      <c r="B59" s="14" cm="1">
        <f t="array" ref="B59">_xlfn.XLOOKUP(A59,INDEX(Weapon_List,,1),INDEX(Weapon_List,,3),,0,1)</f>
        <v>4</v>
      </c>
      <c r="C59" s="4" t="str" cm="1">
        <f t="array" ref="C59">_xlfn.XLOOKUP(A59,INDEX(Weapon_List,,1),INDEX(Weapon_List,,2),,0,1)</f>
        <v>Polearm</v>
      </c>
      <c r="D59" s="38" t="str" cm="1">
        <f t="array" ref="D59">_xlfn.XLOOKUP(A59,INDEX(Weapon_List,,1),INDEX(Weapon_List,,4),,0,1)</f>
        <v>Liyue 1</v>
      </c>
      <c r="E59" s="38" t="str" cm="1">
        <f t="array" ref="E59">_xlfn.XLOOKUP(A59,INDEX(Weapon_List,,1),INDEX(Weapon_List,,5),,0,1)</f>
        <v>Treasure Hoarder</v>
      </c>
      <c r="F59" s="38" t="str" cm="1">
        <f t="array" ref="F59">_xlfn.XLOOKUP(A59,INDEX(Weapon_List,,1),INDEX(Weapon_List,,6),,0,1)</f>
        <v>Fatui Agent</v>
      </c>
      <c r="G59" s="14" t="str" cm="1">
        <f t="array" aca="1" ref="G59" ca="1">IF(INDIRECT(_xlfn.CONCAT("'",IF(ISNUMBER(FIND("'",$A59))=TRUE,_xlfn.CONCAT(LEFT($A59,FIND("'",$A59)-1),"''",RIGHT($A59,LEN($A59)-FIND("'",$A59))),$A59),"'!B4"))&gt;=G$2,"d",IF(INDIRECT(_xlfn.CONCAT("'",IF(ISNUMBER(FIND("'",$A59))=TRUE,_xlfn.CONCAT(LEFT($A59,FIND("'",$A59)-1),"''",RIGHT($A59,LEN($A59)-FIND("'",$A59))),$A59),"'!B5"))&gt;=G$2,"i",""))</f>
        <v>d</v>
      </c>
      <c r="H59" s="1" t="str" cm="1">
        <f t="array" aca="1" ref="H59" ca="1">IF(INDIRECT(_xlfn.CONCAT("'",IF(ISNUMBER(FIND("'",$A59))=TRUE,_xlfn.CONCAT(LEFT($A59,FIND("'",$A59)-1),"''",RIGHT($A59,LEN($A59)-FIND("'",$A59))),$A59),"'!B4"))&gt;=H$2,"d",IF(INDIRECT(_xlfn.CONCAT("'",IF(ISNUMBER(FIND("'",$A59))=TRUE,_xlfn.CONCAT(LEFT($A59,FIND("'",$A59)-1),"''",RIGHT($A59,LEN($A59)-FIND("'",$A59))),$A59),"'!B5"))&gt;=H$2,"i",""))</f>
        <v>d</v>
      </c>
      <c r="I59" s="1" t="str" cm="1">
        <f t="array" aca="1" ref="I59" ca="1">IF(INDIRECT(_xlfn.CONCAT("'",IF(ISNUMBER(FIND("'",$A59))=TRUE,_xlfn.CONCAT(LEFT($A59,FIND("'",$A59)-1),"''",RIGHT($A59,LEN($A59)-FIND("'",$A59))),$A59),"'!B4"))&gt;=I$2,"d",IF(INDIRECT(_xlfn.CONCAT("'",IF(ISNUMBER(FIND("'",$A59))=TRUE,_xlfn.CONCAT(LEFT($A59,FIND("'",$A59)-1),"''",RIGHT($A59,LEN($A59)-FIND("'",$A59))),$A59),"'!B5"))&gt;=I$2,"i",""))</f>
        <v>d</v>
      </c>
      <c r="J59" s="1" t="str" cm="1">
        <f t="array" aca="1" ref="J59" ca="1">IF(INDIRECT(_xlfn.CONCAT("'",IF(ISNUMBER(FIND("'",$A59))=TRUE,_xlfn.CONCAT(LEFT($A59,FIND("'",$A59)-1),"''",RIGHT($A59,LEN($A59)-FIND("'",$A59))),$A59),"'!B4"))&gt;=J$2,"d",IF(INDIRECT(_xlfn.CONCAT("'",IF(ISNUMBER(FIND("'",$A59))=TRUE,_xlfn.CONCAT(LEFT($A59,FIND("'",$A59)-1),"''",RIGHT($A59,LEN($A59)-FIND("'",$A59))),$A59),"'!B5"))&gt;=J$2,"i",""))</f>
        <v>d</v>
      </c>
      <c r="K59" s="1" t="str" cm="1">
        <f t="array" aca="1" ref="K59" ca="1">IF(INDIRECT(_xlfn.CONCAT("'",IF(ISNUMBER(FIND("'",$A59))=TRUE,_xlfn.CONCAT(LEFT($A59,FIND("'",$A59)-1),"''",RIGHT($A59,LEN($A59)-FIND("'",$A59))),$A59),"'!B4"))&gt;=K$2,"d",IF(INDIRECT(_xlfn.CONCAT("'",IF(ISNUMBER(FIND("'",$A59))=TRUE,_xlfn.CONCAT(LEFT($A59,FIND("'",$A59)-1),"''",RIGHT($A59,LEN($A59)-FIND("'",$A59))),$A59),"'!B5"))&gt;=K$2,"i",""))</f>
        <v>d</v>
      </c>
      <c r="L59" s="1" t="str" cm="1">
        <f t="array" aca="1" ref="L59" ca="1">IF(INDIRECT(_xlfn.CONCAT("'",IF(ISNUMBER(FIND("'",$A59))=TRUE,_xlfn.CONCAT(LEFT($A59,FIND("'",$A59)-1),"''",RIGHT($A59,LEN($A59)-FIND("'",$A59))),$A59),"'!B4"))&gt;=L$2,"d",IF(INDIRECT(_xlfn.CONCAT("'",IF(ISNUMBER(FIND("'",$A59))=TRUE,_xlfn.CONCAT(LEFT($A59,FIND("'",$A59)-1),"''",RIGHT($A59,LEN($A59)-FIND("'",$A59))),$A59),"'!B5"))&gt;=L$2,"i",""))</f>
        <v>d</v>
      </c>
      <c r="M59" s="4" t="str" cm="1">
        <f t="array" aca="1" ref="M59" ca="1">IF(INDIRECT(_xlfn.CONCAT("'",IF(ISNUMBER(FIND("'",$A59))=TRUE,_xlfn.CONCAT(LEFT($A59,FIND("'",$A59)-1),"''",RIGHT($A59,LEN($A59)-FIND("'",$A59))),$A59),"'!B4"))&gt;=M$2,"d",IF(INDIRECT(_xlfn.CONCAT("'",IF(ISNUMBER(FIND("'",$A59))=TRUE,_xlfn.CONCAT(LEFT($A59,FIND("'",$A59)-1),"''",RIGHT($A59,LEN($A59)-FIND("'",$A59))),$A59),"'!B5"))&gt;=M$2,"i",""))</f>
        <v>d</v>
      </c>
      <c r="N59" s="95"/>
      <c r="O59" s="14" t="str" cm="1">
        <f t="array" aca="1" ref="O59" ca="1">IF(INDIRECT(_xlfn.CONCAT("'",IF(ISNUMBER(FIND("'",$A59))=TRUE,_xlfn.CONCAT(LEFT($A59,FIND("'",$A59)-1),"''",RIGHT($A59,LEN($A59)-FIND("'",$A59))),$A59),"'!C10"))&gt;=O$2,"d",IF(INDIRECT(_xlfn.CONCAT("'",IF(ISNUMBER(FIND("'",$A59))=TRUE,_xlfn.CONCAT(LEFT($A59,FIND("'",$A59)-1),"''",RIGHT($A59,LEN($A59)-FIND("'",$A59))),$A59),"'!C11"))&gt;=O$2,"i",""))</f>
        <v>d</v>
      </c>
      <c r="P59" s="1" t="str" cm="1">
        <f t="array" aca="1" ref="P59" ca="1">IF(INDIRECT(_xlfn.CONCAT("'",IF(ISNUMBER(FIND("'",$A59))=TRUE,_xlfn.CONCAT(LEFT($A59,FIND("'",$A59)-1),"''",RIGHT($A59,LEN($A59)-FIND("'",$A59))),$A59),"'!C10"))&gt;=P$2,"d",IF(INDIRECT(_xlfn.CONCAT("'",IF(ISNUMBER(FIND("'",$A59))=TRUE,_xlfn.CONCAT(LEFT($A59,FIND("'",$A59)-1),"''",RIGHT($A59,LEN($A59)-FIND("'",$A59))),$A59),"'!C11"))&gt;=P$2,"i",""))</f>
        <v>d</v>
      </c>
      <c r="Q59" s="1" t="str" cm="1">
        <f t="array" aca="1" ref="Q59" ca="1">IF(INDIRECT(_xlfn.CONCAT("'",IF(ISNUMBER(FIND("'",$A59))=TRUE,_xlfn.CONCAT(LEFT($A59,FIND("'",$A59)-1),"''",RIGHT($A59,LEN($A59)-FIND("'",$A59))),$A59),"'!C10"))&gt;=Q$2,"d",IF(INDIRECT(_xlfn.CONCAT("'",IF(ISNUMBER(FIND("'",$A59))=TRUE,_xlfn.CONCAT(LEFT($A59,FIND("'",$A59)-1),"''",RIGHT($A59,LEN($A59)-FIND("'",$A59))),$A59),"'!C11"))&gt;=Q$2,"i",""))</f>
        <v>d</v>
      </c>
      <c r="R59" s="1" t="str" cm="1">
        <f t="array" aca="1" ref="R59" ca="1">IF(INDIRECT(_xlfn.CONCAT("'",IF(ISNUMBER(FIND("'",$A59))=TRUE,_xlfn.CONCAT(LEFT($A59,FIND("'",$A59)-1),"''",RIGHT($A59,LEN($A59)-FIND("'",$A59))),$A59),"'!C10"))&gt;=R$2,"d",IF(INDIRECT(_xlfn.CONCAT("'",IF(ISNUMBER(FIND("'",$A59))=TRUE,_xlfn.CONCAT(LEFT($A59,FIND("'",$A59)-1),"''",RIGHT($A59,LEN($A59)-FIND("'",$A59))),$A59),"'!C11"))&gt;=R$2,"i",""))</f>
        <v>d</v>
      </c>
      <c r="S59" s="1" t="str" cm="1">
        <f t="array" aca="1" ref="S59" ca="1">IF(INDIRECT(_xlfn.CONCAT("'",IF(ISNUMBER(FIND("'",$A59))=TRUE,_xlfn.CONCAT(LEFT($A59,FIND("'",$A59)-1),"''",RIGHT($A59,LEN($A59)-FIND("'",$A59))),$A59),"'!C10"))&gt;=S$2,"d",IF(INDIRECT(_xlfn.CONCAT("'",IF(ISNUMBER(FIND("'",$A59))=TRUE,_xlfn.CONCAT(LEFT($A59,FIND("'",$A59)-1),"''",RIGHT($A59,LEN($A59)-FIND("'",$A59))),$A59),"'!C11"))&gt;=S$2,"i",""))</f>
        <v>d</v>
      </c>
      <c r="T59" s="4" t="str" cm="1">
        <f t="array" aca="1" ref="T59" ca="1">IF(INDIRECT(_xlfn.CONCAT("'",IF(ISNUMBER(FIND("'",$A59))=TRUE,_xlfn.CONCAT(LEFT($A59,FIND("'",$A59)-1),"''",RIGHT($A59,LEN($A59)-FIND("'",$A59))),$A59),"'!C10"))&gt;=T$2,"d",IF(INDIRECT(_xlfn.CONCAT("'",IF(ISNUMBER(FIND("'",$A59))=TRUE,_xlfn.CONCAT(LEFT($A59,FIND("'",$A59)-1),"''",RIGHT($A59,LEN($A59)-FIND("'",$A59))),$A59),"'!C11"))&gt;=T$2,"i",""))</f>
        <v>d</v>
      </c>
    </row>
    <row r="60" spans="1:20" hidden="1" x14ac:dyDescent="0.25">
      <c r="A60" s="54" t="str">
        <v>Mappa Mare</v>
      </c>
      <c r="B60" s="14" cm="1">
        <f t="array" ref="B60">_xlfn.XLOOKUP(A60,INDEX(Weapon_List,,1),INDEX(Weapon_List,,3),,0,1)</f>
        <v>4</v>
      </c>
      <c r="C60" s="4" t="str" cm="1">
        <f t="array" ref="C60">_xlfn.XLOOKUP(A60,INDEX(Weapon_List,,1),INDEX(Weapon_List,,2),,0,1)</f>
        <v>Catalyst</v>
      </c>
      <c r="D60" s="38" t="str" cm="1">
        <f t="array" ref="D60">_xlfn.XLOOKUP(A60,INDEX(Weapon_List,,1),INDEX(Weapon_List,,4),,0,1)</f>
        <v>Liyue 3</v>
      </c>
      <c r="E60" s="38" t="str" cm="1">
        <f t="array" ref="E60">_xlfn.XLOOKUP(A60,INDEX(Weapon_List,,1),INDEX(Weapon_List,,5),,0,1)</f>
        <v>Slime</v>
      </c>
      <c r="F60" s="38" t="str" cm="1">
        <f t="array" ref="F60">_xlfn.XLOOKUP(A60,INDEX(Weapon_List,,1),INDEX(Weapon_List,,6),,0,1)</f>
        <v>Vishap</v>
      </c>
      <c r="G60" s="14" t="str" cm="1">
        <f t="array" aca="1" ref="G60" ca="1">IF(INDIRECT(_xlfn.CONCAT("'",IF(ISNUMBER(FIND("'",$A60))=TRUE,_xlfn.CONCAT(LEFT($A60,FIND("'",$A60)-1),"''",RIGHT($A60,LEN($A60)-FIND("'",$A60))),$A60),"'!B4"))&gt;=G$2,"d",IF(INDIRECT(_xlfn.CONCAT("'",IF(ISNUMBER(FIND("'",$A60))=TRUE,_xlfn.CONCAT(LEFT($A60,FIND("'",$A60)-1),"''",RIGHT($A60,LEN($A60)-FIND("'",$A60))),$A60),"'!B5"))&gt;=G$2,"i",""))</f>
        <v>d</v>
      </c>
      <c r="H60" s="1" t="str" cm="1">
        <f t="array" aca="1" ref="H60" ca="1">IF(INDIRECT(_xlfn.CONCAT("'",IF(ISNUMBER(FIND("'",$A60))=TRUE,_xlfn.CONCAT(LEFT($A60,FIND("'",$A60)-1),"''",RIGHT($A60,LEN($A60)-FIND("'",$A60))),$A60),"'!B4"))&gt;=H$2,"d",IF(INDIRECT(_xlfn.CONCAT("'",IF(ISNUMBER(FIND("'",$A60))=TRUE,_xlfn.CONCAT(LEFT($A60,FIND("'",$A60)-1),"''",RIGHT($A60,LEN($A60)-FIND("'",$A60))),$A60),"'!B5"))&gt;=H$2,"i",""))</f>
        <v>d</v>
      </c>
      <c r="I60" s="1" t="str" cm="1">
        <f t="array" aca="1" ref="I60" ca="1">IF(INDIRECT(_xlfn.CONCAT("'",IF(ISNUMBER(FIND("'",$A60))=TRUE,_xlfn.CONCAT(LEFT($A60,FIND("'",$A60)-1),"''",RIGHT($A60,LEN($A60)-FIND("'",$A60))),$A60),"'!B4"))&gt;=I$2,"d",IF(INDIRECT(_xlfn.CONCAT("'",IF(ISNUMBER(FIND("'",$A60))=TRUE,_xlfn.CONCAT(LEFT($A60,FIND("'",$A60)-1),"''",RIGHT($A60,LEN($A60)-FIND("'",$A60))),$A60),"'!B5"))&gt;=I$2,"i",""))</f>
        <v>d</v>
      </c>
      <c r="J60" s="1" t="str" cm="1">
        <f t="array" aca="1" ref="J60" ca="1">IF(INDIRECT(_xlfn.CONCAT("'",IF(ISNUMBER(FIND("'",$A60))=TRUE,_xlfn.CONCAT(LEFT($A60,FIND("'",$A60)-1),"''",RIGHT($A60,LEN($A60)-FIND("'",$A60))),$A60),"'!B4"))&gt;=J$2,"d",IF(INDIRECT(_xlfn.CONCAT("'",IF(ISNUMBER(FIND("'",$A60))=TRUE,_xlfn.CONCAT(LEFT($A60,FIND("'",$A60)-1),"''",RIGHT($A60,LEN($A60)-FIND("'",$A60))),$A60),"'!B5"))&gt;=J$2,"i",""))</f>
        <v>d</v>
      </c>
      <c r="K60" s="1" t="str" cm="1">
        <f t="array" aca="1" ref="K60" ca="1">IF(INDIRECT(_xlfn.CONCAT("'",IF(ISNUMBER(FIND("'",$A60))=TRUE,_xlfn.CONCAT(LEFT($A60,FIND("'",$A60)-1),"''",RIGHT($A60,LEN($A60)-FIND("'",$A60))),$A60),"'!B4"))&gt;=K$2,"d",IF(INDIRECT(_xlfn.CONCAT("'",IF(ISNUMBER(FIND("'",$A60))=TRUE,_xlfn.CONCAT(LEFT($A60,FIND("'",$A60)-1),"''",RIGHT($A60,LEN($A60)-FIND("'",$A60))),$A60),"'!B5"))&gt;=K$2,"i",""))</f>
        <v>d</v>
      </c>
      <c r="L60" s="1" t="str" cm="1">
        <f t="array" aca="1" ref="L60" ca="1">IF(INDIRECT(_xlfn.CONCAT("'",IF(ISNUMBER(FIND("'",$A60))=TRUE,_xlfn.CONCAT(LEFT($A60,FIND("'",$A60)-1),"''",RIGHT($A60,LEN($A60)-FIND("'",$A60))),$A60),"'!B4"))&gt;=L$2,"d",IF(INDIRECT(_xlfn.CONCAT("'",IF(ISNUMBER(FIND("'",$A60))=TRUE,_xlfn.CONCAT(LEFT($A60,FIND("'",$A60)-1),"''",RIGHT($A60,LEN($A60)-FIND("'",$A60))),$A60),"'!B5"))&gt;=L$2,"i",""))</f>
        <v>d</v>
      </c>
      <c r="M60" s="4" t="str" cm="1">
        <f t="array" aca="1" ref="M60" ca="1">IF(INDIRECT(_xlfn.CONCAT("'",IF(ISNUMBER(FIND("'",$A60))=TRUE,_xlfn.CONCAT(LEFT($A60,FIND("'",$A60)-1),"''",RIGHT($A60,LEN($A60)-FIND("'",$A60))),$A60),"'!B4"))&gt;=M$2,"d",IF(INDIRECT(_xlfn.CONCAT("'",IF(ISNUMBER(FIND("'",$A60))=TRUE,_xlfn.CONCAT(LEFT($A60,FIND("'",$A60)-1),"''",RIGHT($A60,LEN($A60)-FIND("'",$A60))),$A60),"'!B5"))&gt;=M$2,"i",""))</f>
        <v>d</v>
      </c>
      <c r="N60" s="95"/>
      <c r="O60" s="14" t="str" cm="1">
        <f t="array" aca="1" ref="O60" ca="1">IF(INDIRECT(_xlfn.CONCAT("'",IF(ISNUMBER(FIND("'",$A60))=TRUE,_xlfn.CONCAT(LEFT($A60,FIND("'",$A60)-1),"''",RIGHT($A60,LEN($A60)-FIND("'",$A60))),$A60),"'!C10"))&gt;=O$2,"d",IF(INDIRECT(_xlfn.CONCAT("'",IF(ISNUMBER(FIND("'",$A60))=TRUE,_xlfn.CONCAT(LEFT($A60,FIND("'",$A60)-1),"''",RIGHT($A60,LEN($A60)-FIND("'",$A60))),$A60),"'!C11"))&gt;=O$2,"i",""))</f>
        <v>d</v>
      </c>
      <c r="P60" s="1" t="str" cm="1">
        <f t="array" aca="1" ref="P60" ca="1">IF(INDIRECT(_xlfn.CONCAT("'",IF(ISNUMBER(FIND("'",$A60))=TRUE,_xlfn.CONCAT(LEFT($A60,FIND("'",$A60)-1),"''",RIGHT($A60,LEN($A60)-FIND("'",$A60))),$A60),"'!C10"))&gt;=P$2,"d",IF(INDIRECT(_xlfn.CONCAT("'",IF(ISNUMBER(FIND("'",$A60))=TRUE,_xlfn.CONCAT(LEFT($A60,FIND("'",$A60)-1),"''",RIGHT($A60,LEN($A60)-FIND("'",$A60))),$A60),"'!C11"))&gt;=P$2,"i",""))</f>
        <v>d</v>
      </c>
      <c r="Q60" s="1" t="str" cm="1">
        <f t="array" aca="1" ref="Q60" ca="1">IF(INDIRECT(_xlfn.CONCAT("'",IF(ISNUMBER(FIND("'",$A60))=TRUE,_xlfn.CONCAT(LEFT($A60,FIND("'",$A60)-1),"''",RIGHT($A60,LEN($A60)-FIND("'",$A60))),$A60),"'!C10"))&gt;=Q$2,"d",IF(INDIRECT(_xlfn.CONCAT("'",IF(ISNUMBER(FIND("'",$A60))=TRUE,_xlfn.CONCAT(LEFT($A60,FIND("'",$A60)-1),"''",RIGHT($A60,LEN($A60)-FIND("'",$A60))),$A60),"'!C11"))&gt;=Q$2,"i",""))</f>
        <v>d</v>
      </c>
      <c r="R60" s="1" t="str" cm="1">
        <f t="array" aca="1" ref="R60" ca="1">IF(INDIRECT(_xlfn.CONCAT("'",IF(ISNUMBER(FIND("'",$A60))=TRUE,_xlfn.CONCAT(LEFT($A60,FIND("'",$A60)-1),"''",RIGHT($A60,LEN($A60)-FIND("'",$A60))),$A60),"'!C10"))&gt;=R$2,"d",IF(INDIRECT(_xlfn.CONCAT("'",IF(ISNUMBER(FIND("'",$A60))=TRUE,_xlfn.CONCAT(LEFT($A60,FIND("'",$A60)-1),"''",RIGHT($A60,LEN($A60)-FIND("'",$A60))),$A60),"'!C11"))&gt;=R$2,"i",""))</f>
        <v>d</v>
      </c>
      <c r="S60" s="1" t="str" cm="1">
        <f t="array" aca="1" ref="S60" ca="1">IF(INDIRECT(_xlfn.CONCAT("'",IF(ISNUMBER(FIND("'",$A60))=TRUE,_xlfn.CONCAT(LEFT($A60,FIND("'",$A60)-1),"''",RIGHT($A60,LEN($A60)-FIND("'",$A60))),$A60),"'!C10"))&gt;=S$2,"d",IF(INDIRECT(_xlfn.CONCAT("'",IF(ISNUMBER(FIND("'",$A60))=TRUE,_xlfn.CONCAT(LEFT($A60,FIND("'",$A60)-1),"''",RIGHT($A60,LEN($A60)-FIND("'",$A60))),$A60),"'!C11"))&gt;=S$2,"i",""))</f>
        <v>d</v>
      </c>
      <c r="T60" s="4" t="str" cm="1">
        <f t="array" aca="1" ref="T60" ca="1">IF(INDIRECT(_xlfn.CONCAT("'",IF(ISNUMBER(FIND("'",$A60))=TRUE,_xlfn.CONCAT(LEFT($A60,FIND("'",$A60)-1),"''",RIGHT($A60,LEN($A60)-FIND("'",$A60))),$A60),"'!C10"))&gt;=T$2,"d",IF(INDIRECT(_xlfn.CONCAT("'",IF(ISNUMBER(FIND("'",$A60))=TRUE,_xlfn.CONCAT(LEFT($A60,FIND("'",$A60)-1),"''",RIGHT($A60,LEN($A60)-FIND("'",$A60))),$A60),"'!C11"))&gt;=T$2,"i",""))</f>
        <v>d</v>
      </c>
    </row>
    <row r="61" spans="1:20" hidden="1" x14ac:dyDescent="0.25">
      <c r="A61" s="54" t="str">
        <v>Compound Bow</v>
      </c>
      <c r="B61" s="14" cm="1">
        <f t="array" ref="B61">_xlfn.XLOOKUP(A61,INDEX(Weapon_List,,1),INDEX(Weapon_List,,3),,0,1)</f>
        <v>4</v>
      </c>
      <c r="C61" s="4" t="str" cm="1">
        <f t="array" ref="C61">_xlfn.XLOOKUP(A61,INDEX(Weapon_List,,1),INDEX(Weapon_List,,2),,0,1)</f>
        <v>Bow</v>
      </c>
      <c r="D61" s="38" t="str" cm="1">
        <f t="array" ref="D61">_xlfn.XLOOKUP(A61,INDEX(Weapon_List,,1),INDEX(Weapon_List,,4),,0,1)</f>
        <v>Liyue 3</v>
      </c>
      <c r="E61" s="38" t="str" cm="1">
        <f t="array" ref="E61">_xlfn.XLOOKUP(A61,INDEX(Weapon_List,,1),INDEX(Weapon_List,,5),,0,1)</f>
        <v>Fatui</v>
      </c>
      <c r="F61" s="38" t="str" cm="1">
        <f t="array" ref="F61">_xlfn.XLOOKUP(A61,INDEX(Weapon_List,,1),INDEX(Weapon_List,,6),,0,1)</f>
        <v>Vishap</v>
      </c>
      <c r="G61" s="14" t="str" cm="1">
        <f t="array" aca="1" ref="G61" ca="1">IF(INDIRECT(_xlfn.CONCAT("'",IF(ISNUMBER(FIND("'",$A61))=TRUE,_xlfn.CONCAT(LEFT($A61,FIND("'",$A61)-1),"''",RIGHT($A61,LEN($A61)-FIND("'",$A61))),$A61),"'!B4"))&gt;=G$2,"d",IF(INDIRECT(_xlfn.CONCAT("'",IF(ISNUMBER(FIND("'",$A61))=TRUE,_xlfn.CONCAT(LEFT($A61,FIND("'",$A61)-1),"''",RIGHT($A61,LEN($A61)-FIND("'",$A61))),$A61),"'!B5"))&gt;=G$2,"i",""))</f>
        <v>d</v>
      </c>
      <c r="H61" s="1" t="str" cm="1">
        <f t="array" aca="1" ref="H61" ca="1">IF(INDIRECT(_xlfn.CONCAT("'",IF(ISNUMBER(FIND("'",$A61))=TRUE,_xlfn.CONCAT(LEFT($A61,FIND("'",$A61)-1),"''",RIGHT($A61,LEN($A61)-FIND("'",$A61))),$A61),"'!B4"))&gt;=H$2,"d",IF(INDIRECT(_xlfn.CONCAT("'",IF(ISNUMBER(FIND("'",$A61))=TRUE,_xlfn.CONCAT(LEFT($A61,FIND("'",$A61)-1),"''",RIGHT($A61,LEN($A61)-FIND("'",$A61))),$A61),"'!B5"))&gt;=H$2,"i",""))</f>
        <v>d</v>
      </c>
      <c r="I61" s="1" t="str" cm="1">
        <f t="array" aca="1" ref="I61" ca="1">IF(INDIRECT(_xlfn.CONCAT("'",IF(ISNUMBER(FIND("'",$A61))=TRUE,_xlfn.CONCAT(LEFT($A61,FIND("'",$A61)-1),"''",RIGHT($A61,LEN($A61)-FIND("'",$A61))),$A61),"'!B4"))&gt;=I$2,"d",IF(INDIRECT(_xlfn.CONCAT("'",IF(ISNUMBER(FIND("'",$A61))=TRUE,_xlfn.CONCAT(LEFT($A61,FIND("'",$A61)-1),"''",RIGHT($A61,LEN($A61)-FIND("'",$A61))),$A61),"'!B5"))&gt;=I$2,"i",""))</f>
        <v>d</v>
      </c>
      <c r="J61" s="1" t="str" cm="1">
        <f t="array" aca="1" ref="J61" ca="1">IF(INDIRECT(_xlfn.CONCAT("'",IF(ISNUMBER(FIND("'",$A61))=TRUE,_xlfn.CONCAT(LEFT($A61,FIND("'",$A61)-1),"''",RIGHT($A61,LEN($A61)-FIND("'",$A61))),$A61),"'!B4"))&gt;=J$2,"d",IF(INDIRECT(_xlfn.CONCAT("'",IF(ISNUMBER(FIND("'",$A61))=TRUE,_xlfn.CONCAT(LEFT($A61,FIND("'",$A61)-1),"''",RIGHT($A61,LEN($A61)-FIND("'",$A61))),$A61),"'!B5"))&gt;=J$2,"i",""))</f>
        <v>d</v>
      </c>
      <c r="K61" s="1" t="str" cm="1">
        <f t="array" aca="1" ref="K61" ca="1">IF(INDIRECT(_xlfn.CONCAT("'",IF(ISNUMBER(FIND("'",$A61))=TRUE,_xlfn.CONCAT(LEFT($A61,FIND("'",$A61)-1),"''",RIGHT($A61,LEN($A61)-FIND("'",$A61))),$A61),"'!B4"))&gt;=K$2,"d",IF(INDIRECT(_xlfn.CONCAT("'",IF(ISNUMBER(FIND("'",$A61))=TRUE,_xlfn.CONCAT(LEFT($A61,FIND("'",$A61)-1),"''",RIGHT($A61,LEN($A61)-FIND("'",$A61))),$A61),"'!B5"))&gt;=K$2,"i",""))</f>
        <v>d</v>
      </c>
      <c r="L61" s="1" t="str" cm="1">
        <f t="array" aca="1" ref="L61" ca="1">IF(INDIRECT(_xlfn.CONCAT("'",IF(ISNUMBER(FIND("'",$A61))=TRUE,_xlfn.CONCAT(LEFT($A61,FIND("'",$A61)-1),"''",RIGHT($A61,LEN($A61)-FIND("'",$A61))),$A61),"'!B4"))&gt;=L$2,"d",IF(INDIRECT(_xlfn.CONCAT("'",IF(ISNUMBER(FIND("'",$A61))=TRUE,_xlfn.CONCAT(LEFT($A61,FIND("'",$A61)-1),"''",RIGHT($A61,LEN($A61)-FIND("'",$A61))),$A61),"'!B5"))&gt;=L$2,"i",""))</f>
        <v>d</v>
      </c>
      <c r="M61" s="4" t="str" cm="1">
        <f t="array" aca="1" ref="M61" ca="1">IF(INDIRECT(_xlfn.CONCAT("'",IF(ISNUMBER(FIND("'",$A61))=TRUE,_xlfn.CONCAT(LEFT($A61,FIND("'",$A61)-1),"''",RIGHT($A61,LEN($A61)-FIND("'",$A61))),$A61),"'!B4"))&gt;=M$2,"d",IF(INDIRECT(_xlfn.CONCAT("'",IF(ISNUMBER(FIND("'",$A61))=TRUE,_xlfn.CONCAT(LEFT($A61,FIND("'",$A61)-1),"''",RIGHT($A61,LEN($A61)-FIND("'",$A61))),$A61),"'!B5"))&gt;=M$2,"i",""))</f>
        <v>d</v>
      </c>
      <c r="N61" s="95"/>
      <c r="O61" s="14" t="str" cm="1">
        <f t="array" aca="1" ref="O61" ca="1">IF(INDIRECT(_xlfn.CONCAT("'",IF(ISNUMBER(FIND("'",$A61))=TRUE,_xlfn.CONCAT(LEFT($A61,FIND("'",$A61)-1),"''",RIGHT($A61,LEN($A61)-FIND("'",$A61))),$A61),"'!C10"))&gt;=O$2,"d",IF(INDIRECT(_xlfn.CONCAT("'",IF(ISNUMBER(FIND("'",$A61))=TRUE,_xlfn.CONCAT(LEFT($A61,FIND("'",$A61)-1),"''",RIGHT($A61,LEN($A61)-FIND("'",$A61))),$A61),"'!C11"))&gt;=O$2,"i",""))</f>
        <v>d</v>
      </c>
      <c r="P61" s="1" t="str" cm="1">
        <f t="array" aca="1" ref="P61" ca="1">IF(INDIRECT(_xlfn.CONCAT("'",IF(ISNUMBER(FIND("'",$A61))=TRUE,_xlfn.CONCAT(LEFT($A61,FIND("'",$A61)-1),"''",RIGHT($A61,LEN($A61)-FIND("'",$A61))),$A61),"'!C10"))&gt;=P$2,"d",IF(INDIRECT(_xlfn.CONCAT("'",IF(ISNUMBER(FIND("'",$A61))=TRUE,_xlfn.CONCAT(LEFT($A61,FIND("'",$A61)-1),"''",RIGHT($A61,LEN($A61)-FIND("'",$A61))),$A61),"'!C11"))&gt;=P$2,"i",""))</f>
        <v>d</v>
      </c>
      <c r="Q61" s="1" t="str" cm="1">
        <f t="array" aca="1" ref="Q61" ca="1">IF(INDIRECT(_xlfn.CONCAT("'",IF(ISNUMBER(FIND("'",$A61))=TRUE,_xlfn.CONCAT(LEFT($A61,FIND("'",$A61)-1),"''",RIGHT($A61,LEN($A61)-FIND("'",$A61))),$A61),"'!C10"))&gt;=Q$2,"d",IF(INDIRECT(_xlfn.CONCAT("'",IF(ISNUMBER(FIND("'",$A61))=TRUE,_xlfn.CONCAT(LEFT($A61,FIND("'",$A61)-1),"''",RIGHT($A61,LEN($A61)-FIND("'",$A61))),$A61),"'!C11"))&gt;=Q$2,"i",""))</f>
        <v>d</v>
      </c>
      <c r="R61" s="1" t="str" cm="1">
        <f t="array" aca="1" ref="R61" ca="1">IF(INDIRECT(_xlfn.CONCAT("'",IF(ISNUMBER(FIND("'",$A61))=TRUE,_xlfn.CONCAT(LEFT($A61,FIND("'",$A61)-1),"''",RIGHT($A61,LEN($A61)-FIND("'",$A61))),$A61),"'!C10"))&gt;=R$2,"d",IF(INDIRECT(_xlfn.CONCAT("'",IF(ISNUMBER(FIND("'",$A61))=TRUE,_xlfn.CONCAT(LEFT($A61,FIND("'",$A61)-1),"''",RIGHT($A61,LEN($A61)-FIND("'",$A61))),$A61),"'!C11"))&gt;=R$2,"i",""))</f>
        <v>d</v>
      </c>
      <c r="S61" s="1" t="str" cm="1">
        <f t="array" aca="1" ref="S61" ca="1">IF(INDIRECT(_xlfn.CONCAT("'",IF(ISNUMBER(FIND("'",$A61))=TRUE,_xlfn.CONCAT(LEFT($A61,FIND("'",$A61)-1),"''",RIGHT($A61,LEN($A61)-FIND("'",$A61))),$A61),"'!C10"))&gt;=S$2,"d",IF(INDIRECT(_xlfn.CONCAT("'",IF(ISNUMBER(FIND("'",$A61))=TRUE,_xlfn.CONCAT(LEFT($A61,FIND("'",$A61)-1),"''",RIGHT($A61,LEN($A61)-FIND("'",$A61))),$A61),"'!C11"))&gt;=S$2,"i",""))</f>
        <v>d</v>
      </c>
      <c r="T61" s="4" t="str" cm="1">
        <f t="array" aca="1" ref="T61" ca="1">IF(INDIRECT(_xlfn.CONCAT("'",IF(ISNUMBER(FIND("'",$A61))=TRUE,_xlfn.CONCAT(LEFT($A61,FIND("'",$A61)-1),"''",RIGHT($A61,LEN($A61)-FIND("'",$A61))),$A61),"'!C10"))&gt;=T$2,"d",IF(INDIRECT(_xlfn.CONCAT("'",IF(ISNUMBER(FIND("'",$A61))=TRUE,_xlfn.CONCAT(LEFT($A61,FIND("'",$A61)-1),"''",RIGHT($A61,LEN($A61)-FIND("'",$A61))),$A61),"'!C11"))&gt;=T$2,"i",""))</f>
        <v>d</v>
      </c>
    </row>
    <row r="62" spans="1:20" hidden="1" x14ac:dyDescent="0.25">
      <c r="A62" s="54" t="str">
        <v>Favonius Sword</v>
      </c>
      <c r="B62" s="14" cm="1">
        <f t="array" ref="B62">_xlfn.XLOOKUP(A62,INDEX(Weapon_List,,1),INDEX(Weapon_List,,3),,0,1)</f>
        <v>4</v>
      </c>
      <c r="C62" s="4" t="str" cm="1">
        <f t="array" ref="C62">_xlfn.XLOOKUP(A62,INDEX(Weapon_List,,1),INDEX(Weapon_List,,2),,0,1)</f>
        <v>Sword</v>
      </c>
      <c r="D62" s="38" t="str" cm="1">
        <f t="array" ref="D62">_xlfn.XLOOKUP(A62,INDEX(Weapon_List,,1),INDEX(Weapon_List,,4),,0,1)</f>
        <v>Mondstadt 1</v>
      </c>
      <c r="E62" s="38" t="str" cm="1">
        <f t="array" ref="E62">_xlfn.XLOOKUP(A62,INDEX(Weapon_List,,1),INDEX(Weapon_List,,5),,0,1)</f>
        <v>Hilichurl Shooter</v>
      </c>
      <c r="F62" s="38" t="str" cm="1">
        <f t="array" ref="F62">_xlfn.XLOOKUP(A62,INDEX(Weapon_List,,1),INDEX(Weapon_List,,6),,0,1)</f>
        <v>Mitachurl</v>
      </c>
      <c r="G62" s="14" t="str" cm="1">
        <f t="array" aca="1" ref="G62" ca="1">IF(INDIRECT(_xlfn.CONCAT("'",IF(ISNUMBER(FIND("'",$A62))=TRUE,_xlfn.CONCAT(LEFT($A62,FIND("'",$A62)-1),"''",RIGHT($A62,LEN($A62)-FIND("'",$A62))),$A62),"'!B4"))&gt;=G$2,"d",IF(INDIRECT(_xlfn.CONCAT("'",IF(ISNUMBER(FIND("'",$A62))=TRUE,_xlfn.CONCAT(LEFT($A62,FIND("'",$A62)-1),"''",RIGHT($A62,LEN($A62)-FIND("'",$A62))),$A62),"'!B5"))&gt;=G$2,"i",""))</f>
        <v>d</v>
      </c>
      <c r="H62" s="1" t="str" cm="1">
        <f t="array" aca="1" ref="H62" ca="1">IF(INDIRECT(_xlfn.CONCAT("'",IF(ISNUMBER(FIND("'",$A62))=TRUE,_xlfn.CONCAT(LEFT($A62,FIND("'",$A62)-1),"''",RIGHT($A62,LEN($A62)-FIND("'",$A62))),$A62),"'!B4"))&gt;=H$2,"d",IF(INDIRECT(_xlfn.CONCAT("'",IF(ISNUMBER(FIND("'",$A62))=TRUE,_xlfn.CONCAT(LEFT($A62,FIND("'",$A62)-1),"''",RIGHT($A62,LEN($A62)-FIND("'",$A62))),$A62),"'!B5"))&gt;=H$2,"i",""))</f>
        <v>d</v>
      </c>
      <c r="I62" s="1" t="str" cm="1">
        <f t="array" aca="1" ref="I62" ca="1">IF(INDIRECT(_xlfn.CONCAT("'",IF(ISNUMBER(FIND("'",$A62))=TRUE,_xlfn.CONCAT(LEFT($A62,FIND("'",$A62)-1),"''",RIGHT($A62,LEN($A62)-FIND("'",$A62))),$A62),"'!B4"))&gt;=I$2,"d",IF(INDIRECT(_xlfn.CONCAT("'",IF(ISNUMBER(FIND("'",$A62))=TRUE,_xlfn.CONCAT(LEFT($A62,FIND("'",$A62)-1),"''",RIGHT($A62,LEN($A62)-FIND("'",$A62))),$A62),"'!B5"))&gt;=I$2,"i",""))</f>
        <v>d</v>
      </c>
      <c r="J62" s="1" t="str" cm="1">
        <f t="array" aca="1" ref="J62" ca="1">IF(INDIRECT(_xlfn.CONCAT("'",IF(ISNUMBER(FIND("'",$A62))=TRUE,_xlfn.CONCAT(LEFT($A62,FIND("'",$A62)-1),"''",RIGHT($A62,LEN($A62)-FIND("'",$A62))),$A62),"'!B4"))&gt;=J$2,"d",IF(INDIRECT(_xlfn.CONCAT("'",IF(ISNUMBER(FIND("'",$A62))=TRUE,_xlfn.CONCAT(LEFT($A62,FIND("'",$A62)-1),"''",RIGHT($A62,LEN($A62)-FIND("'",$A62))),$A62),"'!B5"))&gt;=J$2,"i",""))</f>
        <v>d</v>
      </c>
      <c r="K62" s="1" t="str" cm="1">
        <f t="array" aca="1" ref="K62" ca="1">IF(INDIRECT(_xlfn.CONCAT("'",IF(ISNUMBER(FIND("'",$A62))=TRUE,_xlfn.CONCAT(LEFT($A62,FIND("'",$A62)-1),"''",RIGHT($A62,LEN($A62)-FIND("'",$A62))),$A62),"'!B4"))&gt;=K$2,"d",IF(INDIRECT(_xlfn.CONCAT("'",IF(ISNUMBER(FIND("'",$A62))=TRUE,_xlfn.CONCAT(LEFT($A62,FIND("'",$A62)-1),"''",RIGHT($A62,LEN($A62)-FIND("'",$A62))),$A62),"'!B5"))&gt;=K$2,"i",""))</f>
        <v>d</v>
      </c>
      <c r="L62" s="1" t="str" cm="1">
        <f t="array" aca="1" ref="L62" ca="1">IF(INDIRECT(_xlfn.CONCAT("'",IF(ISNUMBER(FIND("'",$A62))=TRUE,_xlfn.CONCAT(LEFT($A62,FIND("'",$A62)-1),"''",RIGHT($A62,LEN($A62)-FIND("'",$A62))),$A62),"'!B4"))&gt;=L$2,"d",IF(INDIRECT(_xlfn.CONCAT("'",IF(ISNUMBER(FIND("'",$A62))=TRUE,_xlfn.CONCAT(LEFT($A62,FIND("'",$A62)-1),"''",RIGHT($A62,LEN($A62)-FIND("'",$A62))),$A62),"'!B5"))&gt;=L$2,"i",""))</f>
        <v>d</v>
      </c>
      <c r="M62" s="4" t="str" cm="1">
        <f t="array" aca="1" ref="M62" ca="1">IF(INDIRECT(_xlfn.CONCAT("'",IF(ISNUMBER(FIND("'",$A62))=TRUE,_xlfn.CONCAT(LEFT($A62,FIND("'",$A62)-1),"''",RIGHT($A62,LEN($A62)-FIND("'",$A62))),$A62),"'!B4"))&gt;=M$2,"d",IF(INDIRECT(_xlfn.CONCAT("'",IF(ISNUMBER(FIND("'",$A62))=TRUE,_xlfn.CONCAT(LEFT($A62,FIND("'",$A62)-1),"''",RIGHT($A62,LEN($A62)-FIND("'",$A62))),$A62),"'!B5"))&gt;=M$2,"i",""))</f>
        <v>d</v>
      </c>
      <c r="N62" s="95"/>
      <c r="O62" s="14" t="str" cm="1">
        <f t="array" aca="1" ref="O62" ca="1">IF(INDIRECT(_xlfn.CONCAT("'",IF(ISNUMBER(FIND("'",$A62))=TRUE,_xlfn.CONCAT(LEFT($A62,FIND("'",$A62)-1),"''",RIGHT($A62,LEN($A62)-FIND("'",$A62))),$A62),"'!C10"))&gt;=O$2,"d",IF(INDIRECT(_xlfn.CONCAT("'",IF(ISNUMBER(FIND("'",$A62))=TRUE,_xlfn.CONCAT(LEFT($A62,FIND("'",$A62)-1),"''",RIGHT($A62,LEN($A62)-FIND("'",$A62))),$A62),"'!C11"))&gt;=O$2,"i",""))</f>
        <v>d</v>
      </c>
      <c r="P62" s="1" t="str" cm="1">
        <f t="array" aca="1" ref="P62" ca="1">IF(INDIRECT(_xlfn.CONCAT("'",IF(ISNUMBER(FIND("'",$A62))=TRUE,_xlfn.CONCAT(LEFT($A62,FIND("'",$A62)-1),"''",RIGHT($A62,LEN($A62)-FIND("'",$A62))),$A62),"'!C10"))&gt;=P$2,"d",IF(INDIRECT(_xlfn.CONCAT("'",IF(ISNUMBER(FIND("'",$A62))=TRUE,_xlfn.CONCAT(LEFT($A62,FIND("'",$A62)-1),"''",RIGHT($A62,LEN($A62)-FIND("'",$A62))),$A62),"'!C11"))&gt;=P$2,"i",""))</f>
        <v>d</v>
      </c>
      <c r="Q62" s="1" t="str" cm="1">
        <f t="array" aca="1" ref="Q62" ca="1">IF(INDIRECT(_xlfn.CONCAT("'",IF(ISNUMBER(FIND("'",$A62))=TRUE,_xlfn.CONCAT(LEFT($A62,FIND("'",$A62)-1),"''",RIGHT($A62,LEN($A62)-FIND("'",$A62))),$A62),"'!C10"))&gt;=Q$2,"d",IF(INDIRECT(_xlfn.CONCAT("'",IF(ISNUMBER(FIND("'",$A62))=TRUE,_xlfn.CONCAT(LEFT($A62,FIND("'",$A62)-1),"''",RIGHT($A62,LEN($A62)-FIND("'",$A62))),$A62),"'!C11"))&gt;=Q$2,"i",""))</f>
        <v>d</v>
      </c>
      <c r="R62" s="1" t="str" cm="1">
        <f t="array" aca="1" ref="R62" ca="1">IF(INDIRECT(_xlfn.CONCAT("'",IF(ISNUMBER(FIND("'",$A62))=TRUE,_xlfn.CONCAT(LEFT($A62,FIND("'",$A62)-1),"''",RIGHT($A62,LEN($A62)-FIND("'",$A62))),$A62),"'!C10"))&gt;=R$2,"d",IF(INDIRECT(_xlfn.CONCAT("'",IF(ISNUMBER(FIND("'",$A62))=TRUE,_xlfn.CONCAT(LEFT($A62,FIND("'",$A62)-1),"''",RIGHT($A62,LEN($A62)-FIND("'",$A62))),$A62),"'!C11"))&gt;=R$2,"i",""))</f>
        <v>d</v>
      </c>
      <c r="S62" s="1" t="str" cm="1">
        <f t="array" aca="1" ref="S62" ca="1">IF(INDIRECT(_xlfn.CONCAT("'",IF(ISNUMBER(FIND("'",$A62))=TRUE,_xlfn.CONCAT(LEFT($A62,FIND("'",$A62)-1),"''",RIGHT($A62,LEN($A62)-FIND("'",$A62))),$A62),"'!C10"))&gt;=S$2,"d",IF(INDIRECT(_xlfn.CONCAT("'",IF(ISNUMBER(FIND("'",$A62))=TRUE,_xlfn.CONCAT(LEFT($A62,FIND("'",$A62)-1),"''",RIGHT($A62,LEN($A62)-FIND("'",$A62))),$A62),"'!C11"))&gt;=S$2,"i",""))</f>
        <v>d</v>
      </c>
      <c r="T62" s="4" t="str" cm="1">
        <f t="array" aca="1" ref="T62" ca="1">IF(INDIRECT(_xlfn.CONCAT("'",IF(ISNUMBER(FIND("'",$A62))=TRUE,_xlfn.CONCAT(LEFT($A62,FIND("'",$A62)-1),"''",RIGHT($A62,LEN($A62)-FIND("'",$A62))),$A62),"'!C10"))&gt;=T$2,"d",IF(INDIRECT(_xlfn.CONCAT("'",IF(ISNUMBER(FIND("'",$A62))=TRUE,_xlfn.CONCAT(LEFT($A62,FIND("'",$A62)-1),"''",RIGHT($A62,LEN($A62)-FIND("'",$A62))),$A62),"'!C11"))&gt;=T$2,"i",""))</f>
        <v>d</v>
      </c>
    </row>
    <row r="63" spans="1:20" hidden="1" x14ac:dyDescent="0.25">
      <c r="A63" s="54" t="str">
        <v>Lion's Roar</v>
      </c>
      <c r="B63" s="14" cm="1">
        <f t="array" ref="B63">_xlfn.XLOOKUP(A63,INDEX(Weapon_List,,1),INDEX(Weapon_List,,3),,0,1)</f>
        <v>4</v>
      </c>
      <c r="C63" s="4" t="str" cm="1">
        <f t="array" ref="C63">_xlfn.XLOOKUP(A63,INDEX(Weapon_List,,1),INDEX(Weapon_List,,2),,0,1)</f>
        <v>Sword</v>
      </c>
      <c r="D63" s="38" t="str" cm="1">
        <f t="array" ref="D63">_xlfn.XLOOKUP(A63,INDEX(Weapon_List,,1),INDEX(Weapon_List,,4),,0,1)</f>
        <v>Liyue 1</v>
      </c>
      <c r="E63" s="38" t="str" cm="1">
        <f t="array" ref="E63">_xlfn.XLOOKUP(A63,INDEX(Weapon_List,,1),INDEX(Weapon_List,,5),,0,1)</f>
        <v>Treasure Hoarder</v>
      </c>
      <c r="F63" s="38" t="str" cm="1">
        <f t="array" ref="F63">_xlfn.XLOOKUP(A63,INDEX(Weapon_List,,1),INDEX(Weapon_List,,6),,0,1)</f>
        <v>Fatui Agent</v>
      </c>
      <c r="G63" s="14" t="str" cm="1">
        <f t="array" aca="1" ref="G63" ca="1">IF(INDIRECT(_xlfn.CONCAT("'",IF(ISNUMBER(FIND("'",$A63))=TRUE,_xlfn.CONCAT(LEFT($A63,FIND("'",$A63)-1),"''",RIGHT($A63,LEN($A63)-FIND("'",$A63))),$A63),"'!B4"))&gt;=G$2,"d",IF(INDIRECT(_xlfn.CONCAT("'",IF(ISNUMBER(FIND("'",$A63))=TRUE,_xlfn.CONCAT(LEFT($A63,FIND("'",$A63)-1),"''",RIGHT($A63,LEN($A63)-FIND("'",$A63))),$A63),"'!B5"))&gt;=G$2,"i",""))</f>
        <v>d</v>
      </c>
      <c r="H63" s="1" t="str" cm="1">
        <f t="array" aca="1" ref="H63" ca="1">IF(INDIRECT(_xlfn.CONCAT("'",IF(ISNUMBER(FIND("'",$A63))=TRUE,_xlfn.CONCAT(LEFT($A63,FIND("'",$A63)-1),"''",RIGHT($A63,LEN($A63)-FIND("'",$A63))),$A63),"'!B4"))&gt;=H$2,"d",IF(INDIRECT(_xlfn.CONCAT("'",IF(ISNUMBER(FIND("'",$A63))=TRUE,_xlfn.CONCAT(LEFT($A63,FIND("'",$A63)-1),"''",RIGHT($A63,LEN($A63)-FIND("'",$A63))),$A63),"'!B5"))&gt;=H$2,"i",""))</f>
        <v>d</v>
      </c>
      <c r="I63" s="1" t="str" cm="1">
        <f t="array" aca="1" ref="I63" ca="1">IF(INDIRECT(_xlfn.CONCAT("'",IF(ISNUMBER(FIND("'",$A63))=TRUE,_xlfn.CONCAT(LEFT($A63,FIND("'",$A63)-1),"''",RIGHT($A63,LEN($A63)-FIND("'",$A63))),$A63),"'!B4"))&gt;=I$2,"d",IF(INDIRECT(_xlfn.CONCAT("'",IF(ISNUMBER(FIND("'",$A63))=TRUE,_xlfn.CONCAT(LEFT($A63,FIND("'",$A63)-1),"''",RIGHT($A63,LEN($A63)-FIND("'",$A63))),$A63),"'!B5"))&gt;=I$2,"i",""))</f>
        <v>d</v>
      </c>
      <c r="J63" s="1" t="str" cm="1">
        <f t="array" aca="1" ref="J63" ca="1">IF(INDIRECT(_xlfn.CONCAT("'",IF(ISNUMBER(FIND("'",$A63))=TRUE,_xlfn.CONCAT(LEFT($A63,FIND("'",$A63)-1),"''",RIGHT($A63,LEN($A63)-FIND("'",$A63))),$A63),"'!B4"))&gt;=J$2,"d",IF(INDIRECT(_xlfn.CONCAT("'",IF(ISNUMBER(FIND("'",$A63))=TRUE,_xlfn.CONCAT(LEFT($A63,FIND("'",$A63)-1),"''",RIGHT($A63,LEN($A63)-FIND("'",$A63))),$A63),"'!B5"))&gt;=J$2,"i",""))</f>
        <v>d</v>
      </c>
      <c r="K63" s="1" t="str" cm="1">
        <f t="array" aca="1" ref="K63" ca="1">IF(INDIRECT(_xlfn.CONCAT("'",IF(ISNUMBER(FIND("'",$A63))=TRUE,_xlfn.CONCAT(LEFT($A63,FIND("'",$A63)-1),"''",RIGHT($A63,LEN($A63)-FIND("'",$A63))),$A63),"'!B4"))&gt;=K$2,"d",IF(INDIRECT(_xlfn.CONCAT("'",IF(ISNUMBER(FIND("'",$A63))=TRUE,_xlfn.CONCAT(LEFT($A63,FIND("'",$A63)-1),"''",RIGHT($A63,LEN($A63)-FIND("'",$A63))),$A63),"'!B5"))&gt;=K$2,"i",""))</f>
        <v>d</v>
      </c>
      <c r="L63" s="1" t="str" cm="1">
        <f t="array" aca="1" ref="L63" ca="1">IF(INDIRECT(_xlfn.CONCAT("'",IF(ISNUMBER(FIND("'",$A63))=TRUE,_xlfn.CONCAT(LEFT($A63,FIND("'",$A63)-1),"''",RIGHT($A63,LEN($A63)-FIND("'",$A63))),$A63),"'!B4"))&gt;=L$2,"d",IF(INDIRECT(_xlfn.CONCAT("'",IF(ISNUMBER(FIND("'",$A63))=TRUE,_xlfn.CONCAT(LEFT($A63,FIND("'",$A63)-1),"''",RIGHT($A63,LEN($A63)-FIND("'",$A63))),$A63),"'!B5"))&gt;=L$2,"i",""))</f>
        <v>d</v>
      </c>
      <c r="M63" s="4" t="str" cm="1">
        <f t="array" aca="1" ref="M63" ca="1">IF(INDIRECT(_xlfn.CONCAT("'",IF(ISNUMBER(FIND("'",$A63))=TRUE,_xlfn.CONCAT(LEFT($A63,FIND("'",$A63)-1),"''",RIGHT($A63,LEN($A63)-FIND("'",$A63))),$A63),"'!B4"))&gt;=M$2,"d",IF(INDIRECT(_xlfn.CONCAT("'",IF(ISNUMBER(FIND("'",$A63))=TRUE,_xlfn.CONCAT(LEFT($A63,FIND("'",$A63)-1),"''",RIGHT($A63,LEN($A63)-FIND("'",$A63))),$A63),"'!B5"))&gt;=M$2,"i",""))</f>
        <v>d</v>
      </c>
      <c r="N63" s="95"/>
      <c r="O63" s="14" t="str" cm="1">
        <f t="array" aca="1" ref="O63" ca="1">IF(INDIRECT(_xlfn.CONCAT("'",IF(ISNUMBER(FIND("'",$A63))=TRUE,_xlfn.CONCAT(LEFT($A63,FIND("'",$A63)-1),"''",RIGHT($A63,LEN($A63)-FIND("'",$A63))),$A63),"'!C10"))&gt;=O$2,"d",IF(INDIRECT(_xlfn.CONCAT("'",IF(ISNUMBER(FIND("'",$A63))=TRUE,_xlfn.CONCAT(LEFT($A63,FIND("'",$A63)-1),"''",RIGHT($A63,LEN($A63)-FIND("'",$A63))),$A63),"'!C11"))&gt;=O$2,"i",""))</f>
        <v>d</v>
      </c>
      <c r="P63" s="1" t="str" cm="1">
        <f t="array" aca="1" ref="P63" ca="1">IF(INDIRECT(_xlfn.CONCAT("'",IF(ISNUMBER(FIND("'",$A63))=TRUE,_xlfn.CONCAT(LEFT($A63,FIND("'",$A63)-1),"''",RIGHT($A63,LEN($A63)-FIND("'",$A63))),$A63),"'!C10"))&gt;=P$2,"d",IF(INDIRECT(_xlfn.CONCAT("'",IF(ISNUMBER(FIND("'",$A63))=TRUE,_xlfn.CONCAT(LEFT($A63,FIND("'",$A63)-1),"''",RIGHT($A63,LEN($A63)-FIND("'",$A63))),$A63),"'!C11"))&gt;=P$2,"i",""))</f>
        <v>d</v>
      </c>
      <c r="Q63" s="1" t="str" cm="1">
        <f t="array" aca="1" ref="Q63" ca="1">IF(INDIRECT(_xlfn.CONCAT("'",IF(ISNUMBER(FIND("'",$A63))=TRUE,_xlfn.CONCAT(LEFT($A63,FIND("'",$A63)-1),"''",RIGHT($A63,LEN($A63)-FIND("'",$A63))),$A63),"'!C10"))&gt;=Q$2,"d",IF(INDIRECT(_xlfn.CONCAT("'",IF(ISNUMBER(FIND("'",$A63))=TRUE,_xlfn.CONCAT(LEFT($A63,FIND("'",$A63)-1),"''",RIGHT($A63,LEN($A63)-FIND("'",$A63))),$A63),"'!C11"))&gt;=Q$2,"i",""))</f>
        <v>d</v>
      </c>
      <c r="R63" s="1" t="str" cm="1">
        <f t="array" aca="1" ref="R63" ca="1">IF(INDIRECT(_xlfn.CONCAT("'",IF(ISNUMBER(FIND("'",$A63))=TRUE,_xlfn.CONCAT(LEFT($A63,FIND("'",$A63)-1),"''",RIGHT($A63,LEN($A63)-FIND("'",$A63))),$A63),"'!C10"))&gt;=R$2,"d",IF(INDIRECT(_xlfn.CONCAT("'",IF(ISNUMBER(FIND("'",$A63))=TRUE,_xlfn.CONCAT(LEFT($A63,FIND("'",$A63)-1),"''",RIGHT($A63,LEN($A63)-FIND("'",$A63))),$A63),"'!C11"))&gt;=R$2,"i",""))</f>
        <v>d</v>
      </c>
      <c r="S63" s="1" t="str" cm="1">
        <f t="array" aca="1" ref="S63" ca="1">IF(INDIRECT(_xlfn.CONCAT("'",IF(ISNUMBER(FIND("'",$A63))=TRUE,_xlfn.CONCAT(LEFT($A63,FIND("'",$A63)-1),"''",RIGHT($A63,LEN($A63)-FIND("'",$A63))),$A63),"'!C10"))&gt;=S$2,"d",IF(INDIRECT(_xlfn.CONCAT("'",IF(ISNUMBER(FIND("'",$A63))=TRUE,_xlfn.CONCAT(LEFT($A63,FIND("'",$A63)-1),"''",RIGHT($A63,LEN($A63)-FIND("'",$A63))),$A63),"'!C11"))&gt;=S$2,"i",""))</f>
        <v>d</v>
      </c>
      <c r="T63" s="4" t="str" cm="1">
        <f t="array" aca="1" ref="T63" ca="1">IF(INDIRECT(_xlfn.CONCAT("'",IF(ISNUMBER(FIND("'",$A63))=TRUE,_xlfn.CONCAT(LEFT($A63,FIND("'",$A63)-1),"''",RIGHT($A63,LEN($A63)-FIND("'",$A63))),$A63),"'!C10"))&gt;=T$2,"d",IF(INDIRECT(_xlfn.CONCAT("'",IF(ISNUMBER(FIND("'",$A63))=TRUE,_xlfn.CONCAT(LEFT($A63,FIND("'",$A63)-1),"''",RIGHT($A63,LEN($A63)-FIND("'",$A63))),$A63),"'!C11"))&gt;=T$2,"i",""))</f>
        <v>d</v>
      </c>
    </row>
    <row r="64" spans="1:20" hidden="1" x14ac:dyDescent="0.25">
      <c r="A64" s="54" t="str">
        <v>Sacrificial Sword</v>
      </c>
      <c r="B64" s="14" cm="1">
        <f t="array" ref="B64">_xlfn.XLOOKUP(A64,INDEX(Weapon_List,,1),INDEX(Weapon_List,,3),,0,1)</f>
        <v>4</v>
      </c>
      <c r="C64" s="4" t="str" cm="1">
        <f t="array" ref="C64">_xlfn.XLOOKUP(A64,INDEX(Weapon_List,,1),INDEX(Weapon_List,,2),,0,1)</f>
        <v>Sword</v>
      </c>
      <c r="D64" s="38" t="str" cm="1">
        <f t="array" ref="D64">_xlfn.XLOOKUP(A64,INDEX(Weapon_List,,1),INDEX(Weapon_List,,4),,0,1)</f>
        <v>Mondstadt 3</v>
      </c>
      <c r="E64" s="38" t="str" cm="1">
        <f t="array" ref="E64">_xlfn.XLOOKUP(A64,INDEX(Weapon_List,,1),INDEX(Weapon_List,,5),,0,1)</f>
        <v>Samachurl</v>
      </c>
      <c r="F64" s="38" t="str" cm="1">
        <f t="array" ref="F64">_xlfn.XLOOKUP(A64,INDEX(Weapon_List,,1),INDEX(Weapon_List,,6),,0,1)</f>
        <v>Ruin Machine 1</v>
      </c>
      <c r="G64" s="14" t="str" cm="1">
        <f t="array" aca="1" ref="G64" ca="1">IF(INDIRECT(_xlfn.CONCAT("'",IF(ISNUMBER(FIND("'",$A64))=TRUE,_xlfn.CONCAT(LEFT($A64,FIND("'",$A64)-1),"''",RIGHT($A64,LEN($A64)-FIND("'",$A64))),$A64),"'!B4"))&gt;=G$2,"d",IF(INDIRECT(_xlfn.CONCAT("'",IF(ISNUMBER(FIND("'",$A64))=TRUE,_xlfn.CONCAT(LEFT($A64,FIND("'",$A64)-1),"''",RIGHT($A64,LEN($A64)-FIND("'",$A64))),$A64),"'!B5"))&gt;=G$2,"i",""))</f>
        <v>d</v>
      </c>
      <c r="H64" s="1" t="str" cm="1">
        <f t="array" aca="1" ref="H64" ca="1">IF(INDIRECT(_xlfn.CONCAT("'",IF(ISNUMBER(FIND("'",$A64))=TRUE,_xlfn.CONCAT(LEFT($A64,FIND("'",$A64)-1),"''",RIGHT($A64,LEN($A64)-FIND("'",$A64))),$A64),"'!B4"))&gt;=H$2,"d",IF(INDIRECT(_xlfn.CONCAT("'",IF(ISNUMBER(FIND("'",$A64))=TRUE,_xlfn.CONCAT(LEFT($A64,FIND("'",$A64)-1),"''",RIGHT($A64,LEN($A64)-FIND("'",$A64))),$A64),"'!B5"))&gt;=H$2,"i",""))</f>
        <v>d</v>
      </c>
      <c r="I64" s="1" t="str" cm="1">
        <f t="array" aca="1" ref="I64" ca="1">IF(INDIRECT(_xlfn.CONCAT("'",IF(ISNUMBER(FIND("'",$A64))=TRUE,_xlfn.CONCAT(LEFT($A64,FIND("'",$A64)-1),"''",RIGHT($A64,LEN($A64)-FIND("'",$A64))),$A64),"'!B4"))&gt;=I$2,"d",IF(INDIRECT(_xlfn.CONCAT("'",IF(ISNUMBER(FIND("'",$A64))=TRUE,_xlfn.CONCAT(LEFT($A64,FIND("'",$A64)-1),"''",RIGHT($A64,LEN($A64)-FIND("'",$A64))),$A64),"'!B5"))&gt;=I$2,"i",""))</f>
        <v>d</v>
      </c>
      <c r="J64" s="1" t="str" cm="1">
        <f t="array" aca="1" ref="J64" ca="1">IF(INDIRECT(_xlfn.CONCAT("'",IF(ISNUMBER(FIND("'",$A64))=TRUE,_xlfn.CONCAT(LEFT($A64,FIND("'",$A64)-1),"''",RIGHT($A64,LEN($A64)-FIND("'",$A64))),$A64),"'!B4"))&gt;=J$2,"d",IF(INDIRECT(_xlfn.CONCAT("'",IF(ISNUMBER(FIND("'",$A64))=TRUE,_xlfn.CONCAT(LEFT($A64,FIND("'",$A64)-1),"''",RIGHT($A64,LEN($A64)-FIND("'",$A64))),$A64),"'!B5"))&gt;=J$2,"i",""))</f>
        <v>d</v>
      </c>
      <c r="K64" s="1" t="str" cm="1">
        <f t="array" aca="1" ref="K64" ca="1">IF(INDIRECT(_xlfn.CONCAT("'",IF(ISNUMBER(FIND("'",$A64))=TRUE,_xlfn.CONCAT(LEFT($A64,FIND("'",$A64)-1),"''",RIGHT($A64,LEN($A64)-FIND("'",$A64))),$A64),"'!B4"))&gt;=K$2,"d",IF(INDIRECT(_xlfn.CONCAT("'",IF(ISNUMBER(FIND("'",$A64))=TRUE,_xlfn.CONCAT(LEFT($A64,FIND("'",$A64)-1),"''",RIGHT($A64,LEN($A64)-FIND("'",$A64))),$A64),"'!B5"))&gt;=K$2,"i",""))</f>
        <v>d</v>
      </c>
      <c r="L64" s="1" t="str" cm="1">
        <f t="array" aca="1" ref="L64" ca="1">IF(INDIRECT(_xlfn.CONCAT("'",IF(ISNUMBER(FIND("'",$A64))=TRUE,_xlfn.CONCAT(LEFT($A64,FIND("'",$A64)-1),"''",RIGHT($A64,LEN($A64)-FIND("'",$A64))),$A64),"'!B4"))&gt;=L$2,"d",IF(INDIRECT(_xlfn.CONCAT("'",IF(ISNUMBER(FIND("'",$A64))=TRUE,_xlfn.CONCAT(LEFT($A64,FIND("'",$A64)-1),"''",RIGHT($A64,LEN($A64)-FIND("'",$A64))),$A64),"'!B5"))&gt;=L$2,"i",""))</f>
        <v>d</v>
      </c>
      <c r="M64" s="4" t="str" cm="1">
        <f t="array" aca="1" ref="M64" ca="1">IF(INDIRECT(_xlfn.CONCAT("'",IF(ISNUMBER(FIND("'",$A64))=TRUE,_xlfn.CONCAT(LEFT($A64,FIND("'",$A64)-1),"''",RIGHT($A64,LEN($A64)-FIND("'",$A64))),$A64),"'!B4"))&gt;=M$2,"d",IF(INDIRECT(_xlfn.CONCAT("'",IF(ISNUMBER(FIND("'",$A64))=TRUE,_xlfn.CONCAT(LEFT($A64,FIND("'",$A64)-1),"''",RIGHT($A64,LEN($A64)-FIND("'",$A64))),$A64),"'!B5"))&gt;=M$2,"i",""))</f>
        <v>d</v>
      </c>
      <c r="N64" s="95"/>
      <c r="O64" s="14" t="str" cm="1">
        <f t="array" aca="1" ref="O64" ca="1">IF(INDIRECT(_xlfn.CONCAT("'",IF(ISNUMBER(FIND("'",$A64))=TRUE,_xlfn.CONCAT(LEFT($A64,FIND("'",$A64)-1),"''",RIGHT($A64,LEN($A64)-FIND("'",$A64))),$A64),"'!C10"))&gt;=O$2,"d",IF(INDIRECT(_xlfn.CONCAT("'",IF(ISNUMBER(FIND("'",$A64))=TRUE,_xlfn.CONCAT(LEFT($A64,FIND("'",$A64)-1),"''",RIGHT($A64,LEN($A64)-FIND("'",$A64))),$A64),"'!C11"))&gt;=O$2,"i",""))</f>
        <v>d</v>
      </c>
      <c r="P64" s="1" t="str" cm="1">
        <f t="array" aca="1" ref="P64" ca="1">IF(INDIRECT(_xlfn.CONCAT("'",IF(ISNUMBER(FIND("'",$A64))=TRUE,_xlfn.CONCAT(LEFT($A64,FIND("'",$A64)-1),"''",RIGHT($A64,LEN($A64)-FIND("'",$A64))),$A64),"'!C10"))&gt;=P$2,"d",IF(INDIRECT(_xlfn.CONCAT("'",IF(ISNUMBER(FIND("'",$A64))=TRUE,_xlfn.CONCAT(LEFT($A64,FIND("'",$A64)-1),"''",RIGHT($A64,LEN($A64)-FIND("'",$A64))),$A64),"'!C11"))&gt;=P$2,"i",""))</f>
        <v>d</v>
      </c>
      <c r="Q64" s="1" t="str" cm="1">
        <f t="array" aca="1" ref="Q64" ca="1">IF(INDIRECT(_xlfn.CONCAT("'",IF(ISNUMBER(FIND("'",$A64))=TRUE,_xlfn.CONCAT(LEFT($A64,FIND("'",$A64)-1),"''",RIGHT($A64,LEN($A64)-FIND("'",$A64))),$A64),"'!C10"))&gt;=Q$2,"d",IF(INDIRECT(_xlfn.CONCAT("'",IF(ISNUMBER(FIND("'",$A64))=TRUE,_xlfn.CONCAT(LEFT($A64,FIND("'",$A64)-1),"''",RIGHT($A64,LEN($A64)-FIND("'",$A64))),$A64),"'!C11"))&gt;=Q$2,"i",""))</f>
        <v>d</v>
      </c>
      <c r="R64" s="1" t="str" cm="1">
        <f t="array" aca="1" ref="R64" ca="1">IF(INDIRECT(_xlfn.CONCAT("'",IF(ISNUMBER(FIND("'",$A64))=TRUE,_xlfn.CONCAT(LEFT($A64,FIND("'",$A64)-1),"''",RIGHT($A64,LEN($A64)-FIND("'",$A64))),$A64),"'!C10"))&gt;=R$2,"d",IF(INDIRECT(_xlfn.CONCAT("'",IF(ISNUMBER(FIND("'",$A64))=TRUE,_xlfn.CONCAT(LEFT($A64,FIND("'",$A64)-1),"''",RIGHT($A64,LEN($A64)-FIND("'",$A64))),$A64),"'!C11"))&gt;=R$2,"i",""))</f>
        <v>d</v>
      </c>
      <c r="S64" s="1" t="str" cm="1">
        <f t="array" aca="1" ref="S64" ca="1">IF(INDIRECT(_xlfn.CONCAT("'",IF(ISNUMBER(FIND("'",$A64))=TRUE,_xlfn.CONCAT(LEFT($A64,FIND("'",$A64)-1),"''",RIGHT($A64,LEN($A64)-FIND("'",$A64))),$A64),"'!C10"))&gt;=S$2,"d",IF(INDIRECT(_xlfn.CONCAT("'",IF(ISNUMBER(FIND("'",$A64))=TRUE,_xlfn.CONCAT(LEFT($A64,FIND("'",$A64)-1),"''",RIGHT($A64,LEN($A64)-FIND("'",$A64))),$A64),"'!C11"))&gt;=S$2,"i",""))</f>
        <v>d</v>
      </c>
      <c r="T64" s="4" t="str" cm="1">
        <f t="array" aca="1" ref="T64" ca="1">IF(INDIRECT(_xlfn.CONCAT("'",IF(ISNUMBER(FIND("'",$A64))=TRUE,_xlfn.CONCAT(LEFT($A64,FIND("'",$A64)-1),"''",RIGHT($A64,LEN($A64)-FIND("'",$A64))),$A64),"'!C10"))&gt;=T$2,"d",IF(INDIRECT(_xlfn.CONCAT("'",IF(ISNUMBER(FIND("'",$A64))=TRUE,_xlfn.CONCAT(LEFT($A64,FIND("'",$A64)-1),"''",RIGHT($A64,LEN($A64)-FIND("'",$A64))),$A64),"'!C11"))&gt;=T$2,"i",""))</f>
        <v>d</v>
      </c>
    </row>
    <row r="65" spans="1:20" hidden="1" x14ac:dyDescent="0.25">
      <c r="A65" s="54" t="str">
        <v>The Flute</v>
      </c>
      <c r="B65" s="14" cm="1">
        <f t="array" ref="B65">_xlfn.XLOOKUP(A65,INDEX(Weapon_List,,1),INDEX(Weapon_List,,3),,0,1)</f>
        <v>4</v>
      </c>
      <c r="C65" s="4" t="str" cm="1">
        <f t="array" ref="C65">_xlfn.XLOOKUP(A65,INDEX(Weapon_List,,1),INDEX(Weapon_List,,2),,0,1)</f>
        <v>Sword</v>
      </c>
      <c r="D65" s="38" t="str" cm="1">
        <f t="array" ref="D65">_xlfn.XLOOKUP(A65,INDEX(Weapon_List,,1),INDEX(Weapon_List,,4),,0,1)</f>
        <v>Mondstadt 2</v>
      </c>
      <c r="E65" s="38" t="str" cm="1">
        <f t="array" ref="E65">_xlfn.XLOOKUP(A65,INDEX(Weapon_List,,1),INDEX(Weapon_List,,5),,0,1)</f>
        <v>Slime</v>
      </c>
      <c r="F65" s="38" t="str" cm="1">
        <f t="array" ref="F65">_xlfn.XLOOKUP(A65,INDEX(Weapon_List,,1),INDEX(Weapon_List,,6),,0,1)</f>
        <v>Abyss Mage</v>
      </c>
      <c r="G65" s="14" t="str" cm="1">
        <f t="array" aca="1" ref="G65" ca="1">IF(INDIRECT(_xlfn.CONCAT("'",IF(ISNUMBER(FIND("'",$A65))=TRUE,_xlfn.CONCAT(LEFT($A65,FIND("'",$A65)-1),"''",RIGHT($A65,LEN($A65)-FIND("'",$A65))),$A65),"'!B4"))&gt;=G$2,"d",IF(INDIRECT(_xlfn.CONCAT("'",IF(ISNUMBER(FIND("'",$A65))=TRUE,_xlfn.CONCAT(LEFT($A65,FIND("'",$A65)-1),"''",RIGHT($A65,LEN($A65)-FIND("'",$A65))),$A65),"'!B5"))&gt;=G$2,"i",""))</f>
        <v>d</v>
      </c>
      <c r="H65" s="1" t="str" cm="1">
        <f t="array" aca="1" ref="H65" ca="1">IF(INDIRECT(_xlfn.CONCAT("'",IF(ISNUMBER(FIND("'",$A65))=TRUE,_xlfn.CONCAT(LEFT($A65,FIND("'",$A65)-1),"''",RIGHT($A65,LEN($A65)-FIND("'",$A65))),$A65),"'!B4"))&gt;=H$2,"d",IF(INDIRECT(_xlfn.CONCAT("'",IF(ISNUMBER(FIND("'",$A65))=TRUE,_xlfn.CONCAT(LEFT($A65,FIND("'",$A65)-1),"''",RIGHT($A65,LEN($A65)-FIND("'",$A65))),$A65),"'!B5"))&gt;=H$2,"i",""))</f>
        <v>d</v>
      </c>
      <c r="I65" s="1" t="str" cm="1">
        <f t="array" aca="1" ref="I65" ca="1">IF(INDIRECT(_xlfn.CONCAT("'",IF(ISNUMBER(FIND("'",$A65))=TRUE,_xlfn.CONCAT(LEFT($A65,FIND("'",$A65)-1),"''",RIGHT($A65,LEN($A65)-FIND("'",$A65))),$A65),"'!B4"))&gt;=I$2,"d",IF(INDIRECT(_xlfn.CONCAT("'",IF(ISNUMBER(FIND("'",$A65))=TRUE,_xlfn.CONCAT(LEFT($A65,FIND("'",$A65)-1),"''",RIGHT($A65,LEN($A65)-FIND("'",$A65))),$A65),"'!B5"))&gt;=I$2,"i",""))</f>
        <v>d</v>
      </c>
      <c r="J65" s="1" t="str" cm="1">
        <f t="array" aca="1" ref="J65" ca="1">IF(INDIRECT(_xlfn.CONCAT("'",IF(ISNUMBER(FIND("'",$A65))=TRUE,_xlfn.CONCAT(LEFT($A65,FIND("'",$A65)-1),"''",RIGHT($A65,LEN($A65)-FIND("'",$A65))),$A65),"'!B4"))&gt;=J$2,"d",IF(INDIRECT(_xlfn.CONCAT("'",IF(ISNUMBER(FIND("'",$A65))=TRUE,_xlfn.CONCAT(LEFT($A65,FIND("'",$A65)-1),"''",RIGHT($A65,LEN($A65)-FIND("'",$A65))),$A65),"'!B5"))&gt;=J$2,"i",""))</f>
        <v>d</v>
      </c>
      <c r="K65" s="1" t="str" cm="1">
        <f t="array" aca="1" ref="K65" ca="1">IF(INDIRECT(_xlfn.CONCAT("'",IF(ISNUMBER(FIND("'",$A65))=TRUE,_xlfn.CONCAT(LEFT($A65,FIND("'",$A65)-1),"''",RIGHT($A65,LEN($A65)-FIND("'",$A65))),$A65),"'!B4"))&gt;=K$2,"d",IF(INDIRECT(_xlfn.CONCAT("'",IF(ISNUMBER(FIND("'",$A65))=TRUE,_xlfn.CONCAT(LEFT($A65,FIND("'",$A65)-1),"''",RIGHT($A65,LEN($A65)-FIND("'",$A65))),$A65),"'!B5"))&gt;=K$2,"i",""))</f>
        <v>d</v>
      </c>
      <c r="L65" s="1" t="str" cm="1">
        <f t="array" aca="1" ref="L65" ca="1">IF(INDIRECT(_xlfn.CONCAT("'",IF(ISNUMBER(FIND("'",$A65))=TRUE,_xlfn.CONCAT(LEFT($A65,FIND("'",$A65)-1),"''",RIGHT($A65,LEN($A65)-FIND("'",$A65))),$A65),"'!B4"))&gt;=L$2,"d",IF(INDIRECT(_xlfn.CONCAT("'",IF(ISNUMBER(FIND("'",$A65))=TRUE,_xlfn.CONCAT(LEFT($A65,FIND("'",$A65)-1),"''",RIGHT($A65,LEN($A65)-FIND("'",$A65))),$A65),"'!B5"))&gt;=L$2,"i",""))</f>
        <v>d</v>
      </c>
      <c r="M65" s="4" t="str" cm="1">
        <f t="array" aca="1" ref="M65" ca="1">IF(INDIRECT(_xlfn.CONCAT("'",IF(ISNUMBER(FIND("'",$A65))=TRUE,_xlfn.CONCAT(LEFT($A65,FIND("'",$A65)-1),"''",RIGHT($A65,LEN($A65)-FIND("'",$A65))),$A65),"'!B4"))&gt;=M$2,"d",IF(INDIRECT(_xlfn.CONCAT("'",IF(ISNUMBER(FIND("'",$A65))=TRUE,_xlfn.CONCAT(LEFT($A65,FIND("'",$A65)-1),"''",RIGHT($A65,LEN($A65)-FIND("'",$A65))),$A65),"'!B5"))&gt;=M$2,"i",""))</f>
        <v>d</v>
      </c>
      <c r="N65" s="95"/>
      <c r="O65" s="14" t="str" cm="1">
        <f t="array" aca="1" ref="O65" ca="1">IF(INDIRECT(_xlfn.CONCAT("'",IF(ISNUMBER(FIND("'",$A65))=TRUE,_xlfn.CONCAT(LEFT($A65,FIND("'",$A65)-1),"''",RIGHT($A65,LEN($A65)-FIND("'",$A65))),$A65),"'!C10"))&gt;=O$2,"d",IF(INDIRECT(_xlfn.CONCAT("'",IF(ISNUMBER(FIND("'",$A65))=TRUE,_xlfn.CONCAT(LEFT($A65,FIND("'",$A65)-1),"''",RIGHT($A65,LEN($A65)-FIND("'",$A65))),$A65),"'!C11"))&gt;=O$2,"i",""))</f>
        <v>d</v>
      </c>
      <c r="P65" s="1" t="str" cm="1">
        <f t="array" aca="1" ref="P65" ca="1">IF(INDIRECT(_xlfn.CONCAT("'",IF(ISNUMBER(FIND("'",$A65))=TRUE,_xlfn.CONCAT(LEFT($A65,FIND("'",$A65)-1),"''",RIGHT($A65,LEN($A65)-FIND("'",$A65))),$A65),"'!C10"))&gt;=P$2,"d",IF(INDIRECT(_xlfn.CONCAT("'",IF(ISNUMBER(FIND("'",$A65))=TRUE,_xlfn.CONCAT(LEFT($A65,FIND("'",$A65)-1),"''",RIGHT($A65,LEN($A65)-FIND("'",$A65))),$A65),"'!C11"))&gt;=P$2,"i",""))</f>
        <v>d</v>
      </c>
      <c r="Q65" s="1" t="str" cm="1">
        <f t="array" aca="1" ref="Q65" ca="1">IF(INDIRECT(_xlfn.CONCAT("'",IF(ISNUMBER(FIND("'",$A65))=TRUE,_xlfn.CONCAT(LEFT($A65,FIND("'",$A65)-1),"''",RIGHT($A65,LEN($A65)-FIND("'",$A65))),$A65),"'!C10"))&gt;=Q$2,"d",IF(INDIRECT(_xlfn.CONCAT("'",IF(ISNUMBER(FIND("'",$A65))=TRUE,_xlfn.CONCAT(LEFT($A65,FIND("'",$A65)-1),"''",RIGHT($A65,LEN($A65)-FIND("'",$A65))),$A65),"'!C11"))&gt;=Q$2,"i",""))</f>
        <v>d</v>
      </c>
      <c r="R65" s="1" t="str" cm="1">
        <f t="array" aca="1" ref="R65" ca="1">IF(INDIRECT(_xlfn.CONCAT("'",IF(ISNUMBER(FIND("'",$A65))=TRUE,_xlfn.CONCAT(LEFT($A65,FIND("'",$A65)-1),"''",RIGHT($A65,LEN($A65)-FIND("'",$A65))),$A65),"'!C10"))&gt;=R$2,"d",IF(INDIRECT(_xlfn.CONCAT("'",IF(ISNUMBER(FIND("'",$A65))=TRUE,_xlfn.CONCAT(LEFT($A65,FIND("'",$A65)-1),"''",RIGHT($A65,LEN($A65)-FIND("'",$A65))),$A65),"'!C11"))&gt;=R$2,"i",""))</f>
        <v>d</v>
      </c>
      <c r="S65" s="1" t="str" cm="1">
        <f t="array" aca="1" ref="S65" ca="1">IF(INDIRECT(_xlfn.CONCAT("'",IF(ISNUMBER(FIND("'",$A65))=TRUE,_xlfn.CONCAT(LEFT($A65,FIND("'",$A65)-1),"''",RIGHT($A65,LEN($A65)-FIND("'",$A65))),$A65),"'!C10"))&gt;=S$2,"d",IF(INDIRECT(_xlfn.CONCAT("'",IF(ISNUMBER(FIND("'",$A65))=TRUE,_xlfn.CONCAT(LEFT($A65,FIND("'",$A65)-1),"''",RIGHT($A65,LEN($A65)-FIND("'",$A65))),$A65),"'!C11"))&gt;=S$2,"i",""))</f>
        <v>d</v>
      </c>
      <c r="T65" s="4" t="str" cm="1">
        <f t="array" aca="1" ref="T65" ca="1">IF(INDIRECT(_xlfn.CONCAT("'",IF(ISNUMBER(FIND("'",$A65))=TRUE,_xlfn.CONCAT(LEFT($A65,FIND("'",$A65)-1),"''",RIGHT($A65,LEN($A65)-FIND("'",$A65))),$A65),"'!C10"))&gt;=T$2,"d",IF(INDIRECT(_xlfn.CONCAT("'",IF(ISNUMBER(FIND("'",$A65))=TRUE,_xlfn.CONCAT(LEFT($A65,FIND("'",$A65)-1),"''",RIGHT($A65,LEN($A65)-FIND("'",$A65))),$A65),"'!C11"))&gt;=T$2,"i",""))</f>
        <v>d</v>
      </c>
    </row>
    <row r="66" spans="1:20" hidden="1" x14ac:dyDescent="0.25">
      <c r="A66" s="54" t="str">
        <v>Favonius Greatsword</v>
      </c>
      <c r="B66" s="14" cm="1">
        <f t="array" ref="B66">_xlfn.XLOOKUP(A66,INDEX(Weapon_List,,1),INDEX(Weapon_List,,3),,0,1)</f>
        <v>4</v>
      </c>
      <c r="C66" s="4" t="str" cm="1">
        <f t="array" ref="C66">_xlfn.XLOOKUP(A66,INDEX(Weapon_List,,1),INDEX(Weapon_List,,2),,0,1)</f>
        <v>Claymore</v>
      </c>
      <c r="D66" s="38" t="str" cm="1">
        <f t="array" ref="D66">_xlfn.XLOOKUP(A66,INDEX(Weapon_List,,1),INDEX(Weapon_List,,4),,0,1)</f>
        <v>Mondstadt 3</v>
      </c>
      <c r="E66" s="38" t="str" cm="1">
        <f t="array" ref="E66">_xlfn.XLOOKUP(A66,INDEX(Weapon_List,,1),INDEX(Weapon_List,,5),,0,1)</f>
        <v>Fatui</v>
      </c>
      <c r="F66" s="38" t="str" cm="1">
        <f t="array" ref="F66">_xlfn.XLOOKUP(A66,INDEX(Weapon_List,,1),INDEX(Weapon_List,,6),,0,1)</f>
        <v>Ruin Machine 1</v>
      </c>
      <c r="G66" s="14" t="str" cm="1">
        <f t="array" aca="1" ref="G66" ca="1">IF(INDIRECT(_xlfn.CONCAT("'",IF(ISNUMBER(FIND("'",$A66))=TRUE,_xlfn.CONCAT(LEFT($A66,FIND("'",$A66)-1),"''",RIGHT($A66,LEN($A66)-FIND("'",$A66))),$A66),"'!B4"))&gt;=G$2,"d",IF(INDIRECT(_xlfn.CONCAT("'",IF(ISNUMBER(FIND("'",$A66))=TRUE,_xlfn.CONCAT(LEFT($A66,FIND("'",$A66)-1),"''",RIGHT($A66,LEN($A66)-FIND("'",$A66))),$A66),"'!B5"))&gt;=G$2,"i",""))</f>
        <v>d</v>
      </c>
      <c r="H66" s="1" t="str" cm="1">
        <f t="array" aca="1" ref="H66" ca="1">IF(INDIRECT(_xlfn.CONCAT("'",IF(ISNUMBER(FIND("'",$A66))=TRUE,_xlfn.CONCAT(LEFT($A66,FIND("'",$A66)-1),"''",RIGHT($A66,LEN($A66)-FIND("'",$A66))),$A66),"'!B4"))&gt;=H$2,"d",IF(INDIRECT(_xlfn.CONCAT("'",IF(ISNUMBER(FIND("'",$A66))=TRUE,_xlfn.CONCAT(LEFT($A66,FIND("'",$A66)-1),"''",RIGHT($A66,LEN($A66)-FIND("'",$A66))),$A66),"'!B5"))&gt;=H$2,"i",""))</f>
        <v>d</v>
      </c>
      <c r="I66" s="1" t="str" cm="1">
        <f t="array" aca="1" ref="I66" ca="1">IF(INDIRECT(_xlfn.CONCAT("'",IF(ISNUMBER(FIND("'",$A66))=TRUE,_xlfn.CONCAT(LEFT($A66,FIND("'",$A66)-1),"''",RIGHT($A66,LEN($A66)-FIND("'",$A66))),$A66),"'!B4"))&gt;=I$2,"d",IF(INDIRECT(_xlfn.CONCAT("'",IF(ISNUMBER(FIND("'",$A66))=TRUE,_xlfn.CONCAT(LEFT($A66,FIND("'",$A66)-1),"''",RIGHT($A66,LEN($A66)-FIND("'",$A66))),$A66),"'!B5"))&gt;=I$2,"i",""))</f>
        <v>d</v>
      </c>
      <c r="J66" s="1" t="str" cm="1">
        <f t="array" aca="1" ref="J66" ca="1">IF(INDIRECT(_xlfn.CONCAT("'",IF(ISNUMBER(FIND("'",$A66))=TRUE,_xlfn.CONCAT(LEFT($A66,FIND("'",$A66)-1),"''",RIGHT($A66,LEN($A66)-FIND("'",$A66))),$A66),"'!B4"))&gt;=J$2,"d",IF(INDIRECT(_xlfn.CONCAT("'",IF(ISNUMBER(FIND("'",$A66))=TRUE,_xlfn.CONCAT(LEFT($A66,FIND("'",$A66)-1),"''",RIGHT($A66,LEN($A66)-FIND("'",$A66))),$A66),"'!B5"))&gt;=J$2,"i",""))</f>
        <v>d</v>
      </c>
      <c r="K66" s="1" t="str" cm="1">
        <f t="array" aca="1" ref="K66" ca="1">IF(INDIRECT(_xlfn.CONCAT("'",IF(ISNUMBER(FIND("'",$A66))=TRUE,_xlfn.CONCAT(LEFT($A66,FIND("'",$A66)-1),"''",RIGHT($A66,LEN($A66)-FIND("'",$A66))),$A66),"'!B4"))&gt;=K$2,"d",IF(INDIRECT(_xlfn.CONCAT("'",IF(ISNUMBER(FIND("'",$A66))=TRUE,_xlfn.CONCAT(LEFT($A66,FIND("'",$A66)-1),"''",RIGHT($A66,LEN($A66)-FIND("'",$A66))),$A66),"'!B5"))&gt;=K$2,"i",""))</f>
        <v>d</v>
      </c>
      <c r="L66" s="1" t="str" cm="1">
        <f t="array" aca="1" ref="L66" ca="1">IF(INDIRECT(_xlfn.CONCAT("'",IF(ISNUMBER(FIND("'",$A66))=TRUE,_xlfn.CONCAT(LEFT($A66,FIND("'",$A66)-1),"''",RIGHT($A66,LEN($A66)-FIND("'",$A66))),$A66),"'!B4"))&gt;=L$2,"d",IF(INDIRECT(_xlfn.CONCAT("'",IF(ISNUMBER(FIND("'",$A66))=TRUE,_xlfn.CONCAT(LEFT($A66,FIND("'",$A66)-1),"''",RIGHT($A66,LEN($A66)-FIND("'",$A66))),$A66),"'!B5"))&gt;=L$2,"i",""))</f>
        <v>d</v>
      </c>
      <c r="M66" s="4" t="str" cm="1">
        <f t="array" aca="1" ref="M66" ca="1">IF(INDIRECT(_xlfn.CONCAT("'",IF(ISNUMBER(FIND("'",$A66))=TRUE,_xlfn.CONCAT(LEFT($A66,FIND("'",$A66)-1),"''",RIGHT($A66,LEN($A66)-FIND("'",$A66))),$A66),"'!B4"))&gt;=M$2,"d",IF(INDIRECT(_xlfn.CONCAT("'",IF(ISNUMBER(FIND("'",$A66))=TRUE,_xlfn.CONCAT(LEFT($A66,FIND("'",$A66)-1),"''",RIGHT($A66,LEN($A66)-FIND("'",$A66))),$A66),"'!B5"))&gt;=M$2,"i",""))</f>
        <v>d</v>
      </c>
      <c r="N66" s="95"/>
      <c r="O66" s="14" t="str" cm="1">
        <f t="array" aca="1" ref="O66" ca="1">IF(INDIRECT(_xlfn.CONCAT("'",IF(ISNUMBER(FIND("'",$A66))=TRUE,_xlfn.CONCAT(LEFT($A66,FIND("'",$A66)-1),"''",RIGHT($A66,LEN($A66)-FIND("'",$A66))),$A66),"'!C10"))&gt;=O$2,"d",IF(INDIRECT(_xlfn.CONCAT("'",IF(ISNUMBER(FIND("'",$A66))=TRUE,_xlfn.CONCAT(LEFT($A66,FIND("'",$A66)-1),"''",RIGHT($A66,LEN($A66)-FIND("'",$A66))),$A66),"'!C11"))&gt;=O$2,"i",""))</f>
        <v>d</v>
      </c>
      <c r="P66" s="1" t="str" cm="1">
        <f t="array" aca="1" ref="P66" ca="1">IF(INDIRECT(_xlfn.CONCAT("'",IF(ISNUMBER(FIND("'",$A66))=TRUE,_xlfn.CONCAT(LEFT($A66,FIND("'",$A66)-1),"''",RIGHT($A66,LEN($A66)-FIND("'",$A66))),$A66),"'!C10"))&gt;=P$2,"d",IF(INDIRECT(_xlfn.CONCAT("'",IF(ISNUMBER(FIND("'",$A66))=TRUE,_xlfn.CONCAT(LEFT($A66,FIND("'",$A66)-1),"''",RIGHT($A66,LEN($A66)-FIND("'",$A66))),$A66),"'!C11"))&gt;=P$2,"i",""))</f>
        <v>d</v>
      </c>
      <c r="Q66" s="1" t="str" cm="1">
        <f t="array" aca="1" ref="Q66" ca="1">IF(INDIRECT(_xlfn.CONCAT("'",IF(ISNUMBER(FIND("'",$A66))=TRUE,_xlfn.CONCAT(LEFT($A66,FIND("'",$A66)-1),"''",RIGHT($A66,LEN($A66)-FIND("'",$A66))),$A66),"'!C10"))&gt;=Q$2,"d",IF(INDIRECT(_xlfn.CONCAT("'",IF(ISNUMBER(FIND("'",$A66))=TRUE,_xlfn.CONCAT(LEFT($A66,FIND("'",$A66)-1),"''",RIGHT($A66,LEN($A66)-FIND("'",$A66))),$A66),"'!C11"))&gt;=Q$2,"i",""))</f>
        <v>d</v>
      </c>
      <c r="R66" s="1" t="str" cm="1">
        <f t="array" aca="1" ref="R66" ca="1">IF(INDIRECT(_xlfn.CONCAT("'",IF(ISNUMBER(FIND("'",$A66))=TRUE,_xlfn.CONCAT(LEFT($A66,FIND("'",$A66)-1),"''",RIGHT($A66,LEN($A66)-FIND("'",$A66))),$A66),"'!C10"))&gt;=R$2,"d",IF(INDIRECT(_xlfn.CONCAT("'",IF(ISNUMBER(FIND("'",$A66))=TRUE,_xlfn.CONCAT(LEFT($A66,FIND("'",$A66)-1),"''",RIGHT($A66,LEN($A66)-FIND("'",$A66))),$A66),"'!C11"))&gt;=R$2,"i",""))</f>
        <v>d</v>
      </c>
      <c r="S66" s="1" t="str" cm="1">
        <f t="array" aca="1" ref="S66" ca="1">IF(INDIRECT(_xlfn.CONCAT("'",IF(ISNUMBER(FIND("'",$A66))=TRUE,_xlfn.CONCAT(LEFT($A66,FIND("'",$A66)-1),"''",RIGHT($A66,LEN($A66)-FIND("'",$A66))),$A66),"'!C10"))&gt;=S$2,"d",IF(INDIRECT(_xlfn.CONCAT("'",IF(ISNUMBER(FIND("'",$A66))=TRUE,_xlfn.CONCAT(LEFT($A66,FIND("'",$A66)-1),"''",RIGHT($A66,LEN($A66)-FIND("'",$A66))),$A66),"'!C11"))&gt;=S$2,"i",""))</f>
        <v>d</v>
      </c>
      <c r="T66" s="4" t="str" cm="1">
        <f t="array" aca="1" ref="T66" ca="1">IF(INDIRECT(_xlfn.CONCAT("'",IF(ISNUMBER(FIND("'",$A66))=TRUE,_xlfn.CONCAT(LEFT($A66,FIND("'",$A66)-1),"''",RIGHT($A66,LEN($A66)-FIND("'",$A66))),$A66),"'!C10"))&gt;=T$2,"d",IF(INDIRECT(_xlfn.CONCAT("'",IF(ISNUMBER(FIND("'",$A66))=TRUE,_xlfn.CONCAT(LEFT($A66,FIND("'",$A66)-1),"''",RIGHT($A66,LEN($A66)-FIND("'",$A66))),$A66),"'!C11"))&gt;=T$2,"i",""))</f>
        <v>d</v>
      </c>
    </row>
    <row r="67" spans="1:20" hidden="1" x14ac:dyDescent="0.25">
      <c r="A67" s="54" t="str">
        <v>Rainslasher</v>
      </c>
      <c r="B67" s="14" cm="1">
        <f t="array" ref="B67">_xlfn.XLOOKUP(A67,INDEX(Weapon_List,,1),INDEX(Weapon_List,,3),,0,1)</f>
        <v>4</v>
      </c>
      <c r="C67" s="4" t="str" cm="1">
        <f t="array" ref="C67">_xlfn.XLOOKUP(A67,INDEX(Weapon_List,,1),INDEX(Weapon_List,,2),,0,1)</f>
        <v>Claymore</v>
      </c>
      <c r="D67" s="38" t="str" cm="1">
        <f t="array" ref="D67">_xlfn.XLOOKUP(A67,INDEX(Weapon_List,,1),INDEX(Weapon_List,,4),,0,1)</f>
        <v>Liyue 2</v>
      </c>
      <c r="E67" s="38" t="str" cm="1">
        <f t="array" ref="E67">_xlfn.XLOOKUP(A67,INDEX(Weapon_List,,1),INDEX(Weapon_List,,5),,0,1)</f>
        <v>Samachurl</v>
      </c>
      <c r="F67" s="38" t="str" cm="1">
        <f t="array" ref="F67">_xlfn.XLOOKUP(A67,INDEX(Weapon_List,,1),INDEX(Weapon_List,,6),,0,1)</f>
        <v>Fatui Cicin Mage</v>
      </c>
      <c r="G67" s="14" t="str" cm="1">
        <f t="array" aca="1" ref="G67" ca="1">IF(INDIRECT(_xlfn.CONCAT("'",IF(ISNUMBER(FIND("'",$A67))=TRUE,_xlfn.CONCAT(LEFT($A67,FIND("'",$A67)-1),"''",RIGHT($A67,LEN($A67)-FIND("'",$A67))),$A67),"'!B4"))&gt;=G$2,"d",IF(INDIRECT(_xlfn.CONCAT("'",IF(ISNUMBER(FIND("'",$A67))=TRUE,_xlfn.CONCAT(LEFT($A67,FIND("'",$A67)-1),"''",RIGHT($A67,LEN($A67)-FIND("'",$A67))),$A67),"'!B5"))&gt;=G$2,"i",""))</f>
        <v>d</v>
      </c>
      <c r="H67" s="1" t="str" cm="1">
        <f t="array" aca="1" ref="H67" ca="1">IF(INDIRECT(_xlfn.CONCAT("'",IF(ISNUMBER(FIND("'",$A67))=TRUE,_xlfn.CONCAT(LEFT($A67,FIND("'",$A67)-1),"''",RIGHT($A67,LEN($A67)-FIND("'",$A67))),$A67),"'!B4"))&gt;=H$2,"d",IF(INDIRECT(_xlfn.CONCAT("'",IF(ISNUMBER(FIND("'",$A67))=TRUE,_xlfn.CONCAT(LEFT($A67,FIND("'",$A67)-1),"''",RIGHT($A67,LEN($A67)-FIND("'",$A67))),$A67),"'!B5"))&gt;=H$2,"i",""))</f>
        <v>d</v>
      </c>
      <c r="I67" s="1" t="str" cm="1">
        <f t="array" aca="1" ref="I67" ca="1">IF(INDIRECT(_xlfn.CONCAT("'",IF(ISNUMBER(FIND("'",$A67))=TRUE,_xlfn.CONCAT(LEFT($A67,FIND("'",$A67)-1),"''",RIGHT($A67,LEN($A67)-FIND("'",$A67))),$A67),"'!B4"))&gt;=I$2,"d",IF(INDIRECT(_xlfn.CONCAT("'",IF(ISNUMBER(FIND("'",$A67))=TRUE,_xlfn.CONCAT(LEFT($A67,FIND("'",$A67)-1),"''",RIGHT($A67,LEN($A67)-FIND("'",$A67))),$A67),"'!B5"))&gt;=I$2,"i",""))</f>
        <v>d</v>
      </c>
      <c r="J67" s="1" t="str" cm="1">
        <f t="array" aca="1" ref="J67" ca="1">IF(INDIRECT(_xlfn.CONCAT("'",IF(ISNUMBER(FIND("'",$A67))=TRUE,_xlfn.CONCAT(LEFT($A67,FIND("'",$A67)-1),"''",RIGHT($A67,LEN($A67)-FIND("'",$A67))),$A67),"'!B4"))&gt;=J$2,"d",IF(INDIRECT(_xlfn.CONCAT("'",IF(ISNUMBER(FIND("'",$A67))=TRUE,_xlfn.CONCAT(LEFT($A67,FIND("'",$A67)-1),"''",RIGHT($A67,LEN($A67)-FIND("'",$A67))),$A67),"'!B5"))&gt;=J$2,"i",""))</f>
        <v>d</v>
      </c>
      <c r="K67" s="1" t="str" cm="1">
        <f t="array" aca="1" ref="K67" ca="1">IF(INDIRECT(_xlfn.CONCAT("'",IF(ISNUMBER(FIND("'",$A67))=TRUE,_xlfn.CONCAT(LEFT($A67,FIND("'",$A67)-1),"''",RIGHT($A67,LEN($A67)-FIND("'",$A67))),$A67),"'!B4"))&gt;=K$2,"d",IF(INDIRECT(_xlfn.CONCAT("'",IF(ISNUMBER(FIND("'",$A67))=TRUE,_xlfn.CONCAT(LEFT($A67,FIND("'",$A67)-1),"''",RIGHT($A67,LEN($A67)-FIND("'",$A67))),$A67),"'!B5"))&gt;=K$2,"i",""))</f>
        <v>d</v>
      </c>
      <c r="L67" s="1" t="str" cm="1">
        <f t="array" aca="1" ref="L67" ca="1">IF(INDIRECT(_xlfn.CONCAT("'",IF(ISNUMBER(FIND("'",$A67))=TRUE,_xlfn.CONCAT(LEFT($A67,FIND("'",$A67)-1),"''",RIGHT($A67,LEN($A67)-FIND("'",$A67))),$A67),"'!B4"))&gt;=L$2,"d",IF(INDIRECT(_xlfn.CONCAT("'",IF(ISNUMBER(FIND("'",$A67))=TRUE,_xlfn.CONCAT(LEFT($A67,FIND("'",$A67)-1),"''",RIGHT($A67,LEN($A67)-FIND("'",$A67))),$A67),"'!B5"))&gt;=L$2,"i",""))</f>
        <v>d</v>
      </c>
      <c r="M67" s="4" t="str" cm="1">
        <f t="array" aca="1" ref="M67" ca="1">IF(INDIRECT(_xlfn.CONCAT("'",IF(ISNUMBER(FIND("'",$A67))=TRUE,_xlfn.CONCAT(LEFT($A67,FIND("'",$A67)-1),"''",RIGHT($A67,LEN($A67)-FIND("'",$A67))),$A67),"'!B4"))&gt;=M$2,"d",IF(INDIRECT(_xlfn.CONCAT("'",IF(ISNUMBER(FIND("'",$A67))=TRUE,_xlfn.CONCAT(LEFT($A67,FIND("'",$A67)-1),"''",RIGHT($A67,LEN($A67)-FIND("'",$A67))),$A67),"'!B5"))&gt;=M$2,"i",""))</f>
        <v>d</v>
      </c>
      <c r="N67" s="95"/>
      <c r="O67" s="14" t="str" cm="1">
        <f t="array" aca="1" ref="O67" ca="1">IF(INDIRECT(_xlfn.CONCAT("'",IF(ISNUMBER(FIND("'",$A67))=TRUE,_xlfn.CONCAT(LEFT($A67,FIND("'",$A67)-1),"''",RIGHT($A67,LEN($A67)-FIND("'",$A67))),$A67),"'!C10"))&gt;=O$2,"d",IF(INDIRECT(_xlfn.CONCAT("'",IF(ISNUMBER(FIND("'",$A67))=TRUE,_xlfn.CONCAT(LEFT($A67,FIND("'",$A67)-1),"''",RIGHT($A67,LEN($A67)-FIND("'",$A67))),$A67),"'!C11"))&gt;=O$2,"i",""))</f>
        <v>d</v>
      </c>
      <c r="P67" s="1" t="str" cm="1">
        <f t="array" aca="1" ref="P67" ca="1">IF(INDIRECT(_xlfn.CONCAT("'",IF(ISNUMBER(FIND("'",$A67))=TRUE,_xlfn.CONCAT(LEFT($A67,FIND("'",$A67)-1),"''",RIGHT($A67,LEN($A67)-FIND("'",$A67))),$A67),"'!C10"))&gt;=P$2,"d",IF(INDIRECT(_xlfn.CONCAT("'",IF(ISNUMBER(FIND("'",$A67))=TRUE,_xlfn.CONCAT(LEFT($A67,FIND("'",$A67)-1),"''",RIGHT($A67,LEN($A67)-FIND("'",$A67))),$A67),"'!C11"))&gt;=P$2,"i",""))</f>
        <v>d</v>
      </c>
      <c r="Q67" s="1" t="str" cm="1">
        <f t="array" aca="1" ref="Q67" ca="1">IF(INDIRECT(_xlfn.CONCAT("'",IF(ISNUMBER(FIND("'",$A67))=TRUE,_xlfn.CONCAT(LEFT($A67,FIND("'",$A67)-1),"''",RIGHT($A67,LEN($A67)-FIND("'",$A67))),$A67),"'!C10"))&gt;=Q$2,"d",IF(INDIRECT(_xlfn.CONCAT("'",IF(ISNUMBER(FIND("'",$A67))=TRUE,_xlfn.CONCAT(LEFT($A67,FIND("'",$A67)-1),"''",RIGHT($A67,LEN($A67)-FIND("'",$A67))),$A67),"'!C11"))&gt;=Q$2,"i",""))</f>
        <v>d</v>
      </c>
      <c r="R67" s="1" t="str" cm="1">
        <f t="array" aca="1" ref="R67" ca="1">IF(INDIRECT(_xlfn.CONCAT("'",IF(ISNUMBER(FIND("'",$A67))=TRUE,_xlfn.CONCAT(LEFT($A67,FIND("'",$A67)-1),"''",RIGHT($A67,LEN($A67)-FIND("'",$A67))),$A67),"'!C10"))&gt;=R$2,"d",IF(INDIRECT(_xlfn.CONCAT("'",IF(ISNUMBER(FIND("'",$A67))=TRUE,_xlfn.CONCAT(LEFT($A67,FIND("'",$A67)-1),"''",RIGHT($A67,LEN($A67)-FIND("'",$A67))),$A67),"'!C11"))&gt;=R$2,"i",""))</f>
        <v>d</v>
      </c>
      <c r="S67" s="1" t="str" cm="1">
        <f t="array" aca="1" ref="S67" ca="1">IF(INDIRECT(_xlfn.CONCAT("'",IF(ISNUMBER(FIND("'",$A67))=TRUE,_xlfn.CONCAT(LEFT($A67,FIND("'",$A67)-1),"''",RIGHT($A67,LEN($A67)-FIND("'",$A67))),$A67),"'!C10"))&gt;=S$2,"d",IF(INDIRECT(_xlfn.CONCAT("'",IF(ISNUMBER(FIND("'",$A67))=TRUE,_xlfn.CONCAT(LEFT($A67,FIND("'",$A67)-1),"''",RIGHT($A67,LEN($A67)-FIND("'",$A67))),$A67),"'!C11"))&gt;=S$2,"i",""))</f>
        <v>d</v>
      </c>
      <c r="T67" s="4" t="str" cm="1">
        <f t="array" aca="1" ref="T67" ca="1">IF(INDIRECT(_xlfn.CONCAT("'",IF(ISNUMBER(FIND("'",$A67))=TRUE,_xlfn.CONCAT(LEFT($A67,FIND("'",$A67)-1),"''",RIGHT($A67,LEN($A67)-FIND("'",$A67))),$A67),"'!C10"))&gt;=T$2,"d",IF(INDIRECT(_xlfn.CONCAT("'",IF(ISNUMBER(FIND("'",$A67))=TRUE,_xlfn.CONCAT(LEFT($A67,FIND("'",$A67)-1),"''",RIGHT($A67,LEN($A67)-FIND("'",$A67))),$A67),"'!C11"))&gt;=T$2,"i",""))</f>
        <v>d</v>
      </c>
    </row>
    <row r="68" spans="1:20" hidden="1" x14ac:dyDescent="0.25">
      <c r="A68" s="54" t="str">
        <v>Sacrificial Greatsword</v>
      </c>
      <c r="B68" s="14" cm="1">
        <f t="array" ref="B68">_xlfn.XLOOKUP(A68,INDEX(Weapon_List,,1),INDEX(Weapon_List,,3),,0,1)</f>
        <v>4</v>
      </c>
      <c r="C68" s="4" t="str" cm="1">
        <f t="array" ref="C68">_xlfn.XLOOKUP(A68,INDEX(Weapon_List,,1),INDEX(Weapon_List,,2),,0,1)</f>
        <v>Claymore</v>
      </c>
      <c r="D68" s="38" t="str" cm="1">
        <f t="array" ref="D68">_xlfn.XLOOKUP(A68,INDEX(Weapon_List,,1),INDEX(Weapon_List,,4),,0,1)</f>
        <v>Mondstadt 2</v>
      </c>
      <c r="E68" s="38" t="str" cm="1">
        <f t="array" ref="E68">_xlfn.XLOOKUP(A68,INDEX(Weapon_List,,1),INDEX(Weapon_List,,5),,0,1)</f>
        <v>Hilichurl Shooter</v>
      </c>
      <c r="F68" s="38" t="str" cm="1">
        <f t="array" ref="F68">_xlfn.XLOOKUP(A68,INDEX(Weapon_List,,1),INDEX(Weapon_List,,6),,0,1)</f>
        <v>Abyss Mage</v>
      </c>
      <c r="G68" s="14" t="str" cm="1">
        <f t="array" aca="1" ref="G68" ca="1">IF(INDIRECT(_xlfn.CONCAT("'",IF(ISNUMBER(FIND("'",$A68))=TRUE,_xlfn.CONCAT(LEFT($A68,FIND("'",$A68)-1),"''",RIGHT($A68,LEN($A68)-FIND("'",$A68))),$A68),"'!B4"))&gt;=G$2,"d",IF(INDIRECT(_xlfn.CONCAT("'",IF(ISNUMBER(FIND("'",$A68))=TRUE,_xlfn.CONCAT(LEFT($A68,FIND("'",$A68)-1),"''",RIGHT($A68,LEN($A68)-FIND("'",$A68))),$A68),"'!B5"))&gt;=G$2,"i",""))</f>
        <v>d</v>
      </c>
      <c r="H68" s="1" t="str" cm="1">
        <f t="array" aca="1" ref="H68" ca="1">IF(INDIRECT(_xlfn.CONCAT("'",IF(ISNUMBER(FIND("'",$A68))=TRUE,_xlfn.CONCAT(LEFT($A68,FIND("'",$A68)-1),"''",RIGHT($A68,LEN($A68)-FIND("'",$A68))),$A68),"'!B4"))&gt;=H$2,"d",IF(INDIRECT(_xlfn.CONCAT("'",IF(ISNUMBER(FIND("'",$A68))=TRUE,_xlfn.CONCAT(LEFT($A68,FIND("'",$A68)-1),"''",RIGHT($A68,LEN($A68)-FIND("'",$A68))),$A68),"'!B5"))&gt;=H$2,"i",""))</f>
        <v>d</v>
      </c>
      <c r="I68" s="1" t="str" cm="1">
        <f t="array" aca="1" ref="I68" ca="1">IF(INDIRECT(_xlfn.CONCAT("'",IF(ISNUMBER(FIND("'",$A68))=TRUE,_xlfn.CONCAT(LEFT($A68,FIND("'",$A68)-1),"''",RIGHT($A68,LEN($A68)-FIND("'",$A68))),$A68),"'!B4"))&gt;=I$2,"d",IF(INDIRECT(_xlfn.CONCAT("'",IF(ISNUMBER(FIND("'",$A68))=TRUE,_xlfn.CONCAT(LEFT($A68,FIND("'",$A68)-1),"''",RIGHT($A68,LEN($A68)-FIND("'",$A68))),$A68),"'!B5"))&gt;=I$2,"i",""))</f>
        <v>d</v>
      </c>
      <c r="J68" s="1" t="str" cm="1">
        <f t="array" aca="1" ref="J68" ca="1">IF(INDIRECT(_xlfn.CONCAT("'",IF(ISNUMBER(FIND("'",$A68))=TRUE,_xlfn.CONCAT(LEFT($A68,FIND("'",$A68)-1),"''",RIGHT($A68,LEN($A68)-FIND("'",$A68))),$A68),"'!B4"))&gt;=J$2,"d",IF(INDIRECT(_xlfn.CONCAT("'",IF(ISNUMBER(FIND("'",$A68))=TRUE,_xlfn.CONCAT(LEFT($A68,FIND("'",$A68)-1),"''",RIGHT($A68,LEN($A68)-FIND("'",$A68))),$A68),"'!B5"))&gt;=J$2,"i",""))</f>
        <v>d</v>
      </c>
      <c r="K68" s="1" t="str" cm="1">
        <f t="array" aca="1" ref="K68" ca="1">IF(INDIRECT(_xlfn.CONCAT("'",IF(ISNUMBER(FIND("'",$A68))=TRUE,_xlfn.CONCAT(LEFT($A68,FIND("'",$A68)-1),"''",RIGHT($A68,LEN($A68)-FIND("'",$A68))),$A68),"'!B4"))&gt;=K$2,"d",IF(INDIRECT(_xlfn.CONCAT("'",IF(ISNUMBER(FIND("'",$A68))=TRUE,_xlfn.CONCAT(LEFT($A68,FIND("'",$A68)-1),"''",RIGHT($A68,LEN($A68)-FIND("'",$A68))),$A68),"'!B5"))&gt;=K$2,"i",""))</f>
        <v>d</v>
      </c>
      <c r="L68" s="1" t="str" cm="1">
        <f t="array" aca="1" ref="L68" ca="1">IF(INDIRECT(_xlfn.CONCAT("'",IF(ISNUMBER(FIND("'",$A68))=TRUE,_xlfn.CONCAT(LEFT($A68,FIND("'",$A68)-1),"''",RIGHT($A68,LEN($A68)-FIND("'",$A68))),$A68),"'!B4"))&gt;=L$2,"d",IF(INDIRECT(_xlfn.CONCAT("'",IF(ISNUMBER(FIND("'",$A68))=TRUE,_xlfn.CONCAT(LEFT($A68,FIND("'",$A68)-1),"''",RIGHT($A68,LEN($A68)-FIND("'",$A68))),$A68),"'!B5"))&gt;=L$2,"i",""))</f>
        <v>d</v>
      </c>
      <c r="M68" s="4" t="str" cm="1">
        <f t="array" aca="1" ref="M68" ca="1">IF(INDIRECT(_xlfn.CONCAT("'",IF(ISNUMBER(FIND("'",$A68))=TRUE,_xlfn.CONCAT(LEFT($A68,FIND("'",$A68)-1),"''",RIGHT($A68,LEN($A68)-FIND("'",$A68))),$A68),"'!B4"))&gt;=M$2,"d",IF(INDIRECT(_xlfn.CONCAT("'",IF(ISNUMBER(FIND("'",$A68))=TRUE,_xlfn.CONCAT(LEFT($A68,FIND("'",$A68)-1),"''",RIGHT($A68,LEN($A68)-FIND("'",$A68))),$A68),"'!B5"))&gt;=M$2,"i",""))</f>
        <v>d</v>
      </c>
      <c r="N68" s="95"/>
      <c r="O68" s="14" t="str" cm="1">
        <f t="array" aca="1" ref="O68" ca="1">IF(INDIRECT(_xlfn.CONCAT("'",IF(ISNUMBER(FIND("'",$A68))=TRUE,_xlfn.CONCAT(LEFT($A68,FIND("'",$A68)-1),"''",RIGHT($A68,LEN($A68)-FIND("'",$A68))),$A68),"'!C10"))&gt;=O$2,"d",IF(INDIRECT(_xlfn.CONCAT("'",IF(ISNUMBER(FIND("'",$A68))=TRUE,_xlfn.CONCAT(LEFT($A68,FIND("'",$A68)-1),"''",RIGHT($A68,LEN($A68)-FIND("'",$A68))),$A68),"'!C11"))&gt;=O$2,"i",""))</f>
        <v>d</v>
      </c>
      <c r="P68" s="1" t="str" cm="1">
        <f t="array" aca="1" ref="P68" ca="1">IF(INDIRECT(_xlfn.CONCAT("'",IF(ISNUMBER(FIND("'",$A68))=TRUE,_xlfn.CONCAT(LEFT($A68,FIND("'",$A68)-1),"''",RIGHT($A68,LEN($A68)-FIND("'",$A68))),$A68),"'!C10"))&gt;=P$2,"d",IF(INDIRECT(_xlfn.CONCAT("'",IF(ISNUMBER(FIND("'",$A68))=TRUE,_xlfn.CONCAT(LEFT($A68,FIND("'",$A68)-1),"''",RIGHT($A68,LEN($A68)-FIND("'",$A68))),$A68),"'!C11"))&gt;=P$2,"i",""))</f>
        <v>d</v>
      </c>
      <c r="Q68" s="1" t="str" cm="1">
        <f t="array" aca="1" ref="Q68" ca="1">IF(INDIRECT(_xlfn.CONCAT("'",IF(ISNUMBER(FIND("'",$A68))=TRUE,_xlfn.CONCAT(LEFT($A68,FIND("'",$A68)-1),"''",RIGHT($A68,LEN($A68)-FIND("'",$A68))),$A68),"'!C10"))&gt;=Q$2,"d",IF(INDIRECT(_xlfn.CONCAT("'",IF(ISNUMBER(FIND("'",$A68))=TRUE,_xlfn.CONCAT(LEFT($A68,FIND("'",$A68)-1),"''",RIGHT($A68,LEN($A68)-FIND("'",$A68))),$A68),"'!C11"))&gt;=Q$2,"i",""))</f>
        <v>d</v>
      </c>
      <c r="R68" s="1" t="str" cm="1">
        <f t="array" aca="1" ref="R68" ca="1">IF(INDIRECT(_xlfn.CONCAT("'",IF(ISNUMBER(FIND("'",$A68))=TRUE,_xlfn.CONCAT(LEFT($A68,FIND("'",$A68)-1),"''",RIGHT($A68,LEN($A68)-FIND("'",$A68))),$A68),"'!C10"))&gt;=R$2,"d",IF(INDIRECT(_xlfn.CONCAT("'",IF(ISNUMBER(FIND("'",$A68))=TRUE,_xlfn.CONCAT(LEFT($A68,FIND("'",$A68)-1),"''",RIGHT($A68,LEN($A68)-FIND("'",$A68))),$A68),"'!C11"))&gt;=R$2,"i",""))</f>
        <v>d</v>
      </c>
      <c r="S68" s="1" t="str" cm="1">
        <f t="array" aca="1" ref="S68" ca="1">IF(INDIRECT(_xlfn.CONCAT("'",IF(ISNUMBER(FIND("'",$A68))=TRUE,_xlfn.CONCAT(LEFT($A68,FIND("'",$A68)-1),"''",RIGHT($A68,LEN($A68)-FIND("'",$A68))),$A68),"'!C10"))&gt;=S$2,"d",IF(INDIRECT(_xlfn.CONCAT("'",IF(ISNUMBER(FIND("'",$A68))=TRUE,_xlfn.CONCAT(LEFT($A68,FIND("'",$A68)-1),"''",RIGHT($A68,LEN($A68)-FIND("'",$A68))),$A68),"'!C11"))&gt;=S$2,"i",""))</f>
        <v>d</v>
      </c>
      <c r="T68" s="4" t="str" cm="1">
        <f t="array" aca="1" ref="T68" ca="1">IF(INDIRECT(_xlfn.CONCAT("'",IF(ISNUMBER(FIND("'",$A68))=TRUE,_xlfn.CONCAT(LEFT($A68,FIND("'",$A68)-1),"''",RIGHT($A68,LEN($A68)-FIND("'",$A68))),$A68),"'!C10"))&gt;=T$2,"d",IF(INDIRECT(_xlfn.CONCAT("'",IF(ISNUMBER(FIND("'",$A68))=TRUE,_xlfn.CONCAT(LEFT($A68,FIND("'",$A68)-1),"''",RIGHT($A68,LEN($A68)-FIND("'",$A68))),$A68),"'!C11"))&gt;=T$2,"i",""))</f>
        <v>d</v>
      </c>
    </row>
    <row r="69" spans="1:20" hidden="1" x14ac:dyDescent="0.25">
      <c r="A69" s="54" t="str">
        <v>The Bell</v>
      </c>
      <c r="B69" s="14" cm="1">
        <f t="array" ref="B69">_xlfn.XLOOKUP(A69,INDEX(Weapon_List,,1),INDEX(Weapon_List,,3),,0,1)</f>
        <v>4</v>
      </c>
      <c r="C69" s="4" t="str" cm="1">
        <f t="array" ref="C69">_xlfn.XLOOKUP(A69,INDEX(Weapon_List,,1),INDEX(Weapon_List,,2),,0,1)</f>
        <v>Claymore</v>
      </c>
      <c r="D69" s="38" t="str" cm="1">
        <f t="array" ref="D69">_xlfn.XLOOKUP(A69,INDEX(Weapon_List,,1),INDEX(Weapon_List,,4),,0,1)</f>
        <v>Mondstadt 1</v>
      </c>
      <c r="E69" s="38" t="str" cm="1">
        <f t="array" ref="E69">_xlfn.XLOOKUP(A69,INDEX(Weapon_List,,1),INDEX(Weapon_List,,5),,0,1)</f>
        <v>Whopperflower</v>
      </c>
      <c r="F69" s="38" t="str" cm="1">
        <f t="array" ref="F69">_xlfn.XLOOKUP(A69,INDEX(Weapon_List,,1),INDEX(Weapon_List,,6),,0,1)</f>
        <v>Mitachurl</v>
      </c>
      <c r="G69" s="14" t="str" cm="1">
        <f t="array" aca="1" ref="G69" ca="1">IF(INDIRECT(_xlfn.CONCAT("'",IF(ISNUMBER(FIND("'",$A69))=TRUE,_xlfn.CONCAT(LEFT($A69,FIND("'",$A69)-1),"''",RIGHT($A69,LEN($A69)-FIND("'",$A69))),$A69),"'!B4"))&gt;=G$2,"d",IF(INDIRECT(_xlfn.CONCAT("'",IF(ISNUMBER(FIND("'",$A69))=TRUE,_xlfn.CONCAT(LEFT($A69,FIND("'",$A69)-1),"''",RIGHT($A69,LEN($A69)-FIND("'",$A69))),$A69),"'!B5"))&gt;=G$2,"i",""))</f>
        <v>d</v>
      </c>
      <c r="H69" s="1" t="str" cm="1">
        <f t="array" aca="1" ref="H69" ca="1">IF(INDIRECT(_xlfn.CONCAT("'",IF(ISNUMBER(FIND("'",$A69))=TRUE,_xlfn.CONCAT(LEFT($A69,FIND("'",$A69)-1),"''",RIGHT($A69,LEN($A69)-FIND("'",$A69))),$A69),"'!B4"))&gt;=H$2,"d",IF(INDIRECT(_xlfn.CONCAT("'",IF(ISNUMBER(FIND("'",$A69))=TRUE,_xlfn.CONCAT(LEFT($A69,FIND("'",$A69)-1),"''",RIGHT($A69,LEN($A69)-FIND("'",$A69))),$A69),"'!B5"))&gt;=H$2,"i",""))</f>
        <v>d</v>
      </c>
      <c r="I69" s="1" t="str" cm="1">
        <f t="array" aca="1" ref="I69" ca="1">IF(INDIRECT(_xlfn.CONCAT("'",IF(ISNUMBER(FIND("'",$A69))=TRUE,_xlfn.CONCAT(LEFT($A69,FIND("'",$A69)-1),"''",RIGHT($A69,LEN($A69)-FIND("'",$A69))),$A69),"'!B4"))&gt;=I$2,"d",IF(INDIRECT(_xlfn.CONCAT("'",IF(ISNUMBER(FIND("'",$A69))=TRUE,_xlfn.CONCAT(LEFT($A69,FIND("'",$A69)-1),"''",RIGHT($A69,LEN($A69)-FIND("'",$A69))),$A69),"'!B5"))&gt;=I$2,"i",""))</f>
        <v>d</v>
      </c>
      <c r="J69" s="1" t="str" cm="1">
        <f t="array" aca="1" ref="J69" ca="1">IF(INDIRECT(_xlfn.CONCAT("'",IF(ISNUMBER(FIND("'",$A69))=TRUE,_xlfn.CONCAT(LEFT($A69,FIND("'",$A69)-1),"''",RIGHT($A69,LEN($A69)-FIND("'",$A69))),$A69),"'!B4"))&gt;=J$2,"d",IF(INDIRECT(_xlfn.CONCAT("'",IF(ISNUMBER(FIND("'",$A69))=TRUE,_xlfn.CONCAT(LEFT($A69,FIND("'",$A69)-1),"''",RIGHT($A69,LEN($A69)-FIND("'",$A69))),$A69),"'!B5"))&gt;=J$2,"i",""))</f>
        <v>d</v>
      </c>
      <c r="K69" s="1" t="str" cm="1">
        <f t="array" aca="1" ref="K69" ca="1">IF(INDIRECT(_xlfn.CONCAT("'",IF(ISNUMBER(FIND("'",$A69))=TRUE,_xlfn.CONCAT(LEFT($A69,FIND("'",$A69)-1),"''",RIGHT($A69,LEN($A69)-FIND("'",$A69))),$A69),"'!B4"))&gt;=K$2,"d",IF(INDIRECT(_xlfn.CONCAT("'",IF(ISNUMBER(FIND("'",$A69))=TRUE,_xlfn.CONCAT(LEFT($A69,FIND("'",$A69)-1),"''",RIGHT($A69,LEN($A69)-FIND("'",$A69))),$A69),"'!B5"))&gt;=K$2,"i",""))</f>
        <v>d</v>
      </c>
      <c r="L69" s="1" t="str" cm="1">
        <f t="array" aca="1" ref="L69" ca="1">IF(INDIRECT(_xlfn.CONCAT("'",IF(ISNUMBER(FIND("'",$A69))=TRUE,_xlfn.CONCAT(LEFT($A69,FIND("'",$A69)-1),"''",RIGHT($A69,LEN($A69)-FIND("'",$A69))),$A69),"'!B4"))&gt;=L$2,"d",IF(INDIRECT(_xlfn.CONCAT("'",IF(ISNUMBER(FIND("'",$A69))=TRUE,_xlfn.CONCAT(LEFT($A69,FIND("'",$A69)-1),"''",RIGHT($A69,LEN($A69)-FIND("'",$A69))),$A69),"'!B5"))&gt;=L$2,"i",""))</f>
        <v>d</v>
      </c>
      <c r="M69" s="4" t="str" cm="1">
        <f t="array" aca="1" ref="M69" ca="1">IF(INDIRECT(_xlfn.CONCAT("'",IF(ISNUMBER(FIND("'",$A69))=TRUE,_xlfn.CONCAT(LEFT($A69,FIND("'",$A69)-1),"''",RIGHT($A69,LEN($A69)-FIND("'",$A69))),$A69),"'!B4"))&gt;=M$2,"d",IF(INDIRECT(_xlfn.CONCAT("'",IF(ISNUMBER(FIND("'",$A69))=TRUE,_xlfn.CONCAT(LEFT($A69,FIND("'",$A69)-1),"''",RIGHT($A69,LEN($A69)-FIND("'",$A69))),$A69),"'!B5"))&gt;=M$2,"i",""))</f>
        <v>d</v>
      </c>
      <c r="N69" s="95"/>
      <c r="O69" s="14" t="str" cm="1">
        <f t="array" aca="1" ref="O69" ca="1">IF(INDIRECT(_xlfn.CONCAT("'",IF(ISNUMBER(FIND("'",$A69))=TRUE,_xlfn.CONCAT(LEFT($A69,FIND("'",$A69)-1),"''",RIGHT($A69,LEN($A69)-FIND("'",$A69))),$A69),"'!C10"))&gt;=O$2,"d",IF(INDIRECT(_xlfn.CONCAT("'",IF(ISNUMBER(FIND("'",$A69))=TRUE,_xlfn.CONCAT(LEFT($A69,FIND("'",$A69)-1),"''",RIGHT($A69,LEN($A69)-FIND("'",$A69))),$A69),"'!C11"))&gt;=O$2,"i",""))</f>
        <v>d</v>
      </c>
      <c r="P69" s="1" t="str" cm="1">
        <f t="array" aca="1" ref="P69" ca="1">IF(INDIRECT(_xlfn.CONCAT("'",IF(ISNUMBER(FIND("'",$A69))=TRUE,_xlfn.CONCAT(LEFT($A69,FIND("'",$A69)-1),"''",RIGHT($A69,LEN($A69)-FIND("'",$A69))),$A69),"'!C10"))&gt;=P$2,"d",IF(INDIRECT(_xlfn.CONCAT("'",IF(ISNUMBER(FIND("'",$A69))=TRUE,_xlfn.CONCAT(LEFT($A69,FIND("'",$A69)-1),"''",RIGHT($A69,LEN($A69)-FIND("'",$A69))),$A69),"'!C11"))&gt;=P$2,"i",""))</f>
        <v>d</v>
      </c>
      <c r="Q69" s="1" t="str" cm="1">
        <f t="array" aca="1" ref="Q69" ca="1">IF(INDIRECT(_xlfn.CONCAT("'",IF(ISNUMBER(FIND("'",$A69))=TRUE,_xlfn.CONCAT(LEFT($A69,FIND("'",$A69)-1),"''",RIGHT($A69,LEN($A69)-FIND("'",$A69))),$A69),"'!C10"))&gt;=Q$2,"d",IF(INDIRECT(_xlfn.CONCAT("'",IF(ISNUMBER(FIND("'",$A69))=TRUE,_xlfn.CONCAT(LEFT($A69,FIND("'",$A69)-1),"''",RIGHT($A69,LEN($A69)-FIND("'",$A69))),$A69),"'!C11"))&gt;=Q$2,"i",""))</f>
        <v>d</v>
      </c>
      <c r="R69" s="1" t="str" cm="1">
        <f t="array" aca="1" ref="R69" ca="1">IF(INDIRECT(_xlfn.CONCAT("'",IF(ISNUMBER(FIND("'",$A69))=TRUE,_xlfn.CONCAT(LEFT($A69,FIND("'",$A69)-1),"''",RIGHT($A69,LEN($A69)-FIND("'",$A69))),$A69),"'!C10"))&gt;=R$2,"d",IF(INDIRECT(_xlfn.CONCAT("'",IF(ISNUMBER(FIND("'",$A69))=TRUE,_xlfn.CONCAT(LEFT($A69,FIND("'",$A69)-1),"''",RIGHT($A69,LEN($A69)-FIND("'",$A69))),$A69),"'!C11"))&gt;=R$2,"i",""))</f>
        <v>d</v>
      </c>
      <c r="S69" s="1" t="str" cm="1">
        <f t="array" aca="1" ref="S69" ca="1">IF(INDIRECT(_xlfn.CONCAT("'",IF(ISNUMBER(FIND("'",$A69))=TRUE,_xlfn.CONCAT(LEFT($A69,FIND("'",$A69)-1),"''",RIGHT($A69,LEN($A69)-FIND("'",$A69))),$A69),"'!C10"))&gt;=S$2,"d",IF(INDIRECT(_xlfn.CONCAT("'",IF(ISNUMBER(FIND("'",$A69))=TRUE,_xlfn.CONCAT(LEFT($A69,FIND("'",$A69)-1),"''",RIGHT($A69,LEN($A69)-FIND("'",$A69))),$A69),"'!C11"))&gt;=S$2,"i",""))</f>
        <v>d</v>
      </c>
      <c r="T69" s="4" t="str" cm="1">
        <f t="array" aca="1" ref="T69" ca="1">IF(INDIRECT(_xlfn.CONCAT("'",IF(ISNUMBER(FIND("'",$A69))=TRUE,_xlfn.CONCAT(LEFT($A69,FIND("'",$A69)-1),"''",RIGHT($A69,LEN($A69)-FIND("'",$A69))),$A69),"'!C10"))&gt;=T$2,"d",IF(INDIRECT(_xlfn.CONCAT("'",IF(ISNUMBER(FIND("'",$A69))=TRUE,_xlfn.CONCAT(LEFT($A69,FIND("'",$A69)-1),"''",RIGHT($A69,LEN($A69)-FIND("'",$A69))),$A69),"'!C11"))&gt;=T$2,"i",""))</f>
        <v>d</v>
      </c>
    </row>
    <row r="70" spans="1:20" hidden="1" x14ac:dyDescent="0.25">
      <c r="A70" s="54" t="str">
        <v>Dragon's Bane</v>
      </c>
      <c r="B70" s="14" cm="1">
        <f t="array" ref="B70">_xlfn.XLOOKUP(A70,INDEX(Weapon_List,,1),INDEX(Weapon_List,,3),,0,1)</f>
        <v>4</v>
      </c>
      <c r="C70" s="4" t="str" cm="1">
        <f t="array" ref="C70">_xlfn.XLOOKUP(A70,INDEX(Weapon_List,,1),INDEX(Weapon_List,,2),,0,1)</f>
        <v>Polearm</v>
      </c>
      <c r="D70" s="38" t="str" cm="1">
        <f t="array" ref="D70">_xlfn.XLOOKUP(A70,INDEX(Weapon_List,,1),INDEX(Weapon_List,,4),,0,1)</f>
        <v>Liyue 2</v>
      </c>
      <c r="E70" s="38" t="str" cm="1">
        <f t="array" ref="E70">_xlfn.XLOOKUP(A70,INDEX(Weapon_List,,1),INDEX(Weapon_List,,5),,0,1)</f>
        <v>Samachurl</v>
      </c>
      <c r="F70" s="38" t="str" cm="1">
        <f t="array" ref="F70">_xlfn.XLOOKUP(A70,INDEX(Weapon_List,,1),INDEX(Weapon_List,,6),,0,1)</f>
        <v>Fatui Cicin Mage</v>
      </c>
      <c r="G70" s="14" t="str" cm="1">
        <f t="array" aca="1" ref="G70" ca="1">IF(INDIRECT(_xlfn.CONCAT("'",IF(ISNUMBER(FIND("'",$A70))=TRUE,_xlfn.CONCAT(LEFT($A70,FIND("'",$A70)-1),"''",RIGHT($A70,LEN($A70)-FIND("'",$A70))),$A70),"'!B4"))&gt;=G$2,"d",IF(INDIRECT(_xlfn.CONCAT("'",IF(ISNUMBER(FIND("'",$A70))=TRUE,_xlfn.CONCAT(LEFT($A70,FIND("'",$A70)-1),"''",RIGHT($A70,LEN($A70)-FIND("'",$A70))),$A70),"'!B5"))&gt;=G$2,"i",""))</f>
        <v>d</v>
      </c>
      <c r="H70" s="1" t="str" cm="1">
        <f t="array" aca="1" ref="H70" ca="1">IF(INDIRECT(_xlfn.CONCAT("'",IF(ISNUMBER(FIND("'",$A70))=TRUE,_xlfn.CONCAT(LEFT($A70,FIND("'",$A70)-1),"''",RIGHT($A70,LEN($A70)-FIND("'",$A70))),$A70),"'!B4"))&gt;=H$2,"d",IF(INDIRECT(_xlfn.CONCAT("'",IF(ISNUMBER(FIND("'",$A70))=TRUE,_xlfn.CONCAT(LEFT($A70,FIND("'",$A70)-1),"''",RIGHT($A70,LEN($A70)-FIND("'",$A70))),$A70),"'!B5"))&gt;=H$2,"i",""))</f>
        <v>d</v>
      </c>
      <c r="I70" s="1" t="str" cm="1">
        <f t="array" aca="1" ref="I70" ca="1">IF(INDIRECT(_xlfn.CONCAT("'",IF(ISNUMBER(FIND("'",$A70))=TRUE,_xlfn.CONCAT(LEFT($A70,FIND("'",$A70)-1),"''",RIGHT($A70,LEN($A70)-FIND("'",$A70))),$A70),"'!B4"))&gt;=I$2,"d",IF(INDIRECT(_xlfn.CONCAT("'",IF(ISNUMBER(FIND("'",$A70))=TRUE,_xlfn.CONCAT(LEFT($A70,FIND("'",$A70)-1),"''",RIGHT($A70,LEN($A70)-FIND("'",$A70))),$A70),"'!B5"))&gt;=I$2,"i",""))</f>
        <v>d</v>
      </c>
      <c r="J70" s="1" t="str" cm="1">
        <f t="array" aca="1" ref="J70" ca="1">IF(INDIRECT(_xlfn.CONCAT("'",IF(ISNUMBER(FIND("'",$A70))=TRUE,_xlfn.CONCAT(LEFT($A70,FIND("'",$A70)-1),"''",RIGHT($A70,LEN($A70)-FIND("'",$A70))),$A70),"'!B4"))&gt;=J$2,"d",IF(INDIRECT(_xlfn.CONCAT("'",IF(ISNUMBER(FIND("'",$A70))=TRUE,_xlfn.CONCAT(LEFT($A70,FIND("'",$A70)-1),"''",RIGHT($A70,LEN($A70)-FIND("'",$A70))),$A70),"'!B5"))&gt;=J$2,"i",""))</f>
        <v>d</v>
      </c>
      <c r="K70" s="1" t="str" cm="1">
        <f t="array" aca="1" ref="K70" ca="1">IF(INDIRECT(_xlfn.CONCAT("'",IF(ISNUMBER(FIND("'",$A70))=TRUE,_xlfn.CONCAT(LEFT($A70,FIND("'",$A70)-1),"''",RIGHT($A70,LEN($A70)-FIND("'",$A70))),$A70),"'!B4"))&gt;=K$2,"d",IF(INDIRECT(_xlfn.CONCAT("'",IF(ISNUMBER(FIND("'",$A70))=TRUE,_xlfn.CONCAT(LEFT($A70,FIND("'",$A70)-1),"''",RIGHT($A70,LEN($A70)-FIND("'",$A70))),$A70),"'!B5"))&gt;=K$2,"i",""))</f>
        <v>d</v>
      </c>
      <c r="L70" s="1" t="str" cm="1">
        <f t="array" aca="1" ref="L70" ca="1">IF(INDIRECT(_xlfn.CONCAT("'",IF(ISNUMBER(FIND("'",$A70))=TRUE,_xlfn.CONCAT(LEFT($A70,FIND("'",$A70)-1),"''",RIGHT($A70,LEN($A70)-FIND("'",$A70))),$A70),"'!B4"))&gt;=L$2,"d",IF(INDIRECT(_xlfn.CONCAT("'",IF(ISNUMBER(FIND("'",$A70))=TRUE,_xlfn.CONCAT(LEFT($A70,FIND("'",$A70)-1),"''",RIGHT($A70,LEN($A70)-FIND("'",$A70))),$A70),"'!B5"))&gt;=L$2,"i",""))</f>
        <v>d</v>
      </c>
      <c r="M70" s="4" t="str" cm="1">
        <f t="array" aca="1" ref="M70" ca="1">IF(INDIRECT(_xlfn.CONCAT("'",IF(ISNUMBER(FIND("'",$A70))=TRUE,_xlfn.CONCAT(LEFT($A70,FIND("'",$A70)-1),"''",RIGHT($A70,LEN($A70)-FIND("'",$A70))),$A70),"'!B4"))&gt;=M$2,"d",IF(INDIRECT(_xlfn.CONCAT("'",IF(ISNUMBER(FIND("'",$A70))=TRUE,_xlfn.CONCAT(LEFT($A70,FIND("'",$A70)-1),"''",RIGHT($A70,LEN($A70)-FIND("'",$A70))),$A70),"'!B5"))&gt;=M$2,"i",""))</f>
        <v>d</v>
      </c>
      <c r="N70" s="95"/>
      <c r="O70" s="14" t="str" cm="1">
        <f t="array" aca="1" ref="O70" ca="1">IF(INDIRECT(_xlfn.CONCAT("'",IF(ISNUMBER(FIND("'",$A70))=TRUE,_xlfn.CONCAT(LEFT($A70,FIND("'",$A70)-1),"''",RIGHT($A70,LEN($A70)-FIND("'",$A70))),$A70),"'!C10"))&gt;=O$2,"d",IF(INDIRECT(_xlfn.CONCAT("'",IF(ISNUMBER(FIND("'",$A70))=TRUE,_xlfn.CONCAT(LEFT($A70,FIND("'",$A70)-1),"''",RIGHT($A70,LEN($A70)-FIND("'",$A70))),$A70),"'!C11"))&gt;=O$2,"i",""))</f>
        <v>d</v>
      </c>
      <c r="P70" s="1" t="str" cm="1">
        <f t="array" aca="1" ref="P70" ca="1">IF(INDIRECT(_xlfn.CONCAT("'",IF(ISNUMBER(FIND("'",$A70))=TRUE,_xlfn.CONCAT(LEFT($A70,FIND("'",$A70)-1),"''",RIGHT($A70,LEN($A70)-FIND("'",$A70))),$A70),"'!C10"))&gt;=P$2,"d",IF(INDIRECT(_xlfn.CONCAT("'",IF(ISNUMBER(FIND("'",$A70))=TRUE,_xlfn.CONCAT(LEFT($A70,FIND("'",$A70)-1),"''",RIGHT($A70,LEN($A70)-FIND("'",$A70))),$A70),"'!C11"))&gt;=P$2,"i",""))</f>
        <v>d</v>
      </c>
      <c r="Q70" s="1" t="str" cm="1">
        <f t="array" aca="1" ref="Q70" ca="1">IF(INDIRECT(_xlfn.CONCAT("'",IF(ISNUMBER(FIND("'",$A70))=TRUE,_xlfn.CONCAT(LEFT($A70,FIND("'",$A70)-1),"''",RIGHT($A70,LEN($A70)-FIND("'",$A70))),$A70),"'!C10"))&gt;=Q$2,"d",IF(INDIRECT(_xlfn.CONCAT("'",IF(ISNUMBER(FIND("'",$A70))=TRUE,_xlfn.CONCAT(LEFT($A70,FIND("'",$A70)-1),"''",RIGHT($A70,LEN($A70)-FIND("'",$A70))),$A70),"'!C11"))&gt;=Q$2,"i",""))</f>
        <v>d</v>
      </c>
      <c r="R70" s="1" t="str" cm="1">
        <f t="array" aca="1" ref="R70" ca="1">IF(INDIRECT(_xlfn.CONCAT("'",IF(ISNUMBER(FIND("'",$A70))=TRUE,_xlfn.CONCAT(LEFT($A70,FIND("'",$A70)-1),"''",RIGHT($A70,LEN($A70)-FIND("'",$A70))),$A70),"'!C10"))&gt;=R$2,"d",IF(INDIRECT(_xlfn.CONCAT("'",IF(ISNUMBER(FIND("'",$A70))=TRUE,_xlfn.CONCAT(LEFT($A70,FIND("'",$A70)-1),"''",RIGHT($A70,LEN($A70)-FIND("'",$A70))),$A70),"'!C11"))&gt;=R$2,"i",""))</f>
        <v>d</v>
      </c>
      <c r="S70" s="1" t="str" cm="1">
        <f t="array" aca="1" ref="S70" ca="1">IF(INDIRECT(_xlfn.CONCAT("'",IF(ISNUMBER(FIND("'",$A70))=TRUE,_xlfn.CONCAT(LEFT($A70,FIND("'",$A70)-1),"''",RIGHT($A70,LEN($A70)-FIND("'",$A70))),$A70),"'!C10"))&gt;=S$2,"d",IF(INDIRECT(_xlfn.CONCAT("'",IF(ISNUMBER(FIND("'",$A70))=TRUE,_xlfn.CONCAT(LEFT($A70,FIND("'",$A70)-1),"''",RIGHT($A70,LEN($A70)-FIND("'",$A70))),$A70),"'!C11"))&gt;=S$2,"i",""))</f>
        <v>d</v>
      </c>
      <c r="T70" s="4" t="str" cm="1">
        <f t="array" aca="1" ref="T70" ca="1">IF(INDIRECT(_xlfn.CONCAT("'",IF(ISNUMBER(FIND("'",$A70))=TRUE,_xlfn.CONCAT(LEFT($A70,FIND("'",$A70)-1),"''",RIGHT($A70,LEN($A70)-FIND("'",$A70))),$A70),"'!C10"))&gt;=T$2,"d",IF(INDIRECT(_xlfn.CONCAT("'",IF(ISNUMBER(FIND("'",$A70))=TRUE,_xlfn.CONCAT(LEFT($A70,FIND("'",$A70)-1),"''",RIGHT($A70,LEN($A70)-FIND("'",$A70))),$A70),"'!C11"))&gt;=T$2,"i",""))</f>
        <v>d</v>
      </c>
    </row>
    <row r="71" spans="1:20" hidden="1" x14ac:dyDescent="0.25">
      <c r="A71" s="54" t="str">
        <v>Favonius Lance</v>
      </c>
      <c r="B71" s="14" cm="1">
        <f t="array" ref="B71">_xlfn.XLOOKUP(A71,INDEX(Weapon_List,,1),INDEX(Weapon_List,,3),,0,1)</f>
        <v>4</v>
      </c>
      <c r="C71" s="4" t="str" cm="1">
        <f t="array" ref="C71">_xlfn.XLOOKUP(A71,INDEX(Weapon_List,,1),INDEX(Weapon_List,,2),,0,1)</f>
        <v>Polearm</v>
      </c>
      <c r="D71" s="38" t="str" cm="1">
        <f t="array" ref="D71">_xlfn.XLOOKUP(A71,INDEX(Weapon_List,,1),INDEX(Weapon_List,,4),,0,1)</f>
        <v>Mondstadt 3</v>
      </c>
      <c r="E71" s="38" t="str" cm="1">
        <f t="array" ref="E71">_xlfn.XLOOKUP(A71,INDEX(Weapon_List,,1),INDEX(Weapon_List,,5),,0,1)</f>
        <v>Slime</v>
      </c>
      <c r="F71" s="38" t="str" cm="1">
        <f t="array" ref="F71">_xlfn.XLOOKUP(A71,INDEX(Weapon_List,,1),INDEX(Weapon_List,,6),,0,1)</f>
        <v>Ruin Machine 1</v>
      </c>
      <c r="G71" s="14" t="str" cm="1">
        <f t="array" aca="1" ref="G71" ca="1">IF(INDIRECT(_xlfn.CONCAT("'",IF(ISNUMBER(FIND("'",$A71))=TRUE,_xlfn.CONCAT(LEFT($A71,FIND("'",$A71)-1),"''",RIGHT($A71,LEN($A71)-FIND("'",$A71))),$A71),"'!B4"))&gt;=G$2,"d",IF(INDIRECT(_xlfn.CONCAT("'",IF(ISNUMBER(FIND("'",$A71))=TRUE,_xlfn.CONCAT(LEFT($A71,FIND("'",$A71)-1),"''",RIGHT($A71,LEN($A71)-FIND("'",$A71))),$A71),"'!B5"))&gt;=G$2,"i",""))</f>
        <v>d</v>
      </c>
      <c r="H71" s="1" t="str" cm="1">
        <f t="array" aca="1" ref="H71" ca="1">IF(INDIRECT(_xlfn.CONCAT("'",IF(ISNUMBER(FIND("'",$A71))=TRUE,_xlfn.CONCAT(LEFT($A71,FIND("'",$A71)-1),"''",RIGHT($A71,LEN($A71)-FIND("'",$A71))),$A71),"'!B4"))&gt;=H$2,"d",IF(INDIRECT(_xlfn.CONCAT("'",IF(ISNUMBER(FIND("'",$A71))=TRUE,_xlfn.CONCAT(LEFT($A71,FIND("'",$A71)-1),"''",RIGHT($A71,LEN($A71)-FIND("'",$A71))),$A71),"'!B5"))&gt;=H$2,"i",""))</f>
        <v>d</v>
      </c>
      <c r="I71" s="1" t="str" cm="1">
        <f t="array" aca="1" ref="I71" ca="1">IF(INDIRECT(_xlfn.CONCAT("'",IF(ISNUMBER(FIND("'",$A71))=TRUE,_xlfn.CONCAT(LEFT($A71,FIND("'",$A71)-1),"''",RIGHT($A71,LEN($A71)-FIND("'",$A71))),$A71),"'!B4"))&gt;=I$2,"d",IF(INDIRECT(_xlfn.CONCAT("'",IF(ISNUMBER(FIND("'",$A71))=TRUE,_xlfn.CONCAT(LEFT($A71,FIND("'",$A71)-1),"''",RIGHT($A71,LEN($A71)-FIND("'",$A71))),$A71),"'!B5"))&gt;=I$2,"i",""))</f>
        <v>d</v>
      </c>
      <c r="J71" s="1" t="str" cm="1">
        <f t="array" aca="1" ref="J71" ca="1">IF(INDIRECT(_xlfn.CONCAT("'",IF(ISNUMBER(FIND("'",$A71))=TRUE,_xlfn.CONCAT(LEFT($A71,FIND("'",$A71)-1),"''",RIGHT($A71,LEN($A71)-FIND("'",$A71))),$A71),"'!B4"))&gt;=J$2,"d",IF(INDIRECT(_xlfn.CONCAT("'",IF(ISNUMBER(FIND("'",$A71))=TRUE,_xlfn.CONCAT(LEFT($A71,FIND("'",$A71)-1),"''",RIGHT($A71,LEN($A71)-FIND("'",$A71))),$A71),"'!B5"))&gt;=J$2,"i",""))</f>
        <v>d</v>
      </c>
      <c r="K71" s="1" t="str" cm="1">
        <f t="array" aca="1" ref="K71" ca="1">IF(INDIRECT(_xlfn.CONCAT("'",IF(ISNUMBER(FIND("'",$A71))=TRUE,_xlfn.CONCAT(LEFT($A71,FIND("'",$A71)-1),"''",RIGHT($A71,LEN($A71)-FIND("'",$A71))),$A71),"'!B4"))&gt;=K$2,"d",IF(INDIRECT(_xlfn.CONCAT("'",IF(ISNUMBER(FIND("'",$A71))=TRUE,_xlfn.CONCAT(LEFT($A71,FIND("'",$A71)-1),"''",RIGHT($A71,LEN($A71)-FIND("'",$A71))),$A71),"'!B5"))&gt;=K$2,"i",""))</f>
        <v>d</v>
      </c>
      <c r="L71" s="1" t="str" cm="1">
        <f t="array" aca="1" ref="L71" ca="1">IF(INDIRECT(_xlfn.CONCAT("'",IF(ISNUMBER(FIND("'",$A71))=TRUE,_xlfn.CONCAT(LEFT($A71,FIND("'",$A71)-1),"''",RIGHT($A71,LEN($A71)-FIND("'",$A71))),$A71),"'!B4"))&gt;=L$2,"d",IF(INDIRECT(_xlfn.CONCAT("'",IF(ISNUMBER(FIND("'",$A71))=TRUE,_xlfn.CONCAT(LEFT($A71,FIND("'",$A71)-1),"''",RIGHT($A71,LEN($A71)-FIND("'",$A71))),$A71),"'!B5"))&gt;=L$2,"i",""))</f>
        <v>d</v>
      </c>
      <c r="M71" s="4" t="str" cm="1">
        <f t="array" aca="1" ref="M71" ca="1">IF(INDIRECT(_xlfn.CONCAT("'",IF(ISNUMBER(FIND("'",$A71))=TRUE,_xlfn.CONCAT(LEFT($A71,FIND("'",$A71)-1),"''",RIGHT($A71,LEN($A71)-FIND("'",$A71))),$A71),"'!B4"))&gt;=M$2,"d",IF(INDIRECT(_xlfn.CONCAT("'",IF(ISNUMBER(FIND("'",$A71))=TRUE,_xlfn.CONCAT(LEFT($A71,FIND("'",$A71)-1),"''",RIGHT($A71,LEN($A71)-FIND("'",$A71))),$A71),"'!B5"))&gt;=M$2,"i",""))</f>
        <v>d</v>
      </c>
      <c r="N71" s="95"/>
      <c r="O71" s="14" t="str" cm="1">
        <f t="array" aca="1" ref="O71" ca="1">IF(INDIRECT(_xlfn.CONCAT("'",IF(ISNUMBER(FIND("'",$A71))=TRUE,_xlfn.CONCAT(LEFT($A71,FIND("'",$A71)-1),"''",RIGHT($A71,LEN($A71)-FIND("'",$A71))),$A71),"'!C10"))&gt;=O$2,"d",IF(INDIRECT(_xlfn.CONCAT("'",IF(ISNUMBER(FIND("'",$A71))=TRUE,_xlfn.CONCAT(LEFT($A71,FIND("'",$A71)-1),"''",RIGHT($A71,LEN($A71)-FIND("'",$A71))),$A71),"'!C11"))&gt;=O$2,"i",""))</f>
        <v>d</v>
      </c>
      <c r="P71" s="1" t="str" cm="1">
        <f t="array" aca="1" ref="P71" ca="1">IF(INDIRECT(_xlfn.CONCAT("'",IF(ISNUMBER(FIND("'",$A71))=TRUE,_xlfn.CONCAT(LEFT($A71,FIND("'",$A71)-1),"''",RIGHT($A71,LEN($A71)-FIND("'",$A71))),$A71),"'!C10"))&gt;=P$2,"d",IF(INDIRECT(_xlfn.CONCAT("'",IF(ISNUMBER(FIND("'",$A71))=TRUE,_xlfn.CONCAT(LEFT($A71,FIND("'",$A71)-1),"''",RIGHT($A71,LEN($A71)-FIND("'",$A71))),$A71),"'!C11"))&gt;=P$2,"i",""))</f>
        <v>d</v>
      </c>
      <c r="Q71" s="1" t="str" cm="1">
        <f t="array" aca="1" ref="Q71" ca="1">IF(INDIRECT(_xlfn.CONCAT("'",IF(ISNUMBER(FIND("'",$A71))=TRUE,_xlfn.CONCAT(LEFT($A71,FIND("'",$A71)-1),"''",RIGHT($A71,LEN($A71)-FIND("'",$A71))),$A71),"'!C10"))&gt;=Q$2,"d",IF(INDIRECT(_xlfn.CONCAT("'",IF(ISNUMBER(FIND("'",$A71))=TRUE,_xlfn.CONCAT(LEFT($A71,FIND("'",$A71)-1),"''",RIGHT($A71,LEN($A71)-FIND("'",$A71))),$A71),"'!C11"))&gt;=Q$2,"i",""))</f>
        <v>d</v>
      </c>
      <c r="R71" s="1" t="str" cm="1">
        <f t="array" aca="1" ref="R71" ca="1">IF(INDIRECT(_xlfn.CONCAT("'",IF(ISNUMBER(FIND("'",$A71))=TRUE,_xlfn.CONCAT(LEFT($A71,FIND("'",$A71)-1),"''",RIGHT($A71,LEN($A71)-FIND("'",$A71))),$A71),"'!C10"))&gt;=R$2,"d",IF(INDIRECT(_xlfn.CONCAT("'",IF(ISNUMBER(FIND("'",$A71))=TRUE,_xlfn.CONCAT(LEFT($A71,FIND("'",$A71)-1),"''",RIGHT($A71,LEN($A71)-FIND("'",$A71))),$A71),"'!C11"))&gt;=R$2,"i",""))</f>
        <v>d</v>
      </c>
      <c r="S71" s="1" t="str" cm="1">
        <f t="array" aca="1" ref="S71" ca="1">IF(INDIRECT(_xlfn.CONCAT("'",IF(ISNUMBER(FIND("'",$A71))=TRUE,_xlfn.CONCAT(LEFT($A71,FIND("'",$A71)-1),"''",RIGHT($A71,LEN($A71)-FIND("'",$A71))),$A71),"'!C10"))&gt;=S$2,"d",IF(INDIRECT(_xlfn.CONCAT("'",IF(ISNUMBER(FIND("'",$A71))=TRUE,_xlfn.CONCAT(LEFT($A71,FIND("'",$A71)-1),"''",RIGHT($A71,LEN($A71)-FIND("'",$A71))),$A71),"'!C11"))&gt;=S$2,"i",""))</f>
        <v>d</v>
      </c>
      <c r="T71" s="4" t="str" cm="1">
        <f t="array" aca="1" ref="T71" ca="1">IF(INDIRECT(_xlfn.CONCAT("'",IF(ISNUMBER(FIND("'",$A71))=TRUE,_xlfn.CONCAT(LEFT($A71,FIND("'",$A71)-1),"''",RIGHT($A71,LEN($A71)-FIND("'",$A71))),$A71),"'!C10"))&gt;=T$2,"d",IF(INDIRECT(_xlfn.CONCAT("'",IF(ISNUMBER(FIND("'",$A71))=TRUE,_xlfn.CONCAT(LEFT($A71,FIND("'",$A71)-1),"''",RIGHT($A71,LEN($A71)-FIND("'",$A71))),$A71),"'!C11"))&gt;=T$2,"i",""))</f>
        <v>d</v>
      </c>
    </row>
    <row r="72" spans="1:20" hidden="1" x14ac:dyDescent="0.25">
      <c r="A72" s="54" t="str">
        <v>Eye of Perception</v>
      </c>
      <c r="B72" s="14" cm="1">
        <f t="array" ref="B72">_xlfn.XLOOKUP(A72,INDEX(Weapon_List,,1),INDEX(Weapon_List,,3),,0,1)</f>
        <v>4</v>
      </c>
      <c r="C72" s="4" t="str" cm="1">
        <f t="array" ref="C72">_xlfn.XLOOKUP(A72,INDEX(Weapon_List,,1),INDEX(Weapon_List,,2),,0,1)</f>
        <v>Catalyst</v>
      </c>
      <c r="D72" s="38" t="str" cm="1">
        <f t="array" ref="D72">_xlfn.XLOOKUP(A72,INDEX(Weapon_List,,1),INDEX(Weapon_List,,4),,0,1)</f>
        <v>Liyue 2</v>
      </c>
      <c r="E72" s="38" t="str" cm="1">
        <f t="array" ref="E72">_xlfn.XLOOKUP(A72,INDEX(Weapon_List,,1),INDEX(Weapon_List,,5),,0,1)</f>
        <v>Hilichurl</v>
      </c>
      <c r="F72" s="38" t="str" cm="1">
        <f t="array" ref="F72">_xlfn.XLOOKUP(A72,INDEX(Weapon_List,,1),INDEX(Weapon_List,,6),,0,1)</f>
        <v>Fatui Cicin Mage</v>
      </c>
      <c r="G72" s="14" t="str" cm="1">
        <f t="array" aca="1" ref="G72" ca="1">IF(INDIRECT(_xlfn.CONCAT("'",IF(ISNUMBER(FIND("'",$A72))=TRUE,_xlfn.CONCAT(LEFT($A72,FIND("'",$A72)-1),"''",RIGHT($A72,LEN($A72)-FIND("'",$A72))),$A72),"'!B4"))&gt;=G$2,"d",IF(INDIRECT(_xlfn.CONCAT("'",IF(ISNUMBER(FIND("'",$A72))=TRUE,_xlfn.CONCAT(LEFT($A72,FIND("'",$A72)-1),"''",RIGHT($A72,LEN($A72)-FIND("'",$A72))),$A72),"'!B5"))&gt;=G$2,"i",""))</f>
        <v>d</v>
      </c>
      <c r="H72" s="1" t="str" cm="1">
        <f t="array" aca="1" ref="H72" ca="1">IF(INDIRECT(_xlfn.CONCAT("'",IF(ISNUMBER(FIND("'",$A72))=TRUE,_xlfn.CONCAT(LEFT($A72,FIND("'",$A72)-1),"''",RIGHT($A72,LEN($A72)-FIND("'",$A72))),$A72),"'!B4"))&gt;=H$2,"d",IF(INDIRECT(_xlfn.CONCAT("'",IF(ISNUMBER(FIND("'",$A72))=TRUE,_xlfn.CONCAT(LEFT($A72,FIND("'",$A72)-1),"''",RIGHT($A72,LEN($A72)-FIND("'",$A72))),$A72),"'!B5"))&gt;=H$2,"i",""))</f>
        <v>d</v>
      </c>
      <c r="I72" s="1" t="str" cm="1">
        <f t="array" aca="1" ref="I72" ca="1">IF(INDIRECT(_xlfn.CONCAT("'",IF(ISNUMBER(FIND("'",$A72))=TRUE,_xlfn.CONCAT(LEFT($A72,FIND("'",$A72)-1),"''",RIGHT($A72,LEN($A72)-FIND("'",$A72))),$A72),"'!B4"))&gt;=I$2,"d",IF(INDIRECT(_xlfn.CONCAT("'",IF(ISNUMBER(FIND("'",$A72))=TRUE,_xlfn.CONCAT(LEFT($A72,FIND("'",$A72)-1),"''",RIGHT($A72,LEN($A72)-FIND("'",$A72))),$A72),"'!B5"))&gt;=I$2,"i",""))</f>
        <v>d</v>
      </c>
      <c r="J72" s="1" t="str" cm="1">
        <f t="array" aca="1" ref="J72" ca="1">IF(INDIRECT(_xlfn.CONCAT("'",IF(ISNUMBER(FIND("'",$A72))=TRUE,_xlfn.CONCAT(LEFT($A72,FIND("'",$A72)-1),"''",RIGHT($A72,LEN($A72)-FIND("'",$A72))),$A72),"'!B4"))&gt;=J$2,"d",IF(INDIRECT(_xlfn.CONCAT("'",IF(ISNUMBER(FIND("'",$A72))=TRUE,_xlfn.CONCAT(LEFT($A72,FIND("'",$A72)-1),"''",RIGHT($A72,LEN($A72)-FIND("'",$A72))),$A72),"'!B5"))&gt;=J$2,"i",""))</f>
        <v>d</v>
      </c>
      <c r="K72" s="1" t="str" cm="1">
        <f t="array" aca="1" ref="K72" ca="1">IF(INDIRECT(_xlfn.CONCAT("'",IF(ISNUMBER(FIND("'",$A72))=TRUE,_xlfn.CONCAT(LEFT($A72,FIND("'",$A72)-1),"''",RIGHT($A72,LEN($A72)-FIND("'",$A72))),$A72),"'!B4"))&gt;=K$2,"d",IF(INDIRECT(_xlfn.CONCAT("'",IF(ISNUMBER(FIND("'",$A72))=TRUE,_xlfn.CONCAT(LEFT($A72,FIND("'",$A72)-1),"''",RIGHT($A72,LEN($A72)-FIND("'",$A72))),$A72),"'!B5"))&gt;=K$2,"i",""))</f>
        <v>d</v>
      </c>
      <c r="L72" s="1" t="str" cm="1">
        <f t="array" aca="1" ref="L72" ca="1">IF(INDIRECT(_xlfn.CONCAT("'",IF(ISNUMBER(FIND("'",$A72))=TRUE,_xlfn.CONCAT(LEFT($A72,FIND("'",$A72)-1),"''",RIGHT($A72,LEN($A72)-FIND("'",$A72))),$A72),"'!B4"))&gt;=L$2,"d",IF(INDIRECT(_xlfn.CONCAT("'",IF(ISNUMBER(FIND("'",$A72))=TRUE,_xlfn.CONCAT(LEFT($A72,FIND("'",$A72)-1),"''",RIGHT($A72,LEN($A72)-FIND("'",$A72))),$A72),"'!B5"))&gt;=L$2,"i",""))</f>
        <v>d</v>
      </c>
      <c r="M72" s="4" t="str" cm="1">
        <f t="array" aca="1" ref="M72" ca="1">IF(INDIRECT(_xlfn.CONCAT("'",IF(ISNUMBER(FIND("'",$A72))=TRUE,_xlfn.CONCAT(LEFT($A72,FIND("'",$A72)-1),"''",RIGHT($A72,LEN($A72)-FIND("'",$A72))),$A72),"'!B4"))&gt;=M$2,"d",IF(INDIRECT(_xlfn.CONCAT("'",IF(ISNUMBER(FIND("'",$A72))=TRUE,_xlfn.CONCAT(LEFT($A72,FIND("'",$A72)-1),"''",RIGHT($A72,LEN($A72)-FIND("'",$A72))),$A72),"'!B5"))&gt;=M$2,"i",""))</f>
        <v>d</v>
      </c>
      <c r="N72" s="95"/>
      <c r="O72" s="14" t="str" cm="1">
        <f t="array" aca="1" ref="O72" ca="1">IF(INDIRECT(_xlfn.CONCAT("'",IF(ISNUMBER(FIND("'",$A72))=TRUE,_xlfn.CONCAT(LEFT($A72,FIND("'",$A72)-1),"''",RIGHT($A72,LEN($A72)-FIND("'",$A72))),$A72),"'!C10"))&gt;=O$2,"d",IF(INDIRECT(_xlfn.CONCAT("'",IF(ISNUMBER(FIND("'",$A72))=TRUE,_xlfn.CONCAT(LEFT($A72,FIND("'",$A72)-1),"''",RIGHT($A72,LEN($A72)-FIND("'",$A72))),$A72),"'!C11"))&gt;=O$2,"i",""))</f>
        <v>d</v>
      </c>
      <c r="P72" s="1" t="str" cm="1">
        <f t="array" aca="1" ref="P72" ca="1">IF(INDIRECT(_xlfn.CONCAT("'",IF(ISNUMBER(FIND("'",$A72))=TRUE,_xlfn.CONCAT(LEFT($A72,FIND("'",$A72)-1),"''",RIGHT($A72,LEN($A72)-FIND("'",$A72))),$A72),"'!C10"))&gt;=P$2,"d",IF(INDIRECT(_xlfn.CONCAT("'",IF(ISNUMBER(FIND("'",$A72))=TRUE,_xlfn.CONCAT(LEFT($A72,FIND("'",$A72)-1),"''",RIGHT($A72,LEN($A72)-FIND("'",$A72))),$A72),"'!C11"))&gt;=P$2,"i",""))</f>
        <v>d</v>
      </c>
      <c r="Q72" s="1" t="str" cm="1">
        <f t="array" aca="1" ref="Q72" ca="1">IF(INDIRECT(_xlfn.CONCAT("'",IF(ISNUMBER(FIND("'",$A72))=TRUE,_xlfn.CONCAT(LEFT($A72,FIND("'",$A72)-1),"''",RIGHT($A72,LEN($A72)-FIND("'",$A72))),$A72),"'!C10"))&gt;=Q$2,"d",IF(INDIRECT(_xlfn.CONCAT("'",IF(ISNUMBER(FIND("'",$A72))=TRUE,_xlfn.CONCAT(LEFT($A72,FIND("'",$A72)-1),"''",RIGHT($A72,LEN($A72)-FIND("'",$A72))),$A72),"'!C11"))&gt;=Q$2,"i",""))</f>
        <v>d</v>
      </c>
      <c r="R72" s="1" t="str" cm="1">
        <f t="array" aca="1" ref="R72" ca="1">IF(INDIRECT(_xlfn.CONCAT("'",IF(ISNUMBER(FIND("'",$A72))=TRUE,_xlfn.CONCAT(LEFT($A72,FIND("'",$A72)-1),"''",RIGHT($A72,LEN($A72)-FIND("'",$A72))),$A72),"'!C10"))&gt;=R$2,"d",IF(INDIRECT(_xlfn.CONCAT("'",IF(ISNUMBER(FIND("'",$A72))=TRUE,_xlfn.CONCAT(LEFT($A72,FIND("'",$A72)-1),"''",RIGHT($A72,LEN($A72)-FIND("'",$A72))),$A72),"'!C11"))&gt;=R$2,"i",""))</f>
        <v>d</v>
      </c>
      <c r="S72" s="1" t="str" cm="1">
        <f t="array" aca="1" ref="S72" ca="1">IF(INDIRECT(_xlfn.CONCAT("'",IF(ISNUMBER(FIND("'",$A72))=TRUE,_xlfn.CONCAT(LEFT($A72,FIND("'",$A72)-1),"''",RIGHT($A72,LEN($A72)-FIND("'",$A72))),$A72),"'!C10"))&gt;=S$2,"d",IF(INDIRECT(_xlfn.CONCAT("'",IF(ISNUMBER(FIND("'",$A72))=TRUE,_xlfn.CONCAT(LEFT($A72,FIND("'",$A72)-1),"''",RIGHT($A72,LEN($A72)-FIND("'",$A72))),$A72),"'!C11"))&gt;=S$2,"i",""))</f>
        <v>d</v>
      </c>
      <c r="T72" s="4" t="str" cm="1">
        <f t="array" aca="1" ref="T72" ca="1">IF(INDIRECT(_xlfn.CONCAT("'",IF(ISNUMBER(FIND("'",$A72))=TRUE,_xlfn.CONCAT(LEFT($A72,FIND("'",$A72)-1),"''",RIGHT($A72,LEN($A72)-FIND("'",$A72))),$A72),"'!C10"))&gt;=T$2,"d",IF(INDIRECT(_xlfn.CONCAT("'",IF(ISNUMBER(FIND("'",$A72))=TRUE,_xlfn.CONCAT(LEFT($A72,FIND("'",$A72)-1),"''",RIGHT($A72,LEN($A72)-FIND("'",$A72))),$A72),"'!C11"))&gt;=T$2,"i",""))</f>
        <v>d</v>
      </c>
    </row>
    <row r="73" spans="1:20" hidden="1" x14ac:dyDescent="0.25">
      <c r="A73" s="54" t="str">
        <v>Favonius Codex</v>
      </c>
      <c r="B73" s="14" cm="1">
        <f t="array" ref="B73">_xlfn.XLOOKUP(A73,INDEX(Weapon_List,,1),INDEX(Weapon_List,,3),,0,1)</f>
        <v>4</v>
      </c>
      <c r="C73" s="4" t="str" cm="1">
        <f t="array" ref="C73">_xlfn.XLOOKUP(A73,INDEX(Weapon_List,,1),INDEX(Weapon_List,,2),,0,1)</f>
        <v>Catalyst</v>
      </c>
      <c r="D73" s="38" t="str" cm="1">
        <f t="array" ref="D73">_xlfn.XLOOKUP(A73,INDEX(Weapon_List,,1),INDEX(Weapon_List,,4),,0,1)</f>
        <v>Mondstadt 1</v>
      </c>
      <c r="E73" s="38" t="str" cm="1">
        <f t="array" ref="E73">_xlfn.XLOOKUP(A73,INDEX(Weapon_List,,1),INDEX(Weapon_List,,5),,0,1)</f>
        <v>Samachurl</v>
      </c>
      <c r="F73" s="38" t="str" cm="1">
        <f t="array" ref="F73">_xlfn.XLOOKUP(A73,INDEX(Weapon_List,,1),INDEX(Weapon_List,,6),,0,1)</f>
        <v>Mitachurl</v>
      </c>
      <c r="G73" s="14" t="str" cm="1">
        <f t="array" aca="1" ref="G73" ca="1">IF(INDIRECT(_xlfn.CONCAT("'",IF(ISNUMBER(FIND("'",$A73))=TRUE,_xlfn.CONCAT(LEFT($A73,FIND("'",$A73)-1),"''",RIGHT($A73,LEN($A73)-FIND("'",$A73))),$A73),"'!B4"))&gt;=G$2,"d",IF(INDIRECT(_xlfn.CONCAT("'",IF(ISNUMBER(FIND("'",$A73))=TRUE,_xlfn.CONCAT(LEFT($A73,FIND("'",$A73)-1),"''",RIGHT($A73,LEN($A73)-FIND("'",$A73))),$A73),"'!B5"))&gt;=G$2,"i",""))</f>
        <v>d</v>
      </c>
      <c r="H73" s="1" t="str" cm="1">
        <f t="array" aca="1" ref="H73" ca="1">IF(INDIRECT(_xlfn.CONCAT("'",IF(ISNUMBER(FIND("'",$A73))=TRUE,_xlfn.CONCAT(LEFT($A73,FIND("'",$A73)-1),"''",RIGHT($A73,LEN($A73)-FIND("'",$A73))),$A73),"'!B4"))&gt;=H$2,"d",IF(INDIRECT(_xlfn.CONCAT("'",IF(ISNUMBER(FIND("'",$A73))=TRUE,_xlfn.CONCAT(LEFT($A73,FIND("'",$A73)-1),"''",RIGHT($A73,LEN($A73)-FIND("'",$A73))),$A73),"'!B5"))&gt;=H$2,"i",""))</f>
        <v>d</v>
      </c>
      <c r="I73" s="1" t="str" cm="1">
        <f t="array" aca="1" ref="I73" ca="1">IF(INDIRECT(_xlfn.CONCAT("'",IF(ISNUMBER(FIND("'",$A73))=TRUE,_xlfn.CONCAT(LEFT($A73,FIND("'",$A73)-1),"''",RIGHT($A73,LEN($A73)-FIND("'",$A73))),$A73),"'!B4"))&gt;=I$2,"d",IF(INDIRECT(_xlfn.CONCAT("'",IF(ISNUMBER(FIND("'",$A73))=TRUE,_xlfn.CONCAT(LEFT($A73,FIND("'",$A73)-1),"''",RIGHT($A73,LEN($A73)-FIND("'",$A73))),$A73),"'!B5"))&gt;=I$2,"i",""))</f>
        <v>d</v>
      </c>
      <c r="J73" s="1" t="str" cm="1">
        <f t="array" aca="1" ref="J73" ca="1">IF(INDIRECT(_xlfn.CONCAT("'",IF(ISNUMBER(FIND("'",$A73))=TRUE,_xlfn.CONCAT(LEFT($A73,FIND("'",$A73)-1),"''",RIGHT($A73,LEN($A73)-FIND("'",$A73))),$A73),"'!B4"))&gt;=J$2,"d",IF(INDIRECT(_xlfn.CONCAT("'",IF(ISNUMBER(FIND("'",$A73))=TRUE,_xlfn.CONCAT(LEFT($A73,FIND("'",$A73)-1),"''",RIGHT($A73,LEN($A73)-FIND("'",$A73))),$A73),"'!B5"))&gt;=J$2,"i",""))</f>
        <v>d</v>
      </c>
      <c r="K73" s="1" t="str" cm="1">
        <f t="array" aca="1" ref="K73" ca="1">IF(INDIRECT(_xlfn.CONCAT("'",IF(ISNUMBER(FIND("'",$A73))=TRUE,_xlfn.CONCAT(LEFT($A73,FIND("'",$A73)-1),"''",RIGHT($A73,LEN($A73)-FIND("'",$A73))),$A73),"'!B4"))&gt;=K$2,"d",IF(INDIRECT(_xlfn.CONCAT("'",IF(ISNUMBER(FIND("'",$A73))=TRUE,_xlfn.CONCAT(LEFT($A73,FIND("'",$A73)-1),"''",RIGHT($A73,LEN($A73)-FIND("'",$A73))),$A73),"'!B5"))&gt;=K$2,"i",""))</f>
        <v>d</v>
      </c>
      <c r="L73" s="1" t="str" cm="1">
        <f t="array" aca="1" ref="L73" ca="1">IF(INDIRECT(_xlfn.CONCAT("'",IF(ISNUMBER(FIND("'",$A73))=TRUE,_xlfn.CONCAT(LEFT($A73,FIND("'",$A73)-1),"''",RIGHT($A73,LEN($A73)-FIND("'",$A73))),$A73),"'!B4"))&gt;=L$2,"d",IF(INDIRECT(_xlfn.CONCAT("'",IF(ISNUMBER(FIND("'",$A73))=TRUE,_xlfn.CONCAT(LEFT($A73,FIND("'",$A73)-1),"''",RIGHT($A73,LEN($A73)-FIND("'",$A73))),$A73),"'!B5"))&gt;=L$2,"i",""))</f>
        <v>d</v>
      </c>
      <c r="M73" s="4" t="str" cm="1">
        <f t="array" aca="1" ref="M73" ca="1">IF(INDIRECT(_xlfn.CONCAT("'",IF(ISNUMBER(FIND("'",$A73))=TRUE,_xlfn.CONCAT(LEFT($A73,FIND("'",$A73)-1),"''",RIGHT($A73,LEN($A73)-FIND("'",$A73))),$A73),"'!B4"))&gt;=M$2,"d",IF(INDIRECT(_xlfn.CONCAT("'",IF(ISNUMBER(FIND("'",$A73))=TRUE,_xlfn.CONCAT(LEFT($A73,FIND("'",$A73)-1),"''",RIGHT($A73,LEN($A73)-FIND("'",$A73))),$A73),"'!B5"))&gt;=M$2,"i",""))</f>
        <v>d</v>
      </c>
      <c r="N73" s="95"/>
      <c r="O73" s="14" t="str" cm="1">
        <f t="array" aca="1" ref="O73" ca="1">IF(INDIRECT(_xlfn.CONCAT("'",IF(ISNUMBER(FIND("'",$A73))=TRUE,_xlfn.CONCAT(LEFT($A73,FIND("'",$A73)-1),"''",RIGHT($A73,LEN($A73)-FIND("'",$A73))),$A73),"'!C10"))&gt;=O$2,"d",IF(INDIRECT(_xlfn.CONCAT("'",IF(ISNUMBER(FIND("'",$A73))=TRUE,_xlfn.CONCAT(LEFT($A73,FIND("'",$A73)-1),"''",RIGHT($A73,LEN($A73)-FIND("'",$A73))),$A73),"'!C11"))&gt;=O$2,"i",""))</f>
        <v>d</v>
      </c>
      <c r="P73" s="1" t="str" cm="1">
        <f t="array" aca="1" ref="P73" ca="1">IF(INDIRECT(_xlfn.CONCAT("'",IF(ISNUMBER(FIND("'",$A73))=TRUE,_xlfn.CONCAT(LEFT($A73,FIND("'",$A73)-1),"''",RIGHT($A73,LEN($A73)-FIND("'",$A73))),$A73),"'!C10"))&gt;=P$2,"d",IF(INDIRECT(_xlfn.CONCAT("'",IF(ISNUMBER(FIND("'",$A73))=TRUE,_xlfn.CONCAT(LEFT($A73,FIND("'",$A73)-1),"''",RIGHT($A73,LEN($A73)-FIND("'",$A73))),$A73),"'!C11"))&gt;=P$2,"i",""))</f>
        <v>d</v>
      </c>
      <c r="Q73" s="1" t="str" cm="1">
        <f t="array" aca="1" ref="Q73" ca="1">IF(INDIRECT(_xlfn.CONCAT("'",IF(ISNUMBER(FIND("'",$A73))=TRUE,_xlfn.CONCAT(LEFT($A73,FIND("'",$A73)-1),"''",RIGHT($A73,LEN($A73)-FIND("'",$A73))),$A73),"'!C10"))&gt;=Q$2,"d",IF(INDIRECT(_xlfn.CONCAT("'",IF(ISNUMBER(FIND("'",$A73))=TRUE,_xlfn.CONCAT(LEFT($A73,FIND("'",$A73)-1),"''",RIGHT($A73,LEN($A73)-FIND("'",$A73))),$A73),"'!C11"))&gt;=Q$2,"i",""))</f>
        <v>d</v>
      </c>
      <c r="R73" s="1" t="str" cm="1">
        <f t="array" aca="1" ref="R73" ca="1">IF(INDIRECT(_xlfn.CONCAT("'",IF(ISNUMBER(FIND("'",$A73))=TRUE,_xlfn.CONCAT(LEFT($A73,FIND("'",$A73)-1),"''",RIGHT($A73,LEN($A73)-FIND("'",$A73))),$A73),"'!C10"))&gt;=R$2,"d",IF(INDIRECT(_xlfn.CONCAT("'",IF(ISNUMBER(FIND("'",$A73))=TRUE,_xlfn.CONCAT(LEFT($A73,FIND("'",$A73)-1),"''",RIGHT($A73,LEN($A73)-FIND("'",$A73))),$A73),"'!C11"))&gt;=R$2,"i",""))</f>
        <v>d</v>
      </c>
      <c r="S73" s="1" t="str" cm="1">
        <f t="array" aca="1" ref="S73" ca="1">IF(INDIRECT(_xlfn.CONCAT("'",IF(ISNUMBER(FIND("'",$A73))=TRUE,_xlfn.CONCAT(LEFT($A73,FIND("'",$A73)-1),"''",RIGHT($A73,LEN($A73)-FIND("'",$A73))),$A73),"'!C10"))&gt;=S$2,"d",IF(INDIRECT(_xlfn.CONCAT("'",IF(ISNUMBER(FIND("'",$A73))=TRUE,_xlfn.CONCAT(LEFT($A73,FIND("'",$A73)-1),"''",RIGHT($A73,LEN($A73)-FIND("'",$A73))),$A73),"'!C11"))&gt;=S$2,"i",""))</f>
        <v>d</v>
      </c>
      <c r="T73" s="4" t="str" cm="1">
        <f t="array" aca="1" ref="T73" ca="1">IF(INDIRECT(_xlfn.CONCAT("'",IF(ISNUMBER(FIND("'",$A73))=TRUE,_xlfn.CONCAT(LEFT($A73,FIND("'",$A73)-1),"''",RIGHT($A73,LEN($A73)-FIND("'",$A73))),$A73),"'!C10"))&gt;=T$2,"d",IF(INDIRECT(_xlfn.CONCAT("'",IF(ISNUMBER(FIND("'",$A73))=TRUE,_xlfn.CONCAT(LEFT($A73,FIND("'",$A73)-1),"''",RIGHT($A73,LEN($A73)-FIND("'",$A73))),$A73),"'!C11"))&gt;=T$2,"i",""))</f>
        <v>d</v>
      </c>
    </row>
    <row r="74" spans="1:20" hidden="1" x14ac:dyDescent="0.25">
      <c r="A74" s="54" t="str">
        <v>Sacrificial Fragments</v>
      </c>
      <c r="B74" s="14" cm="1">
        <f t="array" ref="B74">_xlfn.XLOOKUP(A74,INDEX(Weapon_List,,1),INDEX(Weapon_List,,3),,0,1)</f>
        <v>4</v>
      </c>
      <c r="C74" s="4" t="str" cm="1">
        <f t="array" ref="C74">_xlfn.XLOOKUP(A74,INDEX(Weapon_List,,1),INDEX(Weapon_List,,2),,0,1)</f>
        <v>Catalyst</v>
      </c>
      <c r="D74" s="38" t="str" cm="1">
        <f t="array" ref="D74">_xlfn.XLOOKUP(A74,INDEX(Weapon_List,,1),INDEX(Weapon_List,,4),,0,1)</f>
        <v>Mondstadt 3</v>
      </c>
      <c r="E74" s="38" t="str" cm="1">
        <f t="array" ref="E74">_xlfn.XLOOKUP(A74,INDEX(Weapon_List,,1),INDEX(Weapon_List,,5),,0,1)</f>
        <v>Treasure Hoarder</v>
      </c>
      <c r="F74" s="38" t="str" cm="1">
        <f t="array" ref="F74">_xlfn.XLOOKUP(A74,INDEX(Weapon_List,,1),INDEX(Weapon_List,,6),,0,1)</f>
        <v>Ruin Machine 1</v>
      </c>
      <c r="G74" s="14" t="str" cm="1">
        <f t="array" aca="1" ref="G74" ca="1">IF(INDIRECT(_xlfn.CONCAT("'",IF(ISNUMBER(FIND("'",$A74))=TRUE,_xlfn.CONCAT(LEFT($A74,FIND("'",$A74)-1),"''",RIGHT($A74,LEN($A74)-FIND("'",$A74))),$A74),"'!B4"))&gt;=G$2,"d",IF(INDIRECT(_xlfn.CONCAT("'",IF(ISNUMBER(FIND("'",$A74))=TRUE,_xlfn.CONCAT(LEFT($A74,FIND("'",$A74)-1),"''",RIGHT($A74,LEN($A74)-FIND("'",$A74))),$A74),"'!B5"))&gt;=G$2,"i",""))</f>
        <v>d</v>
      </c>
      <c r="H74" s="1" t="str" cm="1">
        <f t="array" aca="1" ref="H74" ca="1">IF(INDIRECT(_xlfn.CONCAT("'",IF(ISNUMBER(FIND("'",$A74))=TRUE,_xlfn.CONCAT(LEFT($A74,FIND("'",$A74)-1),"''",RIGHT($A74,LEN($A74)-FIND("'",$A74))),$A74),"'!B4"))&gt;=H$2,"d",IF(INDIRECT(_xlfn.CONCAT("'",IF(ISNUMBER(FIND("'",$A74))=TRUE,_xlfn.CONCAT(LEFT($A74,FIND("'",$A74)-1),"''",RIGHT($A74,LEN($A74)-FIND("'",$A74))),$A74),"'!B5"))&gt;=H$2,"i",""))</f>
        <v>d</v>
      </c>
      <c r="I74" s="1" t="str" cm="1">
        <f t="array" aca="1" ref="I74" ca="1">IF(INDIRECT(_xlfn.CONCAT("'",IF(ISNUMBER(FIND("'",$A74))=TRUE,_xlfn.CONCAT(LEFT($A74,FIND("'",$A74)-1),"''",RIGHT($A74,LEN($A74)-FIND("'",$A74))),$A74),"'!B4"))&gt;=I$2,"d",IF(INDIRECT(_xlfn.CONCAT("'",IF(ISNUMBER(FIND("'",$A74))=TRUE,_xlfn.CONCAT(LEFT($A74,FIND("'",$A74)-1),"''",RIGHT($A74,LEN($A74)-FIND("'",$A74))),$A74),"'!B5"))&gt;=I$2,"i",""))</f>
        <v>d</v>
      </c>
      <c r="J74" s="1" t="str" cm="1">
        <f t="array" aca="1" ref="J74" ca="1">IF(INDIRECT(_xlfn.CONCAT("'",IF(ISNUMBER(FIND("'",$A74))=TRUE,_xlfn.CONCAT(LEFT($A74,FIND("'",$A74)-1),"''",RIGHT($A74,LEN($A74)-FIND("'",$A74))),$A74),"'!B4"))&gt;=J$2,"d",IF(INDIRECT(_xlfn.CONCAT("'",IF(ISNUMBER(FIND("'",$A74))=TRUE,_xlfn.CONCAT(LEFT($A74,FIND("'",$A74)-1),"''",RIGHT($A74,LEN($A74)-FIND("'",$A74))),$A74),"'!B5"))&gt;=J$2,"i",""))</f>
        <v>d</v>
      </c>
      <c r="K74" s="1" t="str" cm="1">
        <f t="array" aca="1" ref="K74" ca="1">IF(INDIRECT(_xlfn.CONCAT("'",IF(ISNUMBER(FIND("'",$A74))=TRUE,_xlfn.CONCAT(LEFT($A74,FIND("'",$A74)-1),"''",RIGHT($A74,LEN($A74)-FIND("'",$A74))),$A74),"'!B4"))&gt;=K$2,"d",IF(INDIRECT(_xlfn.CONCAT("'",IF(ISNUMBER(FIND("'",$A74))=TRUE,_xlfn.CONCAT(LEFT($A74,FIND("'",$A74)-1),"''",RIGHT($A74,LEN($A74)-FIND("'",$A74))),$A74),"'!B5"))&gt;=K$2,"i",""))</f>
        <v>d</v>
      </c>
      <c r="L74" s="1" t="str" cm="1">
        <f t="array" aca="1" ref="L74" ca="1">IF(INDIRECT(_xlfn.CONCAT("'",IF(ISNUMBER(FIND("'",$A74))=TRUE,_xlfn.CONCAT(LEFT($A74,FIND("'",$A74)-1),"''",RIGHT($A74,LEN($A74)-FIND("'",$A74))),$A74),"'!B4"))&gt;=L$2,"d",IF(INDIRECT(_xlfn.CONCAT("'",IF(ISNUMBER(FIND("'",$A74))=TRUE,_xlfn.CONCAT(LEFT($A74,FIND("'",$A74)-1),"''",RIGHT($A74,LEN($A74)-FIND("'",$A74))),$A74),"'!B5"))&gt;=L$2,"i",""))</f>
        <v>d</v>
      </c>
      <c r="M74" s="4" t="str" cm="1">
        <f t="array" aca="1" ref="M74" ca="1">IF(INDIRECT(_xlfn.CONCAT("'",IF(ISNUMBER(FIND("'",$A74))=TRUE,_xlfn.CONCAT(LEFT($A74,FIND("'",$A74)-1),"''",RIGHT($A74,LEN($A74)-FIND("'",$A74))),$A74),"'!B4"))&gt;=M$2,"d",IF(INDIRECT(_xlfn.CONCAT("'",IF(ISNUMBER(FIND("'",$A74))=TRUE,_xlfn.CONCAT(LEFT($A74,FIND("'",$A74)-1),"''",RIGHT($A74,LEN($A74)-FIND("'",$A74))),$A74),"'!B5"))&gt;=M$2,"i",""))</f>
        <v>d</v>
      </c>
      <c r="N74" s="95"/>
      <c r="O74" s="14" t="str" cm="1">
        <f t="array" aca="1" ref="O74" ca="1">IF(INDIRECT(_xlfn.CONCAT("'",IF(ISNUMBER(FIND("'",$A74))=TRUE,_xlfn.CONCAT(LEFT($A74,FIND("'",$A74)-1),"''",RIGHT($A74,LEN($A74)-FIND("'",$A74))),$A74),"'!C10"))&gt;=O$2,"d",IF(INDIRECT(_xlfn.CONCAT("'",IF(ISNUMBER(FIND("'",$A74))=TRUE,_xlfn.CONCAT(LEFT($A74,FIND("'",$A74)-1),"''",RIGHT($A74,LEN($A74)-FIND("'",$A74))),$A74),"'!C11"))&gt;=O$2,"i",""))</f>
        <v>d</v>
      </c>
      <c r="P74" s="1" t="str" cm="1">
        <f t="array" aca="1" ref="P74" ca="1">IF(INDIRECT(_xlfn.CONCAT("'",IF(ISNUMBER(FIND("'",$A74))=TRUE,_xlfn.CONCAT(LEFT($A74,FIND("'",$A74)-1),"''",RIGHT($A74,LEN($A74)-FIND("'",$A74))),$A74),"'!C10"))&gt;=P$2,"d",IF(INDIRECT(_xlfn.CONCAT("'",IF(ISNUMBER(FIND("'",$A74))=TRUE,_xlfn.CONCAT(LEFT($A74,FIND("'",$A74)-1),"''",RIGHT($A74,LEN($A74)-FIND("'",$A74))),$A74),"'!C11"))&gt;=P$2,"i",""))</f>
        <v>d</v>
      </c>
      <c r="Q74" s="1" t="str" cm="1">
        <f t="array" aca="1" ref="Q74" ca="1">IF(INDIRECT(_xlfn.CONCAT("'",IF(ISNUMBER(FIND("'",$A74))=TRUE,_xlfn.CONCAT(LEFT($A74,FIND("'",$A74)-1),"''",RIGHT($A74,LEN($A74)-FIND("'",$A74))),$A74),"'!C10"))&gt;=Q$2,"d",IF(INDIRECT(_xlfn.CONCAT("'",IF(ISNUMBER(FIND("'",$A74))=TRUE,_xlfn.CONCAT(LEFT($A74,FIND("'",$A74)-1),"''",RIGHT($A74,LEN($A74)-FIND("'",$A74))),$A74),"'!C11"))&gt;=Q$2,"i",""))</f>
        <v>d</v>
      </c>
      <c r="R74" s="1" t="str" cm="1">
        <f t="array" aca="1" ref="R74" ca="1">IF(INDIRECT(_xlfn.CONCAT("'",IF(ISNUMBER(FIND("'",$A74))=TRUE,_xlfn.CONCAT(LEFT($A74,FIND("'",$A74)-1),"''",RIGHT($A74,LEN($A74)-FIND("'",$A74))),$A74),"'!C10"))&gt;=R$2,"d",IF(INDIRECT(_xlfn.CONCAT("'",IF(ISNUMBER(FIND("'",$A74))=TRUE,_xlfn.CONCAT(LEFT($A74,FIND("'",$A74)-1),"''",RIGHT($A74,LEN($A74)-FIND("'",$A74))),$A74),"'!C11"))&gt;=R$2,"i",""))</f>
        <v>d</v>
      </c>
      <c r="S74" s="1" t="str" cm="1">
        <f t="array" aca="1" ref="S74" ca="1">IF(INDIRECT(_xlfn.CONCAT("'",IF(ISNUMBER(FIND("'",$A74))=TRUE,_xlfn.CONCAT(LEFT($A74,FIND("'",$A74)-1),"''",RIGHT($A74,LEN($A74)-FIND("'",$A74))),$A74),"'!C10"))&gt;=S$2,"d",IF(INDIRECT(_xlfn.CONCAT("'",IF(ISNUMBER(FIND("'",$A74))=TRUE,_xlfn.CONCAT(LEFT($A74,FIND("'",$A74)-1),"''",RIGHT($A74,LEN($A74)-FIND("'",$A74))),$A74),"'!C11"))&gt;=S$2,"i",""))</f>
        <v>d</v>
      </c>
      <c r="T74" s="4" t="str" cm="1">
        <f t="array" aca="1" ref="T74" ca="1">IF(INDIRECT(_xlfn.CONCAT("'",IF(ISNUMBER(FIND("'",$A74))=TRUE,_xlfn.CONCAT(LEFT($A74,FIND("'",$A74)-1),"''",RIGHT($A74,LEN($A74)-FIND("'",$A74))),$A74),"'!C10"))&gt;=T$2,"d",IF(INDIRECT(_xlfn.CONCAT("'",IF(ISNUMBER(FIND("'",$A74))=TRUE,_xlfn.CONCAT(LEFT($A74,FIND("'",$A74)-1),"''",RIGHT($A74,LEN($A74)-FIND("'",$A74))),$A74),"'!C11"))&gt;=T$2,"i",""))</f>
        <v>d</v>
      </c>
    </row>
    <row r="75" spans="1:20" hidden="1" x14ac:dyDescent="0.25">
      <c r="A75" s="54" t="str">
        <v>The Widsith</v>
      </c>
      <c r="B75" s="14" cm="1">
        <f t="array" ref="B75">_xlfn.XLOOKUP(A75,INDEX(Weapon_List,,1),INDEX(Weapon_List,,3),,0,1)</f>
        <v>4</v>
      </c>
      <c r="C75" s="4" t="str" cm="1">
        <f t="array" ref="C75">_xlfn.XLOOKUP(A75,INDEX(Weapon_List,,1),INDEX(Weapon_List,,2),,0,1)</f>
        <v>Catalyst</v>
      </c>
      <c r="D75" s="38" t="str" cm="1">
        <f t="array" ref="D75">_xlfn.XLOOKUP(A75,INDEX(Weapon_List,,1),INDEX(Weapon_List,,4),,0,1)</f>
        <v>Mondstadt 2</v>
      </c>
      <c r="E75" s="38" t="str" cm="1">
        <f t="array" ref="E75">_xlfn.XLOOKUP(A75,INDEX(Weapon_List,,1),INDEX(Weapon_List,,5),,0,1)</f>
        <v>Hilichurl</v>
      </c>
      <c r="F75" s="38" t="str" cm="1">
        <f t="array" ref="F75">_xlfn.XLOOKUP(A75,INDEX(Weapon_List,,1),INDEX(Weapon_List,,6),,0,1)</f>
        <v>Abyss Mage</v>
      </c>
      <c r="G75" s="14" t="str" cm="1">
        <f t="array" aca="1" ref="G75" ca="1">IF(INDIRECT(_xlfn.CONCAT("'",IF(ISNUMBER(FIND("'",$A75))=TRUE,_xlfn.CONCAT(LEFT($A75,FIND("'",$A75)-1),"''",RIGHT($A75,LEN($A75)-FIND("'",$A75))),$A75),"'!B4"))&gt;=G$2,"d",IF(INDIRECT(_xlfn.CONCAT("'",IF(ISNUMBER(FIND("'",$A75))=TRUE,_xlfn.CONCAT(LEFT($A75,FIND("'",$A75)-1),"''",RIGHT($A75,LEN($A75)-FIND("'",$A75))),$A75),"'!B5"))&gt;=G$2,"i",""))</f>
        <v>d</v>
      </c>
      <c r="H75" s="1" t="str" cm="1">
        <f t="array" aca="1" ref="H75" ca="1">IF(INDIRECT(_xlfn.CONCAT("'",IF(ISNUMBER(FIND("'",$A75))=TRUE,_xlfn.CONCAT(LEFT($A75,FIND("'",$A75)-1),"''",RIGHT($A75,LEN($A75)-FIND("'",$A75))),$A75),"'!B4"))&gt;=H$2,"d",IF(INDIRECT(_xlfn.CONCAT("'",IF(ISNUMBER(FIND("'",$A75))=TRUE,_xlfn.CONCAT(LEFT($A75,FIND("'",$A75)-1),"''",RIGHT($A75,LEN($A75)-FIND("'",$A75))),$A75),"'!B5"))&gt;=H$2,"i",""))</f>
        <v>d</v>
      </c>
      <c r="I75" s="1" t="str" cm="1">
        <f t="array" aca="1" ref="I75" ca="1">IF(INDIRECT(_xlfn.CONCAT("'",IF(ISNUMBER(FIND("'",$A75))=TRUE,_xlfn.CONCAT(LEFT($A75,FIND("'",$A75)-1),"''",RIGHT($A75,LEN($A75)-FIND("'",$A75))),$A75),"'!B4"))&gt;=I$2,"d",IF(INDIRECT(_xlfn.CONCAT("'",IF(ISNUMBER(FIND("'",$A75))=TRUE,_xlfn.CONCAT(LEFT($A75,FIND("'",$A75)-1),"''",RIGHT($A75,LEN($A75)-FIND("'",$A75))),$A75),"'!B5"))&gt;=I$2,"i",""))</f>
        <v>d</v>
      </c>
      <c r="J75" s="1" t="str" cm="1">
        <f t="array" aca="1" ref="J75" ca="1">IF(INDIRECT(_xlfn.CONCAT("'",IF(ISNUMBER(FIND("'",$A75))=TRUE,_xlfn.CONCAT(LEFT($A75,FIND("'",$A75)-1),"''",RIGHT($A75,LEN($A75)-FIND("'",$A75))),$A75),"'!B4"))&gt;=J$2,"d",IF(INDIRECT(_xlfn.CONCAT("'",IF(ISNUMBER(FIND("'",$A75))=TRUE,_xlfn.CONCAT(LEFT($A75,FIND("'",$A75)-1),"''",RIGHT($A75,LEN($A75)-FIND("'",$A75))),$A75),"'!B5"))&gt;=J$2,"i",""))</f>
        <v>d</v>
      </c>
      <c r="K75" s="1" t="str" cm="1">
        <f t="array" aca="1" ref="K75" ca="1">IF(INDIRECT(_xlfn.CONCAT("'",IF(ISNUMBER(FIND("'",$A75))=TRUE,_xlfn.CONCAT(LEFT($A75,FIND("'",$A75)-1),"''",RIGHT($A75,LEN($A75)-FIND("'",$A75))),$A75),"'!B4"))&gt;=K$2,"d",IF(INDIRECT(_xlfn.CONCAT("'",IF(ISNUMBER(FIND("'",$A75))=TRUE,_xlfn.CONCAT(LEFT($A75,FIND("'",$A75)-1),"''",RIGHT($A75,LEN($A75)-FIND("'",$A75))),$A75),"'!B5"))&gt;=K$2,"i",""))</f>
        <v>d</v>
      </c>
      <c r="L75" s="1" t="str" cm="1">
        <f t="array" aca="1" ref="L75" ca="1">IF(INDIRECT(_xlfn.CONCAT("'",IF(ISNUMBER(FIND("'",$A75))=TRUE,_xlfn.CONCAT(LEFT($A75,FIND("'",$A75)-1),"''",RIGHT($A75,LEN($A75)-FIND("'",$A75))),$A75),"'!B4"))&gt;=L$2,"d",IF(INDIRECT(_xlfn.CONCAT("'",IF(ISNUMBER(FIND("'",$A75))=TRUE,_xlfn.CONCAT(LEFT($A75,FIND("'",$A75)-1),"''",RIGHT($A75,LEN($A75)-FIND("'",$A75))),$A75),"'!B5"))&gt;=L$2,"i",""))</f>
        <v>d</v>
      </c>
      <c r="M75" s="4" t="str" cm="1">
        <f t="array" aca="1" ref="M75" ca="1">IF(INDIRECT(_xlfn.CONCAT("'",IF(ISNUMBER(FIND("'",$A75))=TRUE,_xlfn.CONCAT(LEFT($A75,FIND("'",$A75)-1),"''",RIGHT($A75,LEN($A75)-FIND("'",$A75))),$A75),"'!B4"))&gt;=M$2,"d",IF(INDIRECT(_xlfn.CONCAT("'",IF(ISNUMBER(FIND("'",$A75))=TRUE,_xlfn.CONCAT(LEFT($A75,FIND("'",$A75)-1),"''",RIGHT($A75,LEN($A75)-FIND("'",$A75))),$A75),"'!B5"))&gt;=M$2,"i",""))</f>
        <v>d</v>
      </c>
      <c r="N75" s="95"/>
      <c r="O75" s="14" t="str" cm="1">
        <f t="array" aca="1" ref="O75" ca="1">IF(INDIRECT(_xlfn.CONCAT("'",IF(ISNUMBER(FIND("'",$A75))=TRUE,_xlfn.CONCAT(LEFT($A75,FIND("'",$A75)-1),"''",RIGHT($A75,LEN($A75)-FIND("'",$A75))),$A75),"'!C10"))&gt;=O$2,"d",IF(INDIRECT(_xlfn.CONCAT("'",IF(ISNUMBER(FIND("'",$A75))=TRUE,_xlfn.CONCAT(LEFT($A75,FIND("'",$A75)-1),"''",RIGHT($A75,LEN($A75)-FIND("'",$A75))),$A75),"'!C11"))&gt;=O$2,"i",""))</f>
        <v>d</v>
      </c>
      <c r="P75" s="1" t="str" cm="1">
        <f t="array" aca="1" ref="P75" ca="1">IF(INDIRECT(_xlfn.CONCAT("'",IF(ISNUMBER(FIND("'",$A75))=TRUE,_xlfn.CONCAT(LEFT($A75,FIND("'",$A75)-1),"''",RIGHT($A75,LEN($A75)-FIND("'",$A75))),$A75),"'!C10"))&gt;=P$2,"d",IF(INDIRECT(_xlfn.CONCAT("'",IF(ISNUMBER(FIND("'",$A75))=TRUE,_xlfn.CONCAT(LEFT($A75,FIND("'",$A75)-1),"''",RIGHT($A75,LEN($A75)-FIND("'",$A75))),$A75),"'!C11"))&gt;=P$2,"i",""))</f>
        <v>d</v>
      </c>
      <c r="Q75" s="1" t="str" cm="1">
        <f t="array" aca="1" ref="Q75" ca="1">IF(INDIRECT(_xlfn.CONCAT("'",IF(ISNUMBER(FIND("'",$A75))=TRUE,_xlfn.CONCAT(LEFT($A75,FIND("'",$A75)-1),"''",RIGHT($A75,LEN($A75)-FIND("'",$A75))),$A75),"'!C10"))&gt;=Q$2,"d",IF(INDIRECT(_xlfn.CONCAT("'",IF(ISNUMBER(FIND("'",$A75))=TRUE,_xlfn.CONCAT(LEFT($A75,FIND("'",$A75)-1),"''",RIGHT($A75,LEN($A75)-FIND("'",$A75))),$A75),"'!C11"))&gt;=Q$2,"i",""))</f>
        <v>d</v>
      </c>
      <c r="R75" s="1" t="str" cm="1">
        <f t="array" aca="1" ref="R75" ca="1">IF(INDIRECT(_xlfn.CONCAT("'",IF(ISNUMBER(FIND("'",$A75))=TRUE,_xlfn.CONCAT(LEFT($A75,FIND("'",$A75)-1),"''",RIGHT($A75,LEN($A75)-FIND("'",$A75))),$A75),"'!C10"))&gt;=R$2,"d",IF(INDIRECT(_xlfn.CONCAT("'",IF(ISNUMBER(FIND("'",$A75))=TRUE,_xlfn.CONCAT(LEFT($A75,FIND("'",$A75)-1),"''",RIGHT($A75,LEN($A75)-FIND("'",$A75))),$A75),"'!C11"))&gt;=R$2,"i",""))</f>
        <v>d</v>
      </c>
      <c r="S75" s="1" t="str" cm="1">
        <f t="array" aca="1" ref="S75" ca="1">IF(INDIRECT(_xlfn.CONCAT("'",IF(ISNUMBER(FIND("'",$A75))=TRUE,_xlfn.CONCAT(LEFT($A75,FIND("'",$A75)-1),"''",RIGHT($A75,LEN($A75)-FIND("'",$A75))),$A75),"'!C10"))&gt;=S$2,"d",IF(INDIRECT(_xlfn.CONCAT("'",IF(ISNUMBER(FIND("'",$A75))=TRUE,_xlfn.CONCAT(LEFT($A75,FIND("'",$A75)-1),"''",RIGHT($A75,LEN($A75)-FIND("'",$A75))),$A75),"'!C11"))&gt;=S$2,"i",""))</f>
        <v>d</v>
      </c>
      <c r="T75" s="4" t="str" cm="1">
        <f t="array" aca="1" ref="T75" ca="1">IF(INDIRECT(_xlfn.CONCAT("'",IF(ISNUMBER(FIND("'",$A75))=TRUE,_xlfn.CONCAT(LEFT($A75,FIND("'",$A75)-1),"''",RIGHT($A75,LEN($A75)-FIND("'",$A75))),$A75),"'!C10"))&gt;=T$2,"d",IF(INDIRECT(_xlfn.CONCAT("'",IF(ISNUMBER(FIND("'",$A75))=TRUE,_xlfn.CONCAT(LEFT($A75,FIND("'",$A75)-1),"''",RIGHT($A75,LEN($A75)-FIND("'",$A75))),$A75),"'!C11"))&gt;=T$2,"i",""))</f>
        <v>d</v>
      </c>
    </row>
    <row r="76" spans="1:20" hidden="1" x14ac:dyDescent="0.25">
      <c r="A76" s="54" t="str">
        <v>Favonius Warbow</v>
      </c>
      <c r="B76" s="14" cm="1">
        <f t="array" ref="B76">_xlfn.XLOOKUP(A76,INDEX(Weapon_List,,1),INDEX(Weapon_List,,3),,0,1)</f>
        <v>4</v>
      </c>
      <c r="C76" s="4" t="str" cm="1">
        <f t="array" ref="C76">_xlfn.XLOOKUP(A76,INDEX(Weapon_List,,1),INDEX(Weapon_List,,2),,0,1)</f>
        <v>Bow</v>
      </c>
      <c r="D76" s="38" t="str" cm="1">
        <f t="array" ref="D76">_xlfn.XLOOKUP(A76,INDEX(Weapon_List,,1),INDEX(Weapon_List,,4),,0,1)</f>
        <v>Mondstadt 3</v>
      </c>
      <c r="E76" s="38" t="str" cm="1">
        <f t="array" ref="E76">_xlfn.XLOOKUP(A76,INDEX(Weapon_List,,1),INDEX(Weapon_List,,5),,0,1)</f>
        <v>Whopperflower</v>
      </c>
      <c r="F76" s="38" t="str" cm="1">
        <f t="array" ref="F76">_xlfn.XLOOKUP(A76,INDEX(Weapon_List,,1),INDEX(Weapon_List,,6),,0,1)</f>
        <v>Ruin Machine 1</v>
      </c>
      <c r="G76" s="14" t="str" cm="1">
        <f t="array" aca="1" ref="G76" ca="1">IF(INDIRECT(_xlfn.CONCAT("'",IF(ISNUMBER(FIND("'",$A76))=TRUE,_xlfn.CONCAT(LEFT($A76,FIND("'",$A76)-1),"''",RIGHT($A76,LEN($A76)-FIND("'",$A76))),$A76),"'!B4"))&gt;=G$2,"d",IF(INDIRECT(_xlfn.CONCAT("'",IF(ISNUMBER(FIND("'",$A76))=TRUE,_xlfn.CONCAT(LEFT($A76,FIND("'",$A76)-1),"''",RIGHT($A76,LEN($A76)-FIND("'",$A76))),$A76),"'!B5"))&gt;=G$2,"i",""))</f>
        <v>d</v>
      </c>
      <c r="H76" s="1" t="str" cm="1">
        <f t="array" aca="1" ref="H76" ca="1">IF(INDIRECT(_xlfn.CONCAT("'",IF(ISNUMBER(FIND("'",$A76))=TRUE,_xlfn.CONCAT(LEFT($A76,FIND("'",$A76)-1),"''",RIGHT($A76,LEN($A76)-FIND("'",$A76))),$A76),"'!B4"))&gt;=H$2,"d",IF(INDIRECT(_xlfn.CONCAT("'",IF(ISNUMBER(FIND("'",$A76))=TRUE,_xlfn.CONCAT(LEFT($A76,FIND("'",$A76)-1),"''",RIGHT($A76,LEN($A76)-FIND("'",$A76))),$A76),"'!B5"))&gt;=H$2,"i",""))</f>
        <v>d</v>
      </c>
      <c r="I76" s="1" t="str" cm="1">
        <f t="array" aca="1" ref="I76" ca="1">IF(INDIRECT(_xlfn.CONCAT("'",IF(ISNUMBER(FIND("'",$A76))=TRUE,_xlfn.CONCAT(LEFT($A76,FIND("'",$A76)-1),"''",RIGHT($A76,LEN($A76)-FIND("'",$A76))),$A76),"'!B4"))&gt;=I$2,"d",IF(INDIRECT(_xlfn.CONCAT("'",IF(ISNUMBER(FIND("'",$A76))=TRUE,_xlfn.CONCAT(LEFT($A76,FIND("'",$A76)-1),"''",RIGHT($A76,LEN($A76)-FIND("'",$A76))),$A76),"'!B5"))&gt;=I$2,"i",""))</f>
        <v>d</v>
      </c>
      <c r="J76" s="1" t="str" cm="1">
        <f t="array" aca="1" ref="J76" ca="1">IF(INDIRECT(_xlfn.CONCAT("'",IF(ISNUMBER(FIND("'",$A76))=TRUE,_xlfn.CONCAT(LEFT($A76,FIND("'",$A76)-1),"''",RIGHT($A76,LEN($A76)-FIND("'",$A76))),$A76),"'!B4"))&gt;=J$2,"d",IF(INDIRECT(_xlfn.CONCAT("'",IF(ISNUMBER(FIND("'",$A76))=TRUE,_xlfn.CONCAT(LEFT($A76,FIND("'",$A76)-1),"''",RIGHT($A76,LEN($A76)-FIND("'",$A76))),$A76),"'!B5"))&gt;=J$2,"i",""))</f>
        <v>d</v>
      </c>
      <c r="K76" s="1" t="str" cm="1">
        <f t="array" aca="1" ref="K76" ca="1">IF(INDIRECT(_xlfn.CONCAT("'",IF(ISNUMBER(FIND("'",$A76))=TRUE,_xlfn.CONCAT(LEFT($A76,FIND("'",$A76)-1),"''",RIGHT($A76,LEN($A76)-FIND("'",$A76))),$A76),"'!B4"))&gt;=K$2,"d",IF(INDIRECT(_xlfn.CONCAT("'",IF(ISNUMBER(FIND("'",$A76))=TRUE,_xlfn.CONCAT(LEFT($A76,FIND("'",$A76)-1),"''",RIGHT($A76,LEN($A76)-FIND("'",$A76))),$A76),"'!B5"))&gt;=K$2,"i",""))</f>
        <v>d</v>
      </c>
      <c r="L76" s="1" t="str" cm="1">
        <f t="array" aca="1" ref="L76" ca="1">IF(INDIRECT(_xlfn.CONCAT("'",IF(ISNUMBER(FIND("'",$A76))=TRUE,_xlfn.CONCAT(LEFT($A76,FIND("'",$A76)-1),"''",RIGHT($A76,LEN($A76)-FIND("'",$A76))),$A76),"'!B4"))&gt;=L$2,"d",IF(INDIRECT(_xlfn.CONCAT("'",IF(ISNUMBER(FIND("'",$A76))=TRUE,_xlfn.CONCAT(LEFT($A76,FIND("'",$A76)-1),"''",RIGHT($A76,LEN($A76)-FIND("'",$A76))),$A76),"'!B5"))&gt;=L$2,"i",""))</f>
        <v>d</v>
      </c>
      <c r="M76" s="4" t="str" cm="1">
        <f t="array" aca="1" ref="M76" ca="1">IF(INDIRECT(_xlfn.CONCAT("'",IF(ISNUMBER(FIND("'",$A76))=TRUE,_xlfn.CONCAT(LEFT($A76,FIND("'",$A76)-1),"''",RIGHT($A76,LEN($A76)-FIND("'",$A76))),$A76),"'!B4"))&gt;=M$2,"d",IF(INDIRECT(_xlfn.CONCAT("'",IF(ISNUMBER(FIND("'",$A76))=TRUE,_xlfn.CONCAT(LEFT($A76,FIND("'",$A76)-1),"''",RIGHT($A76,LEN($A76)-FIND("'",$A76))),$A76),"'!B5"))&gt;=M$2,"i",""))</f>
        <v>d</v>
      </c>
      <c r="N76" s="95"/>
      <c r="O76" s="14" t="str" cm="1">
        <f t="array" aca="1" ref="O76" ca="1">IF(INDIRECT(_xlfn.CONCAT("'",IF(ISNUMBER(FIND("'",$A76))=TRUE,_xlfn.CONCAT(LEFT($A76,FIND("'",$A76)-1),"''",RIGHT($A76,LEN($A76)-FIND("'",$A76))),$A76),"'!C10"))&gt;=O$2,"d",IF(INDIRECT(_xlfn.CONCAT("'",IF(ISNUMBER(FIND("'",$A76))=TRUE,_xlfn.CONCAT(LEFT($A76,FIND("'",$A76)-1),"''",RIGHT($A76,LEN($A76)-FIND("'",$A76))),$A76),"'!C11"))&gt;=O$2,"i",""))</f>
        <v>d</v>
      </c>
      <c r="P76" s="1" t="str" cm="1">
        <f t="array" aca="1" ref="P76" ca="1">IF(INDIRECT(_xlfn.CONCAT("'",IF(ISNUMBER(FIND("'",$A76))=TRUE,_xlfn.CONCAT(LEFT($A76,FIND("'",$A76)-1),"''",RIGHT($A76,LEN($A76)-FIND("'",$A76))),$A76),"'!C10"))&gt;=P$2,"d",IF(INDIRECT(_xlfn.CONCAT("'",IF(ISNUMBER(FIND("'",$A76))=TRUE,_xlfn.CONCAT(LEFT($A76,FIND("'",$A76)-1),"''",RIGHT($A76,LEN($A76)-FIND("'",$A76))),$A76),"'!C11"))&gt;=P$2,"i",""))</f>
        <v>d</v>
      </c>
      <c r="Q76" s="1" t="str" cm="1">
        <f t="array" aca="1" ref="Q76" ca="1">IF(INDIRECT(_xlfn.CONCAT("'",IF(ISNUMBER(FIND("'",$A76))=TRUE,_xlfn.CONCAT(LEFT($A76,FIND("'",$A76)-1),"''",RIGHT($A76,LEN($A76)-FIND("'",$A76))),$A76),"'!C10"))&gt;=Q$2,"d",IF(INDIRECT(_xlfn.CONCAT("'",IF(ISNUMBER(FIND("'",$A76))=TRUE,_xlfn.CONCAT(LEFT($A76,FIND("'",$A76)-1),"''",RIGHT($A76,LEN($A76)-FIND("'",$A76))),$A76),"'!C11"))&gt;=Q$2,"i",""))</f>
        <v>d</v>
      </c>
      <c r="R76" s="1" t="str" cm="1">
        <f t="array" aca="1" ref="R76" ca="1">IF(INDIRECT(_xlfn.CONCAT("'",IF(ISNUMBER(FIND("'",$A76))=TRUE,_xlfn.CONCAT(LEFT($A76,FIND("'",$A76)-1),"''",RIGHT($A76,LEN($A76)-FIND("'",$A76))),$A76),"'!C10"))&gt;=R$2,"d",IF(INDIRECT(_xlfn.CONCAT("'",IF(ISNUMBER(FIND("'",$A76))=TRUE,_xlfn.CONCAT(LEFT($A76,FIND("'",$A76)-1),"''",RIGHT($A76,LEN($A76)-FIND("'",$A76))),$A76),"'!C11"))&gt;=R$2,"i",""))</f>
        <v>d</v>
      </c>
      <c r="S76" s="1" t="str" cm="1">
        <f t="array" aca="1" ref="S76" ca="1">IF(INDIRECT(_xlfn.CONCAT("'",IF(ISNUMBER(FIND("'",$A76))=TRUE,_xlfn.CONCAT(LEFT($A76,FIND("'",$A76)-1),"''",RIGHT($A76,LEN($A76)-FIND("'",$A76))),$A76),"'!C10"))&gt;=S$2,"d",IF(INDIRECT(_xlfn.CONCAT("'",IF(ISNUMBER(FIND("'",$A76))=TRUE,_xlfn.CONCAT(LEFT($A76,FIND("'",$A76)-1),"''",RIGHT($A76,LEN($A76)-FIND("'",$A76))),$A76),"'!C11"))&gt;=S$2,"i",""))</f>
        <v>d</v>
      </c>
      <c r="T76" s="4" t="str" cm="1">
        <f t="array" aca="1" ref="T76" ca="1">IF(INDIRECT(_xlfn.CONCAT("'",IF(ISNUMBER(FIND("'",$A76))=TRUE,_xlfn.CONCAT(LEFT($A76,FIND("'",$A76)-1),"''",RIGHT($A76,LEN($A76)-FIND("'",$A76))),$A76),"'!C10"))&gt;=T$2,"d",IF(INDIRECT(_xlfn.CONCAT("'",IF(ISNUMBER(FIND("'",$A76))=TRUE,_xlfn.CONCAT(LEFT($A76,FIND("'",$A76)-1),"''",RIGHT($A76,LEN($A76)-FIND("'",$A76))),$A76),"'!C11"))&gt;=T$2,"i",""))</f>
        <v>d</v>
      </c>
    </row>
    <row r="77" spans="1:20" hidden="1" x14ac:dyDescent="0.25">
      <c r="A77" s="54" t="str">
        <v>Rust</v>
      </c>
      <c r="B77" s="14" cm="1">
        <f t="array" ref="B77">_xlfn.XLOOKUP(A77,INDEX(Weapon_List,,1),INDEX(Weapon_List,,3),,0,1)</f>
        <v>4</v>
      </c>
      <c r="C77" s="4" t="str" cm="1">
        <f t="array" ref="C77">_xlfn.XLOOKUP(A77,INDEX(Weapon_List,,1),INDEX(Weapon_List,,2),,0,1)</f>
        <v>Bow</v>
      </c>
      <c r="D77" s="38" t="str" cm="1">
        <f t="array" ref="D77">_xlfn.XLOOKUP(A77,INDEX(Weapon_List,,1),INDEX(Weapon_List,,4),,0,1)</f>
        <v>Liyue 1</v>
      </c>
      <c r="E77" s="38" t="str" cm="1">
        <f t="array" ref="E77">_xlfn.XLOOKUP(A77,INDEX(Weapon_List,,1),INDEX(Weapon_List,,5),,0,1)</f>
        <v>Hilichurl</v>
      </c>
      <c r="F77" s="38" t="str" cm="1">
        <f t="array" ref="F77">_xlfn.XLOOKUP(A77,INDEX(Weapon_List,,1),INDEX(Weapon_List,,6),,0,1)</f>
        <v>Fatui Agent</v>
      </c>
      <c r="G77" s="14" t="str" cm="1">
        <f t="array" aca="1" ref="G77" ca="1">IF(INDIRECT(_xlfn.CONCAT("'",IF(ISNUMBER(FIND("'",$A77))=TRUE,_xlfn.CONCAT(LEFT($A77,FIND("'",$A77)-1),"''",RIGHT($A77,LEN($A77)-FIND("'",$A77))),$A77),"'!B4"))&gt;=G$2,"d",IF(INDIRECT(_xlfn.CONCAT("'",IF(ISNUMBER(FIND("'",$A77))=TRUE,_xlfn.CONCAT(LEFT($A77,FIND("'",$A77)-1),"''",RIGHT($A77,LEN($A77)-FIND("'",$A77))),$A77),"'!B5"))&gt;=G$2,"i",""))</f>
        <v>d</v>
      </c>
      <c r="H77" s="1" t="str" cm="1">
        <f t="array" aca="1" ref="H77" ca="1">IF(INDIRECT(_xlfn.CONCAT("'",IF(ISNUMBER(FIND("'",$A77))=TRUE,_xlfn.CONCAT(LEFT($A77,FIND("'",$A77)-1),"''",RIGHT($A77,LEN($A77)-FIND("'",$A77))),$A77),"'!B4"))&gt;=H$2,"d",IF(INDIRECT(_xlfn.CONCAT("'",IF(ISNUMBER(FIND("'",$A77))=TRUE,_xlfn.CONCAT(LEFT($A77,FIND("'",$A77)-1),"''",RIGHT($A77,LEN($A77)-FIND("'",$A77))),$A77),"'!B5"))&gt;=H$2,"i",""))</f>
        <v>d</v>
      </c>
      <c r="I77" s="1" t="str" cm="1">
        <f t="array" aca="1" ref="I77" ca="1">IF(INDIRECT(_xlfn.CONCAT("'",IF(ISNUMBER(FIND("'",$A77))=TRUE,_xlfn.CONCAT(LEFT($A77,FIND("'",$A77)-1),"''",RIGHT($A77,LEN($A77)-FIND("'",$A77))),$A77),"'!B4"))&gt;=I$2,"d",IF(INDIRECT(_xlfn.CONCAT("'",IF(ISNUMBER(FIND("'",$A77))=TRUE,_xlfn.CONCAT(LEFT($A77,FIND("'",$A77)-1),"''",RIGHT($A77,LEN($A77)-FIND("'",$A77))),$A77),"'!B5"))&gt;=I$2,"i",""))</f>
        <v>d</v>
      </c>
      <c r="J77" s="1" t="str" cm="1">
        <f t="array" aca="1" ref="J77" ca="1">IF(INDIRECT(_xlfn.CONCAT("'",IF(ISNUMBER(FIND("'",$A77))=TRUE,_xlfn.CONCAT(LEFT($A77,FIND("'",$A77)-1),"''",RIGHT($A77,LEN($A77)-FIND("'",$A77))),$A77),"'!B4"))&gt;=J$2,"d",IF(INDIRECT(_xlfn.CONCAT("'",IF(ISNUMBER(FIND("'",$A77))=TRUE,_xlfn.CONCAT(LEFT($A77,FIND("'",$A77)-1),"''",RIGHT($A77,LEN($A77)-FIND("'",$A77))),$A77),"'!B5"))&gt;=J$2,"i",""))</f>
        <v>d</v>
      </c>
      <c r="K77" s="1" t="str" cm="1">
        <f t="array" aca="1" ref="K77" ca="1">IF(INDIRECT(_xlfn.CONCAT("'",IF(ISNUMBER(FIND("'",$A77))=TRUE,_xlfn.CONCAT(LEFT($A77,FIND("'",$A77)-1),"''",RIGHT($A77,LEN($A77)-FIND("'",$A77))),$A77),"'!B4"))&gt;=K$2,"d",IF(INDIRECT(_xlfn.CONCAT("'",IF(ISNUMBER(FIND("'",$A77))=TRUE,_xlfn.CONCAT(LEFT($A77,FIND("'",$A77)-1),"''",RIGHT($A77,LEN($A77)-FIND("'",$A77))),$A77),"'!B5"))&gt;=K$2,"i",""))</f>
        <v>d</v>
      </c>
      <c r="L77" s="1" t="str" cm="1">
        <f t="array" aca="1" ref="L77" ca="1">IF(INDIRECT(_xlfn.CONCAT("'",IF(ISNUMBER(FIND("'",$A77))=TRUE,_xlfn.CONCAT(LEFT($A77,FIND("'",$A77)-1),"''",RIGHT($A77,LEN($A77)-FIND("'",$A77))),$A77),"'!B4"))&gt;=L$2,"d",IF(INDIRECT(_xlfn.CONCAT("'",IF(ISNUMBER(FIND("'",$A77))=TRUE,_xlfn.CONCAT(LEFT($A77,FIND("'",$A77)-1),"''",RIGHT($A77,LEN($A77)-FIND("'",$A77))),$A77),"'!B5"))&gt;=L$2,"i",""))</f>
        <v>d</v>
      </c>
      <c r="M77" s="4" t="str" cm="1">
        <f t="array" aca="1" ref="M77" ca="1">IF(INDIRECT(_xlfn.CONCAT("'",IF(ISNUMBER(FIND("'",$A77))=TRUE,_xlfn.CONCAT(LEFT($A77,FIND("'",$A77)-1),"''",RIGHT($A77,LEN($A77)-FIND("'",$A77))),$A77),"'!B4"))&gt;=M$2,"d",IF(INDIRECT(_xlfn.CONCAT("'",IF(ISNUMBER(FIND("'",$A77))=TRUE,_xlfn.CONCAT(LEFT($A77,FIND("'",$A77)-1),"''",RIGHT($A77,LEN($A77)-FIND("'",$A77))),$A77),"'!B5"))&gt;=M$2,"i",""))</f>
        <v>d</v>
      </c>
      <c r="N77" s="95"/>
      <c r="O77" s="14" t="str" cm="1">
        <f t="array" aca="1" ref="O77" ca="1">IF(INDIRECT(_xlfn.CONCAT("'",IF(ISNUMBER(FIND("'",$A77))=TRUE,_xlfn.CONCAT(LEFT($A77,FIND("'",$A77)-1),"''",RIGHT($A77,LEN($A77)-FIND("'",$A77))),$A77),"'!C10"))&gt;=O$2,"d",IF(INDIRECT(_xlfn.CONCAT("'",IF(ISNUMBER(FIND("'",$A77))=TRUE,_xlfn.CONCAT(LEFT($A77,FIND("'",$A77)-1),"''",RIGHT($A77,LEN($A77)-FIND("'",$A77))),$A77),"'!C11"))&gt;=O$2,"i",""))</f>
        <v>d</v>
      </c>
      <c r="P77" s="1" t="str" cm="1">
        <f t="array" aca="1" ref="P77" ca="1">IF(INDIRECT(_xlfn.CONCAT("'",IF(ISNUMBER(FIND("'",$A77))=TRUE,_xlfn.CONCAT(LEFT($A77,FIND("'",$A77)-1),"''",RIGHT($A77,LEN($A77)-FIND("'",$A77))),$A77),"'!C10"))&gt;=P$2,"d",IF(INDIRECT(_xlfn.CONCAT("'",IF(ISNUMBER(FIND("'",$A77))=TRUE,_xlfn.CONCAT(LEFT($A77,FIND("'",$A77)-1),"''",RIGHT($A77,LEN($A77)-FIND("'",$A77))),$A77),"'!C11"))&gt;=P$2,"i",""))</f>
        <v>d</v>
      </c>
      <c r="Q77" s="1" t="str" cm="1">
        <f t="array" aca="1" ref="Q77" ca="1">IF(INDIRECT(_xlfn.CONCAT("'",IF(ISNUMBER(FIND("'",$A77))=TRUE,_xlfn.CONCAT(LEFT($A77,FIND("'",$A77)-1),"''",RIGHT($A77,LEN($A77)-FIND("'",$A77))),$A77),"'!C10"))&gt;=Q$2,"d",IF(INDIRECT(_xlfn.CONCAT("'",IF(ISNUMBER(FIND("'",$A77))=TRUE,_xlfn.CONCAT(LEFT($A77,FIND("'",$A77)-1),"''",RIGHT($A77,LEN($A77)-FIND("'",$A77))),$A77),"'!C11"))&gt;=Q$2,"i",""))</f>
        <v>d</v>
      </c>
      <c r="R77" s="1" t="str" cm="1">
        <f t="array" aca="1" ref="R77" ca="1">IF(INDIRECT(_xlfn.CONCAT("'",IF(ISNUMBER(FIND("'",$A77))=TRUE,_xlfn.CONCAT(LEFT($A77,FIND("'",$A77)-1),"''",RIGHT($A77,LEN($A77)-FIND("'",$A77))),$A77),"'!C10"))&gt;=R$2,"d",IF(INDIRECT(_xlfn.CONCAT("'",IF(ISNUMBER(FIND("'",$A77))=TRUE,_xlfn.CONCAT(LEFT($A77,FIND("'",$A77)-1),"''",RIGHT($A77,LEN($A77)-FIND("'",$A77))),$A77),"'!C11"))&gt;=R$2,"i",""))</f>
        <v>d</v>
      </c>
      <c r="S77" s="1" t="str" cm="1">
        <f t="array" aca="1" ref="S77" ca="1">IF(INDIRECT(_xlfn.CONCAT("'",IF(ISNUMBER(FIND("'",$A77))=TRUE,_xlfn.CONCAT(LEFT($A77,FIND("'",$A77)-1),"''",RIGHT($A77,LEN($A77)-FIND("'",$A77))),$A77),"'!C10"))&gt;=S$2,"d",IF(INDIRECT(_xlfn.CONCAT("'",IF(ISNUMBER(FIND("'",$A77))=TRUE,_xlfn.CONCAT(LEFT($A77,FIND("'",$A77)-1),"''",RIGHT($A77,LEN($A77)-FIND("'",$A77))),$A77),"'!C11"))&gt;=S$2,"i",""))</f>
        <v>d</v>
      </c>
      <c r="T77" s="4" t="str" cm="1">
        <f t="array" aca="1" ref="T77" ca="1">IF(INDIRECT(_xlfn.CONCAT("'",IF(ISNUMBER(FIND("'",$A77))=TRUE,_xlfn.CONCAT(LEFT($A77,FIND("'",$A77)-1),"''",RIGHT($A77,LEN($A77)-FIND("'",$A77))),$A77),"'!C10"))&gt;=T$2,"d",IF(INDIRECT(_xlfn.CONCAT("'",IF(ISNUMBER(FIND("'",$A77))=TRUE,_xlfn.CONCAT(LEFT($A77,FIND("'",$A77)-1),"''",RIGHT($A77,LEN($A77)-FIND("'",$A77))),$A77),"'!C11"))&gt;=T$2,"i",""))</f>
        <v>d</v>
      </c>
    </row>
    <row r="78" spans="1:20" hidden="1" x14ac:dyDescent="0.25">
      <c r="A78" s="54" t="str">
        <v>Sacrificial Bow</v>
      </c>
      <c r="B78" s="14" cm="1">
        <f t="array" ref="B78">_xlfn.XLOOKUP(A78,INDEX(Weapon_List,,1),INDEX(Weapon_List,,3),,0,1)</f>
        <v>4</v>
      </c>
      <c r="C78" s="4" t="str" cm="1">
        <f t="array" ref="C78">_xlfn.XLOOKUP(A78,INDEX(Weapon_List,,1),INDEX(Weapon_List,,2),,0,1)</f>
        <v>Bow</v>
      </c>
      <c r="D78" s="38" t="str" cm="1">
        <f t="array" ref="D78">_xlfn.XLOOKUP(A78,INDEX(Weapon_List,,1),INDEX(Weapon_List,,4),,0,1)</f>
        <v>Mondstadt 2</v>
      </c>
      <c r="E78" s="38" t="str" cm="1">
        <f t="array" ref="E78">_xlfn.XLOOKUP(A78,INDEX(Weapon_List,,1),INDEX(Weapon_List,,5),,0,1)</f>
        <v>Slime</v>
      </c>
      <c r="F78" s="38" t="str" cm="1">
        <f t="array" ref="F78">_xlfn.XLOOKUP(A78,INDEX(Weapon_List,,1),INDEX(Weapon_List,,6),,0,1)</f>
        <v>Abyss Mage</v>
      </c>
      <c r="G78" s="14" t="str" cm="1">
        <f t="array" aca="1" ref="G78" ca="1">IF(INDIRECT(_xlfn.CONCAT("'",IF(ISNUMBER(FIND("'",$A78))=TRUE,_xlfn.CONCAT(LEFT($A78,FIND("'",$A78)-1),"''",RIGHT($A78,LEN($A78)-FIND("'",$A78))),$A78),"'!B4"))&gt;=G$2,"d",IF(INDIRECT(_xlfn.CONCAT("'",IF(ISNUMBER(FIND("'",$A78))=TRUE,_xlfn.CONCAT(LEFT($A78,FIND("'",$A78)-1),"''",RIGHT($A78,LEN($A78)-FIND("'",$A78))),$A78),"'!B5"))&gt;=G$2,"i",""))</f>
        <v>d</v>
      </c>
      <c r="H78" s="1" t="str" cm="1">
        <f t="array" aca="1" ref="H78" ca="1">IF(INDIRECT(_xlfn.CONCAT("'",IF(ISNUMBER(FIND("'",$A78))=TRUE,_xlfn.CONCAT(LEFT($A78,FIND("'",$A78)-1),"''",RIGHT($A78,LEN($A78)-FIND("'",$A78))),$A78),"'!B4"))&gt;=H$2,"d",IF(INDIRECT(_xlfn.CONCAT("'",IF(ISNUMBER(FIND("'",$A78))=TRUE,_xlfn.CONCAT(LEFT($A78,FIND("'",$A78)-1),"''",RIGHT($A78,LEN($A78)-FIND("'",$A78))),$A78),"'!B5"))&gt;=H$2,"i",""))</f>
        <v>d</v>
      </c>
      <c r="I78" s="1" t="str" cm="1">
        <f t="array" aca="1" ref="I78" ca="1">IF(INDIRECT(_xlfn.CONCAT("'",IF(ISNUMBER(FIND("'",$A78))=TRUE,_xlfn.CONCAT(LEFT($A78,FIND("'",$A78)-1),"''",RIGHT($A78,LEN($A78)-FIND("'",$A78))),$A78),"'!B4"))&gt;=I$2,"d",IF(INDIRECT(_xlfn.CONCAT("'",IF(ISNUMBER(FIND("'",$A78))=TRUE,_xlfn.CONCAT(LEFT($A78,FIND("'",$A78)-1),"''",RIGHT($A78,LEN($A78)-FIND("'",$A78))),$A78),"'!B5"))&gt;=I$2,"i",""))</f>
        <v>d</v>
      </c>
      <c r="J78" s="1" t="str" cm="1">
        <f t="array" aca="1" ref="J78" ca="1">IF(INDIRECT(_xlfn.CONCAT("'",IF(ISNUMBER(FIND("'",$A78))=TRUE,_xlfn.CONCAT(LEFT($A78,FIND("'",$A78)-1),"''",RIGHT($A78,LEN($A78)-FIND("'",$A78))),$A78),"'!B4"))&gt;=J$2,"d",IF(INDIRECT(_xlfn.CONCAT("'",IF(ISNUMBER(FIND("'",$A78))=TRUE,_xlfn.CONCAT(LEFT($A78,FIND("'",$A78)-1),"''",RIGHT($A78,LEN($A78)-FIND("'",$A78))),$A78),"'!B5"))&gt;=J$2,"i",""))</f>
        <v>d</v>
      </c>
      <c r="K78" s="1" t="str" cm="1">
        <f t="array" aca="1" ref="K78" ca="1">IF(INDIRECT(_xlfn.CONCAT("'",IF(ISNUMBER(FIND("'",$A78))=TRUE,_xlfn.CONCAT(LEFT($A78,FIND("'",$A78)-1),"''",RIGHT($A78,LEN($A78)-FIND("'",$A78))),$A78),"'!B4"))&gt;=K$2,"d",IF(INDIRECT(_xlfn.CONCAT("'",IF(ISNUMBER(FIND("'",$A78))=TRUE,_xlfn.CONCAT(LEFT($A78,FIND("'",$A78)-1),"''",RIGHT($A78,LEN($A78)-FIND("'",$A78))),$A78),"'!B5"))&gt;=K$2,"i",""))</f>
        <v>d</v>
      </c>
      <c r="L78" s="1" t="str" cm="1">
        <f t="array" aca="1" ref="L78" ca="1">IF(INDIRECT(_xlfn.CONCAT("'",IF(ISNUMBER(FIND("'",$A78))=TRUE,_xlfn.CONCAT(LEFT($A78,FIND("'",$A78)-1),"''",RIGHT($A78,LEN($A78)-FIND("'",$A78))),$A78),"'!B4"))&gt;=L$2,"d",IF(INDIRECT(_xlfn.CONCAT("'",IF(ISNUMBER(FIND("'",$A78))=TRUE,_xlfn.CONCAT(LEFT($A78,FIND("'",$A78)-1),"''",RIGHT($A78,LEN($A78)-FIND("'",$A78))),$A78),"'!B5"))&gt;=L$2,"i",""))</f>
        <v>d</v>
      </c>
      <c r="M78" s="4" t="str" cm="1">
        <f t="array" aca="1" ref="M78" ca="1">IF(INDIRECT(_xlfn.CONCAT("'",IF(ISNUMBER(FIND("'",$A78))=TRUE,_xlfn.CONCAT(LEFT($A78,FIND("'",$A78)-1),"''",RIGHT($A78,LEN($A78)-FIND("'",$A78))),$A78),"'!B4"))&gt;=M$2,"d",IF(INDIRECT(_xlfn.CONCAT("'",IF(ISNUMBER(FIND("'",$A78))=TRUE,_xlfn.CONCAT(LEFT($A78,FIND("'",$A78)-1),"''",RIGHT($A78,LEN($A78)-FIND("'",$A78))),$A78),"'!B5"))&gt;=M$2,"i",""))</f>
        <v>d</v>
      </c>
      <c r="N78" s="95"/>
      <c r="O78" s="14" t="str" cm="1">
        <f t="array" aca="1" ref="O78" ca="1">IF(INDIRECT(_xlfn.CONCAT("'",IF(ISNUMBER(FIND("'",$A78))=TRUE,_xlfn.CONCAT(LEFT($A78,FIND("'",$A78)-1),"''",RIGHT($A78,LEN($A78)-FIND("'",$A78))),$A78),"'!C10"))&gt;=O$2,"d",IF(INDIRECT(_xlfn.CONCAT("'",IF(ISNUMBER(FIND("'",$A78))=TRUE,_xlfn.CONCAT(LEFT($A78,FIND("'",$A78)-1),"''",RIGHT($A78,LEN($A78)-FIND("'",$A78))),$A78),"'!C11"))&gt;=O$2,"i",""))</f>
        <v>d</v>
      </c>
      <c r="P78" s="1" t="str" cm="1">
        <f t="array" aca="1" ref="P78" ca="1">IF(INDIRECT(_xlfn.CONCAT("'",IF(ISNUMBER(FIND("'",$A78))=TRUE,_xlfn.CONCAT(LEFT($A78,FIND("'",$A78)-1),"''",RIGHT($A78,LEN($A78)-FIND("'",$A78))),$A78),"'!C10"))&gt;=P$2,"d",IF(INDIRECT(_xlfn.CONCAT("'",IF(ISNUMBER(FIND("'",$A78))=TRUE,_xlfn.CONCAT(LEFT($A78,FIND("'",$A78)-1),"''",RIGHT($A78,LEN($A78)-FIND("'",$A78))),$A78),"'!C11"))&gt;=P$2,"i",""))</f>
        <v>d</v>
      </c>
      <c r="Q78" s="1" t="str" cm="1">
        <f t="array" aca="1" ref="Q78" ca="1">IF(INDIRECT(_xlfn.CONCAT("'",IF(ISNUMBER(FIND("'",$A78))=TRUE,_xlfn.CONCAT(LEFT($A78,FIND("'",$A78)-1),"''",RIGHT($A78,LEN($A78)-FIND("'",$A78))),$A78),"'!C10"))&gt;=Q$2,"d",IF(INDIRECT(_xlfn.CONCAT("'",IF(ISNUMBER(FIND("'",$A78))=TRUE,_xlfn.CONCAT(LEFT($A78,FIND("'",$A78)-1),"''",RIGHT($A78,LEN($A78)-FIND("'",$A78))),$A78),"'!C11"))&gt;=Q$2,"i",""))</f>
        <v>d</v>
      </c>
      <c r="R78" s="1" t="str" cm="1">
        <f t="array" aca="1" ref="R78" ca="1">IF(INDIRECT(_xlfn.CONCAT("'",IF(ISNUMBER(FIND("'",$A78))=TRUE,_xlfn.CONCAT(LEFT($A78,FIND("'",$A78)-1),"''",RIGHT($A78,LEN($A78)-FIND("'",$A78))),$A78),"'!C10"))&gt;=R$2,"d",IF(INDIRECT(_xlfn.CONCAT("'",IF(ISNUMBER(FIND("'",$A78))=TRUE,_xlfn.CONCAT(LEFT($A78,FIND("'",$A78)-1),"''",RIGHT($A78,LEN($A78)-FIND("'",$A78))),$A78),"'!C11"))&gt;=R$2,"i",""))</f>
        <v>d</v>
      </c>
      <c r="S78" s="1" t="str" cm="1">
        <f t="array" aca="1" ref="S78" ca="1">IF(INDIRECT(_xlfn.CONCAT("'",IF(ISNUMBER(FIND("'",$A78))=TRUE,_xlfn.CONCAT(LEFT($A78,FIND("'",$A78)-1),"''",RIGHT($A78,LEN($A78)-FIND("'",$A78))),$A78),"'!C10"))&gt;=S$2,"d",IF(INDIRECT(_xlfn.CONCAT("'",IF(ISNUMBER(FIND("'",$A78))=TRUE,_xlfn.CONCAT(LEFT($A78,FIND("'",$A78)-1),"''",RIGHT($A78,LEN($A78)-FIND("'",$A78))),$A78),"'!C11"))&gt;=S$2,"i",""))</f>
        <v>d</v>
      </c>
      <c r="T78" s="4" t="str" cm="1">
        <f t="array" aca="1" ref="T78" ca="1">IF(INDIRECT(_xlfn.CONCAT("'",IF(ISNUMBER(FIND("'",$A78))=TRUE,_xlfn.CONCAT(LEFT($A78,FIND("'",$A78)-1),"''",RIGHT($A78,LEN($A78)-FIND("'",$A78))),$A78),"'!C10"))&gt;=T$2,"d",IF(INDIRECT(_xlfn.CONCAT("'",IF(ISNUMBER(FIND("'",$A78))=TRUE,_xlfn.CONCAT(LEFT($A78,FIND("'",$A78)-1),"''",RIGHT($A78,LEN($A78)-FIND("'",$A78))),$A78),"'!C11"))&gt;=T$2,"i",""))</f>
        <v>d</v>
      </c>
    </row>
    <row r="79" spans="1:20" hidden="1" x14ac:dyDescent="0.25">
      <c r="A79" s="54" t="str">
        <v>The Stringless</v>
      </c>
      <c r="B79" s="14" cm="1">
        <f t="array" ref="B79">_xlfn.XLOOKUP(A79,INDEX(Weapon_List,,1),INDEX(Weapon_List,,3),,0,1)</f>
        <v>4</v>
      </c>
      <c r="C79" s="4" t="str" cm="1">
        <f t="array" ref="C79">_xlfn.XLOOKUP(A79,INDEX(Weapon_List,,1),INDEX(Weapon_List,,2),,0,1)</f>
        <v>Bow</v>
      </c>
      <c r="D79" s="38" t="str" cm="1">
        <f t="array" ref="D79">_xlfn.XLOOKUP(A79,INDEX(Weapon_List,,1),INDEX(Weapon_List,,4),,0,1)</f>
        <v>Mondstadt 1</v>
      </c>
      <c r="E79" s="38" t="str" cm="1">
        <f t="array" ref="E79">_xlfn.XLOOKUP(A79,INDEX(Weapon_List,,1),INDEX(Weapon_List,,5),,0,1)</f>
        <v>Hilichurl Shooter</v>
      </c>
      <c r="F79" s="38" t="str" cm="1">
        <f t="array" ref="F79">_xlfn.XLOOKUP(A79,INDEX(Weapon_List,,1),INDEX(Weapon_List,,6),,0,1)</f>
        <v>Mitachurl</v>
      </c>
      <c r="G79" s="14" t="str" cm="1">
        <f t="array" aca="1" ref="G79" ca="1">IF(INDIRECT(_xlfn.CONCAT("'",IF(ISNUMBER(FIND("'",$A79))=TRUE,_xlfn.CONCAT(LEFT($A79,FIND("'",$A79)-1),"''",RIGHT($A79,LEN($A79)-FIND("'",$A79))),$A79),"'!B4"))&gt;=G$2,"d",IF(INDIRECT(_xlfn.CONCAT("'",IF(ISNUMBER(FIND("'",$A79))=TRUE,_xlfn.CONCAT(LEFT($A79,FIND("'",$A79)-1),"''",RIGHT($A79,LEN($A79)-FIND("'",$A79))),$A79),"'!B5"))&gt;=G$2,"i",""))</f>
        <v>d</v>
      </c>
      <c r="H79" s="1" t="str" cm="1">
        <f t="array" aca="1" ref="H79" ca="1">IF(INDIRECT(_xlfn.CONCAT("'",IF(ISNUMBER(FIND("'",$A79))=TRUE,_xlfn.CONCAT(LEFT($A79,FIND("'",$A79)-1),"''",RIGHT($A79,LEN($A79)-FIND("'",$A79))),$A79),"'!B4"))&gt;=H$2,"d",IF(INDIRECT(_xlfn.CONCAT("'",IF(ISNUMBER(FIND("'",$A79))=TRUE,_xlfn.CONCAT(LEFT($A79,FIND("'",$A79)-1),"''",RIGHT($A79,LEN($A79)-FIND("'",$A79))),$A79),"'!B5"))&gt;=H$2,"i",""))</f>
        <v>d</v>
      </c>
      <c r="I79" s="1" t="str" cm="1">
        <f t="array" aca="1" ref="I79" ca="1">IF(INDIRECT(_xlfn.CONCAT("'",IF(ISNUMBER(FIND("'",$A79))=TRUE,_xlfn.CONCAT(LEFT($A79,FIND("'",$A79)-1),"''",RIGHT($A79,LEN($A79)-FIND("'",$A79))),$A79),"'!B4"))&gt;=I$2,"d",IF(INDIRECT(_xlfn.CONCAT("'",IF(ISNUMBER(FIND("'",$A79))=TRUE,_xlfn.CONCAT(LEFT($A79,FIND("'",$A79)-1),"''",RIGHT($A79,LEN($A79)-FIND("'",$A79))),$A79),"'!B5"))&gt;=I$2,"i",""))</f>
        <v>d</v>
      </c>
      <c r="J79" s="1" t="str" cm="1">
        <f t="array" aca="1" ref="J79" ca="1">IF(INDIRECT(_xlfn.CONCAT("'",IF(ISNUMBER(FIND("'",$A79))=TRUE,_xlfn.CONCAT(LEFT($A79,FIND("'",$A79)-1),"''",RIGHT($A79,LEN($A79)-FIND("'",$A79))),$A79),"'!B4"))&gt;=J$2,"d",IF(INDIRECT(_xlfn.CONCAT("'",IF(ISNUMBER(FIND("'",$A79))=TRUE,_xlfn.CONCAT(LEFT($A79,FIND("'",$A79)-1),"''",RIGHT($A79,LEN($A79)-FIND("'",$A79))),$A79),"'!B5"))&gt;=J$2,"i",""))</f>
        <v>d</v>
      </c>
      <c r="K79" s="1" t="str" cm="1">
        <f t="array" aca="1" ref="K79" ca="1">IF(INDIRECT(_xlfn.CONCAT("'",IF(ISNUMBER(FIND("'",$A79))=TRUE,_xlfn.CONCAT(LEFT($A79,FIND("'",$A79)-1),"''",RIGHT($A79,LEN($A79)-FIND("'",$A79))),$A79),"'!B4"))&gt;=K$2,"d",IF(INDIRECT(_xlfn.CONCAT("'",IF(ISNUMBER(FIND("'",$A79))=TRUE,_xlfn.CONCAT(LEFT($A79,FIND("'",$A79)-1),"''",RIGHT($A79,LEN($A79)-FIND("'",$A79))),$A79),"'!B5"))&gt;=K$2,"i",""))</f>
        <v>d</v>
      </c>
      <c r="L79" s="1" t="str" cm="1">
        <f t="array" aca="1" ref="L79" ca="1">IF(INDIRECT(_xlfn.CONCAT("'",IF(ISNUMBER(FIND("'",$A79))=TRUE,_xlfn.CONCAT(LEFT($A79,FIND("'",$A79)-1),"''",RIGHT($A79,LEN($A79)-FIND("'",$A79))),$A79),"'!B4"))&gt;=L$2,"d",IF(INDIRECT(_xlfn.CONCAT("'",IF(ISNUMBER(FIND("'",$A79))=TRUE,_xlfn.CONCAT(LEFT($A79,FIND("'",$A79)-1),"''",RIGHT($A79,LEN($A79)-FIND("'",$A79))),$A79),"'!B5"))&gt;=L$2,"i",""))</f>
        <v>d</v>
      </c>
      <c r="M79" s="4" t="str" cm="1">
        <f t="array" aca="1" ref="M79" ca="1">IF(INDIRECT(_xlfn.CONCAT("'",IF(ISNUMBER(FIND("'",$A79))=TRUE,_xlfn.CONCAT(LEFT($A79,FIND("'",$A79)-1),"''",RIGHT($A79,LEN($A79)-FIND("'",$A79))),$A79),"'!B4"))&gt;=M$2,"d",IF(INDIRECT(_xlfn.CONCAT("'",IF(ISNUMBER(FIND("'",$A79))=TRUE,_xlfn.CONCAT(LEFT($A79,FIND("'",$A79)-1),"''",RIGHT($A79,LEN($A79)-FIND("'",$A79))),$A79),"'!B5"))&gt;=M$2,"i",""))</f>
        <v>d</v>
      </c>
      <c r="N79" s="95"/>
      <c r="O79" s="14" t="str" cm="1">
        <f t="array" aca="1" ref="O79" ca="1">IF(INDIRECT(_xlfn.CONCAT("'",IF(ISNUMBER(FIND("'",$A79))=TRUE,_xlfn.CONCAT(LEFT($A79,FIND("'",$A79)-1),"''",RIGHT($A79,LEN($A79)-FIND("'",$A79))),$A79),"'!C10"))&gt;=O$2,"d",IF(INDIRECT(_xlfn.CONCAT("'",IF(ISNUMBER(FIND("'",$A79))=TRUE,_xlfn.CONCAT(LEFT($A79,FIND("'",$A79)-1),"''",RIGHT($A79,LEN($A79)-FIND("'",$A79))),$A79),"'!C11"))&gt;=O$2,"i",""))</f>
        <v>d</v>
      </c>
      <c r="P79" s="1" t="str" cm="1">
        <f t="array" aca="1" ref="P79" ca="1">IF(INDIRECT(_xlfn.CONCAT("'",IF(ISNUMBER(FIND("'",$A79))=TRUE,_xlfn.CONCAT(LEFT($A79,FIND("'",$A79)-1),"''",RIGHT($A79,LEN($A79)-FIND("'",$A79))),$A79),"'!C10"))&gt;=P$2,"d",IF(INDIRECT(_xlfn.CONCAT("'",IF(ISNUMBER(FIND("'",$A79))=TRUE,_xlfn.CONCAT(LEFT($A79,FIND("'",$A79)-1),"''",RIGHT($A79,LEN($A79)-FIND("'",$A79))),$A79),"'!C11"))&gt;=P$2,"i",""))</f>
        <v>d</v>
      </c>
      <c r="Q79" s="1" t="str" cm="1">
        <f t="array" aca="1" ref="Q79" ca="1">IF(INDIRECT(_xlfn.CONCAT("'",IF(ISNUMBER(FIND("'",$A79))=TRUE,_xlfn.CONCAT(LEFT($A79,FIND("'",$A79)-1),"''",RIGHT($A79,LEN($A79)-FIND("'",$A79))),$A79),"'!C10"))&gt;=Q$2,"d",IF(INDIRECT(_xlfn.CONCAT("'",IF(ISNUMBER(FIND("'",$A79))=TRUE,_xlfn.CONCAT(LEFT($A79,FIND("'",$A79)-1),"''",RIGHT($A79,LEN($A79)-FIND("'",$A79))),$A79),"'!C11"))&gt;=Q$2,"i",""))</f>
        <v>d</v>
      </c>
      <c r="R79" s="1" t="str" cm="1">
        <f t="array" aca="1" ref="R79" ca="1">IF(INDIRECT(_xlfn.CONCAT("'",IF(ISNUMBER(FIND("'",$A79))=TRUE,_xlfn.CONCAT(LEFT($A79,FIND("'",$A79)-1),"''",RIGHT($A79,LEN($A79)-FIND("'",$A79))),$A79),"'!C10"))&gt;=R$2,"d",IF(INDIRECT(_xlfn.CONCAT("'",IF(ISNUMBER(FIND("'",$A79))=TRUE,_xlfn.CONCAT(LEFT($A79,FIND("'",$A79)-1),"''",RIGHT($A79,LEN($A79)-FIND("'",$A79))),$A79),"'!C11"))&gt;=R$2,"i",""))</f>
        <v>d</v>
      </c>
      <c r="S79" s="1" t="str" cm="1">
        <f t="array" aca="1" ref="S79" ca="1">IF(INDIRECT(_xlfn.CONCAT("'",IF(ISNUMBER(FIND("'",$A79))=TRUE,_xlfn.CONCAT(LEFT($A79,FIND("'",$A79)-1),"''",RIGHT($A79,LEN($A79)-FIND("'",$A79))),$A79),"'!C10"))&gt;=S$2,"d",IF(INDIRECT(_xlfn.CONCAT("'",IF(ISNUMBER(FIND("'",$A79))=TRUE,_xlfn.CONCAT(LEFT($A79,FIND("'",$A79)-1),"''",RIGHT($A79,LEN($A79)-FIND("'",$A79))),$A79),"'!C11"))&gt;=S$2,"i",""))</f>
        <v>d</v>
      </c>
      <c r="T79" s="4" t="str" cm="1">
        <f t="array" aca="1" ref="T79" ca="1">IF(INDIRECT(_xlfn.CONCAT("'",IF(ISNUMBER(FIND("'",$A79))=TRUE,_xlfn.CONCAT(LEFT($A79,FIND("'",$A79)-1),"''",RIGHT($A79,LEN($A79)-FIND("'",$A79))),$A79),"'!C10"))&gt;=T$2,"d",IF(INDIRECT(_xlfn.CONCAT("'",IF(ISNUMBER(FIND("'",$A79))=TRUE,_xlfn.CONCAT(LEFT($A79,FIND("'",$A79)-1),"''",RIGHT($A79,LEN($A79)-FIND("'",$A79))),$A79),"'!C11"))&gt;=T$2,"i",""))</f>
        <v>d</v>
      </c>
    </row>
    <row r="80" spans="1:20" hidden="1" x14ac:dyDescent="0.25">
      <c r="A80" s="54" t="str">
        <v>Aquila Favonia</v>
      </c>
      <c r="B80" s="14" cm="1">
        <f t="array" ref="B80">_xlfn.XLOOKUP(A80,INDEX(Weapon_List,,1),INDEX(Weapon_List,,3),,0,1)</f>
        <v>5</v>
      </c>
      <c r="C80" s="4" t="str" cm="1">
        <f t="array" ref="C80">_xlfn.XLOOKUP(A80,INDEX(Weapon_List,,1),INDEX(Weapon_List,,2),,0,1)</f>
        <v>Sword</v>
      </c>
      <c r="D80" s="38" t="str" cm="1">
        <f t="array" ref="D80">_xlfn.XLOOKUP(A80,INDEX(Weapon_List,,1),INDEX(Weapon_List,,4),,0,1)</f>
        <v>Mondstadt 1</v>
      </c>
      <c r="E80" s="38" t="str" cm="1">
        <f t="array" ref="E80">_xlfn.XLOOKUP(A80,INDEX(Weapon_List,,1),INDEX(Weapon_List,,5),,0,1)</f>
        <v>Hilichurl Shooter</v>
      </c>
      <c r="F80" s="38" t="str" cm="1">
        <f t="array" ref="F80">_xlfn.XLOOKUP(A80,INDEX(Weapon_List,,1),INDEX(Weapon_List,,6),,0,1)</f>
        <v>Mitachurl</v>
      </c>
      <c r="G80" s="14" t="str" cm="1">
        <f t="array" aca="1" ref="G80" ca="1">IF(INDIRECT(_xlfn.CONCAT("'",IF(ISNUMBER(FIND("'",$A80))=TRUE,_xlfn.CONCAT(LEFT($A80,FIND("'",$A80)-1),"''",RIGHT($A80,LEN($A80)-FIND("'",$A80))),$A80),"'!B4"))&gt;=G$2,"d",IF(INDIRECT(_xlfn.CONCAT("'",IF(ISNUMBER(FIND("'",$A80))=TRUE,_xlfn.CONCAT(LEFT($A80,FIND("'",$A80)-1),"''",RIGHT($A80,LEN($A80)-FIND("'",$A80))),$A80),"'!B5"))&gt;=G$2,"i",""))</f>
        <v>d</v>
      </c>
      <c r="H80" s="1" t="str" cm="1">
        <f t="array" aca="1" ref="H80" ca="1">IF(INDIRECT(_xlfn.CONCAT("'",IF(ISNUMBER(FIND("'",$A80))=TRUE,_xlfn.CONCAT(LEFT($A80,FIND("'",$A80)-1),"''",RIGHT($A80,LEN($A80)-FIND("'",$A80))),$A80),"'!B4"))&gt;=H$2,"d",IF(INDIRECT(_xlfn.CONCAT("'",IF(ISNUMBER(FIND("'",$A80))=TRUE,_xlfn.CONCAT(LEFT($A80,FIND("'",$A80)-1),"''",RIGHT($A80,LEN($A80)-FIND("'",$A80))),$A80),"'!B5"))&gt;=H$2,"i",""))</f>
        <v>d</v>
      </c>
      <c r="I80" s="1" t="str" cm="1">
        <f t="array" aca="1" ref="I80" ca="1">IF(INDIRECT(_xlfn.CONCAT("'",IF(ISNUMBER(FIND("'",$A80))=TRUE,_xlfn.CONCAT(LEFT($A80,FIND("'",$A80)-1),"''",RIGHT($A80,LEN($A80)-FIND("'",$A80))),$A80),"'!B4"))&gt;=I$2,"d",IF(INDIRECT(_xlfn.CONCAT("'",IF(ISNUMBER(FIND("'",$A80))=TRUE,_xlfn.CONCAT(LEFT($A80,FIND("'",$A80)-1),"''",RIGHT($A80,LEN($A80)-FIND("'",$A80))),$A80),"'!B5"))&gt;=I$2,"i",""))</f>
        <v>d</v>
      </c>
      <c r="J80" s="1" t="str" cm="1">
        <f t="array" aca="1" ref="J80" ca="1">IF(INDIRECT(_xlfn.CONCAT("'",IF(ISNUMBER(FIND("'",$A80))=TRUE,_xlfn.CONCAT(LEFT($A80,FIND("'",$A80)-1),"''",RIGHT($A80,LEN($A80)-FIND("'",$A80))),$A80),"'!B4"))&gt;=J$2,"d",IF(INDIRECT(_xlfn.CONCAT("'",IF(ISNUMBER(FIND("'",$A80))=TRUE,_xlfn.CONCAT(LEFT($A80,FIND("'",$A80)-1),"''",RIGHT($A80,LEN($A80)-FIND("'",$A80))),$A80),"'!B5"))&gt;=J$2,"i",""))</f>
        <v>d</v>
      </c>
      <c r="K80" s="1" t="str" cm="1">
        <f t="array" aca="1" ref="K80" ca="1">IF(INDIRECT(_xlfn.CONCAT("'",IF(ISNUMBER(FIND("'",$A80))=TRUE,_xlfn.CONCAT(LEFT($A80,FIND("'",$A80)-1),"''",RIGHT($A80,LEN($A80)-FIND("'",$A80))),$A80),"'!B4"))&gt;=K$2,"d",IF(INDIRECT(_xlfn.CONCAT("'",IF(ISNUMBER(FIND("'",$A80))=TRUE,_xlfn.CONCAT(LEFT($A80,FIND("'",$A80)-1),"''",RIGHT($A80,LEN($A80)-FIND("'",$A80))),$A80),"'!B5"))&gt;=K$2,"i",""))</f>
        <v>d</v>
      </c>
      <c r="L80" s="1" t="str" cm="1">
        <f t="array" aca="1" ref="L80" ca="1">IF(INDIRECT(_xlfn.CONCAT("'",IF(ISNUMBER(FIND("'",$A80))=TRUE,_xlfn.CONCAT(LEFT($A80,FIND("'",$A80)-1),"''",RIGHT($A80,LEN($A80)-FIND("'",$A80))),$A80),"'!B4"))&gt;=L$2,"d",IF(INDIRECT(_xlfn.CONCAT("'",IF(ISNUMBER(FIND("'",$A80))=TRUE,_xlfn.CONCAT(LEFT($A80,FIND("'",$A80)-1),"''",RIGHT($A80,LEN($A80)-FIND("'",$A80))),$A80),"'!B5"))&gt;=L$2,"i",""))</f>
        <v>d</v>
      </c>
      <c r="M80" s="4" t="str" cm="1">
        <f t="array" aca="1" ref="M80" ca="1">IF(INDIRECT(_xlfn.CONCAT("'",IF(ISNUMBER(FIND("'",$A80))=TRUE,_xlfn.CONCAT(LEFT($A80,FIND("'",$A80)-1),"''",RIGHT($A80,LEN($A80)-FIND("'",$A80))),$A80),"'!B4"))&gt;=M$2,"d",IF(INDIRECT(_xlfn.CONCAT("'",IF(ISNUMBER(FIND("'",$A80))=TRUE,_xlfn.CONCAT(LEFT($A80,FIND("'",$A80)-1),"''",RIGHT($A80,LEN($A80)-FIND("'",$A80))),$A80),"'!B5"))&gt;=M$2,"i",""))</f>
        <v>d</v>
      </c>
      <c r="N80" s="95"/>
      <c r="O80" s="14" t="str" cm="1">
        <f t="array" aca="1" ref="O80" ca="1">IF(INDIRECT(_xlfn.CONCAT("'",IF(ISNUMBER(FIND("'",$A80))=TRUE,_xlfn.CONCAT(LEFT($A80,FIND("'",$A80)-1),"''",RIGHT($A80,LEN($A80)-FIND("'",$A80))),$A80),"'!C10"))&gt;=O$2,"d",IF(INDIRECT(_xlfn.CONCAT("'",IF(ISNUMBER(FIND("'",$A80))=TRUE,_xlfn.CONCAT(LEFT($A80,FIND("'",$A80)-1),"''",RIGHT($A80,LEN($A80)-FIND("'",$A80))),$A80),"'!C11"))&gt;=O$2,"i",""))</f>
        <v>d</v>
      </c>
      <c r="P80" s="1" t="str" cm="1">
        <f t="array" aca="1" ref="P80" ca="1">IF(INDIRECT(_xlfn.CONCAT("'",IF(ISNUMBER(FIND("'",$A80))=TRUE,_xlfn.CONCAT(LEFT($A80,FIND("'",$A80)-1),"''",RIGHT($A80,LEN($A80)-FIND("'",$A80))),$A80),"'!C10"))&gt;=P$2,"d",IF(INDIRECT(_xlfn.CONCAT("'",IF(ISNUMBER(FIND("'",$A80))=TRUE,_xlfn.CONCAT(LEFT($A80,FIND("'",$A80)-1),"''",RIGHT($A80,LEN($A80)-FIND("'",$A80))),$A80),"'!C11"))&gt;=P$2,"i",""))</f>
        <v>d</v>
      </c>
      <c r="Q80" s="1" t="str" cm="1">
        <f t="array" aca="1" ref="Q80" ca="1">IF(INDIRECT(_xlfn.CONCAT("'",IF(ISNUMBER(FIND("'",$A80))=TRUE,_xlfn.CONCAT(LEFT($A80,FIND("'",$A80)-1),"''",RIGHT($A80,LEN($A80)-FIND("'",$A80))),$A80),"'!C10"))&gt;=Q$2,"d",IF(INDIRECT(_xlfn.CONCAT("'",IF(ISNUMBER(FIND("'",$A80))=TRUE,_xlfn.CONCAT(LEFT($A80,FIND("'",$A80)-1),"''",RIGHT($A80,LEN($A80)-FIND("'",$A80))),$A80),"'!C11"))&gt;=Q$2,"i",""))</f>
        <v>d</v>
      </c>
      <c r="R80" s="1" t="str" cm="1">
        <f t="array" aca="1" ref="R80" ca="1">IF(INDIRECT(_xlfn.CONCAT("'",IF(ISNUMBER(FIND("'",$A80))=TRUE,_xlfn.CONCAT(LEFT($A80,FIND("'",$A80)-1),"''",RIGHT($A80,LEN($A80)-FIND("'",$A80))),$A80),"'!C10"))&gt;=R$2,"d",IF(INDIRECT(_xlfn.CONCAT("'",IF(ISNUMBER(FIND("'",$A80))=TRUE,_xlfn.CONCAT(LEFT($A80,FIND("'",$A80)-1),"''",RIGHT($A80,LEN($A80)-FIND("'",$A80))),$A80),"'!C11"))&gt;=R$2,"i",""))</f>
        <v>d</v>
      </c>
      <c r="S80" s="1" t="str" cm="1">
        <f t="array" aca="1" ref="S80" ca="1">IF(INDIRECT(_xlfn.CONCAT("'",IF(ISNUMBER(FIND("'",$A80))=TRUE,_xlfn.CONCAT(LEFT($A80,FIND("'",$A80)-1),"''",RIGHT($A80,LEN($A80)-FIND("'",$A80))),$A80),"'!C10"))&gt;=S$2,"d",IF(INDIRECT(_xlfn.CONCAT("'",IF(ISNUMBER(FIND("'",$A80))=TRUE,_xlfn.CONCAT(LEFT($A80,FIND("'",$A80)-1),"''",RIGHT($A80,LEN($A80)-FIND("'",$A80))),$A80),"'!C11"))&gt;=S$2,"i",""))</f>
        <v>d</v>
      </c>
      <c r="T80" s="4" t="str" cm="1">
        <f t="array" aca="1" ref="T80" ca="1">IF(INDIRECT(_xlfn.CONCAT("'",IF(ISNUMBER(FIND("'",$A80))=TRUE,_xlfn.CONCAT(LEFT($A80,FIND("'",$A80)-1),"''",RIGHT($A80,LEN($A80)-FIND("'",$A80))),$A80),"'!C10"))&gt;=T$2,"d",IF(INDIRECT(_xlfn.CONCAT("'",IF(ISNUMBER(FIND("'",$A80))=TRUE,_xlfn.CONCAT(LEFT($A80,FIND("'",$A80)-1),"''",RIGHT($A80,LEN($A80)-FIND("'",$A80))),$A80),"'!C11"))&gt;=T$2,"i",""))</f>
        <v>d</v>
      </c>
    </row>
    <row r="81" spans="1:20" hidden="1" x14ac:dyDescent="0.25">
      <c r="A81" s="54" t="str">
        <v>Skyward Blade</v>
      </c>
      <c r="B81" s="14" cm="1">
        <f t="array" ref="B81">_xlfn.XLOOKUP(A81,INDEX(Weapon_List,,1),INDEX(Weapon_List,,3),,0,1)</f>
        <v>5</v>
      </c>
      <c r="C81" s="4" t="str" cm="1">
        <f t="array" ref="C81">_xlfn.XLOOKUP(A81,INDEX(Weapon_List,,1),INDEX(Weapon_List,,2),,0,1)</f>
        <v>Sword</v>
      </c>
      <c r="D81" s="38" t="str" cm="1">
        <f t="array" ref="D81">_xlfn.XLOOKUP(A81,INDEX(Weapon_List,,1),INDEX(Weapon_List,,4),,0,1)</f>
        <v>Mondstadt 2</v>
      </c>
      <c r="E81" s="38" t="str" cm="1">
        <f t="array" ref="E81">_xlfn.XLOOKUP(A81,INDEX(Weapon_List,,1),INDEX(Weapon_List,,5),,0,1)</f>
        <v>Slime</v>
      </c>
      <c r="F81" s="38" t="str" cm="1">
        <f t="array" ref="F81">_xlfn.XLOOKUP(A81,INDEX(Weapon_List,,1),INDEX(Weapon_List,,6),,0,1)</f>
        <v>Abyss Mage</v>
      </c>
      <c r="G81" s="14" t="str" cm="1">
        <f t="array" aca="1" ref="G81" ca="1">IF(INDIRECT(_xlfn.CONCAT("'",IF(ISNUMBER(FIND("'",$A81))=TRUE,_xlfn.CONCAT(LEFT($A81,FIND("'",$A81)-1),"''",RIGHT($A81,LEN($A81)-FIND("'",$A81))),$A81),"'!B4"))&gt;=G$2,"d",IF(INDIRECT(_xlfn.CONCAT("'",IF(ISNUMBER(FIND("'",$A81))=TRUE,_xlfn.CONCAT(LEFT($A81,FIND("'",$A81)-1),"''",RIGHT($A81,LEN($A81)-FIND("'",$A81))),$A81),"'!B5"))&gt;=G$2,"i",""))</f>
        <v>d</v>
      </c>
      <c r="H81" s="1" t="str" cm="1">
        <f t="array" aca="1" ref="H81" ca="1">IF(INDIRECT(_xlfn.CONCAT("'",IF(ISNUMBER(FIND("'",$A81))=TRUE,_xlfn.CONCAT(LEFT($A81,FIND("'",$A81)-1),"''",RIGHT($A81,LEN($A81)-FIND("'",$A81))),$A81),"'!B4"))&gt;=H$2,"d",IF(INDIRECT(_xlfn.CONCAT("'",IF(ISNUMBER(FIND("'",$A81))=TRUE,_xlfn.CONCAT(LEFT($A81,FIND("'",$A81)-1),"''",RIGHT($A81,LEN($A81)-FIND("'",$A81))),$A81),"'!B5"))&gt;=H$2,"i",""))</f>
        <v>d</v>
      </c>
      <c r="I81" s="1" t="str" cm="1">
        <f t="array" aca="1" ref="I81" ca="1">IF(INDIRECT(_xlfn.CONCAT("'",IF(ISNUMBER(FIND("'",$A81))=TRUE,_xlfn.CONCAT(LEFT($A81,FIND("'",$A81)-1),"''",RIGHT($A81,LEN($A81)-FIND("'",$A81))),$A81),"'!B4"))&gt;=I$2,"d",IF(INDIRECT(_xlfn.CONCAT("'",IF(ISNUMBER(FIND("'",$A81))=TRUE,_xlfn.CONCAT(LEFT($A81,FIND("'",$A81)-1),"''",RIGHT($A81,LEN($A81)-FIND("'",$A81))),$A81),"'!B5"))&gt;=I$2,"i",""))</f>
        <v>d</v>
      </c>
      <c r="J81" s="1" t="str" cm="1">
        <f t="array" aca="1" ref="J81" ca="1">IF(INDIRECT(_xlfn.CONCAT("'",IF(ISNUMBER(FIND("'",$A81))=TRUE,_xlfn.CONCAT(LEFT($A81,FIND("'",$A81)-1),"''",RIGHT($A81,LEN($A81)-FIND("'",$A81))),$A81),"'!B4"))&gt;=J$2,"d",IF(INDIRECT(_xlfn.CONCAT("'",IF(ISNUMBER(FIND("'",$A81))=TRUE,_xlfn.CONCAT(LEFT($A81,FIND("'",$A81)-1),"''",RIGHT($A81,LEN($A81)-FIND("'",$A81))),$A81),"'!B5"))&gt;=J$2,"i",""))</f>
        <v>d</v>
      </c>
      <c r="K81" s="1" t="str" cm="1">
        <f t="array" aca="1" ref="K81" ca="1">IF(INDIRECT(_xlfn.CONCAT("'",IF(ISNUMBER(FIND("'",$A81))=TRUE,_xlfn.CONCAT(LEFT($A81,FIND("'",$A81)-1),"''",RIGHT($A81,LEN($A81)-FIND("'",$A81))),$A81),"'!B4"))&gt;=K$2,"d",IF(INDIRECT(_xlfn.CONCAT("'",IF(ISNUMBER(FIND("'",$A81))=TRUE,_xlfn.CONCAT(LEFT($A81,FIND("'",$A81)-1),"''",RIGHT($A81,LEN($A81)-FIND("'",$A81))),$A81),"'!B5"))&gt;=K$2,"i",""))</f>
        <v>d</v>
      </c>
      <c r="L81" s="1" t="str" cm="1">
        <f t="array" aca="1" ref="L81" ca="1">IF(INDIRECT(_xlfn.CONCAT("'",IF(ISNUMBER(FIND("'",$A81))=TRUE,_xlfn.CONCAT(LEFT($A81,FIND("'",$A81)-1),"''",RIGHT($A81,LEN($A81)-FIND("'",$A81))),$A81),"'!B4"))&gt;=L$2,"d",IF(INDIRECT(_xlfn.CONCAT("'",IF(ISNUMBER(FIND("'",$A81))=TRUE,_xlfn.CONCAT(LEFT($A81,FIND("'",$A81)-1),"''",RIGHT($A81,LEN($A81)-FIND("'",$A81))),$A81),"'!B5"))&gt;=L$2,"i",""))</f>
        <v>d</v>
      </c>
      <c r="M81" s="4" t="str" cm="1">
        <f t="array" aca="1" ref="M81" ca="1">IF(INDIRECT(_xlfn.CONCAT("'",IF(ISNUMBER(FIND("'",$A81))=TRUE,_xlfn.CONCAT(LEFT($A81,FIND("'",$A81)-1),"''",RIGHT($A81,LEN($A81)-FIND("'",$A81))),$A81),"'!B4"))&gt;=M$2,"d",IF(INDIRECT(_xlfn.CONCAT("'",IF(ISNUMBER(FIND("'",$A81))=TRUE,_xlfn.CONCAT(LEFT($A81,FIND("'",$A81)-1),"''",RIGHT($A81,LEN($A81)-FIND("'",$A81))),$A81),"'!B5"))&gt;=M$2,"i",""))</f>
        <v>d</v>
      </c>
      <c r="N81" s="95"/>
      <c r="O81" s="14" t="str" cm="1">
        <f t="array" aca="1" ref="O81" ca="1">IF(INDIRECT(_xlfn.CONCAT("'",IF(ISNUMBER(FIND("'",$A81))=TRUE,_xlfn.CONCAT(LEFT($A81,FIND("'",$A81)-1),"''",RIGHT($A81,LEN($A81)-FIND("'",$A81))),$A81),"'!C10"))&gt;=O$2,"d",IF(INDIRECT(_xlfn.CONCAT("'",IF(ISNUMBER(FIND("'",$A81))=TRUE,_xlfn.CONCAT(LEFT($A81,FIND("'",$A81)-1),"''",RIGHT($A81,LEN($A81)-FIND("'",$A81))),$A81),"'!C11"))&gt;=O$2,"i",""))</f>
        <v>d</v>
      </c>
      <c r="P81" s="1" t="str" cm="1">
        <f t="array" aca="1" ref="P81" ca="1">IF(INDIRECT(_xlfn.CONCAT("'",IF(ISNUMBER(FIND("'",$A81))=TRUE,_xlfn.CONCAT(LEFT($A81,FIND("'",$A81)-1),"''",RIGHT($A81,LEN($A81)-FIND("'",$A81))),$A81),"'!C10"))&gt;=P$2,"d",IF(INDIRECT(_xlfn.CONCAT("'",IF(ISNUMBER(FIND("'",$A81))=TRUE,_xlfn.CONCAT(LEFT($A81,FIND("'",$A81)-1),"''",RIGHT($A81,LEN($A81)-FIND("'",$A81))),$A81),"'!C11"))&gt;=P$2,"i",""))</f>
        <v>d</v>
      </c>
      <c r="Q81" s="1" t="str" cm="1">
        <f t="array" aca="1" ref="Q81" ca="1">IF(INDIRECT(_xlfn.CONCAT("'",IF(ISNUMBER(FIND("'",$A81))=TRUE,_xlfn.CONCAT(LEFT($A81,FIND("'",$A81)-1),"''",RIGHT($A81,LEN($A81)-FIND("'",$A81))),$A81),"'!C10"))&gt;=Q$2,"d",IF(INDIRECT(_xlfn.CONCAT("'",IF(ISNUMBER(FIND("'",$A81))=TRUE,_xlfn.CONCAT(LEFT($A81,FIND("'",$A81)-1),"''",RIGHT($A81,LEN($A81)-FIND("'",$A81))),$A81),"'!C11"))&gt;=Q$2,"i",""))</f>
        <v>d</v>
      </c>
      <c r="R81" s="1" t="str" cm="1">
        <f t="array" aca="1" ref="R81" ca="1">IF(INDIRECT(_xlfn.CONCAT("'",IF(ISNUMBER(FIND("'",$A81))=TRUE,_xlfn.CONCAT(LEFT($A81,FIND("'",$A81)-1),"''",RIGHT($A81,LEN($A81)-FIND("'",$A81))),$A81),"'!C10"))&gt;=R$2,"d",IF(INDIRECT(_xlfn.CONCAT("'",IF(ISNUMBER(FIND("'",$A81))=TRUE,_xlfn.CONCAT(LEFT($A81,FIND("'",$A81)-1),"''",RIGHT($A81,LEN($A81)-FIND("'",$A81))),$A81),"'!C11"))&gt;=R$2,"i",""))</f>
        <v>d</v>
      </c>
      <c r="S81" s="1" t="str" cm="1">
        <f t="array" aca="1" ref="S81" ca="1">IF(INDIRECT(_xlfn.CONCAT("'",IF(ISNUMBER(FIND("'",$A81))=TRUE,_xlfn.CONCAT(LEFT($A81,FIND("'",$A81)-1),"''",RIGHT($A81,LEN($A81)-FIND("'",$A81))),$A81),"'!C10"))&gt;=S$2,"d",IF(INDIRECT(_xlfn.CONCAT("'",IF(ISNUMBER(FIND("'",$A81))=TRUE,_xlfn.CONCAT(LEFT($A81,FIND("'",$A81)-1),"''",RIGHT($A81,LEN($A81)-FIND("'",$A81))),$A81),"'!C11"))&gt;=S$2,"i",""))</f>
        <v>d</v>
      </c>
      <c r="T81" s="4" t="str" cm="1">
        <f t="array" aca="1" ref="T81" ca="1">IF(INDIRECT(_xlfn.CONCAT("'",IF(ISNUMBER(FIND("'",$A81))=TRUE,_xlfn.CONCAT(LEFT($A81,FIND("'",$A81)-1),"''",RIGHT($A81,LEN($A81)-FIND("'",$A81))),$A81),"'!C10"))&gt;=T$2,"d",IF(INDIRECT(_xlfn.CONCAT("'",IF(ISNUMBER(FIND("'",$A81))=TRUE,_xlfn.CONCAT(LEFT($A81,FIND("'",$A81)-1),"''",RIGHT($A81,LEN($A81)-FIND("'",$A81))),$A81),"'!C11"))&gt;=T$2,"i",""))</f>
        <v>d</v>
      </c>
    </row>
    <row r="82" spans="1:20" hidden="1" x14ac:dyDescent="0.25">
      <c r="A82" s="54" t="str">
        <v>Skyward Pride</v>
      </c>
      <c r="B82" s="14" cm="1">
        <f t="array" ref="B82">_xlfn.XLOOKUP(A82,INDEX(Weapon_List,,1),INDEX(Weapon_List,,3),,0,1)</f>
        <v>5</v>
      </c>
      <c r="C82" s="4" t="str" cm="1">
        <f t="array" ref="C82">_xlfn.XLOOKUP(A82,INDEX(Weapon_List,,1),INDEX(Weapon_List,,2),,0,1)</f>
        <v>Claymore</v>
      </c>
      <c r="D82" s="38" t="str" cm="1">
        <f t="array" ref="D82">_xlfn.XLOOKUP(A82,INDEX(Weapon_List,,1),INDEX(Weapon_List,,4),,0,1)</f>
        <v>Mondstadt 2</v>
      </c>
      <c r="E82" s="38" t="str" cm="1">
        <f t="array" ref="E82">_xlfn.XLOOKUP(A82,INDEX(Weapon_List,,1),INDEX(Weapon_List,,5),,0,1)</f>
        <v>Slime</v>
      </c>
      <c r="F82" s="38" t="str" cm="1">
        <f t="array" ref="F82">_xlfn.XLOOKUP(A82,INDEX(Weapon_List,,1),INDEX(Weapon_List,,6),,0,1)</f>
        <v>Abyss Mage</v>
      </c>
      <c r="G82" s="14" t="str" cm="1">
        <f t="array" aca="1" ref="G82" ca="1">IF(INDIRECT(_xlfn.CONCAT("'",IF(ISNUMBER(FIND("'",$A82))=TRUE,_xlfn.CONCAT(LEFT($A82,FIND("'",$A82)-1),"''",RIGHT($A82,LEN($A82)-FIND("'",$A82))),$A82),"'!B4"))&gt;=G$2,"d",IF(INDIRECT(_xlfn.CONCAT("'",IF(ISNUMBER(FIND("'",$A82))=TRUE,_xlfn.CONCAT(LEFT($A82,FIND("'",$A82)-1),"''",RIGHT($A82,LEN($A82)-FIND("'",$A82))),$A82),"'!B5"))&gt;=G$2,"i",""))</f>
        <v>d</v>
      </c>
      <c r="H82" s="1" t="str" cm="1">
        <f t="array" aca="1" ref="H82" ca="1">IF(INDIRECT(_xlfn.CONCAT("'",IF(ISNUMBER(FIND("'",$A82))=TRUE,_xlfn.CONCAT(LEFT($A82,FIND("'",$A82)-1),"''",RIGHT($A82,LEN($A82)-FIND("'",$A82))),$A82),"'!B4"))&gt;=H$2,"d",IF(INDIRECT(_xlfn.CONCAT("'",IF(ISNUMBER(FIND("'",$A82))=TRUE,_xlfn.CONCAT(LEFT($A82,FIND("'",$A82)-1),"''",RIGHT($A82,LEN($A82)-FIND("'",$A82))),$A82),"'!B5"))&gt;=H$2,"i",""))</f>
        <v>d</v>
      </c>
      <c r="I82" s="1" t="str" cm="1">
        <f t="array" aca="1" ref="I82" ca="1">IF(INDIRECT(_xlfn.CONCAT("'",IF(ISNUMBER(FIND("'",$A82))=TRUE,_xlfn.CONCAT(LEFT($A82,FIND("'",$A82)-1),"''",RIGHT($A82,LEN($A82)-FIND("'",$A82))),$A82),"'!B4"))&gt;=I$2,"d",IF(INDIRECT(_xlfn.CONCAT("'",IF(ISNUMBER(FIND("'",$A82))=TRUE,_xlfn.CONCAT(LEFT($A82,FIND("'",$A82)-1),"''",RIGHT($A82,LEN($A82)-FIND("'",$A82))),$A82),"'!B5"))&gt;=I$2,"i",""))</f>
        <v>d</v>
      </c>
      <c r="J82" s="1" t="str" cm="1">
        <f t="array" aca="1" ref="J82" ca="1">IF(INDIRECT(_xlfn.CONCAT("'",IF(ISNUMBER(FIND("'",$A82))=TRUE,_xlfn.CONCAT(LEFT($A82,FIND("'",$A82)-1),"''",RIGHT($A82,LEN($A82)-FIND("'",$A82))),$A82),"'!B4"))&gt;=J$2,"d",IF(INDIRECT(_xlfn.CONCAT("'",IF(ISNUMBER(FIND("'",$A82))=TRUE,_xlfn.CONCAT(LEFT($A82,FIND("'",$A82)-1),"''",RIGHT($A82,LEN($A82)-FIND("'",$A82))),$A82),"'!B5"))&gt;=J$2,"i",""))</f>
        <v>d</v>
      </c>
      <c r="K82" s="1" t="str" cm="1">
        <f t="array" aca="1" ref="K82" ca="1">IF(INDIRECT(_xlfn.CONCAT("'",IF(ISNUMBER(FIND("'",$A82))=TRUE,_xlfn.CONCAT(LEFT($A82,FIND("'",$A82)-1),"''",RIGHT($A82,LEN($A82)-FIND("'",$A82))),$A82),"'!B4"))&gt;=K$2,"d",IF(INDIRECT(_xlfn.CONCAT("'",IF(ISNUMBER(FIND("'",$A82))=TRUE,_xlfn.CONCAT(LEFT($A82,FIND("'",$A82)-1),"''",RIGHT($A82,LEN($A82)-FIND("'",$A82))),$A82),"'!B5"))&gt;=K$2,"i",""))</f>
        <v>d</v>
      </c>
      <c r="L82" s="1" t="str" cm="1">
        <f t="array" aca="1" ref="L82" ca="1">IF(INDIRECT(_xlfn.CONCAT("'",IF(ISNUMBER(FIND("'",$A82))=TRUE,_xlfn.CONCAT(LEFT($A82,FIND("'",$A82)-1),"''",RIGHT($A82,LEN($A82)-FIND("'",$A82))),$A82),"'!B4"))&gt;=L$2,"d",IF(INDIRECT(_xlfn.CONCAT("'",IF(ISNUMBER(FIND("'",$A82))=TRUE,_xlfn.CONCAT(LEFT($A82,FIND("'",$A82)-1),"''",RIGHT($A82,LEN($A82)-FIND("'",$A82))),$A82),"'!B5"))&gt;=L$2,"i",""))</f>
        <v>d</v>
      </c>
      <c r="M82" s="4" t="str" cm="1">
        <f t="array" aca="1" ref="M82" ca="1">IF(INDIRECT(_xlfn.CONCAT("'",IF(ISNUMBER(FIND("'",$A82))=TRUE,_xlfn.CONCAT(LEFT($A82,FIND("'",$A82)-1),"''",RIGHT($A82,LEN($A82)-FIND("'",$A82))),$A82),"'!B4"))&gt;=M$2,"d",IF(INDIRECT(_xlfn.CONCAT("'",IF(ISNUMBER(FIND("'",$A82))=TRUE,_xlfn.CONCAT(LEFT($A82,FIND("'",$A82)-1),"''",RIGHT($A82,LEN($A82)-FIND("'",$A82))),$A82),"'!B5"))&gt;=M$2,"i",""))</f>
        <v>d</v>
      </c>
      <c r="N82" s="95"/>
      <c r="O82" s="14" t="str" cm="1">
        <f t="array" aca="1" ref="O82" ca="1">IF(INDIRECT(_xlfn.CONCAT("'",IF(ISNUMBER(FIND("'",$A82))=TRUE,_xlfn.CONCAT(LEFT($A82,FIND("'",$A82)-1),"''",RIGHT($A82,LEN($A82)-FIND("'",$A82))),$A82),"'!C10"))&gt;=O$2,"d",IF(INDIRECT(_xlfn.CONCAT("'",IF(ISNUMBER(FIND("'",$A82))=TRUE,_xlfn.CONCAT(LEFT($A82,FIND("'",$A82)-1),"''",RIGHT($A82,LEN($A82)-FIND("'",$A82))),$A82),"'!C11"))&gt;=O$2,"i",""))</f>
        <v>d</v>
      </c>
      <c r="P82" s="1" t="str" cm="1">
        <f t="array" aca="1" ref="P82" ca="1">IF(INDIRECT(_xlfn.CONCAT("'",IF(ISNUMBER(FIND("'",$A82))=TRUE,_xlfn.CONCAT(LEFT($A82,FIND("'",$A82)-1),"''",RIGHT($A82,LEN($A82)-FIND("'",$A82))),$A82),"'!C10"))&gt;=P$2,"d",IF(INDIRECT(_xlfn.CONCAT("'",IF(ISNUMBER(FIND("'",$A82))=TRUE,_xlfn.CONCAT(LEFT($A82,FIND("'",$A82)-1),"''",RIGHT($A82,LEN($A82)-FIND("'",$A82))),$A82),"'!C11"))&gt;=P$2,"i",""))</f>
        <v>d</v>
      </c>
      <c r="Q82" s="1" t="str" cm="1">
        <f t="array" aca="1" ref="Q82" ca="1">IF(INDIRECT(_xlfn.CONCAT("'",IF(ISNUMBER(FIND("'",$A82))=TRUE,_xlfn.CONCAT(LEFT($A82,FIND("'",$A82)-1),"''",RIGHT($A82,LEN($A82)-FIND("'",$A82))),$A82),"'!C10"))&gt;=Q$2,"d",IF(INDIRECT(_xlfn.CONCAT("'",IF(ISNUMBER(FIND("'",$A82))=TRUE,_xlfn.CONCAT(LEFT($A82,FIND("'",$A82)-1),"''",RIGHT($A82,LEN($A82)-FIND("'",$A82))),$A82),"'!C11"))&gt;=Q$2,"i",""))</f>
        <v>d</v>
      </c>
      <c r="R82" s="1" t="str" cm="1">
        <f t="array" aca="1" ref="R82" ca="1">IF(INDIRECT(_xlfn.CONCAT("'",IF(ISNUMBER(FIND("'",$A82))=TRUE,_xlfn.CONCAT(LEFT($A82,FIND("'",$A82)-1),"''",RIGHT($A82,LEN($A82)-FIND("'",$A82))),$A82),"'!C10"))&gt;=R$2,"d",IF(INDIRECT(_xlfn.CONCAT("'",IF(ISNUMBER(FIND("'",$A82))=TRUE,_xlfn.CONCAT(LEFT($A82,FIND("'",$A82)-1),"''",RIGHT($A82,LEN($A82)-FIND("'",$A82))),$A82),"'!C11"))&gt;=R$2,"i",""))</f>
        <v>d</v>
      </c>
      <c r="S82" s="1" t="str" cm="1">
        <f t="array" aca="1" ref="S82" ca="1">IF(INDIRECT(_xlfn.CONCAT("'",IF(ISNUMBER(FIND("'",$A82))=TRUE,_xlfn.CONCAT(LEFT($A82,FIND("'",$A82)-1),"''",RIGHT($A82,LEN($A82)-FIND("'",$A82))),$A82),"'!C10"))&gt;=S$2,"d",IF(INDIRECT(_xlfn.CONCAT("'",IF(ISNUMBER(FIND("'",$A82))=TRUE,_xlfn.CONCAT(LEFT($A82,FIND("'",$A82)-1),"''",RIGHT($A82,LEN($A82)-FIND("'",$A82))),$A82),"'!C11"))&gt;=S$2,"i",""))</f>
        <v>d</v>
      </c>
      <c r="T82" s="4" t="str" cm="1">
        <f t="array" aca="1" ref="T82" ca="1">IF(INDIRECT(_xlfn.CONCAT("'",IF(ISNUMBER(FIND("'",$A82))=TRUE,_xlfn.CONCAT(LEFT($A82,FIND("'",$A82)-1),"''",RIGHT($A82,LEN($A82)-FIND("'",$A82))),$A82),"'!C10"))&gt;=T$2,"d",IF(INDIRECT(_xlfn.CONCAT("'",IF(ISNUMBER(FIND("'",$A82))=TRUE,_xlfn.CONCAT(LEFT($A82,FIND("'",$A82)-1),"''",RIGHT($A82,LEN($A82)-FIND("'",$A82))),$A82),"'!C11"))&gt;=T$2,"i",""))</f>
        <v>d</v>
      </c>
    </row>
    <row r="83" spans="1:20" hidden="1" x14ac:dyDescent="0.25">
      <c r="A83" s="54" t="str">
        <v>Wolf's Gravestone</v>
      </c>
      <c r="B83" s="14" cm="1">
        <f t="array" ref="B83">_xlfn.XLOOKUP(A83,INDEX(Weapon_List,,1),INDEX(Weapon_List,,3),,0,1)</f>
        <v>5</v>
      </c>
      <c r="C83" s="4" t="str" cm="1">
        <f t="array" ref="C83">_xlfn.XLOOKUP(A83,INDEX(Weapon_List,,1),INDEX(Weapon_List,,2),,0,1)</f>
        <v>Claymore</v>
      </c>
      <c r="D83" s="38" t="str" cm="1">
        <f t="array" ref="D83">_xlfn.XLOOKUP(A83,INDEX(Weapon_List,,1),INDEX(Weapon_List,,4),,0,1)</f>
        <v>Mondstadt 3</v>
      </c>
      <c r="E83" s="38" t="str" cm="1">
        <f t="array" ref="E83">_xlfn.XLOOKUP(A83,INDEX(Weapon_List,,1),INDEX(Weapon_List,,5),,0,1)</f>
        <v>Samachurl</v>
      </c>
      <c r="F83" s="38" t="str" cm="1">
        <f t="array" ref="F83">_xlfn.XLOOKUP(A83,INDEX(Weapon_List,,1),INDEX(Weapon_List,,6),,0,1)</f>
        <v>Ruin Machine 1</v>
      </c>
      <c r="G83" s="14" t="str" cm="1">
        <f t="array" aca="1" ref="G83" ca="1">IF(INDIRECT(_xlfn.CONCAT("'",IF(ISNUMBER(FIND("'",$A83))=TRUE,_xlfn.CONCAT(LEFT($A83,FIND("'",$A83)-1),"''",RIGHT($A83,LEN($A83)-FIND("'",$A83))),$A83),"'!B4"))&gt;=G$2,"d",IF(INDIRECT(_xlfn.CONCAT("'",IF(ISNUMBER(FIND("'",$A83))=TRUE,_xlfn.CONCAT(LEFT($A83,FIND("'",$A83)-1),"''",RIGHT($A83,LEN($A83)-FIND("'",$A83))),$A83),"'!B5"))&gt;=G$2,"i",""))</f>
        <v>d</v>
      </c>
      <c r="H83" s="1" t="str" cm="1">
        <f t="array" aca="1" ref="H83" ca="1">IF(INDIRECT(_xlfn.CONCAT("'",IF(ISNUMBER(FIND("'",$A83))=TRUE,_xlfn.CONCAT(LEFT($A83,FIND("'",$A83)-1),"''",RIGHT($A83,LEN($A83)-FIND("'",$A83))),$A83),"'!B4"))&gt;=H$2,"d",IF(INDIRECT(_xlfn.CONCAT("'",IF(ISNUMBER(FIND("'",$A83))=TRUE,_xlfn.CONCAT(LEFT($A83,FIND("'",$A83)-1),"''",RIGHT($A83,LEN($A83)-FIND("'",$A83))),$A83),"'!B5"))&gt;=H$2,"i",""))</f>
        <v>d</v>
      </c>
      <c r="I83" s="1" t="str" cm="1">
        <f t="array" aca="1" ref="I83" ca="1">IF(INDIRECT(_xlfn.CONCAT("'",IF(ISNUMBER(FIND("'",$A83))=TRUE,_xlfn.CONCAT(LEFT($A83,FIND("'",$A83)-1),"''",RIGHT($A83,LEN($A83)-FIND("'",$A83))),$A83),"'!B4"))&gt;=I$2,"d",IF(INDIRECT(_xlfn.CONCAT("'",IF(ISNUMBER(FIND("'",$A83))=TRUE,_xlfn.CONCAT(LEFT($A83,FIND("'",$A83)-1),"''",RIGHT($A83,LEN($A83)-FIND("'",$A83))),$A83),"'!B5"))&gt;=I$2,"i",""))</f>
        <v>d</v>
      </c>
      <c r="J83" s="1" t="str" cm="1">
        <f t="array" aca="1" ref="J83" ca="1">IF(INDIRECT(_xlfn.CONCAT("'",IF(ISNUMBER(FIND("'",$A83))=TRUE,_xlfn.CONCAT(LEFT($A83,FIND("'",$A83)-1),"''",RIGHT($A83,LEN($A83)-FIND("'",$A83))),$A83),"'!B4"))&gt;=J$2,"d",IF(INDIRECT(_xlfn.CONCAT("'",IF(ISNUMBER(FIND("'",$A83))=TRUE,_xlfn.CONCAT(LEFT($A83,FIND("'",$A83)-1),"''",RIGHT($A83,LEN($A83)-FIND("'",$A83))),$A83),"'!B5"))&gt;=J$2,"i",""))</f>
        <v>d</v>
      </c>
      <c r="K83" s="1" t="str" cm="1">
        <f t="array" aca="1" ref="K83" ca="1">IF(INDIRECT(_xlfn.CONCAT("'",IF(ISNUMBER(FIND("'",$A83))=TRUE,_xlfn.CONCAT(LEFT($A83,FIND("'",$A83)-1),"''",RIGHT($A83,LEN($A83)-FIND("'",$A83))),$A83),"'!B4"))&gt;=K$2,"d",IF(INDIRECT(_xlfn.CONCAT("'",IF(ISNUMBER(FIND("'",$A83))=TRUE,_xlfn.CONCAT(LEFT($A83,FIND("'",$A83)-1),"''",RIGHT($A83,LEN($A83)-FIND("'",$A83))),$A83),"'!B5"))&gt;=K$2,"i",""))</f>
        <v>d</v>
      </c>
      <c r="L83" s="1" t="str" cm="1">
        <f t="array" aca="1" ref="L83" ca="1">IF(INDIRECT(_xlfn.CONCAT("'",IF(ISNUMBER(FIND("'",$A83))=TRUE,_xlfn.CONCAT(LEFT($A83,FIND("'",$A83)-1),"''",RIGHT($A83,LEN($A83)-FIND("'",$A83))),$A83),"'!B4"))&gt;=L$2,"d",IF(INDIRECT(_xlfn.CONCAT("'",IF(ISNUMBER(FIND("'",$A83))=TRUE,_xlfn.CONCAT(LEFT($A83,FIND("'",$A83)-1),"''",RIGHT($A83,LEN($A83)-FIND("'",$A83))),$A83),"'!B5"))&gt;=L$2,"i",""))</f>
        <v>d</v>
      </c>
      <c r="M83" s="4" t="str" cm="1">
        <f t="array" aca="1" ref="M83" ca="1">IF(INDIRECT(_xlfn.CONCAT("'",IF(ISNUMBER(FIND("'",$A83))=TRUE,_xlfn.CONCAT(LEFT($A83,FIND("'",$A83)-1),"''",RIGHT($A83,LEN($A83)-FIND("'",$A83))),$A83),"'!B4"))&gt;=M$2,"d",IF(INDIRECT(_xlfn.CONCAT("'",IF(ISNUMBER(FIND("'",$A83))=TRUE,_xlfn.CONCAT(LEFT($A83,FIND("'",$A83)-1),"''",RIGHT($A83,LEN($A83)-FIND("'",$A83))),$A83),"'!B5"))&gt;=M$2,"i",""))</f>
        <v>d</v>
      </c>
      <c r="N83" s="95"/>
      <c r="O83" s="14" t="str" cm="1">
        <f t="array" aca="1" ref="O83" ca="1">IF(INDIRECT(_xlfn.CONCAT("'",IF(ISNUMBER(FIND("'",$A83))=TRUE,_xlfn.CONCAT(LEFT($A83,FIND("'",$A83)-1),"''",RIGHT($A83,LEN($A83)-FIND("'",$A83))),$A83),"'!C10"))&gt;=O$2,"d",IF(INDIRECT(_xlfn.CONCAT("'",IF(ISNUMBER(FIND("'",$A83))=TRUE,_xlfn.CONCAT(LEFT($A83,FIND("'",$A83)-1),"''",RIGHT($A83,LEN($A83)-FIND("'",$A83))),$A83),"'!C11"))&gt;=O$2,"i",""))</f>
        <v>d</v>
      </c>
      <c r="P83" s="1" t="str" cm="1">
        <f t="array" aca="1" ref="P83" ca="1">IF(INDIRECT(_xlfn.CONCAT("'",IF(ISNUMBER(FIND("'",$A83))=TRUE,_xlfn.CONCAT(LEFT($A83,FIND("'",$A83)-1),"''",RIGHT($A83,LEN($A83)-FIND("'",$A83))),$A83),"'!C10"))&gt;=P$2,"d",IF(INDIRECT(_xlfn.CONCAT("'",IF(ISNUMBER(FIND("'",$A83))=TRUE,_xlfn.CONCAT(LEFT($A83,FIND("'",$A83)-1),"''",RIGHT($A83,LEN($A83)-FIND("'",$A83))),$A83),"'!C11"))&gt;=P$2,"i",""))</f>
        <v>d</v>
      </c>
      <c r="Q83" s="1" t="str" cm="1">
        <f t="array" aca="1" ref="Q83" ca="1">IF(INDIRECT(_xlfn.CONCAT("'",IF(ISNUMBER(FIND("'",$A83))=TRUE,_xlfn.CONCAT(LEFT($A83,FIND("'",$A83)-1),"''",RIGHT($A83,LEN($A83)-FIND("'",$A83))),$A83),"'!C10"))&gt;=Q$2,"d",IF(INDIRECT(_xlfn.CONCAT("'",IF(ISNUMBER(FIND("'",$A83))=TRUE,_xlfn.CONCAT(LEFT($A83,FIND("'",$A83)-1),"''",RIGHT($A83,LEN($A83)-FIND("'",$A83))),$A83),"'!C11"))&gt;=Q$2,"i",""))</f>
        <v>d</v>
      </c>
      <c r="R83" s="1" t="str" cm="1">
        <f t="array" aca="1" ref="R83" ca="1">IF(INDIRECT(_xlfn.CONCAT("'",IF(ISNUMBER(FIND("'",$A83))=TRUE,_xlfn.CONCAT(LEFT($A83,FIND("'",$A83)-1),"''",RIGHT($A83,LEN($A83)-FIND("'",$A83))),$A83),"'!C10"))&gt;=R$2,"d",IF(INDIRECT(_xlfn.CONCAT("'",IF(ISNUMBER(FIND("'",$A83))=TRUE,_xlfn.CONCAT(LEFT($A83,FIND("'",$A83)-1),"''",RIGHT($A83,LEN($A83)-FIND("'",$A83))),$A83),"'!C11"))&gt;=R$2,"i",""))</f>
        <v>d</v>
      </c>
      <c r="S83" s="1" t="str" cm="1">
        <f t="array" aca="1" ref="S83" ca="1">IF(INDIRECT(_xlfn.CONCAT("'",IF(ISNUMBER(FIND("'",$A83))=TRUE,_xlfn.CONCAT(LEFT($A83,FIND("'",$A83)-1),"''",RIGHT($A83,LEN($A83)-FIND("'",$A83))),$A83),"'!C10"))&gt;=S$2,"d",IF(INDIRECT(_xlfn.CONCAT("'",IF(ISNUMBER(FIND("'",$A83))=TRUE,_xlfn.CONCAT(LEFT($A83,FIND("'",$A83)-1),"''",RIGHT($A83,LEN($A83)-FIND("'",$A83))),$A83),"'!C11"))&gt;=S$2,"i",""))</f>
        <v>d</v>
      </c>
      <c r="T83" s="4" t="str" cm="1">
        <f t="array" aca="1" ref="T83" ca="1">IF(INDIRECT(_xlfn.CONCAT("'",IF(ISNUMBER(FIND("'",$A83))=TRUE,_xlfn.CONCAT(LEFT($A83,FIND("'",$A83)-1),"''",RIGHT($A83,LEN($A83)-FIND("'",$A83))),$A83),"'!C10"))&gt;=T$2,"d",IF(INDIRECT(_xlfn.CONCAT("'",IF(ISNUMBER(FIND("'",$A83))=TRUE,_xlfn.CONCAT(LEFT($A83,FIND("'",$A83)-1),"''",RIGHT($A83,LEN($A83)-FIND("'",$A83))),$A83),"'!C11"))&gt;=T$2,"i",""))</f>
        <v>d</v>
      </c>
    </row>
    <row r="84" spans="1:20" hidden="1" x14ac:dyDescent="0.25">
      <c r="A84" s="54" t="str">
        <v>Primordial Jade Winged-Spear</v>
      </c>
      <c r="B84" s="14" cm="1">
        <f t="array" ref="B84">_xlfn.XLOOKUP(A84,INDEX(Weapon_List,,1),INDEX(Weapon_List,,3),,0,1)</f>
        <v>5</v>
      </c>
      <c r="C84" s="4" t="str" cm="1">
        <f t="array" ref="C84">_xlfn.XLOOKUP(A84,INDEX(Weapon_List,,1),INDEX(Weapon_List,,2),,0,1)</f>
        <v>Polearm</v>
      </c>
      <c r="D84" s="38" t="str" cm="1">
        <f t="array" ref="D84">_xlfn.XLOOKUP(A84,INDEX(Weapon_List,,1),INDEX(Weapon_List,,4),,0,1)</f>
        <v>Liyue 1</v>
      </c>
      <c r="E84" s="38" t="str" cm="1">
        <f t="array" ref="E84">_xlfn.XLOOKUP(A84,INDEX(Weapon_List,,1),INDEX(Weapon_List,,5),,0,1)</f>
        <v>Fatui</v>
      </c>
      <c r="F84" s="38" t="str" cm="1">
        <f t="array" ref="F84">_xlfn.XLOOKUP(A84,INDEX(Weapon_List,,1),INDEX(Weapon_List,,6),,0,1)</f>
        <v>Fatui Agent</v>
      </c>
      <c r="G84" s="14" t="str" cm="1">
        <f t="array" aca="1" ref="G84" ca="1">IF(INDIRECT(_xlfn.CONCAT("'",IF(ISNUMBER(FIND("'",$A84))=TRUE,_xlfn.CONCAT(LEFT($A84,FIND("'",$A84)-1),"''",RIGHT($A84,LEN($A84)-FIND("'",$A84))),$A84),"'!B4"))&gt;=G$2,"d",IF(INDIRECT(_xlfn.CONCAT("'",IF(ISNUMBER(FIND("'",$A84))=TRUE,_xlfn.CONCAT(LEFT($A84,FIND("'",$A84)-1),"''",RIGHT($A84,LEN($A84)-FIND("'",$A84))),$A84),"'!B5"))&gt;=G$2,"i",""))</f>
        <v>d</v>
      </c>
      <c r="H84" s="1" t="str" cm="1">
        <f t="array" aca="1" ref="H84" ca="1">IF(INDIRECT(_xlfn.CONCAT("'",IF(ISNUMBER(FIND("'",$A84))=TRUE,_xlfn.CONCAT(LEFT($A84,FIND("'",$A84)-1),"''",RIGHT($A84,LEN($A84)-FIND("'",$A84))),$A84),"'!B4"))&gt;=H$2,"d",IF(INDIRECT(_xlfn.CONCAT("'",IF(ISNUMBER(FIND("'",$A84))=TRUE,_xlfn.CONCAT(LEFT($A84,FIND("'",$A84)-1),"''",RIGHT($A84,LEN($A84)-FIND("'",$A84))),$A84),"'!B5"))&gt;=H$2,"i",""))</f>
        <v>d</v>
      </c>
      <c r="I84" s="1" t="str" cm="1">
        <f t="array" aca="1" ref="I84" ca="1">IF(INDIRECT(_xlfn.CONCAT("'",IF(ISNUMBER(FIND("'",$A84))=TRUE,_xlfn.CONCAT(LEFT($A84,FIND("'",$A84)-1),"''",RIGHT($A84,LEN($A84)-FIND("'",$A84))),$A84),"'!B4"))&gt;=I$2,"d",IF(INDIRECT(_xlfn.CONCAT("'",IF(ISNUMBER(FIND("'",$A84))=TRUE,_xlfn.CONCAT(LEFT($A84,FIND("'",$A84)-1),"''",RIGHT($A84,LEN($A84)-FIND("'",$A84))),$A84),"'!B5"))&gt;=I$2,"i",""))</f>
        <v>d</v>
      </c>
      <c r="J84" s="1" t="str" cm="1">
        <f t="array" aca="1" ref="J84" ca="1">IF(INDIRECT(_xlfn.CONCAT("'",IF(ISNUMBER(FIND("'",$A84))=TRUE,_xlfn.CONCAT(LEFT($A84,FIND("'",$A84)-1),"''",RIGHT($A84,LEN($A84)-FIND("'",$A84))),$A84),"'!B4"))&gt;=J$2,"d",IF(INDIRECT(_xlfn.CONCAT("'",IF(ISNUMBER(FIND("'",$A84))=TRUE,_xlfn.CONCAT(LEFT($A84,FIND("'",$A84)-1),"''",RIGHT($A84,LEN($A84)-FIND("'",$A84))),$A84),"'!B5"))&gt;=J$2,"i",""))</f>
        <v>d</v>
      </c>
      <c r="K84" s="1" t="str" cm="1">
        <f t="array" aca="1" ref="K84" ca="1">IF(INDIRECT(_xlfn.CONCAT("'",IF(ISNUMBER(FIND("'",$A84))=TRUE,_xlfn.CONCAT(LEFT($A84,FIND("'",$A84)-1),"''",RIGHT($A84,LEN($A84)-FIND("'",$A84))),$A84),"'!B4"))&gt;=K$2,"d",IF(INDIRECT(_xlfn.CONCAT("'",IF(ISNUMBER(FIND("'",$A84))=TRUE,_xlfn.CONCAT(LEFT($A84,FIND("'",$A84)-1),"''",RIGHT($A84,LEN($A84)-FIND("'",$A84))),$A84),"'!B5"))&gt;=K$2,"i",""))</f>
        <v>d</v>
      </c>
      <c r="L84" s="1" t="str" cm="1">
        <f t="array" aca="1" ref="L84" ca="1">IF(INDIRECT(_xlfn.CONCAT("'",IF(ISNUMBER(FIND("'",$A84))=TRUE,_xlfn.CONCAT(LEFT($A84,FIND("'",$A84)-1),"''",RIGHT($A84,LEN($A84)-FIND("'",$A84))),$A84),"'!B4"))&gt;=L$2,"d",IF(INDIRECT(_xlfn.CONCAT("'",IF(ISNUMBER(FIND("'",$A84))=TRUE,_xlfn.CONCAT(LEFT($A84,FIND("'",$A84)-1),"''",RIGHT($A84,LEN($A84)-FIND("'",$A84))),$A84),"'!B5"))&gt;=L$2,"i",""))</f>
        <v>d</v>
      </c>
      <c r="M84" s="4" t="str" cm="1">
        <f t="array" aca="1" ref="M84" ca="1">IF(INDIRECT(_xlfn.CONCAT("'",IF(ISNUMBER(FIND("'",$A84))=TRUE,_xlfn.CONCAT(LEFT($A84,FIND("'",$A84)-1),"''",RIGHT($A84,LEN($A84)-FIND("'",$A84))),$A84),"'!B4"))&gt;=M$2,"d",IF(INDIRECT(_xlfn.CONCAT("'",IF(ISNUMBER(FIND("'",$A84))=TRUE,_xlfn.CONCAT(LEFT($A84,FIND("'",$A84)-1),"''",RIGHT($A84,LEN($A84)-FIND("'",$A84))),$A84),"'!B5"))&gt;=M$2,"i",""))</f>
        <v>d</v>
      </c>
      <c r="N84" s="95"/>
      <c r="O84" s="14" t="str" cm="1">
        <f t="array" aca="1" ref="O84" ca="1">IF(INDIRECT(_xlfn.CONCAT("'",IF(ISNUMBER(FIND("'",$A84))=TRUE,_xlfn.CONCAT(LEFT($A84,FIND("'",$A84)-1),"''",RIGHT($A84,LEN($A84)-FIND("'",$A84))),$A84),"'!C10"))&gt;=O$2,"d",IF(INDIRECT(_xlfn.CONCAT("'",IF(ISNUMBER(FIND("'",$A84))=TRUE,_xlfn.CONCAT(LEFT($A84,FIND("'",$A84)-1),"''",RIGHT($A84,LEN($A84)-FIND("'",$A84))),$A84),"'!C11"))&gt;=O$2,"i",""))</f>
        <v>d</v>
      </c>
      <c r="P84" s="1" t="str" cm="1">
        <f t="array" aca="1" ref="P84" ca="1">IF(INDIRECT(_xlfn.CONCAT("'",IF(ISNUMBER(FIND("'",$A84))=TRUE,_xlfn.CONCAT(LEFT($A84,FIND("'",$A84)-1),"''",RIGHT($A84,LEN($A84)-FIND("'",$A84))),$A84),"'!C10"))&gt;=P$2,"d",IF(INDIRECT(_xlfn.CONCAT("'",IF(ISNUMBER(FIND("'",$A84))=TRUE,_xlfn.CONCAT(LEFT($A84,FIND("'",$A84)-1),"''",RIGHT($A84,LEN($A84)-FIND("'",$A84))),$A84),"'!C11"))&gt;=P$2,"i",""))</f>
        <v>d</v>
      </c>
      <c r="Q84" s="1" t="str" cm="1">
        <f t="array" aca="1" ref="Q84" ca="1">IF(INDIRECT(_xlfn.CONCAT("'",IF(ISNUMBER(FIND("'",$A84))=TRUE,_xlfn.CONCAT(LEFT($A84,FIND("'",$A84)-1),"''",RIGHT($A84,LEN($A84)-FIND("'",$A84))),$A84),"'!C10"))&gt;=Q$2,"d",IF(INDIRECT(_xlfn.CONCAT("'",IF(ISNUMBER(FIND("'",$A84))=TRUE,_xlfn.CONCAT(LEFT($A84,FIND("'",$A84)-1),"''",RIGHT($A84,LEN($A84)-FIND("'",$A84))),$A84),"'!C11"))&gt;=Q$2,"i",""))</f>
        <v>d</v>
      </c>
      <c r="R84" s="1" t="str" cm="1">
        <f t="array" aca="1" ref="R84" ca="1">IF(INDIRECT(_xlfn.CONCAT("'",IF(ISNUMBER(FIND("'",$A84))=TRUE,_xlfn.CONCAT(LEFT($A84,FIND("'",$A84)-1),"''",RIGHT($A84,LEN($A84)-FIND("'",$A84))),$A84),"'!C10"))&gt;=R$2,"d",IF(INDIRECT(_xlfn.CONCAT("'",IF(ISNUMBER(FIND("'",$A84))=TRUE,_xlfn.CONCAT(LEFT($A84,FIND("'",$A84)-1),"''",RIGHT($A84,LEN($A84)-FIND("'",$A84))),$A84),"'!C11"))&gt;=R$2,"i",""))</f>
        <v>d</v>
      </c>
      <c r="S84" s="1" t="str" cm="1">
        <f t="array" aca="1" ref="S84" ca="1">IF(INDIRECT(_xlfn.CONCAT("'",IF(ISNUMBER(FIND("'",$A84))=TRUE,_xlfn.CONCAT(LEFT($A84,FIND("'",$A84)-1),"''",RIGHT($A84,LEN($A84)-FIND("'",$A84))),$A84),"'!C10"))&gt;=S$2,"d",IF(INDIRECT(_xlfn.CONCAT("'",IF(ISNUMBER(FIND("'",$A84))=TRUE,_xlfn.CONCAT(LEFT($A84,FIND("'",$A84)-1),"''",RIGHT($A84,LEN($A84)-FIND("'",$A84))),$A84),"'!C11"))&gt;=S$2,"i",""))</f>
        <v>d</v>
      </c>
      <c r="T84" s="4" t="str" cm="1">
        <f t="array" aca="1" ref="T84" ca="1">IF(INDIRECT(_xlfn.CONCAT("'",IF(ISNUMBER(FIND("'",$A84))=TRUE,_xlfn.CONCAT(LEFT($A84,FIND("'",$A84)-1),"''",RIGHT($A84,LEN($A84)-FIND("'",$A84))),$A84),"'!C10"))&gt;=T$2,"d",IF(INDIRECT(_xlfn.CONCAT("'",IF(ISNUMBER(FIND("'",$A84))=TRUE,_xlfn.CONCAT(LEFT($A84,FIND("'",$A84)-1),"''",RIGHT($A84,LEN($A84)-FIND("'",$A84))),$A84),"'!C11"))&gt;=T$2,"i",""))</f>
        <v>d</v>
      </c>
    </row>
    <row r="85" spans="1:20" hidden="1" x14ac:dyDescent="0.25">
      <c r="A85" s="54" t="str">
        <v>Skyward Spine</v>
      </c>
      <c r="B85" s="14" cm="1">
        <f t="array" ref="B85">_xlfn.XLOOKUP(A85,INDEX(Weapon_List,,1),INDEX(Weapon_List,,3),,0,1)</f>
        <v>5</v>
      </c>
      <c r="C85" s="4" t="str" cm="1">
        <f t="array" ref="C85">_xlfn.XLOOKUP(A85,INDEX(Weapon_List,,1),INDEX(Weapon_List,,2),,0,1)</f>
        <v>Polearm</v>
      </c>
      <c r="D85" s="38" t="str" cm="1">
        <f t="array" ref="D85">_xlfn.XLOOKUP(A85,INDEX(Weapon_List,,1),INDEX(Weapon_List,,4),,0,1)</f>
        <v>Mondstadt 3</v>
      </c>
      <c r="E85" s="38" t="str" cm="1">
        <f t="array" ref="E85">_xlfn.XLOOKUP(A85,INDEX(Weapon_List,,1),INDEX(Weapon_List,,5),,0,1)</f>
        <v>Samachurl</v>
      </c>
      <c r="F85" s="38" t="str" cm="1">
        <f t="array" ref="F85">_xlfn.XLOOKUP(A85,INDEX(Weapon_List,,1),INDEX(Weapon_List,,6),,0,1)</f>
        <v>Ruin Machine 1</v>
      </c>
      <c r="G85" s="14" t="str" cm="1">
        <f t="array" aca="1" ref="G85" ca="1">IF(INDIRECT(_xlfn.CONCAT("'",IF(ISNUMBER(FIND("'",$A85))=TRUE,_xlfn.CONCAT(LEFT($A85,FIND("'",$A85)-1),"''",RIGHT($A85,LEN($A85)-FIND("'",$A85))),$A85),"'!B4"))&gt;=G$2,"d",IF(INDIRECT(_xlfn.CONCAT("'",IF(ISNUMBER(FIND("'",$A85))=TRUE,_xlfn.CONCAT(LEFT($A85,FIND("'",$A85)-1),"''",RIGHT($A85,LEN($A85)-FIND("'",$A85))),$A85),"'!B5"))&gt;=G$2,"i",""))</f>
        <v>d</v>
      </c>
      <c r="H85" s="1" t="str" cm="1">
        <f t="array" aca="1" ref="H85" ca="1">IF(INDIRECT(_xlfn.CONCAT("'",IF(ISNUMBER(FIND("'",$A85))=TRUE,_xlfn.CONCAT(LEFT($A85,FIND("'",$A85)-1),"''",RIGHT($A85,LEN($A85)-FIND("'",$A85))),$A85),"'!B4"))&gt;=H$2,"d",IF(INDIRECT(_xlfn.CONCAT("'",IF(ISNUMBER(FIND("'",$A85))=TRUE,_xlfn.CONCAT(LEFT($A85,FIND("'",$A85)-1),"''",RIGHT($A85,LEN($A85)-FIND("'",$A85))),$A85),"'!B5"))&gt;=H$2,"i",""))</f>
        <v>d</v>
      </c>
      <c r="I85" s="1" t="str" cm="1">
        <f t="array" aca="1" ref="I85" ca="1">IF(INDIRECT(_xlfn.CONCAT("'",IF(ISNUMBER(FIND("'",$A85))=TRUE,_xlfn.CONCAT(LEFT($A85,FIND("'",$A85)-1),"''",RIGHT($A85,LEN($A85)-FIND("'",$A85))),$A85),"'!B4"))&gt;=I$2,"d",IF(INDIRECT(_xlfn.CONCAT("'",IF(ISNUMBER(FIND("'",$A85))=TRUE,_xlfn.CONCAT(LEFT($A85,FIND("'",$A85)-1),"''",RIGHT($A85,LEN($A85)-FIND("'",$A85))),$A85),"'!B5"))&gt;=I$2,"i",""))</f>
        <v>d</v>
      </c>
      <c r="J85" s="1" t="str" cm="1">
        <f t="array" aca="1" ref="J85" ca="1">IF(INDIRECT(_xlfn.CONCAT("'",IF(ISNUMBER(FIND("'",$A85))=TRUE,_xlfn.CONCAT(LEFT($A85,FIND("'",$A85)-1),"''",RIGHT($A85,LEN($A85)-FIND("'",$A85))),$A85),"'!B4"))&gt;=J$2,"d",IF(INDIRECT(_xlfn.CONCAT("'",IF(ISNUMBER(FIND("'",$A85))=TRUE,_xlfn.CONCAT(LEFT($A85,FIND("'",$A85)-1),"''",RIGHT($A85,LEN($A85)-FIND("'",$A85))),$A85),"'!B5"))&gt;=J$2,"i",""))</f>
        <v>d</v>
      </c>
      <c r="K85" s="1" t="str" cm="1">
        <f t="array" aca="1" ref="K85" ca="1">IF(INDIRECT(_xlfn.CONCAT("'",IF(ISNUMBER(FIND("'",$A85))=TRUE,_xlfn.CONCAT(LEFT($A85,FIND("'",$A85)-1),"''",RIGHT($A85,LEN($A85)-FIND("'",$A85))),$A85),"'!B4"))&gt;=K$2,"d",IF(INDIRECT(_xlfn.CONCAT("'",IF(ISNUMBER(FIND("'",$A85))=TRUE,_xlfn.CONCAT(LEFT($A85,FIND("'",$A85)-1),"''",RIGHT($A85,LEN($A85)-FIND("'",$A85))),$A85),"'!B5"))&gt;=K$2,"i",""))</f>
        <v>d</v>
      </c>
      <c r="L85" s="1" t="str" cm="1">
        <f t="array" aca="1" ref="L85" ca="1">IF(INDIRECT(_xlfn.CONCAT("'",IF(ISNUMBER(FIND("'",$A85))=TRUE,_xlfn.CONCAT(LEFT($A85,FIND("'",$A85)-1),"''",RIGHT($A85,LEN($A85)-FIND("'",$A85))),$A85),"'!B4"))&gt;=L$2,"d",IF(INDIRECT(_xlfn.CONCAT("'",IF(ISNUMBER(FIND("'",$A85))=TRUE,_xlfn.CONCAT(LEFT($A85,FIND("'",$A85)-1),"''",RIGHT($A85,LEN($A85)-FIND("'",$A85))),$A85),"'!B5"))&gt;=L$2,"i",""))</f>
        <v>d</v>
      </c>
      <c r="M85" s="4" t="str" cm="1">
        <f t="array" aca="1" ref="M85" ca="1">IF(INDIRECT(_xlfn.CONCAT("'",IF(ISNUMBER(FIND("'",$A85))=TRUE,_xlfn.CONCAT(LEFT($A85,FIND("'",$A85)-1),"''",RIGHT($A85,LEN($A85)-FIND("'",$A85))),$A85),"'!B4"))&gt;=M$2,"d",IF(INDIRECT(_xlfn.CONCAT("'",IF(ISNUMBER(FIND("'",$A85))=TRUE,_xlfn.CONCAT(LEFT($A85,FIND("'",$A85)-1),"''",RIGHT($A85,LEN($A85)-FIND("'",$A85))),$A85),"'!B5"))&gt;=M$2,"i",""))</f>
        <v>d</v>
      </c>
      <c r="N85" s="95"/>
      <c r="O85" s="14" t="str" cm="1">
        <f t="array" aca="1" ref="O85" ca="1">IF(INDIRECT(_xlfn.CONCAT("'",IF(ISNUMBER(FIND("'",$A85))=TRUE,_xlfn.CONCAT(LEFT($A85,FIND("'",$A85)-1),"''",RIGHT($A85,LEN($A85)-FIND("'",$A85))),$A85),"'!C10"))&gt;=O$2,"d",IF(INDIRECT(_xlfn.CONCAT("'",IF(ISNUMBER(FIND("'",$A85))=TRUE,_xlfn.CONCAT(LEFT($A85,FIND("'",$A85)-1),"''",RIGHT($A85,LEN($A85)-FIND("'",$A85))),$A85),"'!C11"))&gt;=O$2,"i",""))</f>
        <v>d</v>
      </c>
      <c r="P85" s="1" t="str" cm="1">
        <f t="array" aca="1" ref="P85" ca="1">IF(INDIRECT(_xlfn.CONCAT("'",IF(ISNUMBER(FIND("'",$A85))=TRUE,_xlfn.CONCAT(LEFT($A85,FIND("'",$A85)-1),"''",RIGHT($A85,LEN($A85)-FIND("'",$A85))),$A85),"'!C10"))&gt;=P$2,"d",IF(INDIRECT(_xlfn.CONCAT("'",IF(ISNUMBER(FIND("'",$A85))=TRUE,_xlfn.CONCAT(LEFT($A85,FIND("'",$A85)-1),"''",RIGHT($A85,LEN($A85)-FIND("'",$A85))),$A85),"'!C11"))&gt;=P$2,"i",""))</f>
        <v>d</v>
      </c>
      <c r="Q85" s="1" t="str" cm="1">
        <f t="array" aca="1" ref="Q85" ca="1">IF(INDIRECT(_xlfn.CONCAT("'",IF(ISNUMBER(FIND("'",$A85))=TRUE,_xlfn.CONCAT(LEFT($A85,FIND("'",$A85)-1),"''",RIGHT($A85,LEN($A85)-FIND("'",$A85))),$A85),"'!C10"))&gt;=Q$2,"d",IF(INDIRECT(_xlfn.CONCAT("'",IF(ISNUMBER(FIND("'",$A85))=TRUE,_xlfn.CONCAT(LEFT($A85,FIND("'",$A85)-1),"''",RIGHT($A85,LEN($A85)-FIND("'",$A85))),$A85),"'!C11"))&gt;=Q$2,"i",""))</f>
        <v>d</v>
      </c>
      <c r="R85" s="1" t="str" cm="1">
        <f t="array" aca="1" ref="R85" ca="1">IF(INDIRECT(_xlfn.CONCAT("'",IF(ISNUMBER(FIND("'",$A85))=TRUE,_xlfn.CONCAT(LEFT($A85,FIND("'",$A85)-1),"''",RIGHT($A85,LEN($A85)-FIND("'",$A85))),$A85),"'!C10"))&gt;=R$2,"d",IF(INDIRECT(_xlfn.CONCAT("'",IF(ISNUMBER(FIND("'",$A85))=TRUE,_xlfn.CONCAT(LEFT($A85,FIND("'",$A85)-1),"''",RIGHT($A85,LEN($A85)-FIND("'",$A85))),$A85),"'!C11"))&gt;=R$2,"i",""))</f>
        <v>d</v>
      </c>
      <c r="S85" s="1" t="str" cm="1">
        <f t="array" aca="1" ref="S85" ca="1">IF(INDIRECT(_xlfn.CONCAT("'",IF(ISNUMBER(FIND("'",$A85))=TRUE,_xlfn.CONCAT(LEFT($A85,FIND("'",$A85)-1),"''",RIGHT($A85,LEN($A85)-FIND("'",$A85))),$A85),"'!C10"))&gt;=S$2,"d",IF(INDIRECT(_xlfn.CONCAT("'",IF(ISNUMBER(FIND("'",$A85))=TRUE,_xlfn.CONCAT(LEFT($A85,FIND("'",$A85)-1),"''",RIGHT($A85,LEN($A85)-FIND("'",$A85))),$A85),"'!C11"))&gt;=S$2,"i",""))</f>
        <v>d</v>
      </c>
      <c r="T85" s="4" t="str" cm="1">
        <f t="array" aca="1" ref="T85" ca="1">IF(INDIRECT(_xlfn.CONCAT("'",IF(ISNUMBER(FIND("'",$A85))=TRUE,_xlfn.CONCAT(LEFT($A85,FIND("'",$A85)-1),"''",RIGHT($A85,LEN($A85)-FIND("'",$A85))),$A85),"'!C10"))&gt;=T$2,"d",IF(INDIRECT(_xlfn.CONCAT("'",IF(ISNUMBER(FIND("'",$A85))=TRUE,_xlfn.CONCAT(LEFT($A85,FIND("'",$A85)-1),"''",RIGHT($A85,LEN($A85)-FIND("'",$A85))),$A85),"'!C11"))&gt;=T$2,"i",""))</f>
        <v>d</v>
      </c>
    </row>
    <row r="86" spans="1:20" hidden="1" x14ac:dyDescent="0.25">
      <c r="A86" s="54" t="str">
        <v>Lost Prayer to the Sacred Winds</v>
      </c>
      <c r="B86" s="14" cm="1">
        <f t="array" ref="B86">_xlfn.XLOOKUP(A86,INDEX(Weapon_List,,1),INDEX(Weapon_List,,3),,0,1)</f>
        <v>5</v>
      </c>
      <c r="C86" s="4" t="str" cm="1">
        <f t="array" ref="C86">_xlfn.XLOOKUP(A86,INDEX(Weapon_List,,1),INDEX(Weapon_List,,2),,0,1)</f>
        <v>Catalyst</v>
      </c>
      <c r="D86" s="38" t="str" cm="1">
        <f t="array" ref="D86">_xlfn.XLOOKUP(A86,INDEX(Weapon_List,,1),INDEX(Weapon_List,,4),,0,1)</f>
        <v>Mondstadt 3</v>
      </c>
      <c r="E86" s="38" t="str" cm="1">
        <f t="array" ref="E86">_xlfn.XLOOKUP(A86,INDEX(Weapon_List,,1),INDEX(Weapon_List,,5),,0,1)</f>
        <v>Slime</v>
      </c>
      <c r="F86" s="38" t="str" cm="1">
        <f t="array" ref="F86">_xlfn.XLOOKUP(A86,INDEX(Weapon_List,,1),INDEX(Weapon_List,,6),,0,1)</f>
        <v>Ruin Machine 1</v>
      </c>
      <c r="G86" s="14" t="str" cm="1">
        <f t="array" aca="1" ref="G86" ca="1">IF(INDIRECT(_xlfn.CONCAT("'",IF(ISNUMBER(FIND("'",$A86))=TRUE,_xlfn.CONCAT(LEFT($A86,FIND("'",$A86)-1),"''",RIGHT($A86,LEN($A86)-FIND("'",$A86))),$A86),"'!B4"))&gt;=G$2,"d",IF(INDIRECT(_xlfn.CONCAT("'",IF(ISNUMBER(FIND("'",$A86))=TRUE,_xlfn.CONCAT(LEFT($A86,FIND("'",$A86)-1),"''",RIGHT($A86,LEN($A86)-FIND("'",$A86))),$A86),"'!B5"))&gt;=G$2,"i",""))</f>
        <v>d</v>
      </c>
      <c r="H86" s="1" t="str" cm="1">
        <f t="array" aca="1" ref="H86" ca="1">IF(INDIRECT(_xlfn.CONCAT("'",IF(ISNUMBER(FIND("'",$A86))=TRUE,_xlfn.CONCAT(LEFT($A86,FIND("'",$A86)-1),"''",RIGHT($A86,LEN($A86)-FIND("'",$A86))),$A86),"'!B4"))&gt;=H$2,"d",IF(INDIRECT(_xlfn.CONCAT("'",IF(ISNUMBER(FIND("'",$A86))=TRUE,_xlfn.CONCAT(LEFT($A86,FIND("'",$A86)-1),"''",RIGHT($A86,LEN($A86)-FIND("'",$A86))),$A86),"'!B5"))&gt;=H$2,"i",""))</f>
        <v>d</v>
      </c>
      <c r="I86" s="1" t="str" cm="1">
        <f t="array" aca="1" ref="I86" ca="1">IF(INDIRECT(_xlfn.CONCAT("'",IF(ISNUMBER(FIND("'",$A86))=TRUE,_xlfn.CONCAT(LEFT($A86,FIND("'",$A86)-1),"''",RIGHT($A86,LEN($A86)-FIND("'",$A86))),$A86),"'!B4"))&gt;=I$2,"d",IF(INDIRECT(_xlfn.CONCAT("'",IF(ISNUMBER(FIND("'",$A86))=TRUE,_xlfn.CONCAT(LEFT($A86,FIND("'",$A86)-1),"''",RIGHT($A86,LEN($A86)-FIND("'",$A86))),$A86),"'!B5"))&gt;=I$2,"i",""))</f>
        <v>d</v>
      </c>
      <c r="J86" s="1" t="str" cm="1">
        <f t="array" aca="1" ref="J86" ca="1">IF(INDIRECT(_xlfn.CONCAT("'",IF(ISNUMBER(FIND("'",$A86))=TRUE,_xlfn.CONCAT(LEFT($A86,FIND("'",$A86)-1),"''",RIGHT($A86,LEN($A86)-FIND("'",$A86))),$A86),"'!B4"))&gt;=J$2,"d",IF(INDIRECT(_xlfn.CONCAT("'",IF(ISNUMBER(FIND("'",$A86))=TRUE,_xlfn.CONCAT(LEFT($A86,FIND("'",$A86)-1),"''",RIGHT($A86,LEN($A86)-FIND("'",$A86))),$A86),"'!B5"))&gt;=J$2,"i",""))</f>
        <v>d</v>
      </c>
      <c r="K86" s="1" t="str" cm="1">
        <f t="array" aca="1" ref="K86" ca="1">IF(INDIRECT(_xlfn.CONCAT("'",IF(ISNUMBER(FIND("'",$A86))=TRUE,_xlfn.CONCAT(LEFT($A86,FIND("'",$A86)-1),"''",RIGHT($A86,LEN($A86)-FIND("'",$A86))),$A86),"'!B4"))&gt;=K$2,"d",IF(INDIRECT(_xlfn.CONCAT("'",IF(ISNUMBER(FIND("'",$A86))=TRUE,_xlfn.CONCAT(LEFT($A86,FIND("'",$A86)-1),"''",RIGHT($A86,LEN($A86)-FIND("'",$A86))),$A86),"'!B5"))&gt;=K$2,"i",""))</f>
        <v>d</v>
      </c>
      <c r="L86" s="1" t="str" cm="1">
        <f t="array" aca="1" ref="L86" ca="1">IF(INDIRECT(_xlfn.CONCAT("'",IF(ISNUMBER(FIND("'",$A86))=TRUE,_xlfn.CONCAT(LEFT($A86,FIND("'",$A86)-1),"''",RIGHT($A86,LEN($A86)-FIND("'",$A86))),$A86),"'!B4"))&gt;=L$2,"d",IF(INDIRECT(_xlfn.CONCAT("'",IF(ISNUMBER(FIND("'",$A86))=TRUE,_xlfn.CONCAT(LEFT($A86,FIND("'",$A86)-1),"''",RIGHT($A86,LEN($A86)-FIND("'",$A86))),$A86),"'!B5"))&gt;=L$2,"i",""))</f>
        <v>d</v>
      </c>
      <c r="M86" s="4" t="str" cm="1">
        <f t="array" aca="1" ref="M86" ca="1">IF(INDIRECT(_xlfn.CONCAT("'",IF(ISNUMBER(FIND("'",$A86))=TRUE,_xlfn.CONCAT(LEFT($A86,FIND("'",$A86)-1),"''",RIGHT($A86,LEN($A86)-FIND("'",$A86))),$A86),"'!B4"))&gt;=M$2,"d",IF(INDIRECT(_xlfn.CONCAT("'",IF(ISNUMBER(FIND("'",$A86))=TRUE,_xlfn.CONCAT(LEFT($A86,FIND("'",$A86)-1),"''",RIGHT($A86,LEN($A86)-FIND("'",$A86))),$A86),"'!B5"))&gt;=M$2,"i",""))</f>
        <v>d</v>
      </c>
      <c r="N86" s="95"/>
      <c r="O86" s="14" t="str" cm="1">
        <f t="array" aca="1" ref="O86" ca="1">IF(INDIRECT(_xlfn.CONCAT("'",IF(ISNUMBER(FIND("'",$A86))=TRUE,_xlfn.CONCAT(LEFT($A86,FIND("'",$A86)-1),"''",RIGHT($A86,LEN($A86)-FIND("'",$A86))),$A86),"'!C10"))&gt;=O$2,"d",IF(INDIRECT(_xlfn.CONCAT("'",IF(ISNUMBER(FIND("'",$A86))=TRUE,_xlfn.CONCAT(LEFT($A86,FIND("'",$A86)-1),"''",RIGHT($A86,LEN($A86)-FIND("'",$A86))),$A86),"'!C11"))&gt;=O$2,"i",""))</f>
        <v>d</v>
      </c>
      <c r="P86" s="1" t="str" cm="1">
        <f t="array" aca="1" ref="P86" ca="1">IF(INDIRECT(_xlfn.CONCAT("'",IF(ISNUMBER(FIND("'",$A86))=TRUE,_xlfn.CONCAT(LEFT($A86,FIND("'",$A86)-1),"''",RIGHT($A86,LEN($A86)-FIND("'",$A86))),$A86),"'!C10"))&gt;=P$2,"d",IF(INDIRECT(_xlfn.CONCAT("'",IF(ISNUMBER(FIND("'",$A86))=TRUE,_xlfn.CONCAT(LEFT($A86,FIND("'",$A86)-1),"''",RIGHT($A86,LEN($A86)-FIND("'",$A86))),$A86),"'!C11"))&gt;=P$2,"i",""))</f>
        <v>d</v>
      </c>
      <c r="Q86" s="1" t="str" cm="1">
        <f t="array" aca="1" ref="Q86" ca="1">IF(INDIRECT(_xlfn.CONCAT("'",IF(ISNUMBER(FIND("'",$A86))=TRUE,_xlfn.CONCAT(LEFT($A86,FIND("'",$A86)-1),"''",RIGHT($A86,LEN($A86)-FIND("'",$A86))),$A86),"'!C10"))&gt;=Q$2,"d",IF(INDIRECT(_xlfn.CONCAT("'",IF(ISNUMBER(FIND("'",$A86))=TRUE,_xlfn.CONCAT(LEFT($A86,FIND("'",$A86)-1),"''",RIGHT($A86,LEN($A86)-FIND("'",$A86))),$A86),"'!C11"))&gt;=Q$2,"i",""))</f>
        <v>d</v>
      </c>
      <c r="R86" s="1" t="str" cm="1">
        <f t="array" aca="1" ref="R86" ca="1">IF(INDIRECT(_xlfn.CONCAT("'",IF(ISNUMBER(FIND("'",$A86))=TRUE,_xlfn.CONCAT(LEFT($A86,FIND("'",$A86)-1),"''",RIGHT($A86,LEN($A86)-FIND("'",$A86))),$A86),"'!C10"))&gt;=R$2,"d",IF(INDIRECT(_xlfn.CONCAT("'",IF(ISNUMBER(FIND("'",$A86))=TRUE,_xlfn.CONCAT(LEFT($A86,FIND("'",$A86)-1),"''",RIGHT($A86,LEN($A86)-FIND("'",$A86))),$A86),"'!C11"))&gt;=R$2,"i",""))</f>
        <v>d</v>
      </c>
      <c r="S86" s="1" t="str" cm="1">
        <f t="array" aca="1" ref="S86" ca="1">IF(INDIRECT(_xlfn.CONCAT("'",IF(ISNUMBER(FIND("'",$A86))=TRUE,_xlfn.CONCAT(LEFT($A86,FIND("'",$A86)-1),"''",RIGHT($A86,LEN($A86)-FIND("'",$A86))),$A86),"'!C10"))&gt;=S$2,"d",IF(INDIRECT(_xlfn.CONCAT("'",IF(ISNUMBER(FIND("'",$A86))=TRUE,_xlfn.CONCAT(LEFT($A86,FIND("'",$A86)-1),"''",RIGHT($A86,LEN($A86)-FIND("'",$A86))),$A86),"'!C11"))&gt;=S$2,"i",""))</f>
        <v>d</v>
      </c>
      <c r="T86" s="4" t="str" cm="1">
        <f t="array" aca="1" ref="T86" ca="1">IF(INDIRECT(_xlfn.CONCAT("'",IF(ISNUMBER(FIND("'",$A86))=TRUE,_xlfn.CONCAT(LEFT($A86,FIND("'",$A86)-1),"''",RIGHT($A86,LEN($A86)-FIND("'",$A86))),$A86),"'!C10"))&gt;=T$2,"d",IF(INDIRECT(_xlfn.CONCAT("'",IF(ISNUMBER(FIND("'",$A86))=TRUE,_xlfn.CONCAT(LEFT($A86,FIND("'",$A86)-1),"''",RIGHT($A86,LEN($A86)-FIND("'",$A86))),$A86),"'!C11"))&gt;=T$2,"i",""))</f>
        <v>d</v>
      </c>
    </row>
    <row r="87" spans="1:20" hidden="1" x14ac:dyDescent="0.25">
      <c r="A87" s="54" t="str">
        <v>Skyward Atlas</v>
      </c>
      <c r="B87" s="14" cm="1">
        <f t="array" ref="B87">_xlfn.XLOOKUP(A87,INDEX(Weapon_List,,1),INDEX(Weapon_List,,3),,0,1)</f>
        <v>5</v>
      </c>
      <c r="C87" s="4" t="str" cm="1">
        <f t="array" ref="C87">_xlfn.XLOOKUP(A87,INDEX(Weapon_List,,1),INDEX(Weapon_List,,2),,0,1)</f>
        <v>Catalyst</v>
      </c>
      <c r="D87" s="38" t="str" cm="1">
        <f t="array" ref="D87">_xlfn.XLOOKUP(A87,INDEX(Weapon_List,,1),INDEX(Weapon_List,,4),,0,1)</f>
        <v>Mondstadt 2</v>
      </c>
      <c r="E87" s="38" t="str" cm="1">
        <f t="array" ref="E87">_xlfn.XLOOKUP(A87,INDEX(Weapon_List,,1),INDEX(Weapon_List,,5),,0,1)</f>
        <v>Hilichurl Shooter</v>
      </c>
      <c r="F87" s="38" t="str" cm="1">
        <f t="array" ref="F87">_xlfn.XLOOKUP(A87,INDEX(Weapon_List,,1),INDEX(Weapon_List,,6),,0,1)</f>
        <v>Abyss Mage</v>
      </c>
      <c r="G87" s="14" t="str" cm="1">
        <f t="array" aca="1" ref="G87" ca="1">IF(INDIRECT(_xlfn.CONCAT("'",IF(ISNUMBER(FIND("'",$A87))=TRUE,_xlfn.CONCAT(LEFT($A87,FIND("'",$A87)-1),"''",RIGHT($A87,LEN($A87)-FIND("'",$A87))),$A87),"'!B4"))&gt;=G$2,"d",IF(INDIRECT(_xlfn.CONCAT("'",IF(ISNUMBER(FIND("'",$A87))=TRUE,_xlfn.CONCAT(LEFT($A87,FIND("'",$A87)-1),"''",RIGHT($A87,LEN($A87)-FIND("'",$A87))),$A87),"'!B5"))&gt;=G$2,"i",""))</f>
        <v>d</v>
      </c>
      <c r="H87" s="1" t="str" cm="1">
        <f t="array" aca="1" ref="H87" ca="1">IF(INDIRECT(_xlfn.CONCAT("'",IF(ISNUMBER(FIND("'",$A87))=TRUE,_xlfn.CONCAT(LEFT($A87,FIND("'",$A87)-1),"''",RIGHT($A87,LEN($A87)-FIND("'",$A87))),$A87),"'!B4"))&gt;=H$2,"d",IF(INDIRECT(_xlfn.CONCAT("'",IF(ISNUMBER(FIND("'",$A87))=TRUE,_xlfn.CONCAT(LEFT($A87,FIND("'",$A87)-1),"''",RIGHT($A87,LEN($A87)-FIND("'",$A87))),$A87),"'!B5"))&gt;=H$2,"i",""))</f>
        <v>d</v>
      </c>
      <c r="I87" s="1" t="str" cm="1">
        <f t="array" aca="1" ref="I87" ca="1">IF(INDIRECT(_xlfn.CONCAT("'",IF(ISNUMBER(FIND("'",$A87))=TRUE,_xlfn.CONCAT(LEFT($A87,FIND("'",$A87)-1),"''",RIGHT($A87,LEN($A87)-FIND("'",$A87))),$A87),"'!B4"))&gt;=I$2,"d",IF(INDIRECT(_xlfn.CONCAT("'",IF(ISNUMBER(FIND("'",$A87))=TRUE,_xlfn.CONCAT(LEFT($A87,FIND("'",$A87)-1),"''",RIGHT($A87,LEN($A87)-FIND("'",$A87))),$A87),"'!B5"))&gt;=I$2,"i",""))</f>
        <v>d</v>
      </c>
      <c r="J87" s="1" t="str" cm="1">
        <f t="array" aca="1" ref="J87" ca="1">IF(INDIRECT(_xlfn.CONCAT("'",IF(ISNUMBER(FIND("'",$A87))=TRUE,_xlfn.CONCAT(LEFT($A87,FIND("'",$A87)-1),"''",RIGHT($A87,LEN($A87)-FIND("'",$A87))),$A87),"'!B4"))&gt;=J$2,"d",IF(INDIRECT(_xlfn.CONCAT("'",IF(ISNUMBER(FIND("'",$A87))=TRUE,_xlfn.CONCAT(LEFT($A87,FIND("'",$A87)-1),"''",RIGHT($A87,LEN($A87)-FIND("'",$A87))),$A87),"'!B5"))&gt;=J$2,"i",""))</f>
        <v>d</v>
      </c>
      <c r="K87" s="1" t="str" cm="1">
        <f t="array" aca="1" ref="K87" ca="1">IF(INDIRECT(_xlfn.CONCAT("'",IF(ISNUMBER(FIND("'",$A87))=TRUE,_xlfn.CONCAT(LEFT($A87,FIND("'",$A87)-1),"''",RIGHT($A87,LEN($A87)-FIND("'",$A87))),$A87),"'!B4"))&gt;=K$2,"d",IF(INDIRECT(_xlfn.CONCAT("'",IF(ISNUMBER(FIND("'",$A87))=TRUE,_xlfn.CONCAT(LEFT($A87,FIND("'",$A87)-1),"''",RIGHT($A87,LEN($A87)-FIND("'",$A87))),$A87),"'!B5"))&gt;=K$2,"i",""))</f>
        <v>d</v>
      </c>
      <c r="L87" s="1" t="str" cm="1">
        <f t="array" aca="1" ref="L87" ca="1">IF(INDIRECT(_xlfn.CONCAT("'",IF(ISNUMBER(FIND("'",$A87))=TRUE,_xlfn.CONCAT(LEFT($A87,FIND("'",$A87)-1),"''",RIGHT($A87,LEN($A87)-FIND("'",$A87))),$A87),"'!B4"))&gt;=L$2,"d",IF(INDIRECT(_xlfn.CONCAT("'",IF(ISNUMBER(FIND("'",$A87))=TRUE,_xlfn.CONCAT(LEFT($A87,FIND("'",$A87)-1),"''",RIGHT($A87,LEN($A87)-FIND("'",$A87))),$A87),"'!B5"))&gt;=L$2,"i",""))</f>
        <v>d</v>
      </c>
      <c r="M87" s="4" t="str" cm="1">
        <f t="array" aca="1" ref="M87" ca="1">IF(INDIRECT(_xlfn.CONCAT("'",IF(ISNUMBER(FIND("'",$A87))=TRUE,_xlfn.CONCAT(LEFT($A87,FIND("'",$A87)-1),"''",RIGHT($A87,LEN($A87)-FIND("'",$A87))),$A87),"'!B4"))&gt;=M$2,"d",IF(INDIRECT(_xlfn.CONCAT("'",IF(ISNUMBER(FIND("'",$A87))=TRUE,_xlfn.CONCAT(LEFT($A87,FIND("'",$A87)-1),"''",RIGHT($A87,LEN($A87)-FIND("'",$A87))),$A87),"'!B5"))&gt;=M$2,"i",""))</f>
        <v>d</v>
      </c>
      <c r="N87" s="95"/>
      <c r="O87" s="14" t="str" cm="1">
        <f t="array" aca="1" ref="O87" ca="1">IF(INDIRECT(_xlfn.CONCAT("'",IF(ISNUMBER(FIND("'",$A87))=TRUE,_xlfn.CONCAT(LEFT($A87,FIND("'",$A87)-1),"''",RIGHT($A87,LEN($A87)-FIND("'",$A87))),$A87),"'!C10"))&gt;=O$2,"d",IF(INDIRECT(_xlfn.CONCAT("'",IF(ISNUMBER(FIND("'",$A87))=TRUE,_xlfn.CONCAT(LEFT($A87,FIND("'",$A87)-1),"''",RIGHT($A87,LEN($A87)-FIND("'",$A87))),$A87),"'!C11"))&gt;=O$2,"i",""))</f>
        <v>d</v>
      </c>
      <c r="P87" s="1" t="str" cm="1">
        <f t="array" aca="1" ref="P87" ca="1">IF(INDIRECT(_xlfn.CONCAT("'",IF(ISNUMBER(FIND("'",$A87))=TRUE,_xlfn.CONCAT(LEFT($A87,FIND("'",$A87)-1),"''",RIGHT($A87,LEN($A87)-FIND("'",$A87))),$A87),"'!C10"))&gt;=P$2,"d",IF(INDIRECT(_xlfn.CONCAT("'",IF(ISNUMBER(FIND("'",$A87))=TRUE,_xlfn.CONCAT(LEFT($A87,FIND("'",$A87)-1),"''",RIGHT($A87,LEN($A87)-FIND("'",$A87))),$A87),"'!C11"))&gt;=P$2,"i",""))</f>
        <v>d</v>
      </c>
      <c r="Q87" s="1" t="str" cm="1">
        <f t="array" aca="1" ref="Q87" ca="1">IF(INDIRECT(_xlfn.CONCAT("'",IF(ISNUMBER(FIND("'",$A87))=TRUE,_xlfn.CONCAT(LEFT($A87,FIND("'",$A87)-1),"''",RIGHT($A87,LEN($A87)-FIND("'",$A87))),$A87),"'!C10"))&gt;=Q$2,"d",IF(INDIRECT(_xlfn.CONCAT("'",IF(ISNUMBER(FIND("'",$A87))=TRUE,_xlfn.CONCAT(LEFT($A87,FIND("'",$A87)-1),"''",RIGHT($A87,LEN($A87)-FIND("'",$A87))),$A87),"'!C11"))&gt;=Q$2,"i",""))</f>
        <v>d</v>
      </c>
      <c r="R87" s="1" t="str" cm="1">
        <f t="array" aca="1" ref="R87" ca="1">IF(INDIRECT(_xlfn.CONCAT("'",IF(ISNUMBER(FIND("'",$A87))=TRUE,_xlfn.CONCAT(LEFT($A87,FIND("'",$A87)-1),"''",RIGHT($A87,LEN($A87)-FIND("'",$A87))),$A87),"'!C10"))&gt;=R$2,"d",IF(INDIRECT(_xlfn.CONCAT("'",IF(ISNUMBER(FIND("'",$A87))=TRUE,_xlfn.CONCAT(LEFT($A87,FIND("'",$A87)-1),"''",RIGHT($A87,LEN($A87)-FIND("'",$A87))),$A87),"'!C11"))&gt;=R$2,"i",""))</f>
        <v>d</v>
      </c>
      <c r="S87" s="1" t="str" cm="1">
        <f t="array" aca="1" ref="S87" ca="1">IF(INDIRECT(_xlfn.CONCAT("'",IF(ISNUMBER(FIND("'",$A87))=TRUE,_xlfn.CONCAT(LEFT($A87,FIND("'",$A87)-1),"''",RIGHT($A87,LEN($A87)-FIND("'",$A87))),$A87),"'!C10"))&gt;=S$2,"d",IF(INDIRECT(_xlfn.CONCAT("'",IF(ISNUMBER(FIND("'",$A87))=TRUE,_xlfn.CONCAT(LEFT($A87,FIND("'",$A87)-1),"''",RIGHT($A87,LEN($A87)-FIND("'",$A87))),$A87),"'!C11"))&gt;=S$2,"i",""))</f>
        <v>d</v>
      </c>
      <c r="T87" s="4" t="str" cm="1">
        <f t="array" aca="1" ref="T87" ca="1">IF(INDIRECT(_xlfn.CONCAT("'",IF(ISNUMBER(FIND("'",$A87))=TRUE,_xlfn.CONCAT(LEFT($A87,FIND("'",$A87)-1),"''",RIGHT($A87,LEN($A87)-FIND("'",$A87))),$A87),"'!C10"))&gt;=T$2,"d",IF(INDIRECT(_xlfn.CONCAT("'",IF(ISNUMBER(FIND("'",$A87))=TRUE,_xlfn.CONCAT(LEFT($A87,FIND("'",$A87)-1),"''",RIGHT($A87,LEN($A87)-FIND("'",$A87))),$A87),"'!C11"))&gt;=T$2,"i",""))</f>
        <v>d</v>
      </c>
    </row>
    <row r="88" spans="1:20" hidden="1" x14ac:dyDescent="0.25">
      <c r="A88" s="54" t="str">
        <v>Amos' Bow</v>
      </c>
      <c r="B88" s="14" cm="1">
        <f t="array" ref="B88">_xlfn.XLOOKUP(A88,INDEX(Weapon_List,,1),INDEX(Weapon_List,,3),,0,1)</f>
        <v>5</v>
      </c>
      <c r="C88" s="4" t="str" cm="1">
        <f t="array" ref="C88">_xlfn.XLOOKUP(A88,INDEX(Weapon_List,,1),INDEX(Weapon_List,,2),,0,1)</f>
        <v>Bow</v>
      </c>
      <c r="D88" s="38" t="str" cm="1">
        <f t="array" ref="D88">_xlfn.XLOOKUP(A88,INDEX(Weapon_List,,1),INDEX(Weapon_List,,4),,0,1)</f>
        <v>Mondstadt 3</v>
      </c>
      <c r="E88" s="38" t="str" cm="1">
        <f t="array" ref="E88">_xlfn.XLOOKUP(A88,INDEX(Weapon_List,,1),INDEX(Weapon_List,,5),,0,1)</f>
        <v>Slime</v>
      </c>
      <c r="F88" s="38" t="str" cm="1">
        <f t="array" ref="F88">_xlfn.XLOOKUP(A88,INDEX(Weapon_List,,1),INDEX(Weapon_List,,6),,0,1)</f>
        <v>Ruin Machine 1</v>
      </c>
      <c r="G88" s="14" t="str" cm="1">
        <f t="array" aca="1" ref="G88" ca="1">IF(INDIRECT(_xlfn.CONCAT("'",IF(ISNUMBER(FIND("'",$A88))=TRUE,_xlfn.CONCAT(LEFT($A88,FIND("'",$A88)-1),"''",RIGHT($A88,LEN($A88)-FIND("'",$A88))),$A88),"'!B4"))&gt;=G$2,"d",IF(INDIRECT(_xlfn.CONCAT("'",IF(ISNUMBER(FIND("'",$A88))=TRUE,_xlfn.CONCAT(LEFT($A88,FIND("'",$A88)-1),"''",RIGHT($A88,LEN($A88)-FIND("'",$A88))),$A88),"'!B5"))&gt;=G$2,"i",""))</f>
        <v>d</v>
      </c>
      <c r="H88" s="1" t="str" cm="1">
        <f t="array" aca="1" ref="H88" ca="1">IF(INDIRECT(_xlfn.CONCAT("'",IF(ISNUMBER(FIND("'",$A88))=TRUE,_xlfn.CONCAT(LEFT($A88,FIND("'",$A88)-1),"''",RIGHT($A88,LEN($A88)-FIND("'",$A88))),$A88),"'!B4"))&gt;=H$2,"d",IF(INDIRECT(_xlfn.CONCAT("'",IF(ISNUMBER(FIND("'",$A88))=TRUE,_xlfn.CONCAT(LEFT($A88,FIND("'",$A88)-1),"''",RIGHT($A88,LEN($A88)-FIND("'",$A88))),$A88),"'!B5"))&gt;=H$2,"i",""))</f>
        <v>d</v>
      </c>
      <c r="I88" s="1" t="str" cm="1">
        <f t="array" aca="1" ref="I88" ca="1">IF(INDIRECT(_xlfn.CONCAT("'",IF(ISNUMBER(FIND("'",$A88))=TRUE,_xlfn.CONCAT(LEFT($A88,FIND("'",$A88)-1),"''",RIGHT($A88,LEN($A88)-FIND("'",$A88))),$A88),"'!B4"))&gt;=I$2,"d",IF(INDIRECT(_xlfn.CONCAT("'",IF(ISNUMBER(FIND("'",$A88))=TRUE,_xlfn.CONCAT(LEFT($A88,FIND("'",$A88)-1),"''",RIGHT($A88,LEN($A88)-FIND("'",$A88))),$A88),"'!B5"))&gt;=I$2,"i",""))</f>
        <v>d</v>
      </c>
      <c r="J88" s="1" t="str" cm="1">
        <f t="array" aca="1" ref="J88" ca="1">IF(INDIRECT(_xlfn.CONCAT("'",IF(ISNUMBER(FIND("'",$A88))=TRUE,_xlfn.CONCAT(LEFT($A88,FIND("'",$A88)-1),"''",RIGHT($A88,LEN($A88)-FIND("'",$A88))),$A88),"'!B4"))&gt;=J$2,"d",IF(INDIRECT(_xlfn.CONCAT("'",IF(ISNUMBER(FIND("'",$A88))=TRUE,_xlfn.CONCAT(LEFT($A88,FIND("'",$A88)-1),"''",RIGHT($A88,LEN($A88)-FIND("'",$A88))),$A88),"'!B5"))&gt;=J$2,"i",""))</f>
        <v>d</v>
      </c>
      <c r="K88" s="1" t="str" cm="1">
        <f t="array" aca="1" ref="K88" ca="1">IF(INDIRECT(_xlfn.CONCAT("'",IF(ISNUMBER(FIND("'",$A88))=TRUE,_xlfn.CONCAT(LEFT($A88,FIND("'",$A88)-1),"''",RIGHT($A88,LEN($A88)-FIND("'",$A88))),$A88),"'!B4"))&gt;=K$2,"d",IF(INDIRECT(_xlfn.CONCAT("'",IF(ISNUMBER(FIND("'",$A88))=TRUE,_xlfn.CONCAT(LEFT($A88,FIND("'",$A88)-1),"''",RIGHT($A88,LEN($A88)-FIND("'",$A88))),$A88),"'!B5"))&gt;=K$2,"i",""))</f>
        <v>d</v>
      </c>
      <c r="L88" s="1" t="str" cm="1">
        <f t="array" aca="1" ref="L88" ca="1">IF(INDIRECT(_xlfn.CONCAT("'",IF(ISNUMBER(FIND("'",$A88))=TRUE,_xlfn.CONCAT(LEFT($A88,FIND("'",$A88)-1),"''",RIGHT($A88,LEN($A88)-FIND("'",$A88))),$A88),"'!B4"))&gt;=L$2,"d",IF(INDIRECT(_xlfn.CONCAT("'",IF(ISNUMBER(FIND("'",$A88))=TRUE,_xlfn.CONCAT(LEFT($A88,FIND("'",$A88)-1),"''",RIGHT($A88,LEN($A88)-FIND("'",$A88))),$A88),"'!B5"))&gt;=L$2,"i",""))</f>
        <v>d</v>
      </c>
      <c r="M88" s="4" t="str" cm="1">
        <f t="array" aca="1" ref="M88" ca="1">IF(INDIRECT(_xlfn.CONCAT("'",IF(ISNUMBER(FIND("'",$A88))=TRUE,_xlfn.CONCAT(LEFT($A88,FIND("'",$A88)-1),"''",RIGHT($A88,LEN($A88)-FIND("'",$A88))),$A88),"'!B4"))&gt;=M$2,"d",IF(INDIRECT(_xlfn.CONCAT("'",IF(ISNUMBER(FIND("'",$A88))=TRUE,_xlfn.CONCAT(LEFT($A88,FIND("'",$A88)-1),"''",RIGHT($A88,LEN($A88)-FIND("'",$A88))),$A88),"'!B5"))&gt;=M$2,"i",""))</f>
        <v>d</v>
      </c>
      <c r="N88" s="95"/>
      <c r="O88" s="14" t="str" cm="1">
        <f t="array" aca="1" ref="O88" ca="1">IF(INDIRECT(_xlfn.CONCAT("'",IF(ISNUMBER(FIND("'",$A88))=TRUE,_xlfn.CONCAT(LEFT($A88,FIND("'",$A88)-1),"''",RIGHT($A88,LEN($A88)-FIND("'",$A88))),$A88),"'!C10"))&gt;=O$2,"d",IF(INDIRECT(_xlfn.CONCAT("'",IF(ISNUMBER(FIND("'",$A88))=TRUE,_xlfn.CONCAT(LEFT($A88,FIND("'",$A88)-1),"''",RIGHT($A88,LEN($A88)-FIND("'",$A88))),$A88),"'!C11"))&gt;=O$2,"i",""))</f>
        <v>d</v>
      </c>
      <c r="P88" s="1" t="str" cm="1">
        <f t="array" aca="1" ref="P88" ca="1">IF(INDIRECT(_xlfn.CONCAT("'",IF(ISNUMBER(FIND("'",$A88))=TRUE,_xlfn.CONCAT(LEFT($A88,FIND("'",$A88)-1),"''",RIGHT($A88,LEN($A88)-FIND("'",$A88))),$A88),"'!C10"))&gt;=P$2,"d",IF(INDIRECT(_xlfn.CONCAT("'",IF(ISNUMBER(FIND("'",$A88))=TRUE,_xlfn.CONCAT(LEFT($A88,FIND("'",$A88)-1),"''",RIGHT($A88,LEN($A88)-FIND("'",$A88))),$A88),"'!C11"))&gt;=P$2,"i",""))</f>
        <v>d</v>
      </c>
      <c r="Q88" s="1" t="str" cm="1">
        <f t="array" aca="1" ref="Q88" ca="1">IF(INDIRECT(_xlfn.CONCAT("'",IF(ISNUMBER(FIND("'",$A88))=TRUE,_xlfn.CONCAT(LEFT($A88,FIND("'",$A88)-1),"''",RIGHT($A88,LEN($A88)-FIND("'",$A88))),$A88),"'!C10"))&gt;=Q$2,"d",IF(INDIRECT(_xlfn.CONCAT("'",IF(ISNUMBER(FIND("'",$A88))=TRUE,_xlfn.CONCAT(LEFT($A88,FIND("'",$A88)-1),"''",RIGHT($A88,LEN($A88)-FIND("'",$A88))),$A88),"'!C11"))&gt;=Q$2,"i",""))</f>
        <v>d</v>
      </c>
      <c r="R88" s="1" t="str" cm="1">
        <f t="array" aca="1" ref="R88" ca="1">IF(INDIRECT(_xlfn.CONCAT("'",IF(ISNUMBER(FIND("'",$A88))=TRUE,_xlfn.CONCAT(LEFT($A88,FIND("'",$A88)-1),"''",RIGHT($A88,LEN($A88)-FIND("'",$A88))),$A88),"'!C10"))&gt;=R$2,"d",IF(INDIRECT(_xlfn.CONCAT("'",IF(ISNUMBER(FIND("'",$A88))=TRUE,_xlfn.CONCAT(LEFT($A88,FIND("'",$A88)-1),"''",RIGHT($A88,LEN($A88)-FIND("'",$A88))),$A88),"'!C11"))&gt;=R$2,"i",""))</f>
        <v>d</v>
      </c>
      <c r="S88" s="1" t="str" cm="1">
        <f t="array" aca="1" ref="S88" ca="1">IF(INDIRECT(_xlfn.CONCAT("'",IF(ISNUMBER(FIND("'",$A88))=TRUE,_xlfn.CONCAT(LEFT($A88,FIND("'",$A88)-1),"''",RIGHT($A88,LEN($A88)-FIND("'",$A88))),$A88),"'!C10"))&gt;=S$2,"d",IF(INDIRECT(_xlfn.CONCAT("'",IF(ISNUMBER(FIND("'",$A88))=TRUE,_xlfn.CONCAT(LEFT($A88,FIND("'",$A88)-1),"''",RIGHT($A88,LEN($A88)-FIND("'",$A88))),$A88),"'!C11"))&gt;=S$2,"i",""))</f>
        <v>d</v>
      </c>
      <c r="T88" s="4" t="str" cm="1">
        <f t="array" aca="1" ref="T88" ca="1">IF(INDIRECT(_xlfn.CONCAT("'",IF(ISNUMBER(FIND("'",$A88))=TRUE,_xlfn.CONCAT(LEFT($A88,FIND("'",$A88)-1),"''",RIGHT($A88,LEN($A88)-FIND("'",$A88))),$A88),"'!C10"))&gt;=T$2,"d",IF(INDIRECT(_xlfn.CONCAT("'",IF(ISNUMBER(FIND("'",$A88))=TRUE,_xlfn.CONCAT(LEFT($A88,FIND("'",$A88)-1),"''",RIGHT($A88,LEN($A88)-FIND("'",$A88))),$A88),"'!C11"))&gt;=T$2,"i",""))</f>
        <v>d</v>
      </c>
    </row>
    <row r="89" spans="1:20" hidden="1" x14ac:dyDescent="0.25">
      <c r="A89" s="54" t="str">
        <v>Skyward Harp</v>
      </c>
      <c r="B89" s="14" cm="1">
        <f t="array" ref="B89">_xlfn.XLOOKUP(A89,INDEX(Weapon_List,,1),INDEX(Weapon_List,,3),,0,1)</f>
        <v>5</v>
      </c>
      <c r="C89" s="4" t="str" cm="1">
        <f t="array" ref="C89">_xlfn.XLOOKUP(A89,INDEX(Weapon_List,,1),INDEX(Weapon_List,,2),,0,1)</f>
        <v>Bow</v>
      </c>
      <c r="D89" s="38" t="str" cm="1">
        <f t="array" ref="D89">_xlfn.XLOOKUP(A89,INDEX(Weapon_List,,1),INDEX(Weapon_List,,4),,0,1)</f>
        <v>Mondstadt 2</v>
      </c>
      <c r="E89" s="38" t="str" cm="1">
        <f t="array" ref="E89">_xlfn.XLOOKUP(A89,INDEX(Weapon_List,,1),INDEX(Weapon_List,,5),,0,1)</f>
        <v>Hilichurl Shooter</v>
      </c>
      <c r="F89" s="38" t="str" cm="1">
        <f t="array" ref="F89">_xlfn.XLOOKUP(A89,INDEX(Weapon_List,,1),INDEX(Weapon_List,,6),,0,1)</f>
        <v>Abyss Mage</v>
      </c>
      <c r="G89" s="14" t="str" cm="1">
        <f t="array" aca="1" ref="G89" ca="1">IF(INDIRECT(_xlfn.CONCAT("'",IF(ISNUMBER(FIND("'",$A89))=TRUE,_xlfn.CONCAT(LEFT($A89,FIND("'",$A89)-1),"''",RIGHT($A89,LEN($A89)-FIND("'",$A89))),$A89),"'!B4"))&gt;=G$2,"d",IF(INDIRECT(_xlfn.CONCAT("'",IF(ISNUMBER(FIND("'",$A89))=TRUE,_xlfn.CONCAT(LEFT($A89,FIND("'",$A89)-1),"''",RIGHT($A89,LEN($A89)-FIND("'",$A89))),$A89),"'!B5"))&gt;=G$2,"i",""))</f>
        <v>d</v>
      </c>
      <c r="H89" s="1" t="str" cm="1">
        <f t="array" aca="1" ref="H89" ca="1">IF(INDIRECT(_xlfn.CONCAT("'",IF(ISNUMBER(FIND("'",$A89))=TRUE,_xlfn.CONCAT(LEFT($A89,FIND("'",$A89)-1),"''",RIGHT($A89,LEN($A89)-FIND("'",$A89))),$A89),"'!B4"))&gt;=H$2,"d",IF(INDIRECT(_xlfn.CONCAT("'",IF(ISNUMBER(FIND("'",$A89))=TRUE,_xlfn.CONCAT(LEFT($A89,FIND("'",$A89)-1),"''",RIGHT($A89,LEN($A89)-FIND("'",$A89))),$A89),"'!B5"))&gt;=H$2,"i",""))</f>
        <v>d</v>
      </c>
      <c r="I89" s="1" t="str" cm="1">
        <f t="array" aca="1" ref="I89" ca="1">IF(INDIRECT(_xlfn.CONCAT("'",IF(ISNUMBER(FIND("'",$A89))=TRUE,_xlfn.CONCAT(LEFT($A89,FIND("'",$A89)-1),"''",RIGHT($A89,LEN($A89)-FIND("'",$A89))),$A89),"'!B4"))&gt;=I$2,"d",IF(INDIRECT(_xlfn.CONCAT("'",IF(ISNUMBER(FIND("'",$A89))=TRUE,_xlfn.CONCAT(LEFT($A89,FIND("'",$A89)-1),"''",RIGHT($A89,LEN($A89)-FIND("'",$A89))),$A89),"'!B5"))&gt;=I$2,"i",""))</f>
        <v>d</v>
      </c>
      <c r="J89" s="1" t="str" cm="1">
        <f t="array" aca="1" ref="J89" ca="1">IF(INDIRECT(_xlfn.CONCAT("'",IF(ISNUMBER(FIND("'",$A89))=TRUE,_xlfn.CONCAT(LEFT($A89,FIND("'",$A89)-1),"''",RIGHT($A89,LEN($A89)-FIND("'",$A89))),$A89),"'!B4"))&gt;=J$2,"d",IF(INDIRECT(_xlfn.CONCAT("'",IF(ISNUMBER(FIND("'",$A89))=TRUE,_xlfn.CONCAT(LEFT($A89,FIND("'",$A89)-1),"''",RIGHT($A89,LEN($A89)-FIND("'",$A89))),$A89),"'!B5"))&gt;=J$2,"i",""))</f>
        <v>d</v>
      </c>
      <c r="K89" s="1" t="str" cm="1">
        <f t="array" aca="1" ref="K89" ca="1">IF(INDIRECT(_xlfn.CONCAT("'",IF(ISNUMBER(FIND("'",$A89))=TRUE,_xlfn.CONCAT(LEFT($A89,FIND("'",$A89)-1),"''",RIGHT($A89,LEN($A89)-FIND("'",$A89))),$A89),"'!B4"))&gt;=K$2,"d",IF(INDIRECT(_xlfn.CONCAT("'",IF(ISNUMBER(FIND("'",$A89))=TRUE,_xlfn.CONCAT(LEFT($A89,FIND("'",$A89)-1),"''",RIGHT($A89,LEN($A89)-FIND("'",$A89))),$A89),"'!B5"))&gt;=K$2,"i",""))</f>
        <v>d</v>
      </c>
      <c r="L89" s="1" t="str" cm="1">
        <f t="array" aca="1" ref="L89" ca="1">IF(INDIRECT(_xlfn.CONCAT("'",IF(ISNUMBER(FIND("'",$A89))=TRUE,_xlfn.CONCAT(LEFT($A89,FIND("'",$A89)-1),"''",RIGHT($A89,LEN($A89)-FIND("'",$A89))),$A89),"'!B4"))&gt;=L$2,"d",IF(INDIRECT(_xlfn.CONCAT("'",IF(ISNUMBER(FIND("'",$A89))=TRUE,_xlfn.CONCAT(LEFT($A89,FIND("'",$A89)-1),"''",RIGHT($A89,LEN($A89)-FIND("'",$A89))),$A89),"'!B5"))&gt;=L$2,"i",""))</f>
        <v>d</v>
      </c>
      <c r="M89" s="4" t="str" cm="1">
        <f t="array" aca="1" ref="M89" ca="1">IF(INDIRECT(_xlfn.CONCAT("'",IF(ISNUMBER(FIND("'",$A89))=TRUE,_xlfn.CONCAT(LEFT($A89,FIND("'",$A89)-1),"''",RIGHT($A89,LEN($A89)-FIND("'",$A89))),$A89),"'!B4"))&gt;=M$2,"d",IF(INDIRECT(_xlfn.CONCAT("'",IF(ISNUMBER(FIND("'",$A89))=TRUE,_xlfn.CONCAT(LEFT($A89,FIND("'",$A89)-1),"''",RIGHT($A89,LEN($A89)-FIND("'",$A89))),$A89),"'!B5"))&gt;=M$2,"i",""))</f>
        <v>d</v>
      </c>
      <c r="N89" s="95"/>
      <c r="O89" s="14" t="str" cm="1">
        <f t="array" aca="1" ref="O89" ca="1">IF(INDIRECT(_xlfn.CONCAT("'",IF(ISNUMBER(FIND("'",$A89))=TRUE,_xlfn.CONCAT(LEFT($A89,FIND("'",$A89)-1),"''",RIGHT($A89,LEN($A89)-FIND("'",$A89))),$A89),"'!C10"))&gt;=O$2,"d",IF(INDIRECT(_xlfn.CONCAT("'",IF(ISNUMBER(FIND("'",$A89))=TRUE,_xlfn.CONCAT(LEFT($A89,FIND("'",$A89)-1),"''",RIGHT($A89,LEN($A89)-FIND("'",$A89))),$A89),"'!C11"))&gt;=O$2,"i",""))</f>
        <v>d</v>
      </c>
      <c r="P89" s="1" t="str" cm="1">
        <f t="array" aca="1" ref="P89" ca="1">IF(INDIRECT(_xlfn.CONCAT("'",IF(ISNUMBER(FIND("'",$A89))=TRUE,_xlfn.CONCAT(LEFT($A89,FIND("'",$A89)-1),"''",RIGHT($A89,LEN($A89)-FIND("'",$A89))),$A89),"'!C10"))&gt;=P$2,"d",IF(INDIRECT(_xlfn.CONCAT("'",IF(ISNUMBER(FIND("'",$A89))=TRUE,_xlfn.CONCAT(LEFT($A89,FIND("'",$A89)-1),"''",RIGHT($A89,LEN($A89)-FIND("'",$A89))),$A89),"'!C11"))&gt;=P$2,"i",""))</f>
        <v>d</v>
      </c>
      <c r="Q89" s="1" t="str" cm="1">
        <f t="array" aca="1" ref="Q89" ca="1">IF(INDIRECT(_xlfn.CONCAT("'",IF(ISNUMBER(FIND("'",$A89))=TRUE,_xlfn.CONCAT(LEFT($A89,FIND("'",$A89)-1),"''",RIGHT($A89,LEN($A89)-FIND("'",$A89))),$A89),"'!C10"))&gt;=Q$2,"d",IF(INDIRECT(_xlfn.CONCAT("'",IF(ISNUMBER(FIND("'",$A89))=TRUE,_xlfn.CONCAT(LEFT($A89,FIND("'",$A89)-1),"''",RIGHT($A89,LEN($A89)-FIND("'",$A89))),$A89),"'!C11"))&gt;=Q$2,"i",""))</f>
        <v>d</v>
      </c>
      <c r="R89" s="1" t="str" cm="1">
        <f t="array" aca="1" ref="R89" ca="1">IF(INDIRECT(_xlfn.CONCAT("'",IF(ISNUMBER(FIND("'",$A89))=TRUE,_xlfn.CONCAT(LEFT($A89,FIND("'",$A89)-1),"''",RIGHT($A89,LEN($A89)-FIND("'",$A89))),$A89),"'!C10"))&gt;=R$2,"d",IF(INDIRECT(_xlfn.CONCAT("'",IF(ISNUMBER(FIND("'",$A89))=TRUE,_xlfn.CONCAT(LEFT($A89,FIND("'",$A89)-1),"''",RIGHT($A89,LEN($A89)-FIND("'",$A89))),$A89),"'!C11"))&gt;=R$2,"i",""))</f>
        <v>d</v>
      </c>
      <c r="S89" s="1" t="str" cm="1">
        <f t="array" aca="1" ref="S89" ca="1">IF(INDIRECT(_xlfn.CONCAT("'",IF(ISNUMBER(FIND("'",$A89))=TRUE,_xlfn.CONCAT(LEFT($A89,FIND("'",$A89)-1),"''",RIGHT($A89,LEN($A89)-FIND("'",$A89))),$A89),"'!C10"))&gt;=S$2,"d",IF(INDIRECT(_xlfn.CONCAT("'",IF(ISNUMBER(FIND("'",$A89))=TRUE,_xlfn.CONCAT(LEFT($A89,FIND("'",$A89)-1),"''",RIGHT($A89,LEN($A89)-FIND("'",$A89))),$A89),"'!C11"))&gt;=S$2,"i",""))</f>
        <v>d</v>
      </c>
      <c r="T89" s="4" t="str" cm="1">
        <f t="array" aca="1" ref="T89" ca="1">IF(INDIRECT(_xlfn.CONCAT("'",IF(ISNUMBER(FIND("'",$A89))=TRUE,_xlfn.CONCAT(LEFT($A89,FIND("'",$A89)-1),"''",RIGHT($A89,LEN($A89)-FIND("'",$A89))),$A89),"'!C10"))&gt;=T$2,"d",IF(INDIRECT(_xlfn.CONCAT("'",IF(ISNUMBER(FIND("'",$A89))=TRUE,_xlfn.CONCAT(LEFT($A89,FIND("'",$A89)-1),"''",RIGHT($A89,LEN($A89)-FIND("'",$A89))),$A89),"'!C11"))&gt;=T$2,"i",""))</f>
        <v>d</v>
      </c>
    </row>
    <row r="90" spans="1:20" hidden="1" x14ac:dyDescent="0.25">
      <c r="A90" s="54" t="str">
        <v>Festering Desire</v>
      </c>
      <c r="B90" s="14" cm="1">
        <f t="array" ref="B90">_xlfn.XLOOKUP(A90,INDEX(Weapon_List,,1),INDEX(Weapon_List,,3),,0,1)</f>
        <v>4</v>
      </c>
      <c r="C90" s="4" t="str" cm="1">
        <f t="array" ref="C90">_xlfn.XLOOKUP(A90,INDEX(Weapon_List,,1),INDEX(Weapon_List,,2),,0,1)</f>
        <v>Sword</v>
      </c>
      <c r="D90" s="38" t="str" cm="1">
        <f t="array" ref="D90">_xlfn.XLOOKUP(A90,INDEX(Weapon_List,,1),INDEX(Weapon_List,,4),,0,1)</f>
        <v>Mondstadt 3</v>
      </c>
      <c r="E90" s="38" t="str" cm="1">
        <f t="array" ref="E90">_xlfn.XLOOKUP(A90,INDEX(Weapon_List,,1),INDEX(Weapon_List,,5),,0,1)</f>
        <v>Fatui</v>
      </c>
      <c r="F90" s="38" t="str" cm="1">
        <f t="array" ref="F90">_xlfn.XLOOKUP(A90,INDEX(Weapon_List,,1),INDEX(Weapon_List,,6),,0,1)</f>
        <v>Mitachurl</v>
      </c>
      <c r="G90" s="14" t="str" cm="1">
        <f t="array" aca="1" ref="G90" ca="1">IF(INDIRECT(_xlfn.CONCAT("'",IF(ISNUMBER(FIND("'",$A90))=TRUE,_xlfn.CONCAT(LEFT($A90,FIND("'",$A90)-1),"''",RIGHT($A90,LEN($A90)-FIND("'",$A90))),$A90),"'!B4"))&gt;=G$2,"d",IF(INDIRECT(_xlfn.CONCAT("'",IF(ISNUMBER(FIND("'",$A90))=TRUE,_xlfn.CONCAT(LEFT($A90,FIND("'",$A90)-1),"''",RIGHT($A90,LEN($A90)-FIND("'",$A90))),$A90),"'!B5"))&gt;=G$2,"i",""))</f>
        <v>d</v>
      </c>
      <c r="H90" s="1" t="str" cm="1">
        <f t="array" aca="1" ref="H90" ca="1">IF(INDIRECT(_xlfn.CONCAT("'",IF(ISNUMBER(FIND("'",$A90))=TRUE,_xlfn.CONCAT(LEFT($A90,FIND("'",$A90)-1),"''",RIGHT($A90,LEN($A90)-FIND("'",$A90))),$A90),"'!B4"))&gt;=H$2,"d",IF(INDIRECT(_xlfn.CONCAT("'",IF(ISNUMBER(FIND("'",$A90))=TRUE,_xlfn.CONCAT(LEFT($A90,FIND("'",$A90)-1),"''",RIGHT($A90,LEN($A90)-FIND("'",$A90))),$A90),"'!B5"))&gt;=H$2,"i",""))</f>
        <v>d</v>
      </c>
      <c r="I90" s="1" t="str" cm="1">
        <f t="array" aca="1" ref="I90" ca="1">IF(INDIRECT(_xlfn.CONCAT("'",IF(ISNUMBER(FIND("'",$A90))=TRUE,_xlfn.CONCAT(LEFT($A90,FIND("'",$A90)-1),"''",RIGHT($A90,LEN($A90)-FIND("'",$A90))),$A90),"'!B4"))&gt;=I$2,"d",IF(INDIRECT(_xlfn.CONCAT("'",IF(ISNUMBER(FIND("'",$A90))=TRUE,_xlfn.CONCAT(LEFT($A90,FIND("'",$A90)-1),"''",RIGHT($A90,LEN($A90)-FIND("'",$A90))),$A90),"'!B5"))&gt;=I$2,"i",""))</f>
        <v>d</v>
      </c>
      <c r="J90" s="1" t="str" cm="1">
        <f t="array" aca="1" ref="J90" ca="1">IF(INDIRECT(_xlfn.CONCAT("'",IF(ISNUMBER(FIND("'",$A90))=TRUE,_xlfn.CONCAT(LEFT($A90,FIND("'",$A90)-1),"''",RIGHT($A90,LEN($A90)-FIND("'",$A90))),$A90),"'!B4"))&gt;=J$2,"d",IF(INDIRECT(_xlfn.CONCAT("'",IF(ISNUMBER(FIND("'",$A90))=TRUE,_xlfn.CONCAT(LEFT($A90,FIND("'",$A90)-1),"''",RIGHT($A90,LEN($A90)-FIND("'",$A90))),$A90),"'!B5"))&gt;=J$2,"i",""))</f>
        <v>d</v>
      </c>
      <c r="K90" s="1" t="str" cm="1">
        <f t="array" aca="1" ref="K90" ca="1">IF(INDIRECT(_xlfn.CONCAT("'",IF(ISNUMBER(FIND("'",$A90))=TRUE,_xlfn.CONCAT(LEFT($A90,FIND("'",$A90)-1),"''",RIGHT($A90,LEN($A90)-FIND("'",$A90))),$A90),"'!B4"))&gt;=K$2,"d",IF(INDIRECT(_xlfn.CONCAT("'",IF(ISNUMBER(FIND("'",$A90))=TRUE,_xlfn.CONCAT(LEFT($A90,FIND("'",$A90)-1),"''",RIGHT($A90,LEN($A90)-FIND("'",$A90))),$A90),"'!B5"))&gt;=K$2,"i",""))</f>
        <v>d</v>
      </c>
      <c r="L90" s="1" t="str" cm="1">
        <f t="array" aca="1" ref="L90" ca="1">IF(INDIRECT(_xlfn.CONCAT("'",IF(ISNUMBER(FIND("'",$A90))=TRUE,_xlfn.CONCAT(LEFT($A90,FIND("'",$A90)-1),"''",RIGHT($A90,LEN($A90)-FIND("'",$A90))),$A90),"'!B4"))&gt;=L$2,"d",IF(INDIRECT(_xlfn.CONCAT("'",IF(ISNUMBER(FIND("'",$A90))=TRUE,_xlfn.CONCAT(LEFT($A90,FIND("'",$A90)-1),"''",RIGHT($A90,LEN($A90)-FIND("'",$A90))),$A90),"'!B5"))&gt;=L$2,"i",""))</f>
        <v>d</v>
      </c>
      <c r="M90" s="4" t="str" cm="1">
        <f t="array" aca="1" ref="M90" ca="1">IF(INDIRECT(_xlfn.CONCAT("'",IF(ISNUMBER(FIND("'",$A90))=TRUE,_xlfn.CONCAT(LEFT($A90,FIND("'",$A90)-1),"''",RIGHT($A90,LEN($A90)-FIND("'",$A90))),$A90),"'!B4"))&gt;=M$2,"d",IF(INDIRECT(_xlfn.CONCAT("'",IF(ISNUMBER(FIND("'",$A90))=TRUE,_xlfn.CONCAT(LEFT($A90,FIND("'",$A90)-1),"''",RIGHT($A90,LEN($A90)-FIND("'",$A90))),$A90),"'!B5"))&gt;=M$2,"i",""))</f>
        <v>d</v>
      </c>
      <c r="N90" s="95"/>
      <c r="O90" s="14" t="str" cm="1">
        <f t="array" aca="1" ref="O90" ca="1">IF(INDIRECT(_xlfn.CONCAT("'",IF(ISNUMBER(FIND("'",$A90))=TRUE,_xlfn.CONCAT(LEFT($A90,FIND("'",$A90)-1),"''",RIGHT($A90,LEN($A90)-FIND("'",$A90))),$A90),"'!C10"))&gt;=O$2,"d",IF(INDIRECT(_xlfn.CONCAT("'",IF(ISNUMBER(FIND("'",$A90))=TRUE,_xlfn.CONCAT(LEFT($A90,FIND("'",$A90)-1),"''",RIGHT($A90,LEN($A90)-FIND("'",$A90))),$A90),"'!C11"))&gt;=O$2,"i",""))</f>
        <v>d</v>
      </c>
      <c r="P90" s="1" t="str" cm="1">
        <f t="array" aca="1" ref="P90" ca="1">IF(INDIRECT(_xlfn.CONCAT("'",IF(ISNUMBER(FIND("'",$A90))=TRUE,_xlfn.CONCAT(LEFT($A90,FIND("'",$A90)-1),"''",RIGHT($A90,LEN($A90)-FIND("'",$A90))),$A90),"'!C10"))&gt;=P$2,"d",IF(INDIRECT(_xlfn.CONCAT("'",IF(ISNUMBER(FIND("'",$A90))=TRUE,_xlfn.CONCAT(LEFT($A90,FIND("'",$A90)-1),"''",RIGHT($A90,LEN($A90)-FIND("'",$A90))),$A90),"'!C11"))&gt;=P$2,"i",""))</f>
        <v>d</v>
      </c>
      <c r="Q90" s="1" t="str" cm="1">
        <f t="array" aca="1" ref="Q90" ca="1">IF(INDIRECT(_xlfn.CONCAT("'",IF(ISNUMBER(FIND("'",$A90))=TRUE,_xlfn.CONCAT(LEFT($A90,FIND("'",$A90)-1),"''",RIGHT($A90,LEN($A90)-FIND("'",$A90))),$A90),"'!C10"))&gt;=Q$2,"d",IF(INDIRECT(_xlfn.CONCAT("'",IF(ISNUMBER(FIND("'",$A90))=TRUE,_xlfn.CONCAT(LEFT($A90,FIND("'",$A90)-1),"''",RIGHT($A90,LEN($A90)-FIND("'",$A90))),$A90),"'!C11"))&gt;=Q$2,"i",""))</f>
        <v>d</v>
      </c>
      <c r="R90" s="1" t="str" cm="1">
        <f t="array" aca="1" ref="R90" ca="1">IF(INDIRECT(_xlfn.CONCAT("'",IF(ISNUMBER(FIND("'",$A90))=TRUE,_xlfn.CONCAT(LEFT($A90,FIND("'",$A90)-1),"''",RIGHT($A90,LEN($A90)-FIND("'",$A90))),$A90),"'!C10"))&gt;=R$2,"d",IF(INDIRECT(_xlfn.CONCAT("'",IF(ISNUMBER(FIND("'",$A90))=TRUE,_xlfn.CONCAT(LEFT($A90,FIND("'",$A90)-1),"''",RIGHT($A90,LEN($A90)-FIND("'",$A90))),$A90),"'!C11"))&gt;=R$2,"i",""))</f>
        <v>d</v>
      </c>
      <c r="S90" s="1" t="str" cm="1">
        <f t="array" aca="1" ref="S90" ca="1">IF(INDIRECT(_xlfn.CONCAT("'",IF(ISNUMBER(FIND("'",$A90))=TRUE,_xlfn.CONCAT(LEFT($A90,FIND("'",$A90)-1),"''",RIGHT($A90,LEN($A90)-FIND("'",$A90))),$A90),"'!C10"))&gt;=S$2,"d",IF(INDIRECT(_xlfn.CONCAT("'",IF(ISNUMBER(FIND("'",$A90))=TRUE,_xlfn.CONCAT(LEFT($A90,FIND("'",$A90)-1),"''",RIGHT($A90,LEN($A90)-FIND("'",$A90))),$A90),"'!C11"))&gt;=S$2,"i",""))</f>
        <v>d</v>
      </c>
      <c r="T90" s="4" t="str" cm="1">
        <f t="array" aca="1" ref="T90" ca="1">IF(INDIRECT(_xlfn.CONCAT("'",IF(ISNUMBER(FIND("'",$A90))=TRUE,_xlfn.CONCAT(LEFT($A90,FIND("'",$A90)-1),"''",RIGHT($A90,LEN($A90)-FIND("'",$A90))),$A90),"'!C10"))&gt;=T$2,"d",IF(INDIRECT(_xlfn.CONCAT("'",IF(ISNUMBER(FIND("'",$A90))=TRUE,_xlfn.CONCAT(LEFT($A90,FIND("'",$A90)-1),"''",RIGHT($A90,LEN($A90)-FIND("'",$A90))),$A90),"'!C11"))&gt;=T$2,"i",""))</f>
        <v>d</v>
      </c>
    </row>
    <row r="91" spans="1:20" hidden="1" x14ac:dyDescent="0.25">
      <c r="A91" s="54" t="str">
        <v>Memory of Dust</v>
      </c>
      <c r="B91" s="14" cm="1">
        <f t="array" ref="B91">_xlfn.XLOOKUP(A91,INDEX(Weapon_List,,1),INDEX(Weapon_List,,3),,0,1)</f>
        <v>5</v>
      </c>
      <c r="C91" s="4" t="str" cm="1">
        <f t="array" ref="C91">_xlfn.XLOOKUP(A91,INDEX(Weapon_List,,1),INDEX(Weapon_List,,2),,0,1)</f>
        <v>Catalyst</v>
      </c>
      <c r="D91" s="38" t="str" cm="1">
        <f t="array" ref="D91">_xlfn.XLOOKUP(A91,INDEX(Weapon_List,,1),INDEX(Weapon_List,,4),,0,1)</f>
        <v>Liyue 3</v>
      </c>
      <c r="E91" s="38" t="str" cm="1">
        <f t="array" ref="E91">_xlfn.XLOOKUP(A91,INDEX(Weapon_List,,1),INDEX(Weapon_List,,5),,0,1)</f>
        <v>Hilichurl</v>
      </c>
      <c r="F91" s="38" t="str" cm="1">
        <f t="array" ref="F91">_xlfn.XLOOKUP(A91,INDEX(Weapon_List,,1),INDEX(Weapon_List,,6),,0,1)</f>
        <v>Vishap</v>
      </c>
      <c r="G91" s="14" t="str" cm="1">
        <f t="array" aca="1" ref="G91" ca="1">IF(INDIRECT(_xlfn.CONCAT("'",IF(ISNUMBER(FIND("'",$A91))=TRUE,_xlfn.CONCAT(LEFT($A91,FIND("'",$A91)-1),"''",RIGHT($A91,LEN($A91)-FIND("'",$A91))),$A91),"'!B4"))&gt;=G$2,"d",IF(INDIRECT(_xlfn.CONCAT("'",IF(ISNUMBER(FIND("'",$A91))=TRUE,_xlfn.CONCAT(LEFT($A91,FIND("'",$A91)-1),"''",RIGHT($A91,LEN($A91)-FIND("'",$A91))),$A91),"'!B5"))&gt;=G$2,"i",""))</f>
        <v>d</v>
      </c>
      <c r="H91" s="1" t="str" cm="1">
        <f t="array" aca="1" ref="H91" ca="1">IF(INDIRECT(_xlfn.CONCAT("'",IF(ISNUMBER(FIND("'",$A91))=TRUE,_xlfn.CONCAT(LEFT($A91,FIND("'",$A91)-1),"''",RIGHT($A91,LEN($A91)-FIND("'",$A91))),$A91),"'!B4"))&gt;=H$2,"d",IF(INDIRECT(_xlfn.CONCAT("'",IF(ISNUMBER(FIND("'",$A91))=TRUE,_xlfn.CONCAT(LEFT($A91,FIND("'",$A91)-1),"''",RIGHT($A91,LEN($A91)-FIND("'",$A91))),$A91),"'!B5"))&gt;=H$2,"i",""))</f>
        <v>d</v>
      </c>
      <c r="I91" s="1" t="str" cm="1">
        <f t="array" aca="1" ref="I91" ca="1">IF(INDIRECT(_xlfn.CONCAT("'",IF(ISNUMBER(FIND("'",$A91))=TRUE,_xlfn.CONCAT(LEFT($A91,FIND("'",$A91)-1),"''",RIGHT($A91,LEN($A91)-FIND("'",$A91))),$A91),"'!B4"))&gt;=I$2,"d",IF(INDIRECT(_xlfn.CONCAT("'",IF(ISNUMBER(FIND("'",$A91))=TRUE,_xlfn.CONCAT(LEFT($A91,FIND("'",$A91)-1),"''",RIGHT($A91,LEN($A91)-FIND("'",$A91))),$A91),"'!B5"))&gt;=I$2,"i",""))</f>
        <v>d</v>
      </c>
      <c r="J91" s="1" t="str" cm="1">
        <f t="array" aca="1" ref="J91" ca="1">IF(INDIRECT(_xlfn.CONCAT("'",IF(ISNUMBER(FIND("'",$A91))=TRUE,_xlfn.CONCAT(LEFT($A91,FIND("'",$A91)-1),"''",RIGHT($A91,LEN($A91)-FIND("'",$A91))),$A91),"'!B4"))&gt;=J$2,"d",IF(INDIRECT(_xlfn.CONCAT("'",IF(ISNUMBER(FIND("'",$A91))=TRUE,_xlfn.CONCAT(LEFT($A91,FIND("'",$A91)-1),"''",RIGHT($A91,LEN($A91)-FIND("'",$A91))),$A91),"'!B5"))&gt;=J$2,"i",""))</f>
        <v>d</v>
      </c>
      <c r="K91" s="1" t="str" cm="1">
        <f t="array" aca="1" ref="K91" ca="1">IF(INDIRECT(_xlfn.CONCAT("'",IF(ISNUMBER(FIND("'",$A91))=TRUE,_xlfn.CONCAT(LEFT($A91,FIND("'",$A91)-1),"''",RIGHT($A91,LEN($A91)-FIND("'",$A91))),$A91),"'!B4"))&gt;=K$2,"d",IF(INDIRECT(_xlfn.CONCAT("'",IF(ISNUMBER(FIND("'",$A91))=TRUE,_xlfn.CONCAT(LEFT($A91,FIND("'",$A91)-1),"''",RIGHT($A91,LEN($A91)-FIND("'",$A91))),$A91),"'!B5"))&gt;=K$2,"i",""))</f>
        <v>d</v>
      </c>
      <c r="L91" s="1" t="str" cm="1">
        <f t="array" aca="1" ref="L91" ca="1">IF(INDIRECT(_xlfn.CONCAT("'",IF(ISNUMBER(FIND("'",$A91))=TRUE,_xlfn.CONCAT(LEFT($A91,FIND("'",$A91)-1),"''",RIGHT($A91,LEN($A91)-FIND("'",$A91))),$A91),"'!B4"))&gt;=L$2,"d",IF(INDIRECT(_xlfn.CONCAT("'",IF(ISNUMBER(FIND("'",$A91))=TRUE,_xlfn.CONCAT(LEFT($A91,FIND("'",$A91)-1),"''",RIGHT($A91,LEN($A91)-FIND("'",$A91))),$A91),"'!B5"))&gt;=L$2,"i",""))</f>
        <v>d</v>
      </c>
      <c r="M91" s="4" t="str" cm="1">
        <f t="array" aca="1" ref="M91" ca="1">IF(INDIRECT(_xlfn.CONCAT("'",IF(ISNUMBER(FIND("'",$A91))=TRUE,_xlfn.CONCAT(LEFT($A91,FIND("'",$A91)-1),"''",RIGHT($A91,LEN($A91)-FIND("'",$A91))),$A91),"'!B4"))&gt;=M$2,"d",IF(INDIRECT(_xlfn.CONCAT("'",IF(ISNUMBER(FIND("'",$A91))=TRUE,_xlfn.CONCAT(LEFT($A91,FIND("'",$A91)-1),"''",RIGHT($A91,LEN($A91)-FIND("'",$A91))),$A91),"'!B5"))&gt;=M$2,"i",""))</f>
        <v>d</v>
      </c>
      <c r="N91" s="95"/>
      <c r="O91" s="14" t="str" cm="1">
        <f t="array" aca="1" ref="O91" ca="1">IF(INDIRECT(_xlfn.CONCAT("'",IF(ISNUMBER(FIND("'",$A91))=TRUE,_xlfn.CONCAT(LEFT($A91,FIND("'",$A91)-1),"''",RIGHT($A91,LEN($A91)-FIND("'",$A91))),$A91),"'!C10"))&gt;=O$2,"d",IF(INDIRECT(_xlfn.CONCAT("'",IF(ISNUMBER(FIND("'",$A91))=TRUE,_xlfn.CONCAT(LEFT($A91,FIND("'",$A91)-1),"''",RIGHT($A91,LEN($A91)-FIND("'",$A91))),$A91),"'!C11"))&gt;=O$2,"i",""))</f>
        <v>d</v>
      </c>
      <c r="P91" s="1" t="str" cm="1">
        <f t="array" aca="1" ref="P91" ca="1">IF(INDIRECT(_xlfn.CONCAT("'",IF(ISNUMBER(FIND("'",$A91))=TRUE,_xlfn.CONCAT(LEFT($A91,FIND("'",$A91)-1),"''",RIGHT($A91,LEN($A91)-FIND("'",$A91))),$A91),"'!C10"))&gt;=P$2,"d",IF(INDIRECT(_xlfn.CONCAT("'",IF(ISNUMBER(FIND("'",$A91))=TRUE,_xlfn.CONCAT(LEFT($A91,FIND("'",$A91)-1),"''",RIGHT($A91,LEN($A91)-FIND("'",$A91))),$A91),"'!C11"))&gt;=P$2,"i",""))</f>
        <v>d</v>
      </c>
      <c r="Q91" s="1" t="str" cm="1">
        <f t="array" aca="1" ref="Q91" ca="1">IF(INDIRECT(_xlfn.CONCAT("'",IF(ISNUMBER(FIND("'",$A91))=TRUE,_xlfn.CONCAT(LEFT($A91,FIND("'",$A91)-1),"''",RIGHT($A91,LEN($A91)-FIND("'",$A91))),$A91),"'!C10"))&gt;=Q$2,"d",IF(INDIRECT(_xlfn.CONCAT("'",IF(ISNUMBER(FIND("'",$A91))=TRUE,_xlfn.CONCAT(LEFT($A91,FIND("'",$A91)-1),"''",RIGHT($A91,LEN($A91)-FIND("'",$A91))),$A91),"'!C11"))&gt;=Q$2,"i",""))</f>
        <v>d</v>
      </c>
      <c r="R91" s="1" t="str" cm="1">
        <f t="array" aca="1" ref="R91" ca="1">IF(INDIRECT(_xlfn.CONCAT("'",IF(ISNUMBER(FIND("'",$A91))=TRUE,_xlfn.CONCAT(LEFT($A91,FIND("'",$A91)-1),"''",RIGHT($A91,LEN($A91)-FIND("'",$A91))),$A91),"'!C10"))&gt;=R$2,"d",IF(INDIRECT(_xlfn.CONCAT("'",IF(ISNUMBER(FIND("'",$A91))=TRUE,_xlfn.CONCAT(LEFT($A91,FIND("'",$A91)-1),"''",RIGHT($A91,LEN($A91)-FIND("'",$A91))),$A91),"'!C11"))&gt;=R$2,"i",""))</f>
        <v>d</v>
      </c>
      <c r="S91" s="1" t="str" cm="1">
        <f t="array" aca="1" ref="S91" ca="1">IF(INDIRECT(_xlfn.CONCAT("'",IF(ISNUMBER(FIND("'",$A91))=TRUE,_xlfn.CONCAT(LEFT($A91,FIND("'",$A91)-1),"''",RIGHT($A91,LEN($A91)-FIND("'",$A91))),$A91),"'!C10"))&gt;=S$2,"d",IF(INDIRECT(_xlfn.CONCAT("'",IF(ISNUMBER(FIND("'",$A91))=TRUE,_xlfn.CONCAT(LEFT($A91,FIND("'",$A91)-1),"''",RIGHT($A91,LEN($A91)-FIND("'",$A91))),$A91),"'!C11"))&gt;=S$2,"i",""))</f>
        <v>d</v>
      </c>
      <c r="T91" s="4" t="str" cm="1">
        <f t="array" aca="1" ref="T91" ca="1">IF(INDIRECT(_xlfn.CONCAT("'",IF(ISNUMBER(FIND("'",$A91))=TRUE,_xlfn.CONCAT(LEFT($A91,FIND("'",$A91)-1),"''",RIGHT($A91,LEN($A91)-FIND("'",$A91))),$A91),"'!C10"))&gt;=T$2,"d",IF(INDIRECT(_xlfn.CONCAT("'",IF(ISNUMBER(FIND("'",$A91))=TRUE,_xlfn.CONCAT(LEFT($A91,FIND("'",$A91)-1),"''",RIGHT($A91,LEN($A91)-FIND("'",$A91))),$A91),"'!C11"))&gt;=T$2,"i",""))</f>
        <v>d</v>
      </c>
    </row>
    <row r="92" spans="1:20" hidden="1" x14ac:dyDescent="0.25">
      <c r="A92" s="54" t="str">
        <v>The Unforged</v>
      </c>
      <c r="B92" s="14" cm="1">
        <f t="array" ref="B92">_xlfn.XLOOKUP(A92,INDEX(Weapon_List,,1),INDEX(Weapon_List,,3),,0,1)</f>
        <v>5</v>
      </c>
      <c r="C92" s="4" t="str" cm="1">
        <f t="array" ref="C92">_xlfn.XLOOKUP(A92,INDEX(Weapon_List,,1),INDEX(Weapon_List,,2),,0,1)</f>
        <v>Claymore</v>
      </c>
      <c r="D92" s="38" t="str" cm="1">
        <f t="array" ref="D92">_xlfn.XLOOKUP(A92,INDEX(Weapon_List,,1),INDEX(Weapon_List,,4),,0,1)</f>
        <v>Liyue 2</v>
      </c>
      <c r="E92" s="38" t="str" cm="1">
        <f t="array" ref="E92">_xlfn.XLOOKUP(A92,INDEX(Weapon_List,,1),INDEX(Weapon_List,,5),,0,1)</f>
        <v>Treasure Hoarder</v>
      </c>
      <c r="F92" s="38" t="str" cm="1">
        <f t="array" ref="F92">_xlfn.XLOOKUP(A92,INDEX(Weapon_List,,1),INDEX(Weapon_List,,6),,0,1)</f>
        <v>Fatui Cicin Mage</v>
      </c>
      <c r="G92" s="14" t="str" cm="1">
        <f t="array" aca="1" ref="G92" ca="1">IF(INDIRECT(_xlfn.CONCAT("'",IF(ISNUMBER(FIND("'",$A92))=TRUE,_xlfn.CONCAT(LEFT($A92,FIND("'",$A92)-1),"''",RIGHT($A92,LEN($A92)-FIND("'",$A92))),$A92),"'!B4"))&gt;=G$2,"d",IF(INDIRECT(_xlfn.CONCAT("'",IF(ISNUMBER(FIND("'",$A92))=TRUE,_xlfn.CONCAT(LEFT($A92,FIND("'",$A92)-1),"''",RIGHT($A92,LEN($A92)-FIND("'",$A92))),$A92),"'!B5"))&gt;=G$2,"i",""))</f>
        <v>d</v>
      </c>
      <c r="H92" s="1" t="str" cm="1">
        <f t="array" aca="1" ref="H92" ca="1">IF(INDIRECT(_xlfn.CONCAT("'",IF(ISNUMBER(FIND("'",$A92))=TRUE,_xlfn.CONCAT(LEFT($A92,FIND("'",$A92)-1),"''",RIGHT($A92,LEN($A92)-FIND("'",$A92))),$A92),"'!B4"))&gt;=H$2,"d",IF(INDIRECT(_xlfn.CONCAT("'",IF(ISNUMBER(FIND("'",$A92))=TRUE,_xlfn.CONCAT(LEFT($A92,FIND("'",$A92)-1),"''",RIGHT($A92,LEN($A92)-FIND("'",$A92))),$A92),"'!B5"))&gt;=H$2,"i",""))</f>
        <v>d</v>
      </c>
      <c r="I92" s="1" t="str" cm="1">
        <f t="array" aca="1" ref="I92" ca="1">IF(INDIRECT(_xlfn.CONCAT("'",IF(ISNUMBER(FIND("'",$A92))=TRUE,_xlfn.CONCAT(LEFT($A92,FIND("'",$A92)-1),"''",RIGHT($A92,LEN($A92)-FIND("'",$A92))),$A92),"'!B4"))&gt;=I$2,"d",IF(INDIRECT(_xlfn.CONCAT("'",IF(ISNUMBER(FIND("'",$A92))=TRUE,_xlfn.CONCAT(LEFT($A92,FIND("'",$A92)-1),"''",RIGHT($A92,LEN($A92)-FIND("'",$A92))),$A92),"'!B5"))&gt;=I$2,"i",""))</f>
        <v>d</v>
      </c>
      <c r="J92" s="1" t="str" cm="1">
        <f t="array" aca="1" ref="J92" ca="1">IF(INDIRECT(_xlfn.CONCAT("'",IF(ISNUMBER(FIND("'",$A92))=TRUE,_xlfn.CONCAT(LEFT($A92,FIND("'",$A92)-1),"''",RIGHT($A92,LEN($A92)-FIND("'",$A92))),$A92),"'!B4"))&gt;=J$2,"d",IF(INDIRECT(_xlfn.CONCAT("'",IF(ISNUMBER(FIND("'",$A92))=TRUE,_xlfn.CONCAT(LEFT($A92,FIND("'",$A92)-1),"''",RIGHT($A92,LEN($A92)-FIND("'",$A92))),$A92),"'!B5"))&gt;=J$2,"i",""))</f>
        <v>d</v>
      </c>
      <c r="K92" s="1" t="str" cm="1">
        <f t="array" aca="1" ref="K92" ca="1">IF(INDIRECT(_xlfn.CONCAT("'",IF(ISNUMBER(FIND("'",$A92))=TRUE,_xlfn.CONCAT(LEFT($A92,FIND("'",$A92)-1),"''",RIGHT($A92,LEN($A92)-FIND("'",$A92))),$A92),"'!B4"))&gt;=K$2,"d",IF(INDIRECT(_xlfn.CONCAT("'",IF(ISNUMBER(FIND("'",$A92))=TRUE,_xlfn.CONCAT(LEFT($A92,FIND("'",$A92)-1),"''",RIGHT($A92,LEN($A92)-FIND("'",$A92))),$A92),"'!B5"))&gt;=K$2,"i",""))</f>
        <v>d</v>
      </c>
      <c r="L92" s="1" t="str" cm="1">
        <f t="array" aca="1" ref="L92" ca="1">IF(INDIRECT(_xlfn.CONCAT("'",IF(ISNUMBER(FIND("'",$A92))=TRUE,_xlfn.CONCAT(LEFT($A92,FIND("'",$A92)-1),"''",RIGHT($A92,LEN($A92)-FIND("'",$A92))),$A92),"'!B4"))&gt;=L$2,"d",IF(INDIRECT(_xlfn.CONCAT("'",IF(ISNUMBER(FIND("'",$A92))=TRUE,_xlfn.CONCAT(LEFT($A92,FIND("'",$A92)-1),"''",RIGHT($A92,LEN($A92)-FIND("'",$A92))),$A92),"'!B5"))&gt;=L$2,"i",""))</f>
        <v>d</v>
      </c>
      <c r="M92" s="4" t="str" cm="1">
        <f t="array" aca="1" ref="M92" ca="1">IF(INDIRECT(_xlfn.CONCAT("'",IF(ISNUMBER(FIND("'",$A92))=TRUE,_xlfn.CONCAT(LEFT($A92,FIND("'",$A92)-1),"''",RIGHT($A92,LEN($A92)-FIND("'",$A92))),$A92),"'!B4"))&gt;=M$2,"d",IF(INDIRECT(_xlfn.CONCAT("'",IF(ISNUMBER(FIND("'",$A92))=TRUE,_xlfn.CONCAT(LEFT($A92,FIND("'",$A92)-1),"''",RIGHT($A92,LEN($A92)-FIND("'",$A92))),$A92),"'!B5"))&gt;=M$2,"i",""))</f>
        <v>d</v>
      </c>
      <c r="N92" s="95"/>
      <c r="O92" s="14" t="str" cm="1">
        <f t="array" aca="1" ref="O92" ca="1">IF(INDIRECT(_xlfn.CONCAT("'",IF(ISNUMBER(FIND("'",$A92))=TRUE,_xlfn.CONCAT(LEFT($A92,FIND("'",$A92)-1),"''",RIGHT($A92,LEN($A92)-FIND("'",$A92))),$A92),"'!C10"))&gt;=O$2,"d",IF(INDIRECT(_xlfn.CONCAT("'",IF(ISNUMBER(FIND("'",$A92))=TRUE,_xlfn.CONCAT(LEFT($A92,FIND("'",$A92)-1),"''",RIGHT($A92,LEN($A92)-FIND("'",$A92))),$A92),"'!C11"))&gt;=O$2,"i",""))</f>
        <v>d</v>
      </c>
      <c r="P92" s="1" t="str" cm="1">
        <f t="array" aca="1" ref="P92" ca="1">IF(INDIRECT(_xlfn.CONCAT("'",IF(ISNUMBER(FIND("'",$A92))=TRUE,_xlfn.CONCAT(LEFT($A92,FIND("'",$A92)-1),"''",RIGHT($A92,LEN($A92)-FIND("'",$A92))),$A92),"'!C10"))&gt;=P$2,"d",IF(INDIRECT(_xlfn.CONCAT("'",IF(ISNUMBER(FIND("'",$A92))=TRUE,_xlfn.CONCAT(LEFT($A92,FIND("'",$A92)-1),"''",RIGHT($A92,LEN($A92)-FIND("'",$A92))),$A92),"'!C11"))&gt;=P$2,"i",""))</f>
        <v>d</v>
      </c>
      <c r="Q92" s="1" t="str" cm="1">
        <f t="array" aca="1" ref="Q92" ca="1">IF(INDIRECT(_xlfn.CONCAT("'",IF(ISNUMBER(FIND("'",$A92))=TRUE,_xlfn.CONCAT(LEFT($A92,FIND("'",$A92)-1),"''",RIGHT($A92,LEN($A92)-FIND("'",$A92))),$A92),"'!C10"))&gt;=Q$2,"d",IF(INDIRECT(_xlfn.CONCAT("'",IF(ISNUMBER(FIND("'",$A92))=TRUE,_xlfn.CONCAT(LEFT($A92,FIND("'",$A92)-1),"''",RIGHT($A92,LEN($A92)-FIND("'",$A92))),$A92),"'!C11"))&gt;=Q$2,"i",""))</f>
        <v>d</v>
      </c>
      <c r="R92" s="1" t="str" cm="1">
        <f t="array" aca="1" ref="R92" ca="1">IF(INDIRECT(_xlfn.CONCAT("'",IF(ISNUMBER(FIND("'",$A92))=TRUE,_xlfn.CONCAT(LEFT($A92,FIND("'",$A92)-1),"''",RIGHT($A92,LEN($A92)-FIND("'",$A92))),$A92),"'!C10"))&gt;=R$2,"d",IF(INDIRECT(_xlfn.CONCAT("'",IF(ISNUMBER(FIND("'",$A92))=TRUE,_xlfn.CONCAT(LEFT($A92,FIND("'",$A92)-1),"''",RIGHT($A92,LEN($A92)-FIND("'",$A92))),$A92),"'!C11"))&gt;=R$2,"i",""))</f>
        <v>d</v>
      </c>
      <c r="S92" s="1" t="str" cm="1">
        <f t="array" aca="1" ref="S92" ca="1">IF(INDIRECT(_xlfn.CONCAT("'",IF(ISNUMBER(FIND("'",$A92))=TRUE,_xlfn.CONCAT(LEFT($A92,FIND("'",$A92)-1),"''",RIGHT($A92,LEN($A92)-FIND("'",$A92))),$A92),"'!C10"))&gt;=S$2,"d",IF(INDIRECT(_xlfn.CONCAT("'",IF(ISNUMBER(FIND("'",$A92))=TRUE,_xlfn.CONCAT(LEFT($A92,FIND("'",$A92)-1),"''",RIGHT($A92,LEN($A92)-FIND("'",$A92))),$A92),"'!C11"))&gt;=S$2,"i",""))</f>
        <v>d</v>
      </c>
      <c r="T92" s="4" t="str" cm="1">
        <f t="array" aca="1" ref="T92" ca="1">IF(INDIRECT(_xlfn.CONCAT("'",IF(ISNUMBER(FIND("'",$A92))=TRUE,_xlfn.CONCAT(LEFT($A92,FIND("'",$A92)-1),"''",RIGHT($A92,LEN($A92)-FIND("'",$A92))),$A92),"'!C10"))&gt;=T$2,"d",IF(INDIRECT(_xlfn.CONCAT("'",IF(ISNUMBER(FIND("'",$A92))=TRUE,_xlfn.CONCAT(LEFT($A92,FIND("'",$A92)-1),"''",RIGHT($A92,LEN($A92)-FIND("'",$A92))),$A92),"'!C11"))&gt;=T$2,"i",""))</f>
        <v>d</v>
      </c>
    </row>
    <row r="93" spans="1:20" hidden="1" x14ac:dyDescent="0.25">
      <c r="A93" s="54" t="str">
        <v>Vortex Vanquisher</v>
      </c>
      <c r="B93" s="14" cm="1">
        <f t="array" ref="B93">_xlfn.XLOOKUP(A93,INDEX(Weapon_List,,1),INDEX(Weapon_List,,3),,0,1)</f>
        <v>5</v>
      </c>
      <c r="C93" s="4" t="str" cm="1">
        <f t="array" ref="C93">_xlfn.XLOOKUP(A93,INDEX(Weapon_List,,1),INDEX(Weapon_List,,2),,0,1)</f>
        <v>Polearm</v>
      </c>
      <c r="D93" s="38" t="str" cm="1">
        <f t="array" ref="D93">_xlfn.XLOOKUP(A93,INDEX(Weapon_List,,1),INDEX(Weapon_List,,4),,0,1)</f>
        <v>Liyue 3</v>
      </c>
      <c r="E93" s="38" t="str" cm="1">
        <f t="array" ref="E93">_xlfn.XLOOKUP(A93,INDEX(Weapon_List,,1),INDEX(Weapon_List,,5),,0,1)</f>
        <v>Treasure Hoarder</v>
      </c>
      <c r="F93" s="38" t="str" cm="1">
        <f t="array" ref="F93">_xlfn.XLOOKUP(A93,INDEX(Weapon_List,,1),INDEX(Weapon_List,,6),,0,1)</f>
        <v>Vishap</v>
      </c>
      <c r="G93" s="14" t="str" cm="1">
        <f t="array" aca="1" ref="G93" ca="1">IF(INDIRECT(_xlfn.CONCAT("'",IF(ISNUMBER(FIND("'",$A93))=TRUE,_xlfn.CONCAT(LEFT($A93,FIND("'",$A93)-1),"''",RIGHT($A93,LEN($A93)-FIND("'",$A93))),$A93),"'!B4"))&gt;=G$2,"d",IF(INDIRECT(_xlfn.CONCAT("'",IF(ISNUMBER(FIND("'",$A93))=TRUE,_xlfn.CONCAT(LEFT($A93,FIND("'",$A93)-1),"''",RIGHT($A93,LEN($A93)-FIND("'",$A93))),$A93),"'!B5"))&gt;=G$2,"i",""))</f>
        <v>d</v>
      </c>
      <c r="H93" s="1" t="str" cm="1">
        <f t="array" aca="1" ref="H93" ca="1">IF(INDIRECT(_xlfn.CONCAT("'",IF(ISNUMBER(FIND("'",$A93))=TRUE,_xlfn.CONCAT(LEFT($A93,FIND("'",$A93)-1),"''",RIGHT($A93,LEN($A93)-FIND("'",$A93))),$A93),"'!B4"))&gt;=H$2,"d",IF(INDIRECT(_xlfn.CONCAT("'",IF(ISNUMBER(FIND("'",$A93))=TRUE,_xlfn.CONCAT(LEFT($A93,FIND("'",$A93)-1),"''",RIGHT($A93,LEN($A93)-FIND("'",$A93))),$A93),"'!B5"))&gt;=H$2,"i",""))</f>
        <v>d</v>
      </c>
      <c r="I93" s="1" t="str" cm="1">
        <f t="array" aca="1" ref="I93" ca="1">IF(INDIRECT(_xlfn.CONCAT("'",IF(ISNUMBER(FIND("'",$A93))=TRUE,_xlfn.CONCAT(LEFT($A93,FIND("'",$A93)-1),"''",RIGHT($A93,LEN($A93)-FIND("'",$A93))),$A93),"'!B4"))&gt;=I$2,"d",IF(INDIRECT(_xlfn.CONCAT("'",IF(ISNUMBER(FIND("'",$A93))=TRUE,_xlfn.CONCAT(LEFT($A93,FIND("'",$A93)-1),"''",RIGHT($A93,LEN($A93)-FIND("'",$A93))),$A93),"'!B5"))&gt;=I$2,"i",""))</f>
        <v>d</v>
      </c>
      <c r="J93" s="1" t="str" cm="1">
        <f t="array" aca="1" ref="J93" ca="1">IF(INDIRECT(_xlfn.CONCAT("'",IF(ISNUMBER(FIND("'",$A93))=TRUE,_xlfn.CONCAT(LEFT($A93,FIND("'",$A93)-1),"''",RIGHT($A93,LEN($A93)-FIND("'",$A93))),$A93),"'!B4"))&gt;=J$2,"d",IF(INDIRECT(_xlfn.CONCAT("'",IF(ISNUMBER(FIND("'",$A93))=TRUE,_xlfn.CONCAT(LEFT($A93,FIND("'",$A93)-1),"''",RIGHT($A93,LEN($A93)-FIND("'",$A93))),$A93),"'!B5"))&gt;=J$2,"i",""))</f>
        <v>d</v>
      </c>
      <c r="K93" s="1" t="str" cm="1">
        <f t="array" aca="1" ref="K93" ca="1">IF(INDIRECT(_xlfn.CONCAT("'",IF(ISNUMBER(FIND("'",$A93))=TRUE,_xlfn.CONCAT(LEFT($A93,FIND("'",$A93)-1),"''",RIGHT($A93,LEN($A93)-FIND("'",$A93))),$A93),"'!B4"))&gt;=K$2,"d",IF(INDIRECT(_xlfn.CONCAT("'",IF(ISNUMBER(FIND("'",$A93))=TRUE,_xlfn.CONCAT(LEFT($A93,FIND("'",$A93)-1),"''",RIGHT($A93,LEN($A93)-FIND("'",$A93))),$A93),"'!B5"))&gt;=K$2,"i",""))</f>
        <v>d</v>
      </c>
      <c r="L93" s="1" t="str" cm="1">
        <f t="array" aca="1" ref="L93" ca="1">IF(INDIRECT(_xlfn.CONCAT("'",IF(ISNUMBER(FIND("'",$A93))=TRUE,_xlfn.CONCAT(LEFT($A93,FIND("'",$A93)-1),"''",RIGHT($A93,LEN($A93)-FIND("'",$A93))),$A93),"'!B4"))&gt;=L$2,"d",IF(INDIRECT(_xlfn.CONCAT("'",IF(ISNUMBER(FIND("'",$A93))=TRUE,_xlfn.CONCAT(LEFT($A93,FIND("'",$A93)-1),"''",RIGHT($A93,LEN($A93)-FIND("'",$A93))),$A93),"'!B5"))&gt;=L$2,"i",""))</f>
        <v>d</v>
      </c>
      <c r="M93" s="4" t="str" cm="1">
        <f t="array" aca="1" ref="M93" ca="1">IF(INDIRECT(_xlfn.CONCAT("'",IF(ISNUMBER(FIND("'",$A93))=TRUE,_xlfn.CONCAT(LEFT($A93,FIND("'",$A93)-1),"''",RIGHT($A93,LEN($A93)-FIND("'",$A93))),$A93),"'!B4"))&gt;=M$2,"d",IF(INDIRECT(_xlfn.CONCAT("'",IF(ISNUMBER(FIND("'",$A93))=TRUE,_xlfn.CONCAT(LEFT($A93,FIND("'",$A93)-1),"''",RIGHT($A93,LEN($A93)-FIND("'",$A93))),$A93),"'!B5"))&gt;=M$2,"i",""))</f>
        <v>d</v>
      </c>
      <c r="N93" s="95"/>
      <c r="O93" s="14" t="str" cm="1">
        <f t="array" aca="1" ref="O93" ca="1">IF(INDIRECT(_xlfn.CONCAT("'",IF(ISNUMBER(FIND("'",$A93))=TRUE,_xlfn.CONCAT(LEFT($A93,FIND("'",$A93)-1),"''",RIGHT($A93,LEN($A93)-FIND("'",$A93))),$A93),"'!C10"))&gt;=O$2,"d",IF(INDIRECT(_xlfn.CONCAT("'",IF(ISNUMBER(FIND("'",$A93))=TRUE,_xlfn.CONCAT(LEFT($A93,FIND("'",$A93)-1),"''",RIGHT($A93,LEN($A93)-FIND("'",$A93))),$A93),"'!C11"))&gt;=O$2,"i",""))</f>
        <v>d</v>
      </c>
      <c r="P93" s="1" t="str" cm="1">
        <f t="array" aca="1" ref="P93" ca="1">IF(INDIRECT(_xlfn.CONCAT("'",IF(ISNUMBER(FIND("'",$A93))=TRUE,_xlfn.CONCAT(LEFT($A93,FIND("'",$A93)-1),"''",RIGHT($A93,LEN($A93)-FIND("'",$A93))),$A93),"'!C10"))&gt;=P$2,"d",IF(INDIRECT(_xlfn.CONCAT("'",IF(ISNUMBER(FIND("'",$A93))=TRUE,_xlfn.CONCAT(LEFT($A93,FIND("'",$A93)-1),"''",RIGHT($A93,LEN($A93)-FIND("'",$A93))),$A93),"'!C11"))&gt;=P$2,"i",""))</f>
        <v>d</v>
      </c>
      <c r="Q93" s="1" t="str" cm="1">
        <f t="array" aca="1" ref="Q93" ca="1">IF(INDIRECT(_xlfn.CONCAT("'",IF(ISNUMBER(FIND("'",$A93))=TRUE,_xlfn.CONCAT(LEFT($A93,FIND("'",$A93)-1),"''",RIGHT($A93,LEN($A93)-FIND("'",$A93))),$A93),"'!C10"))&gt;=Q$2,"d",IF(INDIRECT(_xlfn.CONCAT("'",IF(ISNUMBER(FIND("'",$A93))=TRUE,_xlfn.CONCAT(LEFT($A93,FIND("'",$A93)-1),"''",RIGHT($A93,LEN($A93)-FIND("'",$A93))),$A93),"'!C11"))&gt;=Q$2,"i",""))</f>
        <v>d</v>
      </c>
      <c r="R93" s="1" t="str" cm="1">
        <f t="array" aca="1" ref="R93" ca="1">IF(INDIRECT(_xlfn.CONCAT("'",IF(ISNUMBER(FIND("'",$A93))=TRUE,_xlfn.CONCAT(LEFT($A93,FIND("'",$A93)-1),"''",RIGHT($A93,LEN($A93)-FIND("'",$A93))),$A93),"'!C10"))&gt;=R$2,"d",IF(INDIRECT(_xlfn.CONCAT("'",IF(ISNUMBER(FIND("'",$A93))=TRUE,_xlfn.CONCAT(LEFT($A93,FIND("'",$A93)-1),"''",RIGHT($A93,LEN($A93)-FIND("'",$A93))),$A93),"'!C11"))&gt;=R$2,"i",""))</f>
        <v>d</v>
      </c>
      <c r="S93" s="1" t="str" cm="1">
        <f t="array" aca="1" ref="S93" ca="1">IF(INDIRECT(_xlfn.CONCAT("'",IF(ISNUMBER(FIND("'",$A93))=TRUE,_xlfn.CONCAT(LEFT($A93,FIND("'",$A93)-1),"''",RIGHT($A93,LEN($A93)-FIND("'",$A93))),$A93),"'!C10"))&gt;=S$2,"d",IF(INDIRECT(_xlfn.CONCAT("'",IF(ISNUMBER(FIND("'",$A93))=TRUE,_xlfn.CONCAT(LEFT($A93,FIND("'",$A93)-1),"''",RIGHT($A93,LEN($A93)-FIND("'",$A93))),$A93),"'!C11"))&gt;=S$2,"i",""))</f>
        <v>d</v>
      </c>
      <c r="T93" s="4" t="str" cm="1">
        <f t="array" aca="1" ref="T93" ca="1">IF(INDIRECT(_xlfn.CONCAT("'",IF(ISNUMBER(FIND("'",$A93))=TRUE,_xlfn.CONCAT(LEFT($A93,FIND("'",$A93)-1),"''",RIGHT($A93,LEN($A93)-FIND("'",$A93))),$A93),"'!C10"))&gt;=T$2,"d",IF(INDIRECT(_xlfn.CONCAT("'",IF(ISNUMBER(FIND("'",$A93))=TRUE,_xlfn.CONCAT(LEFT($A93,FIND("'",$A93)-1),"''",RIGHT($A93,LEN($A93)-FIND("'",$A93))),$A93),"'!C11"))&gt;=T$2,"i",""))</f>
        <v>d</v>
      </c>
    </row>
    <row r="94" spans="1:20" hidden="1" x14ac:dyDescent="0.25">
      <c r="A94" s="54" t="str">
        <v>Snow-Tombed Starsilver</v>
      </c>
      <c r="B94" s="14" cm="1">
        <f t="array" ref="B94">_xlfn.XLOOKUP(A94,INDEX(Weapon_List,,1),INDEX(Weapon_List,,3),,0,1)</f>
        <v>4</v>
      </c>
      <c r="C94" s="4" t="str" cm="1">
        <f t="array" ref="C94">_xlfn.XLOOKUP(A94,INDEX(Weapon_List,,1),INDEX(Weapon_List,,2),,0,1)</f>
        <v>Claymore</v>
      </c>
      <c r="D94" s="38" t="str" cm="1">
        <f t="array" ref="D94">_xlfn.XLOOKUP(A94,INDEX(Weapon_List,,1),INDEX(Weapon_List,,4),,0,1)</f>
        <v>Mondstadt 1</v>
      </c>
      <c r="E94" s="38" t="str" cm="1">
        <f t="array" ref="E94">_xlfn.XLOOKUP(A94,INDEX(Weapon_List,,1),INDEX(Weapon_List,,5),,0,1)</f>
        <v>Slime</v>
      </c>
      <c r="F94" s="38" t="str" cm="1">
        <f t="array" ref="F94">_xlfn.XLOOKUP(A94,INDEX(Weapon_List,,1),INDEX(Weapon_List,,6),,0,1)</f>
        <v>Mitachurl</v>
      </c>
      <c r="G94" s="14" t="str" cm="1">
        <f t="array" aca="1" ref="G94" ca="1">IF(INDIRECT(_xlfn.CONCAT("'",IF(ISNUMBER(FIND("'",$A94))=TRUE,_xlfn.CONCAT(LEFT($A94,FIND("'",$A94)-1),"''",RIGHT($A94,LEN($A94)-FIND("'",$A94))),$A94),"'!B4"))&gt;=G$2,"d",IF(INDIRECT(_xlfn.CONCAT("'",IF(ISNUMBER(FIND("'",$A94))=TRUE,_xlfn.CONCAT(LEFT($A94,FIND("'",$A94)-1),"''",RIGHT($A94,LEN($A94)-FIND("'",$A94))),$A94),"'!B5"))&gt;=G$2,"i",""))</f>
        <v>d</v>
      </c>
      <c r="H94" s="1" t="str" cm="1">
        <f t="array" aca="1" ref="H94" ca="1">IF(INDIRECT(_xlfn.CONCAT("'",IF(ISNUMBER(FIND("'",$A94))=TRUE,_xlfn.CONCAT(LEFT($A94,FIND("'",$A94)-1),"''",RIGHT($A94,LEN($A94)-FIND("'",$A94))),$A94),"'!B4"))&gt;=H$2,"d",IF(INDIRECT(_xlfn.CONCAT("'",IF(ISNUMBER(FIND("'",$A94))=TRUE,_xlfn.CONCAT(LEFT($A94,FIND("'",$A94)-1),"''",RIGHT($A94,LEN($A94)-FIND("'",$A94))),$A94),"'!B5"))&gt;=H$2,"i",""))</f>
        <v>d</v>
      </c>
      <c r="I94" s="1" t="str" cm="1">
        <f t="array" aca="1" ref="I94" ca="1">IF(INDIRECT(_xlfn.CONCAT("'",IF(ISNUMBER(FIND("'",$A94))=TRUE,_xlfn.CONCAT(LEFT($A94,FIND("'",$A94)-1),"''",RIGHT($A94,LEN($A94)-FIND("'",$A94))),$A94),"'!B4"))&gt;=I$2,"d",IF(INDIRECT(_xlfn.CONCAT("'",IF(ISNUMBER(FIND("'",$A94))=TRUE,_xlfn.CONCAT(LEFT($A94,FIND("'",$A94)-1),"''",RIGHT($A94,LEN($A94)-FIND("'",$A94))),$A94),"'!B5"))&gt;=I$2,"i",""))</f>
        <v>d</v>
      </c>
      <c r="J94" s="1" t="str" cm="1">
        <f t="array" aca="1" ref="J94" ca="1">IF(INDIRECT(_xlfn.CONCAT("'",IF(ISNUMBER(FIND("'",$A94))=TRUE,_xlfn.CONCAT(LEFT($A94,FIND("'",$A94)-1),"''",RIGHT($A94,LEN($A94)-FIND("'",$A94))),$A94),"'!B4"))&gt;=J$2,"d",IF(INDIRECT(_xlfn.CONCAT("'",IF(ISNUMBER(FIND("'",$A94))=TRUE,_xlfn.CONCAT(LEFT($A94,FIND("'",$A94)-1),"''",RIGHT($A94,LEN($A94)-FIND("'",$A94))),$A94),"'!B5"))&gt;=J$2,"i",""))</f>
        <v>d</v>
      </c>
      <c r="K94" s="1" t="str" cm="1">
        <f t="array" aca="1" ref="K94" ca="1">IF(INDIRECT(_xlfn.CONCAT("'",IF(ISNUMBER(FIND("'",$A94))=TRUE,_xlfn.CONCAT(LEFT($A94,FIND("'",$A94)-1),"''",RIGHT($A94,LEN($A94)-FIND("'",$A94))),$A94),"'!B4"))&gt;=K$2,"d",IF(INDIRECT(_xlfn.CONCAT("'",IF(ISNUMBER(FIND("'",$A94))=TRUE,_xlfn.CONCAT(LEFT($A94,FIND("'",$A94)-1),"''",RIGHT($A94,LEN($A94)-FIND("'",$A94))),$A94),"'!B5"))&gt;=K$2,"i",""))</f>
        <v>d</v>
      </c>
      <c r="L94" s="1" t="str" cm="1">
        <f t="array" aca="1" ref="L94" ca="1">IF(INDIRECT(_xlfn.CONCAT("'",IF(ISNUMBER(FIND("'",$A94))=TRUE,_xlfn.CONCAT(LEFT($A94,FIND("'",$A94)-1),"''",RIGHT($A94,LEN($A94)-FIND("'",$A94))),$A94),"'!B4"))&gt;=L$2,"d",IF(INDIRECT(_xlfn.CONCAT("'",IF(ISNUMBER(FIND("'",$A94))=TRUE,_xlfn.CONCAT(LEFT($A94,FIND("'",$A94)-1),"''",RIGHT($A94,LEN($A94)-FIND("'",$A94))),$A94),"'!B5"))&gt;=L$2,"i",""))</f>
        <v>d</v>
      </c>
      <c r="M94" s="4" t="str" cm="1">
        <f t="array" aca="1" ref="M94" ca="1">IF(INDIRECT(_xlfn.CONCAT("'",IF(ISNUMBER(FIND("'",$A94))=TRUE,_xlfn.CONCAT(LEFT($A94,FIND("'",$A94)-1),"''",RIGHT($A94,LEN($A94)-FIND("'",$A94))),$A94),"'!B4"))&gt;=M$2,"d",IF(INDIRECT(_xlfn.CONCAT("'",IF(ISNUMBER(FIND("'",$A94))=TRUE,_xlfn.CONCAT(LEFT($A94,FIND("'",$A94)-1),"''",RIGHT($A94,LEN($A94)-FIND("'",$A94))),$A94),"'!B5"))&gt;=M$2,"i",""))</f>
        <v>d</v>
      </c>
      <c r="N94" s="95"/>
      <c r="O94" s="14" t="str" cm="1">
        <f t="array" aca="1" ref="O94" ca="1">IF(INDIRECT(_xlfn.CONCAT("'",IF(ISNUMBER(FIND("'",$A94))=TRUE,_xlfn.CONCAT(LEFT($A94,FIND("'",$A94)-1),"''",RIGHT($A94,LEN($A94)-FIND("'",$A94))),$A94),"'!C10"))&gt;=O$2,"d",IF(INDIRECT(_xlfn.CONCAT("'",IF(ISNUMBER(FIND("'",$A94))=TRUE,_xlfn.CONCAT(LEFT($A94,FIND("'",$A94)-1),"''",RIGHT($A94,LEN($A94)-FIND("'",$A94))),$A94),"'!C11"))&gt;=O$2,"i",""))</f>
        <v>d</v>
      </c>
      <c r="P94" s="1" t="str" cm="1">
        <f t="array" aca="1" ref="P94" ca="1">IF(INDIRECT(_xlfn.CONCAT("'",IF(ISNUMBER(FIND("'",$A94))=TRUE,_xlfn.CONCAT(LEFT($A94,FIND("'",$A94)-1),"''",RIGHT($A94,LEN($A94)-FIND("'",$A94))),$A94),"'!C10"))&gt;=P$2,"d",IF(INDIRECT(_xlfn.CONCAT("'",IF(ISNUMBER(FIND("'",$A94))=TRUE,_xlfn.CONCAT(LEFT($A94,FIND("'",$A94)-1),"''",RIGHT($A94,LEN($A94)-FIND("'",$A94))),$A94),"'!C11"))&gt;=P$2,"i",""))</f>
        <v>d</v>
      </c>
      <c r="Q94" s="1" t="str" cm="1">
        <f t="array" aca="1" ref="Q94" ca="1">IF(INDIRECT(_xlfn.CONCAT("'",IF(ISNUMBER(FIND("'",$A94))=TRUE,_xlfn.CONCAT(LEFT($A94,FIND("'",$A94)-1),"''",RIGHT($A94,LEN($A94)-FIND("'",$A94))),$A94),"'!C10"))&gt;=Q$2,"d",IF(INDIRECT(_xlfn.CONCAT("'",IF(ISNUMBER(FIND("'",$A94))=TRUE,_xlfn.CONCAT(LEFT($A94,FIND("'",$A94)-1),"''",RIGHT($A94,LEN($A94)-FIND("'",$A94))),$A94),"'!C11"))&gt;=Q$2,"i",""))</f>
        <v>d</v>
      </c>
      <c r="R94" s="1" t="str" cm="1">
        <f t="array" aca="1" ref="R94" ca="1">IF(INDIRECT(_xlfn.CONCAT("'",IF(ISNUMBER(FIND("'",$A94))=TRUE,_xlfn.CONCAT(LEFT($A94,FIND("'",$A94)-1),"''",RIGHT($A94,LEN($A94)-FIND("'",$A94))),$A94),"'!C10"))&gt;=R$2,"d",IF(INDIRECT(_xlfn.CONCAT("'",IF(ISNUMBER(FIND("'",$A94))=TRUE,_xlfn.CONCAT(LEFT($A94,FIND("'",$A94)-1),"''",RIGHT($A94,LEN($A94)-FIND("'",$A94))),$A94),"'!C11"))&gt;=R$2,"i",""))</f>
        <v>d</v>
      </c>
      <c r="S94" s="1" t="str" cm="1">
        <f t="array" aca="1" ref="S94" ca="1">IF(INDIRECT(_xlfn.CONCAT("'",IF(ISNUMBER(FIND("'",$A94))=TRUE,_xlfn.CONCAT(LEFT($A94,FIND("'",$A94)-1),"''",RIGHT($A94,LEN($A94)-FIND("'",$A94))),$A94),"'!C10"))&gt;=S$2,"d",IF(INDIRECT(_xlfn.CONCAT("'",IF(ISNUMBER(FIND("'",$A94))=TRUE,_xlfn.CONCAT(LEFT($A94,FIND("'",$A94)-1),"''",RIGHT($A94,LEN($A94)-FIND("'",$A94))),$A94),"'!C11"))&gt;=S$2,"i",""))</f>
        <v>d</v>
      </c>
      <c r="T94" s="4" t="str" cm="1">
        <f t="array" aca="1" ref="T94" ca="1">IF(INDIRECT(_xlfn.CONCAT("'",IF(ISNUMBER(FIND("'",$A94))=TRUE,_xlfn.CONCAT(LEFT($A94,FIND("'",$A94)-1),"''",RIGHT($A94,LEN($A94)-FIND("'",$A94))),$A94),"'!C10"))&gt;=T$2,"d",IF(INDIRECT(_xlfn.CONCAT("'",IF(ISNUMBER(FIND("'",$A94))=TRUE,_xlfn.CONCAT(LEFT($A94,FIND("'",$A94)-1),"''",RIGHT($A94,LEN($A94)-FIND("'",$A94))),$A94),"'!C11"))&gt;=T$2,"i",""))</f>
        <v>d</v>
      </c>
    </row>
    <row r="95" spans="1:20" hidden="1" x14ac:dyDescent="0.25">
      <c r="A95" s="54" t="str">
        <v>Dragonspine Spear</v>
      </c>
      <c r="B95" s="14" cm="1">
        <f t="array" ref="B95">_xlfn.XLOOKUP(A95,INDEX(Weapon_List,,1),INDEX(Weapon_List,,3),,0,1)</f>
        <v>4</v>
      </c>
      <c r="C95" s="4" t="str" cm="1">
        <f t="array" ref="C95">_xlfn.XLOOKUP(A95,INDEX(Weapon_List,,1),INDEX(Weapon_List,,2),,0,1)</f>
        <v>Polearm</v>
      </c>
      <c r="D95" s="38" t="str" cm="1">
        <f t="array" ref="D95">_xlfn.XLOOKUP(A95,INDEX(Weapon_List,,1),INDEX(Weapon_List,,4),,0,1)</f>
        <v>Mondstadt 2</v>
      </c>
      <c r="E95" s="38" t="str" cm="1">
        <f t="array" ref="E95">_xlfn.XLOOKUP(A95,INDEX(Weapon_List,,1),INDEX(Weapon_List,,5),,0,1)</f>
        <v>Fatui</v>
      </c>
      <c r="F95" s="38" t="str" cm="1">
        <f t="array" ref="F95">_xlfn.XLOOKUP(A95,INDEX(Weapon_List,,1),INDEX(Weapon_List,,6),,0,1)</f>
        <v>Fatui Cicin Mage</v>
      </c>
      <c r="G95" s="14" t="str" cm="1">
        <f t="array" aca="1" ref="G95" ca="1">IF(INDIRECT(_xlfn.CONCAT("'",IF(ISNUMBER(FIND("'",$A95))=TRUE,_xlfn.CONCAT(LEFT($A95,FIND("'",$A95)-1),"''",RIGHT($A95,LEN($A95)-FIND("'",$A95))),$A95),"'!B4"))&gt;=G$2,"d",IF(INDIRECT(_xlfn.CONCAT("'",IF(ISNUMBER(FIND("'",$A95))=TRUE,_xlfn.CONCAT(LEFT($A95,FIND("'",$A95)-1),"''",RIGHT($A95,LEN($A95)-FIND("'",$A95))),$A95),"'!B5"))&gt;=G$2,"i",""))</f>
        <v>d</v>
      </c>
      <c r="H95" s="1" t="str" cm="1">
        <f t="array" aca="1" ref="H95" ca="1">IF(INDIRECT(_xlfn.CONCAT("'",IF(ISNUMBER(FIND("'",$A95))=TRUE,_xlfn.CONCAT(LEFT($A95,FIND("'",$A95)-1),"''",RIGHT($A95,LEN($A95)-FIND("'",$A95))),$A95),"'!B4"))&gt;=H$2,"d",IF(INDIRECT(_xlfn.CONCAT("'",IF(ISNUMBER(FIND("'",$A95))=TRUE,_xlfn.CONCAT(LEFT($A95,FIND("'",$A95)-1),"''",RIGHT($A95,LEN($A95)-FIND("'",$A95))),$A95),"'!B5"))&gt;=H$2,"i",""))</f>
        <v>d</v>
      </c>
      <c r="I95" s="1" t="str" cm="1">
        <f t="array" aca="1" ref="I95" ca="1">IF(INDIRECT(_xlfn.CONCAT("'",IF(ISNUMBER(FIND("'",$A95))=TRUE,_xlfn.CONCAT(LEFT($A95,FIND("'",$A95)-1),"''",RIGHT($A95,LEN($A95)-FIND("'",$A95))),$A95),"'!B4"))&gt;=I$2,"d",IF(INDIRECT(_xlfn.CONCAT("'",IF(ISNUMBER(FIND("'",$A95))=TRUE,_xlfn.CONCAT(LEFT($A95,FIND("'",$A95)-1),"''",RIGHT($A95,LEN($A95)-FIND("'",$A95))),$A95),"'!B5"))&gt;=I$2,"i",""))</f>
        <v>d</v>
      </c>
      <c r="J95" s="1" t="str" cm="1">
        <f t="array" aca="1" ref="J95" ca="1">IF(INDIRECT(_xlfn.CONCAT("'",IF(ISNUMBER(FIND("'",$A95))=TRUE,_xlfn.CONCAT(LEFT($A95,FIND("'",$A95)-1),"''",RIGHT($A95,LEN($A95)-FIND("'",$A95))),$A95),"'!B4"))&gt;=J$2,"d",IF(INDIRECT(_xlfn.CONCAT("'",IF(ISNUMBER(FIND("'",$A95))=TRUE,_xlfn.CONCAT(LEFT($A95,FIND("'",$A95)-1),"''",RIGHT($A95,LEN($A95)-FIND("'",$A95))),$A95),"'!B5"))&gt;=J$2,"i",""))</f>
        <v>d</v>
      </c>
      <c r="K95" s="1" t="str" cm="1">
        <f t="array" aca="1" ref="K95" ca="1">IF(INDIRECT(_xlfn.CONCAT("'",IF(ISNUMBER(FIND("'",$A95))=TRUE,_xlfn.CONCAT(LEFT($A95,FIND("'",$A95)-1),"''",RIGHT($A95,LEN($A95)-FIND("'",$A95))),$A95),"'!B4"))&gt;=K$2,"d",IF(INDIRECT(_xlfn.CONCAT("'",IF(ISNUMBER(FIND("'",$A95))=TRUE,_xlfn.CONCAT(LEFT($A95,FIND("'",$A95)-1),"''",RIGHT($A95,LEN($A95)-FIND("'",$A95))),$A95),"'!B5"))&gt;=K$2,"i",""))</f>
        <v>d</v>
      </c>
      <c r="L95" s="1" t="str" cm="1">
        <f t="array" aca="1" ref="L95" ca="1">IF(INDIRECT(_xlfn.CONCAT("'",IF(ISNUMBER(FIND("'",$A95))=TRUE,_xlfn.CONCAT(LEFT($A95,FIND("'",$A95)-1),"''",RIGHT($A95,LEN($A95)-FIND("'",$A95))),$A95),"'!B4"))&gt;=L$2,"d",IF(INDIRECT(_xlfn.CONCAT("'",IF(ISNUMBER(FIND("'",$A95))=TRUE,_xlfn.CONCAT(LEFT($A95,FIND("'",$A95)-1),"''",RIGHT($A95,LEN($A95)-FIND("'",$A95))),$A95),"'!B5"))&gt;=L$2,"i",""))</f>
        <v>d</v>
      </c>
      <c r="M95" s="4" t="str" cm="1">
        <f t="array" aca="1" ref="M95" ca="1">IF(INDIRECT(_xlfn.CONCAT("'",IF(ISNUMBER(FIND("'",$A95))=TRUE,_xlfn.CONCAT(LEFT($A95,FIND("'",$A95)-1),"''",RIGHT($A95,LEN($A95)-FIND("'",$A95))),$A95),"'!B4"))&gt;=M$2,"d",IF(INDIRECT(_xlfn.CONCAT("'",IF(ISNUMBER(FIND("'",$A95))=TRUE,_xlfn.CONCAT(LEFT($A95,FIND("'",$A95)-1),"''",RIGHT($A95,LEN($A95)-FIND("'",$A95))),$A95),"'!B5"))&gt;=M$2,"i",""))</f>
        <v>d</v>
      </c>
      <c r="N95" s="95"/>
      <c r="O95" s="14" t="str" cm="1">
        <f t="array" aca="1" ref="O95" ca="1">IF(INDIRECT(_xlfn.CONCAT("'",IF(ISNUMBER(FIND("'",$A95))=TRUE,_xlfn.CONCAT(LEFT($A95,FIND("'",$A95)-1),"''",RIGHT($A95,LEN($A95)-FIND("'",$A95))),$A95),"'!C10"))&gt;=O$2,"d",IF(INDIRECT(_xlfn.CONCAT("'",IF(ISNUMBER(FIND("'",$A95))=TRUE,_xlfn.CONCAT(LEFT($A95,FIND("'",$A95)-1),"''",RIGHT($A95,LEN($A95)-FIND("'",$A95))),$A95),"'!C11"))&gt;=O$2,"i",""))</f>
        <v>d</v>
      </c>
      <c r="P95" s="1" t="str" cm="1">
        <f t="array" aca="1" ref="P95" ca="1">IF(INDIRECT(_xlfn.CONCAT("'",IF(ISNUMBER(FIND("'",$A95))=TRUE,_xlfn.CONCAT(LEFT($A95,FIND("'",$A95)-1),"''",RIGHT($A95,LEN($A95)-FIND("'",$A95))),$A95),"'!C10"))&gt;=P$2,"d",IF(INDIRECT(_xlfn.CONCAT("'",IF(ISNUMBER(FIND("'",$A95))=TRUE,_xlfn.CONCAT(LEFT($A95,FIND("'",$A95)-1),"''",RIGHT($A95,LEN($A95)-FIND("'",$A95))),$A95),"'!C11"))&gt;=P$2,"i",""))</f>
        <v>d</v>
      </c>
      <c r="Q95" s="1" t="str" cm="1">
        <f t="array" aca="1" ref="Q95" ca="1">IF(INDIRECT(_xlfn.CONCAT("'",IF(ISNUMBER(FIND("'",$A95))=TRUE,_xlfn.CONCAT(LEFT($A95,FIND("'",$A95)-1),"''",RIGHT($A95,LEN($A95)-FIND("'",$A95))),$A95),"'!C10"))&gt;=Q$2,"d",IF(INDIRECT(_xlfn.CONCAT("'",IF(ISNUMBER(FIND("'",$A95))=TRUE,_xlfn.CONCAT(LEFT($A95,FIND("'",$A95)-1),"''",RIGHT($A95,LEN($A95)-FIND("'",$A95))),$A95),"'!C11"))&gt;=Q$2,"i",""))</f>
        <v>d</v>
      </c>
      <c r="R95" s="1" t="str" cm="1">
        <f t="array" aca="1" ref="R95" ca="1">IF(INDIRECT(_xlfn.CONCAT("'",IF(ISNUMBER(FIND("'",$A95))=TRUE,_xlfn.CONCAT(LEFT($A95,FIND("'",$A95)-1),"''",RIGHT($A95,LEN($A95)-FIND("'",$A95))),$A95),"'!C10"))&gt;=R$2,"d",IF(INDIRECT(_xlfn.CONCAT("'",IF(ISNUMBER(FIND("'",$A95))=TRUE,_xlfn.CONCAT(LEFT($A95,FIND("'",$A95)-1),"''",RIGHT($A95,LEN($A95)-FIND("'",$A95))),$A95),"'!C11"))&gt;=R$2,"i",""))</f>
        <v>d</v>
      </c>
      <c r="S95" s="1" t="str" cm="1">
        <f t="array" aca="1" ref="S95" ca="1">IF(INDIRECT(_xlfn.CONCAT("'",IF(ISNUMBER(FIND("'",$A95))=TRUE,_xlfn.CONCAT(LEFT($A95,FIND("'",$A95)-1),"''",RIGHT($A95,LEN($A95)-FIND("'",$A95))),$A95),"'!C10"))&gt;=S$2,"d",IF(INDIRECT(_xlfn.CONCAT("'",IF(ISNUMBER(FIND("'",$A95))=TRUE,_xlfn.CONCAT(LEFT($A95,FIND("'",$A95)-1),"''",RIGHT($A95,LEN($A95)-FIND("'",$A95))),$A95),"'!C11"))&gt;=S$2,"i",""))</f>
        <v>d</v>
      </c>
      <c r="T95" s="4" t="str" cm="1">
        <f t="array" aca="1" ref="T95" ca="1">IF(INDIRECT(_xlfn.CONCAT("'",IF(ISNUMBER(FIND("'",$A95))=TRUE,_xlfn.CONCAT(LEFT($A95,FIND("'",$A95)-1),"''",RIGHT($A95,LEN($A95)-FIND("'",$A95))),$A95),"'!C10"))&gt;=T$2,"d",IF(INDIRECT(_xlfn.CONCAT("'",IF(ISNUMBER(FIND("'",$A95))=TRUE,_xlfn.CONCAT(LEFT($A95,FIND("'",$A95)-1),"''",RIGHT($A95,LEN($A95)-FIND("'",$A95))),$A95),"'!C11"))&gt;=T$2,"i",""))</f>
        <v>d</v>
      </c>
    </row>
    <row r="96" spans="1:20" hidden="1" x14ac:dyDescent="0.25">
      <c r="A96" s="54" t="str">
        <v>Frostbearer</v>
      </c>
      <c r="B96" s="14" cm="1">
        <f t="array" ref="B96">_xlfn.XLOOKUP(A96,INDEX(Weapon_List,,1),INDEX(Weapon_List,,3),,0,1)</f>
        <v>4</v>
      </c>
      <c r="C96" s="4" t="str" cm="1">
        <f t="array" ref="C96">_xlfn.XLOOKUP(A96,INDEX(Weapon_List,,1),INDEX(Weapon_List,,2),,0,1)</f>
        <v>Catalyst</v>
      </c>
      <c r="D96" s="38" t="str" cm="1">
        <f t="array" ref="D96">_xlfn.XLOOKUP(A96,INDEX(Weapon_List,,1),INDEX(Weapon_List,,4),,0,1)</f>
        <v>Mondstadt 3</v>
      </c>
      <c r="E96" s="38" t="str" cm="1">
        <f t="array" ref="E96">_xlfn.XLOOKUP(A96,INDEX(Weapon_List,,1),INDEX(Weapon_List,,5),,0,1)</f>
        <v>Whopperflower</v>
      </c>
      <c r="F96" s="38" t="str" cm="1">
        <f t="array" ref="F96">_xlfn.XLOOKUP(A96,INDEX(Weapon_List,,1),INDEX(Weapon_List,,6),,0,1)</f>
        <v>Ruin Machine 1</v>
      </c>
      <c r="G96" s="14" t="str" cm="1">
        <f t="array" aca="1" ref="G96" ca="1">IF(INDIRECT(_xlfn.CONCAT("'",IF(ISNUMBER(FIND("'",$A96))=TRUE,_xlfn.CONCAT(LEFT($A96,FIND("'",$A96)-1),"''",RIGHT($A96,LEN($A96)-FIND("'",$A96))),$A96),"'!B4"))&gt;=G$2,"d",IF(INDIRECT(_xlfn.CONCAT("'",IF(ISNUMBER(FIND("'",$A96))=TRUE,_xlfn.CONCAT(LEFT($A96,FIND("'",$A96)-1),"''",RIGHT($A96,LEN($A96)-FIND("'",$A96))),$A96),"'!B5"))&gt;=G$2,"i",""))</f>
        <v>d</v>
      </c>
      <c r="H96" s="1" t="str" cm="1">
        <f t="array" aca="1" ref="H96" ca="1">IF(INDIRECT(_xlfn.CONCAT("'",IF(ISNUMBER(FIND("'",$A96))=TRUE,_xlfn.CONCAT(LEFT($A96,FIND("'",$A96)-1),"''",RIGHT($A96,LEN($A96)-FIND("'",$A96))),$A96),"'!B4"))&gt;=H$2,"d",IF(INDIRECT(_xlfn.CONCAT("'",IF(ISNUMBER(FIND("'",$A96))=TRUE,_xlfn.CONCAT(LEFT($A96,FIND("'",$A96)-1),"''",RIGHT($A96,LEN($A96)-FIND("'",$A96))),$A96),"'!B5"))&gt;=H$2,"i",""))</f>
        <v>d</v>
      </c>
      <c r="I96" s="1" t="str" cm="1">
        <f t="array" aca="1" ref="I96" ca="1">IF(INDIRECT(_xlfn.CONCAT("'",IF(ISNUMBER(FIND("'",$A96))=TRUE,_xlfn.CONCAT(LEFT($A96,FIND("'",$A96)-1),"''",RIGHT($A96,LEN($A96)-FIND("'",$A96))),$A96),"'!B4"))&gt;=I$2,"d",IF(INDIRECT(_xlfn.CONCAT("'",IF(ISNUMBER(FIND("'",$A96))=TRUE,_xlfn.CONCAT(LEFT($A96,FIND("'",$A96)-1),"''",RIGHT($A96,LEN($A96)-FIND("'",$A96))),$A96),"'!B5"))&gt;=I$2,"i",""))</f>
        <v>d</v>
      </c>
      <c r="J96" s="1" t="str" cm="1">
        <f t="array" aca="1" ref="J96" ca="1">IF(INDIRECT(_xlfn.CONCAT("'",IF(ISNUMBER(FIND("'",$A96))=TRUE,_xlfn.CONCAT(LEFT($A96,FIND("'",$A96)-1),"''",RIGHT($A96,LEN($A96)-FIND("'",$A96))),$A96),"'!B4"))&gt;=J$2,"d",IF(INDIRECT(_xlfn.CONCAT("'",IF(ISNUMBER(FIND("'",$A96))=TRUE,_xlfn.CONCAT(LEFT($A96,FIND("'",$A96)-1),"''",RIGHT($A96,LEN($A96)-FIND("'",$A96))),$A96),"'!B5"))&gt;=J$2,"i",""))</f>
        <v>d</v>
      </c>
      <c r="K96" s="1" t="str" cm="1">
        <f t="array" aca="1" ref="K96" ca="1">IF(INDIRECT(_xlfn.CONCAT("'",IF(ISNUMBER(FIND("'",$A96))=TRUE,_xlfn.CONCAT(LEFT($A96,FIND("'",$A96)-1),"''",RIGHT($A96,LEN($A96)-FIND("'",$A96))),$A96),"'!B4"))&gt;=K$2,"d",IF(INDIRECT(_xlfn.CONCAT("'",IF(ISNUMBER(FIND("'",$A96))=TRUE,_xlfn.CONCAT(LEFT($A96,FIND("'",$A96)-1),"''",RIGHT($A96,LEN($A96)-FIND("'",$A96))),$A96),"'!B5"))&gt;=K$2,"i",""))</f>
        <v>d</v>
      </c>
      <c r="L96" s="1" t="str" cm="1">
        <f t="array" aca="1" ref="L96" ca="1">IF(INDIRECT(_xlfn.CONCAT("'",IF(ISNUMBER(FIND("'",$A96))=TRUE,_xlfn.CONCAT(LEFT($A96,FIND("'",$A96)-1),"''",RIGHT($A96,LEN($A96)-FIND("'",$A96))),$A96),"'!B4"))&gt;=L$2,"d",IF(INDIRECT(_xlfn.CONCAT("'",IF(ISNUMBER(FIND("'",$A96))=TRUE,_xlfn.CONCAT(LEFT($A96,FIND("'",$A96)-1),"''",RIGHT($A96,LEN($A96)-FIND("'",$A96))),$A96),"'!B5"))&gt;=L$2,"i",""))</f>
        <v>d</v>
      </c>
      <c r="M96" s="4" t="str" cm="1">
        <f t="array" aca="1" ref="M96" ca="1">IF(INDIRECT(_xlfn.CONCAT("'",IF(ISNUMBER(FIND("'",$A96))=TRUE,_xlfn.CONCAT(LEFT($A96,FIND("'",$A96)-1),"''",RIGHT($A96,LEN($A96)-FIND("'",$A96))),$A96),"'!B4"))&gt;=M$2,"d",IF(INDIRECT(_xlfn.CONCAT("'",IF(ISNUMBER(FIND("'",$A96))=TRUE,_xlfn.CONCAT(LEFT($A96,FIND("'",$A96)-1),"''",RIGHT($A96,LEN($A96)-FIND("'",$A96))),$A96),"'!B5"))&gt;=M$2,"i",""))</f>
        <v>d</v>
      </c>
      <c r="N96" s="95"/>
      <c r="O96" s="14" t="str" cm="1">
        <f t="array" aca="1" ref="O96" ca="1">IF(INDIRECT(_xlfn.CONCAT("'",IF(ISNUMBER(FIND("'",$A96))=TRUE,_xlfn.CONCAT(LEFT($A96,FIND("'",$A96)-1),"''",RIGHT($A96,LEN($A96)-FIND("'",$A96))),$A96),"'!C10"))&gt;=O$2,"d",IF(INDIRECT(_xlfn.CONCAT("'",IF(ISNUMBER(FIND("'",$A96))=TRUE,_xlfn.CONCAT(LEFT($A96,FIND("'",$A96)-1),"''",RIGHT($A96,LEN($A96)-FIND("'",$A96))),$A96),"'!C11"))&gt;=O$2,"i",""))</f>
        <v>d</v>
      </c>
      <c r="P96" s="1" t="str" cm="1">
        <f t="array" aca="1" ref="P96" ca="1">IF(INDIRECT(_xlfn.CONCAT("'",IF(ISNUMBER(FIND("'",$A96))=TRUE,_xlfn.CONCAT(LEFT($A96,FIND("'",$A96)-1),"''",RIGHT($A96,LEN($A96)-FIND("'",$A96))),$A96),"'!C10"))&gt;=P$2,"d",IF(INDIRECT(_xlfn.CONCAT("'",IF(ISNUMBER(FIND("'",$A96))=TRUE,_xlfn.CONCAT(LEFT($A96,FIND("'",$A96)-1),"''",RIGHT($A96,LEN($A96)-FIND("'",$A96))),$A96),"'!C11"))&gt;=P$2,"i",""))</f>
        <v>d</v>
      </c>
      <c r="Q96" s="1" t="str" cm="1">
        <f t="array" aca="1" ref="Q96" ca="1">IF(INDIRECT(_xlfn.CONCAT("'",IF(ISNUMBER(FIND("'",$A96))=TRUE,_xlfn.CONCAT(LEFT($A96,FIND("'",$A96)-1),"''",RIGHT($A96,LEN($A96)-FIND("'",$A96))),$A96),"'!C10"))&gt;=Q$2,"d",IF(INDIRECT(_xlfn.CONCAT("'",IF(ISNUMBER(FIND("'",$A96))=TRUE,_xlfn.CONCAT(LEFT($A96,FIND("'",$A96)-1),"''",RIGHT($A96,LEN($A96)-FIND("'",$A96))),$A96),"'!C11"))&gt;=Q$2,"i",""))</f>
        <v>d</v>
      </c>
      <c r="R96" s="1" t="str" cm="1">
        <f t="array" aca="1" ref="R96" ca="1">IF(INDIRECT(_xlfn.CONCAT("'",IF(ISNUMBER(FIND("'",$A96))=TRUE,_xlfn.CONCAT(LEFT($A96,FIND("'",$A96)-1),"''",RIGHT($A96,LEN($A96)-FIND("'",$A96))),$A96),"'!C10"))&gt;=R$2,"d",IF(INDIRECT(_xlfn.CONCAT("'",IF(ISNUMBER(FIND("'",$A96))=TRUE,_xlfn.CONCAT(LEFT($A96,FIND("'",$A96)-1),"''",RIGHT($A96,LEN($A96)-FIND("'",$A96))),$A96),"'!C11"))&gt;=R$2,"i",""))</f>
        <v>d</v>
      </c>
      <c r="S96" s="1" t="str" cm="1">
        <f t="array" aca="1" ref="S96" ca="1">IF(INDIRECT(_xlfn.CONCAT("'",IF(ISNUMBER(FIND("'",$A96))=TRUE,_xlfn.CONCAT(LEFT($A96,FIND("'",$A96)-1),"''",RIGHT($A96,LEN($A96)-FIND("'",$A96))),$A96),"'!C10"))&gt;=S$2,"d",IF(INDIRECT(_xlfn.CONCAT("'",IF(ISNUMBER(FIND("'",$A96))=TRUE,_xlfn.CONCAT(LEFT($A96,FIND("'",$A96)-1),"''",RIGHT($A96,LEN($A96)-FIND("'",$A96))),$A96),"'!C11"))&gt;=S$2,"i",""))</f>
        <v>d</v>
      </c>
      <c r="T96" s="4" t="str" cm="1">
        <f t="array" aca="1" ref="T96" ca="1">IF(INDIRECT(_xlfn.CONCAT("'",IF(ISNUMBER(FIND("'",$A96))=TRUE,_xlfn.CONCAT(LEFT($A96,FIND("'",$A96)-1),"''",RIGHT($A96,LEN($A96)-FIND("'",$A96))),$A96),"'!C10"))&gt;=T$2,"d",IF(INDIRECT(_xlfn.CONCAT("'",IF(ISNUMBER(FIND("'",$A96))=TRUE,_xlfn.CONCAT(LEFT($A96,FIND("'",$A96)-1),"''",RIGHT($A96,LEN($A96)-FIND("'",$A96))),$A96),"'!C11"))&gt;=T$2,"i",""))</f>
        <v>d</v>
      </c>
    </row>
    <row r="97" spans="1:20" hidden="1" x14ac:dyDescent="0.25">
      <c r="A97" s="54" t="str">
        <v>Summit Shaper</v>
      </c>
      <c r="B97" s="14" cm="1">
        <f t="array" ref="B97">_xlfn.XLOOKUP(A97,INDEX(Weapon_List,,1),INDEX(Weapon_List,,3),,0,1)</f>
        <v>5</v>
      </c>
      <c r="C97" s="4" t="str" cm="1">
        <f t="array" ref="C97">_xlfn.XLOOKUP(A97,INDEX(Weapon_List,,1),INDEX(Weapon_List,,2),,0,1)</f>
        <v>Sword</v>
      </c>
      <c r="D97" s="38" t="str" cm="1">
        <f t="array" ref="D97">_xlfn.XLOOKUP(A97,INDEX(Weapon_List,,1),INDEX(Weapon_List,,4),,0,1)</f>
        <v>Liyue 1</v>
      </c>
      <c r="E97" s="38" t="str" cm="1">
        <f t="array" ref="E97">_xlfn.XLOOKUP(A97,INDEX(Weapon_List,,1),INDEX(Weapon_List,,5),,0,1)</f>
        <v>Hilichurl</v>
      </c>
      <c r="F97" s="38" t="str" cm="1">
        <f t="array" ref="F97">_xlfn.XLOOKUP(A97,INDEX(Weapon_List,,1),INDEX(Weapon_List,,6),,0,1)</f>
        <v>Fatui Agent</v>
      </c>
      <c r="G97" s="14" t="str" cm="1">
        <f t="array" aca="1" ref="G97" ca="1">IF(INDIRECT(_xlfn.CONCAT("'",IF(ISNUMBER(FIND("'",$A97))=TRUE,_xlfn.CONCAT(LEFT($A97,FIND("'",$A97)-1),"''",RIGHT($A97,LEN($A97)-FIND("'",$A97))),$A97),"'!B4"))&gt;=G$2,"d",IF(INDIRECT(_xlfn.CONCAT("'",IF(ISNUMBER(FIND("'",$A97))=TRUE,_xlfn.CONCAT(LEFT($A97,FIND("'",$A97)-1),"''",RIGHT($A97,LEN($A97)-FIND("'",$A97))),$A97),"'!B5"))&gt;=G$2,"i",""))</f>
        <v>d</v>
      </c>
      <c r="H97" s="1" t="str" cm="1">
        <f t="array" aca="1" ref="H97" ca="1">IF(INDIRECT(_xlfn.CONCAT("'",IF(ISNUMBER(FIND("'",$A97))=TRUE,_xlfn.CONCAT(LEFT($A97,FIND("'",$A97)-1),"''",RIGHT($A97,LEN($A97)-FIND("'",$A97))),$A97),"'!B4"))&gt;=H$2,"d",IF(INDIRECT(_xlfn.CONCAT("'",IF(ISNUMBER(FIND("'",$A97))=TRUE,_xlfn.CONCAT(LEFT($A97,FIND("'",$A97)-1),"''",RIGHT($A97,LEN($A97)-FIND("'",$A97))),$A97),"'!B5"))&gt;=H$2,"i",""))</f>
        <v>d</v>
      </c>
      <c r="I97" s="1" t="str" cm="1">
        <f t="array" aca="1" ref="I97" ca="1">IF(INDIRECT(_xlfn.CONCAT("'",IF(ISNUMBER(FIND("'",$A97))=TRUE,_xlfn.CONCAT(LEFT($A97,FIND("'",$A97)-1),"''",RIGHT($A97,LEN($A97)-FIND("'",$A97))),$A97),"'!B4"))&gt;=I$2,"d",IF(INDIRECT(_xlfn.CONCAT("'",IF(ISNUMBER(FIND("'",$A97))=TRUE,_xlfn.CONCAT(LEFT($A97,FIND("'",$A97)-1),"''",RIGHT($A97,LEN($A97)-FIND("'",$A97))),$A97),"'!B5"))&gt;=I$2,"i",""))</f>
        <v>d</v>
      </c>
      <c r="J97" s="1" t="str" cm="1">
        <f t="array" aca="1" ref="J97" ca="1">IF(INDIRECT(_xlfn.CONCAT("'",IF(ISNUMBER(FIND("'",$A97))=TRUE,_xlfn.CONCAT(LEFT($A97,FIND("'",$A97)-1),"''",RIGHT($A97,LEN($A97)-FIND("'",$A97))),$A97),"'!B4"))&gt;=J$2,"d",IF(INDIRECT(_xlfn.CONCAT("'",IF(ISNUMBER(FIND("'",$A97))=TRUE,_xlfn.CONCAT(LEFT($A97,FIND("'",$A97)-1),"''",RIGHT($A97,LEN($A97)-FIND("'",$A97))),$A97),"'!B5"))&gt;=J$2,"i",""))</f>
        <v>d</v>
      </c>
      <c r="K97" s="1" t="str" cm="1">
        <f t="array" aca="1" ref="K97" ca="1">IF(INDIRECT(_xlfn.CONCAT("'",IF(ISNUMBER(FIND("'",$A97))=TRUE,_xlfn.CONCAT(LEFT($A97,FIND("'",$A97)-1),"''",RIGHT($A97,LEN($A97)-FIND("'",$A97))),$A97),"'!B4"))&gt;=K$2,"d",IF(INDIRECT(_xlfn.CONCAT("'",IF(ISNUMBER(FIND("'",$A97))=TRUE,_xlfn.CONCAT(LEFT($A97,FIND("'",$A97)-1),"''",RIGHT($A97,LEN($A97)-FIND("'",$A97))),$A97),"'!B5"))&gt;=K$2,"i",""))</f>
        <v>d</v>
      </c>
      <c r="L97" s="1" t="str" cm="1">
        <f t="array" aca="1" ref="L97" ca="1">IF(INDIRECT(_xlfn.CONCAT("'",IF(ISNUMBER(FIND("'",$A97))=TRUE,_xlfn.CONCAT(LEFT($A97,FIND("'",$A97)-1),"''",RIGHT($A97,LEN($A97)-FIND("'",$A97))),$A97),"'!B4"))&gt;=L$2,"d",IF(INDIRECT(_xlfn.CONCAT("'",IF(ISNUMBER(FIND("'",$A97))=TRUE,_xlfn.CONCAT(LEFT($A97,FIND("'",$A97)-1),"''",RIGHT($A97,LEN($A97)-FIND("'",$A97))),$A97),"'!B5"))&gt;=L$2,"i",""))</f>
        <v>d</v>
      </c>
      <c r="M97" s="4" t="str" cm="1">
        <f t="array" aca="1" ref="M97" ca="1">IF(INDIRECT(_xlfn.CONCAT("'",IF(ISNUMBER(FIND("'",$A97))=TRUE,_xlfn.CONCAT(LEFT($A97,FIND("'",$A97)-1),"''",RIGHT($A97,LEN($A97)-FIND("'",$A97))),$A97),"'!B4"))&gt;=M$2,"d",IF(INDIRECT(_xlfn.CONCAT("'",IF(ISNUMBER(FIND("'",$A97))=TRUE,_xlfn.CONCAT(LEFT($A97,FIND("'",$A97)-1),"''",RIGHT($A97,LEN($A97)-FIND("'",$A97))),$A97),"'!B5"))&gt;=M$2,"i",""))</f>
        <v>d</v>
      </c>
      <c r="N97" s="95"/>
      <c r="O97" s="14" t="str" cm="1">
        <f t="array" aca="1" ref="O97" ca="1">IF(INDIRECT(_xlfn.CONCAT("'",IF(ISNUMBER(FIND("'",$A97))=TRUE,_xlfn.CONCAT(LEFT($A97,FIND("'",$A97)-1),"''",RIGHT($A97,LEN($A97)-FIND("'",$A97))),$A97),"'!C10"))&gt;=O$2,"d",IF(INDIRECT(_xlfn.CONCAT("'",IF(ISNUMBER(FIND("'",$A97))=TRUE,_xlfn.CONCAT(LEFT($A97,FIND("'",$A97)-1),"''",RIGHT($A97,LEN($A97)-FIND("'",$A97))),$A97),"'!C11"))&gt;=O$2,"i",""))</f>
        <v>d</v>
      </c>
      <c r="P97" s="1" t="str" cm="1">
        <f t="array" aca="1" ref="P97" ca="1">IF(INDIRECT(_xlfn.CONCAT("'",IF(ISNUMBER(FIND("'",$A97))=TRUE,_xlfn.CONCAT(LEFT($A97,FIND("'",$A97)-1),"''",RIGHT($A97,LEN($A97)-FIND("'",$A97))),$A97),"'!C10"))&gt;=P$2,"d",IF(INDIRECT(_xlfn.CONCAT("'",IF(ISNUMBER(FIND("'",$A97))=TRUE,_xlfn.CONCAT(LEFT($A97,FIND("'",$A97)-1),"''",RIGHT($A97,LEN($A97)-FIND("'",$A97))),$A97),"'!C11"))&gt;=P$2,"i",""))</f>
        <v>d</v>
      </c>
      <c r="Q97" s="1" t="str" cm="1">
        <f t="array" aca="1" ref="Q97" ca="1">IF(INDIRECT(_xlfn.CONCAT("'",IF(ISNUMBER(FIND("'",$A97))=TRUE,_xlfn.CONCAT(LEFT($A97,FIND("'",$A97)-1),"''",RIGHT($A97,LEN($A97)-FIND("'",$A97))),$A97),"'!C10"))&gt;=Q$2,"d",IF(INDIRECT(_xlfn.CONCAT("'",IF(ISNUMBER(FIND("'",$A97))=TRUE,_xlfn.CONCAT(LEFT($A97,FIND("'",$A97)-1),"''",RIGHT($A97,LEN($A97)-FIND("'",$A97))),$A97),"'!C11"))&gt;=Q$2,"i",""))</f>
        <v>d</v>
      </c>
      <c r="R97" s="1" t="str" cm="1">
        <f t="array" aca="1" ref="R97" ca="1">IF(INDIRECT(_xlfn.CONCAT("'",IF(ISNUMBER(FIND("'",$A97))=TRUE,_xlfn.CONCAT(LEFT($A97,FIND("'",$A97)-1),"''",RIGHT($A97,LEN($A97)-FIND("'",$A97))),$A97),"'!C10"))&gt;=R$2,"d",IF(INDIRECT(_xlfn.CONCAT("'",IF(ISNUMBER(FIND("'",$A97))=TRUE,_xlfn.CONCAT(LEFT($A97,FIND("'",$A97)-1),"''",RIGHT($A97,LEN($A97)-FIND("'",$A97))),$A97),"'!C11"))&gt;=R$2,"i",""))</f>
        <v>d</v>
      </c>
      <c r="S97" s="1" t="str" cm="1">
        <f t="array" aca="1" ref="S97" ca="1">IF(INDIRECT(_xlfn.CONCAT("'",IF(ISNUMBER(FIND("'",$A97))=TRUE,_xlfn.CONCAT(LEFT($A97,FIND("'",$A97)-1),"''",RIGHT($A97,LEN($A97)-FIND("'",$A97))),$A97),"'!C10"))&gt;=S$2,"d",IF(INDIRECT(_xlfn.CONCAT("'",IF(ISNUMBER(FIND("'",$A97))=TRUE,_xlfn.CONCAT(LEFT($A97,FIND("'",$A97)-1),"''",RIGHT($A97,LEN($A97)-FIND("'",$A97))),$A97),"'!C11"))&gt;=S$2,"i",""))</f>
        <v>d</v>
      </c>
      <c r="T97" s="4" t="str" cm="1">
        <f t="array" aca="1" ref="T97" ca="1">IF(INDIRECT(_xlfn.CONCAT("'",IF(ISNUMBER(FIND("'",$A97))=TRUE,_xlfn.CONCAT(LEFT($A97,FIND("'",$A97)-1),"''",RIGHT($A97,LEN($A97)-FIND("'",$A97))),$A97),"'!C10"))&gt;=T$2,"d",IF(INDIRECT(_xlfn.CONCAT("'",IF(ISNUMBER(FIND("'",$A97))=TRUE,_xlfn.CONCAT(LEFT($A97,FIND("'",$A97)-1),"''",RIGHT($A97,LEN($A97)-FIND("'",$A97))),$A97),"'!C11"))&gt;=T$2,"i",""))</f>
        <v>d</v>
      </c>
    </row>
    <row r="98" spans="1:20" hidden="1" x14ac:dyDescent="0.25">
      <c r="A98" s="54" t="str">
        <v>Windblume Ode</v>
      </c>
      <c r="B98" s="14" cm="1">
        <f t="array" ref="B98">_xlfn.XLOOKUP(A98,INDEX(Weapon_List,,1),INDEX(Weapon_List,,3),,0,1)</f>
        <v>4</v>
      </c>
      <c r="C98" s="4" t="str" cm="1">
        <f t="array" ref="C98">_xlfn.XLOOKUP(A98,INDEX(Weapon_List,,1),INDEX(Weapon_List,,2),,0,1)</f>
        <v>Bow</v>
      </c>
      <c r="D98" s="38" t="str" cm="1">
        <f t="array" ref="D98">_xlfn.XLOOKUP(A98,INDEX(Weapon_List,,1),INDEX(Weapon_List,,4),,0,1)</f>
        <v>Mondstadt 3</v>
      </c>
      <c r="E98" s="38" t="str" cm="1">
        <f t="array" ref="E98">_xlfn.XLOOKUP(A98,INDEX(Weapon_List,,1),INDEX(Weapon_List,,5),,0,1)</f>
        <v>Whopperflower</v>
      </c>
      <c r="F98" s="38" t="str" cm="1">
        <f t="array" ref="F98">_xlfn.XLOOKUP(A98,INDEX(Weapon_List,,1),INDEX(Weapon_List,,6),,0,1)</f>
        <v>Abyss Mage</v>
      </c>
      <c r="G98" s="14" t="str" cm="1">
        <f t="array" aca="1" ref="G98" ca="1">IF(INDIRECT(_xlfn.CONCAT("'",IF(ISNUMBER(FIND("'",$A98))=TRUE,_xlfn.CONCAT(LEFT($A98,FIND("'",$A98)-1),"''",RIGHT($A98,LEN($A98)-FIND("'",$A98))),$A98),"'!B4"))&gt;=G$2,"d",IF(INDIRECT(_xlfn.CONCAT("'",IF(ISNUMBER(FIND("'",$A98))=TRUE,_xlfn.CONCAT(LEFT($A98,FIND("'",$A98)-1),"''",RIGHT($A98,LEN($A98)-FIND("'",$A98))),$A98),"'!B5"))&gt;=G$2,"i",""))</f>
        <v>d</v>
      </c>
      <c r="H98" s="1" t="str" cm="1">
        <f t="array" aca="1" ref="H98" ca="1">IF(INDIRECT(_xlfn.CONCAT("'",IF(ISNUMBER(FIND("'",$A98))=TRUE,_xlfn.CONCAT(LEFT($A98,FIND("'",$A98)-1),"''",RIGHT($A98,LEN($A98)-FIND("'",$A98))),$A98),"'!B4"))&gt;=H$2,"d",IF(INDIRECT(_xlfn.CONCAT("'",IF(ISNUMBER(FIND("'",$A98))=TRUE,_xlfn.CONCAT(LEFT($A98,FIND("'",$A98)-1),"''",RIGHT($A98,LEN($A98)-FIND("'",$A98))),$A98),"'!B5"))&gt;=H$2,"i",""))</f>
        <v>d</v>
      </c>
      <c r="I98" s="1" t="str" cm="1">
        <f t="array" aca="1" ref="I98" ca="1">IF(INDIRECT(_xlfn.CONCAT("'",IF(ISNUMBER(FIND("'",$A98))=TRUE,_xlfn.CONCAT(LEFT($A98,FIND("'",$A98)-1),"''",RIGHT($A98,LEN($A98)-FIND("'",$A98))),$A98),"'!B4"))&gt;=I$2,"d",IF(INDIRECT(_xlfn.CONCAT("'",IF(ISNUMBER(FIND("'",$A98))=TRUE,_xlfn.CONCAT(LEFT($A98,FIND("'",$A98)-1),"''",RIGHT($A98,LEN($A98)-FIND("'",$A98))),$A98),"'!B5"))&gt;=I$2,"i",""))</f>
        <v>d</v>
      </c>
      <c r="J98" s="1" t="str" cm="1">
        <f t="array" aca="1" ref="J98" ca="1">IF(INDIRECT(_xlfn.CONCAT("'",IF(ISNUMBER(FIND("'",$A98))=TRUE,_xlfn.CONCAT(LEFT($A98,FIND("'",$A98)-1),"''",RIGHT($A98,LEN($A98)-FIND("'",$A98))),$A98),"'!B4"))&gt;=J$2,"d",IF(INDIRECT(_xlfn.CONCAT("'",IF(ISNUMBER(FIND("'",$A98))=TRUE,_xlfn.CONCAT(LEFT($A98,FIND("'",$A98)-1),"''",RIGHT($A98,LEN($A98)-FIND("'",$A98))),$A98),"'!B5"))&gt;=J$2,"i",""))</f>
        <v>d</v>
      </c>
      <c r="K98" s="1" t="str" cm="1">
        <f t="array" aca="1" ref="K98" ca="1">IF(INDIRECT(_xlfn.CONCAT("'",IF(ISNUMBER(FIND("'",$A98))=TRUE,_xlfn.CONCAT(LEFT($A98,FIND("'",$A98)-1),"''",RIGHT($A98,LEN($A98)-FIND("'",$A98))),$A98),"'!B4"))&gt;=K$2,"d",IF(INDIRECT(_xlfn.CONCAT("'",IF(ISNUMBER(FIND("'",$A98))=TRUE,_xlfn.CONCAT(LEFT($A98,FIND("'",$A98)-1),"''",RIGHT($A98,LEN($A98)-FIND("'",$A98))),$A98),"'!B5"))&gt;=K$2,"i",""))</f>
        <v>d</v>
      </c>
      <c r="L98" s="1" t="str" cm="1">
        <f t="array" aca="1" ref="L98" ca="1">IF(INDIRECT(_xlfn.CONCAT("'",IF(ISNUMBER(FIND("'",$A98))=TRUE,_xlfn.CONCAT(LEFT($A98,FIND("'",$A98)-1),"''",RIGHT($A98,LEN($A98)-FIND("'",$A98))),$A98),"'!B4"))&gt;=L$2,"d",IF(INDIRECT(_xlfn.CONCAT("'",IF(ISNUMBER(FIND("'",$A98))=TRUE,_xlfn.CONCAT(LEFT($A98,FIND("'",$A98)-1),"''",RIGHT($A98,LEN($A98)-FIND("'",$A98))),$A98),"'!B5"))&gt;=L$2,"i",""))</f>
        <v>d</v>
      </c>
      <c r="M98" s="4" t="str" cm="1">
        <f t="array" aca="1" ref="M98" ca="1">IF(INDIRECT(_xlfn.CONCAT("'",IF(ISNUMBER(FIND("'",$A98))=TRUE,_xlfn.CONCAT(LEFT($A98,FIND("'",$A98)-1),"''",RIGHT($A98,LEN($A98)-FIND("'",$A98))),$A98),"'!B4"))&gt;=M$2,"d",IF(INDIRECT(_xlfn.CONCAT("'",IF(ISNUMBER(FIND("'",$A98))=TRUE,_xlfn.CONCAT(LEFT($A98,FIND("'",$A98)-1),"''",RIGHT($A98,LEN($A98)-FIND("'",$A98))),$A98),"'!B5"))&gt;=M$2,"i",""))</f>
        <v>d</v>
      </c>
      <c r="N98" s="95"/>
      <c r="O98" s="14" t="str" cm="1">
        <f t="array" aca="1" ref="O98" ca="1">IF(INDIRECT(_xlfn.CONCAT("'",IF(ISNUMBER(FIND("'",$A98))=TRUE,_xlfn.CONCAT(LEFT($A98,FIND("'",$A98)-1),"''",RIGHT($A98,LEN($A98)-FIND("'",$A98))),$A98),"'!C10"))&gt;=O$2,"d",IF(INDIRECT(_xlfn.CONCAT("'",IF(ISNUMBER(FIND("'",$A98))=TRUE,_xlfn.CONCAT(LEFT($A98,FIND("'",$A98)-1),"''",RIGHT($A98,LEN($A98)-FIND("'",$A98))),$A98),"'!C11"))&gt;=O$2,"i",""))</f>
        <v>d</v>
      </c>
      <c r="P98" s="1" t="str" cm="1">
        <f t="array" aca="1" ref="P98" ca="1">IF(INDIRECT(_xlfn.CONCAT("'",IF(ISNUMBER(FIND("'",$A98))=TRUE,_xlfn.CONCAT(LEFT($A98,FIND("'",$A98)-1),"''",RIGHT($A98,LEN($A98)-FIND("'",$A98))),$A98),"'!C10"))&gt;=P$2,"d",IF(INDIRECT(_xlfn.CONCAT("'",IF(ISNUMBER(FIND("'",$A98))=TRUE,_xlfn.CONCAT(LEFT($A98,FIND("'",$A98)-1),"''",RIGHT($A98,LEN($A98)-FIND("'",$A98))),$A98),"'!C11"))&gt;=P$2,"i",""))</f>
        <v>d</v>
      </c>
      <c r="Q98" s="1" t="str" cm="1">
        <f t="array" aca="1" ref="Q98" ca="1">IF(INDIRECT(_xlfn.CONCAT("'",IF(ISNUMBER(FIND("'",$A98))=TRUE,_xlfn.CONCAT(LEFT($A98,FIND("'",$A98)-1),"''",RIGHT($A98,LEN($A98)-FIND("'",$A98))),$A98),"'!C10"))&gt;=Q$2,"d",IF(INDIRECT(_xlfn.CONCAT("'",IF(ISNUMBER(FIND("'",$A98))=TRUE,_xlfn.CONCAT(LEFT($A98,FIND("'",$A98)-1),"''",RIGHT($A98,LEN($A98)-FIND("'",$A98))),$A98),"'!C11"))&gt;=Q$2,"i",""))</f>
        <v>d</v>
      </c>
      <c r="R98" s="1" t="str" cm="1">
        <f t="array" aca="1" ref="R98" ca="1">IF(INDIRECT(_xlfn.CONCAT("'",IF(ISNUMBER(FIND("'",$A98))=TRUE,_xlfn.CONCAT(LEFT($A98,FIND("'",$A98)-1),"''",RIGHT($A98,LEN($A98)-FIND("'",$A98))),$A98),"'!C10"))&gt;=R$2,"d",IF(INDIRECT(_xlfn.CONCAT("'",IF(ISNUMBER(FIND("'",$A98))=TRUE,_xlfn.CONCAT(LEFT($A98,FIND("'",$A98)-1),"''",RIGHT($A98,LEN($A98)-FIND("'",$A98))),$A98),"'!C11"))&gt;=R$2,"i",""))</f>
        <v>d</v>
      </c>
      <c r="S98" s="1" t="str" cm="1">
        <f t="array" aca="1" ref="S98" ca="1">IF(INDIRECT(_xlfn.CONCAT("'",IF(ISNUMBER(FIND("'",$A98))=TRUE,_xlfn.CONCAT(LEFT($A98,FIND("'",$A98)-1),"''",RIGHT($A98,LEN($A98)-FIND("'",$A98))),$A98),"'!C10"))&gt;=S$2,"d",IF(INDIRECT(_xlfn.CONCAT("'",IF(ISNUMBER(FIND("'",$A98))=TRUE,_xlfn.CONCAT(LEFT($A98,FIND("'",$A98)-1),"''",RIGHT($A98,LEN($A98)-FIND("'",$A98))),$A98),"'!C11"))&gt;=S$2,"i",""))</f>
        <v>d</v>
      </c>
      <c r="T98" s="4" t="str" cm="1">
        <f t="array" aca="1" ref="T98" ca="1">IF(INDIRECT(_xlfn.CONCAT("'",IF(ISNUMBER(FIND("'",$A98))=TRUE,_xlfn.CONCAT(LEFT($A98,FIND("'",$A98)-1),"''",RIGHT($A98,LEN($A98)-FIND("'",$A98))),$A98),"'!C10"))&gt;=T$2,"d",IF(INDIRECT(_xlfn.CONCAT("'",IF(ISNUMBER(FIND("'",$A98))=TRUE,_xlfn.CONCAT(LEFT($A98,FIND("'",$A98)-1),"''",RIGHT($A98,LEN($A98)-FIND("'",$A98))),$A98),"'!C11"))&gt;=T$2,"i",""))</f>
        <v>d</v>
      </c>
    </row>
    <row r="99" spans="1:20" hidden="1" x14ac:dyDescent="0.25">
      <c r="A99" s="54" t="str">
        <v>Primordial Jade Cutter</v>
      </c>
      <c r="B99" s="14" cm="1">
        <f t="array" ref="B99">_xlfn.XLOOKUP(A99,INDEX(Weapon_List,,1),INDEX(Weapon_List,,3),,0,1)</f>
        <v>5</v>
      </c>
      <c r="C99" s="4" t="str" cm="1">
        <f t="array" ref="C99">_xlfn.XLOOKUP(A99,INDEX(Weapon_List,,1),INDEX(Weapon_List,,2),,0,1)</f>
        <v>Sword</v>
      </c>
      <c r="D99" s="38" t="str" cm="1">
        <f t="array" ref="D99">_xlfn.XLOOKUP(A99,INDEX(Weapon_List,,1),INDEX(Weapon_List,,4),,0,1)</f>
        <v>Liyue 2</v>
      </c>
      <c r="E99" s="38" t="str" cm="1">
        <f t="array" ref="E99">_xlfn.XLOOKUP(A99,INDEX(Weapon_List,,1),INDEX(Weapon_List,,5),,0,1)</f>
        <v>Treasure Hoarder</v>
      </c>
      <c r="F99" s="38" t="str" cm="1">
        <f t="array" ref="F99">_xlfn.XLOOKUP(A99,INDEX(Weapon_List,,1),INDEX(Weapon_List,,6),,0,1)</f>
        <v>Fatui Cicin Mage</v>
      </c>
      <c r="G99" s="14" t="str" cm="1">
        <f t="array" aca="1" ref="G99" ca="1">IF(INDIRECT(_xlfn.CONCAT("'",IF(ISNUMBER(FIND("'",$A99))=TRUE,_xlfn.CONCAT(LEFT($A99,FIND("'",$A99)-1),"''",RIGHT($A99,LEN($A99)-FIND("'",$A99))),$A99),"'!B4"))&gt;=G$2,"d",IF(INDIRECT(_xlfn.CONCAT("'",IF(ISNUMBER(FIND("'",$A99))=TRUE,_xlfn.CONCAT(LEFT($A99,FIND("'",$A99)-1),"''",RIGHT($A99,LEN($A99)-FIND("'",$A99))),$A99),"'!B5"))&gt;=G$2,"i",""))</f>
        <v>d</v>
      </c>
      <c r="H99" s="1" t="str" cm="1">
        <f t="array" aca="1" ref="H99" ca="1">IF(INDIRECT(_xlfn.CONCAT("'",IF(ISNUMBER(FIND("'",$A99))=TRUE,_xlfn.CONCAT(LEFT($A99,FIND("'",$A99)-1),"''",RIGHT($A99,LEN($A99)-FIND("'",$A99))),$A99),"'!B4"))&gt;=H$2,"d",IF(INDIRECT(_xlfn.CONCAT("'",IF(ISNUMBER(FIND("'",$A99))=TRUE,_xlfn.CONCAT(LEFT($A99,FIND("'",$A99)-1),"''",RIGHT($A99,LEN($A99)-FIND("'",$A99))),$A99),"'!B5"))&gt;=H$2,"i",""))</f>
        <v>d</v>
      </c>
      <c r="I99" s="1" t="str" cm="1">
        <f t="array" aca="1" ref="I99" ca="1">IF(INDIRECT(_xlfn.CONCAT("'",IF(ISNUMBER(FIND("'",$A99))=TRUE,_xlfn.CONCAT(LEFT($A99,FIND("'",$A99)-1),"''",RIGHT($A99,LEN($A99)-FIND("'",$A99))),$A99),"'!B4"))&gt;=I$2,"d",IF(INDIRECT(_xlfn.CONCAT("'",IF(ISNUMBER(FIND("'",$A99))=TRUE,_xlfn.CONCAT(LEFT($A99,FIND("'",$A99)-1),"''",RIGHT($A99,LEN($A99)-FIND("'",$A99))),$A99),"'!B5"))&gt;=I$2,"i",""))</f>
        <v>d</v>
      </c>
      <c r="J99" s="1" t="str" cm="1">
        <f t="array" aca="1" ref="J99" ca="1">IF(INDIRECT(_xlfn.CONCAT("'",IF(ISNUMBER(FIND("'",$A99))=TRUE,_xlfn.CONCAT(LEFT($A99,FIND("'",$A99)-1),"''",RIGHT($A99,LEN($A99)-FIND("'",$A99))),$A99),"'!B4"))&gt;=J$2,"d",IF(INDIRECT(_xlfn.CONCAT("'",IF(ISNUMBER(FIND("'",$A99))=TRUE,_xlfn.CONCAT(LEFT($A99,FIND("'",$A99)-1),"''",RIGHT($A99,LEN($A99)-FIND("'",$A99))),$A99),"'!B5"))&gt;=J$2,"i",""))</f>
        <v>d</v>
      </c>
      <c r="K99" s="1" t="str" cm="1">
        <f t="array" aca="1" ref="K99" ca="1">IF(INDIRECT(_xlfn.CONCAT("'",IF(ISNUMBER(FIND("'",$A99))=TRUE,_xlfn.CONCAT(LEFT($A99,FIND("'",$A99)-1),"''",RIGHT($A99,LEN($A99)-FIND("'",$A99))),$A99),"'!B4"))&gt;=K$2,"d",IF(INDIRECT(_xlfn.CONCAT("'",IF(ISNUMBER(FIND("'",$A99))=TRUE,_xlfn.CONCAT(LEFT($A99,FIND("'",$A99)-1),"''",RIGHT($A99,LEN($A99)-FIND("'",$A99))),$A99),"'!B5"))&gt;=K$2,"i",""))</f>
        <v>d</v>
      </c>
      <c r="L99" s="1" t="str" cm="1">
        <f t="array" aca="1" ref="L99" ca="1">IF(INDIRECT(_xlfn.CONCAT("'",IF(ISNUMBER(FIND("'",$A99))=TRUE,_xlfn.CONCAT(LEFT($A99,FIND("'",$A99)-1),"''",RIGHT($A99,LEN($A99)-FIND("'",$A99))),$A99),"'!B4"))&gt;=L$2,"d",IF(INDIRECT(_xlfn.CONCAT("'",IF(ISNUMBER(FIND("'",$A99))=TRUE,_xlfn.CONCAT(LEFT($A99,FIND("'",$A99)-1),"''",RIGHT($A99,LEN($A99)-FIND("'",$A99))),$A99),"'!B5"))&gt;=L$2,"i",""))</f>
        <v>d</v>
      </c>
      <c r="M99" s="4" t="str" cm="1">
        <f t="array" aca="1" ref="M99" ca="1">IF(INDIRECT(_xlfn.CONCAT("'",IF(ISNUMBER(FIND("'",$A99))=TRUE,_xlfn.CONCAT(LEFT($A99,FIND("'",$A99)-1),"''",RIGHT($A99,LEN($A99)-FIND("'",$A99))),$A99),"'!B4"))&gt;=M$2,"d",IF(INDIRECT(_xlfn.CONCAT("'",IF(ISNUMBER(FIND("'",$A99))=TRUE,_xlfn.CONCAT(LEFT($A99,FIND("'",$A99)-1),"''",RIGHT($A99,LEN($A99)-FIND("'",$A99))),$A99),"'!B5"))&gt;=M$2,"i",""))</f>
        <v>d</v>
      </c>
      <c r="N99" s="95"/>
      <c r="O99" s="14" t="str" cm="1">
        <f t="array" aca="1" ref="O99" ca="1">IF(INDIRECT(_xlfn.CONCAT("'",IF(ISNUMBER(FIND("'",$A99))=TRUE,_xlfn.CONCAT(LEFT($A99,FIND("'",$A99)-1),"''",RIGHT($A99,LEN($A99)-FIND("'",$A99))),$A99),"'!C10"))&gt;=O$2,"d",IF(INDIRECT(_xlfn.CONCAT("'",IF(ISNUMBER(FIND("'",$A99))=TRUE,_xlfn.CONCAT(LEFT($A99,FIND("'",$A99)-1),"''",RIGHT($A99,LEN($A99)-FIND("'",$A99))),$A99),"'!C11"))&gt;=O$2,"i",""))</f>
        <v>d</v>
      </c>
      <c r="P99" s="1" t="str" cm="1">
        <f t="array" aca="1" ref="P99" ca="1">IF(INDIRECT(_xlfn.CONCAT("'",IF(ISNUMBER(FIND("'",$A99))=TRUE,_xlfn.CONCAT(LEFT($A99,FIND("'",$A99)-1),"''",RIGHT($A99,LEN($A99)-FIND("'",$A99))),$A99),"'!C10"))&gt;=P$2,"d",IF(INDIRECT(_xlfn.CONCAT("'",IF(ISNUMBER(FIND("'",$A99))=TRUE,_xlfn.CONCAT(LEFT($A99,FIND("'",$A99)-1),"''",RIGHT($A99,LEN($A99)-FIND("'",$A99))),$A99),"'!C11"))&gt;=P$2,"i",""))</f>
        <v>d</v>
      </c>
      <c r="Q99" s="1" t="str" cm="1">
        <f t="array" aca="1" ref="Q99" ca="1">IF(INDIRECT(_xlfn.CONCAT("'",IF(ISNUMBER(FIND("'",$A99))=TRUE,_xlfn.CONCAT(LEFT($A99,FIND("'",$A99)-1),"''",RIGHT($A99,LEN($A99)-FIND("'",$A99))),$A99),"'!C10"))&gt;=Q$2,"d",IF(INDIRECT(_xlfn.CONCAT("'",IF(ISNUMBER(FIND("'",$A99))=TRUE,_xlfn.CONCAT(LEFT($A99,FIND("'",$A99)-1),"''",RIGHT($A99,LEN($A99)-FIND("'",$A99))),$A99),"'!C11"))&gt;=Q$2,"i",""))</f>
        <v>d</v>
      </c>
      <c r="R99" s="1" t="str" cm="1">
        <f t="array" aca="1" ref="R99" ca="1">IF(INDIRECT(_xlfn.CONCAT("'",IF(ISNUMBER(FIND("'",$A99))=TRUE,_xlfn.CONCAT(LEFT($A99,FIND("'",$A99)-1),"''",RIGHT($A99,LEN($A99)-FIND("'",$A99))),$A99),"'!C10"))&gt;=R$2,"d",IF(INDIRECT(_xlfn.CONCAT("'",IF(ISNUMBER(FIND("'",$A99))=TRUE,_xlfn.CONCAT(LEFT($A99,FIND("'",$A99)-1),"''",RIGHT($A99,LEN($A99)-FIND("'",$A99))),$A99),"'!C11"))&gt;=R$2,"i",""))</f>
        <v>d</v>
      </c>
      <c r="S99" s="1" t="str" cm="1">
        <f t="array" aca="1" ref="S99" ca="1">IF(INDIRECT(_xlfn.CONCAT("'",IF(ISNUMBER(FIND("'",$A99))=TRUE,_xlfn.CONCAT(LEFT($A99,FIND("'",$A99)-1),"''",RIGHT($A99,LEN($A99)-FIND("'",$A99))),$A99),"'!C10"))&gt;=S$2,"d",IF(INDIRECT(_xlfn.CONCAT("'",IF(ISNUMBER(FIND("'",$A99))=TRUE,_xlfn.CONCAT(LEFT($A99,FIND("'",$A99)-1),"''",RIGHT($A99,LEN($A99)-FIND("'",$A99))),$A99),"'!C11"))&gt;=S$2,"i",""))</f>
        <v>d</v>
      </c>
      <c r="T99" s="4" t="str" cm="1">
        <f t="array" aca="1" ref="T99" ca="1">IF(INDIRECT(_xlfn.CONCAT("'",IF(ISNUMBER(FIND("'",$A99))=TRUE,_xlfn.CONCAT(LEFT($A99,FIND("'",$A99)-1),"''",RIGHT($A99,LEN($A99)-FIND("'",$A99))),$A99),"'!C10"))&gt;=T$2,"d",IF(INDIRECT(_xlfn.CONCAT("'",IF(ISNUMBER(FIND("'",$A99))=TRUE,_xlfn.CONCAT(LEFT($A99,FIND("'",$A99)-1),"''",RIGHT($A99,LEN($A99)-FIND("'",$A99))),$A99),"'!C11"))&gt;=T$2,"i",""))</f>
        <v>d</v>
      </c>
    </row>
    <row r="100" spans="1:20" hidden="1" x14ac:dyDescent="0.25">
      <c r="A100" s="54" t="str">
        <v>Lithic Blade</v>
      </c>
      <c r="B100" s="14" cm="1">
        <f t="array" ref="B100">_xlfn.XLOOKUP(A100,INDEX(Weapon_List,,1),INDEX(Weapon_List,,3),,0,1)</f>
        <v>4</v>
      </c>
      <c r="C100" s="4" t="str" cm="1">
        <f t="array" ref="C100">_xlfn.XLOOKUP(A100,INDEX(Weapon_List,,1),INDEX(Weapon_List,,2),,0,1)</f>
        <v>Claymore</v>
      </c>
      <c r="D100" s="38" t="str" cm="1">
        <f t="array" ref="D100">_xlfn.XLOOKUP(A100,INDEX(Weapon_List,,1),INDEX(Weapon_List,,4),,0,1)</f>
        <v>Liyue 1</v>
      </c>
      <c r="E100" s="38" t="str" cm="1">
        <f t="array" ref="E100">_xlfn.XLOOKUP(A100,INDEX(Weapon_List,,1),INDEX(Weapon_List,,5),,0,1)</f>
        <v>Hilichurl Shooter</v>
      </c>
      <c r="F100" s="38" t="str" cm="1">
        <f t="array" ref="F100">_xlfn.XLOOKUP(A100,INDEX(Weapon_List,,1),INDEX(Weapon_List,,6),,0,1)</f>
        <v>Fatui Agent</v>
      </c>
      <c r="G100" s="14" t="str" cm="1">
        <f t="array" aca="1" ref="G100" ca="1">IF(INDIRECT(_xlfn.CONCAT("'",IF(ISNUMBER(FIND("'",$A100))=TRUE,_xlfn.CONCAT(LEFT($A100,FIND("'",$A100)-1),"''",RIGHT($A100,LEN($A100)-FIND("'",$A100))),$A100),"'!B4"))&gt;=G$2,"d",IF(INDIRECT(_xlfn.CONCAT("'",IF(ISNUMBER(FIND("'",$A100))=TRUE,_xlfn.CONCAT(LEFT($A100,FIND("'",$A100)-1),"''",RIGHT($A100,LEN($A100)-FIND("'",$A100))),$A100),"'!B5"))&gt;=G$2,"i",""))</f>
        <v>d</v>
      </c>
      <c r="H100" s="1" t="str" cm="1">
        <f t="array" aca="1" ref="H100" ca="1">IF(INDIRECT(_xlfn.CONCAT("'",IF(ISNUMBER(FIND("'",$A100))=TRUE,_xlfn.CONCAT(LEFT($A100,FIND("'",$A100)-1),"''",RIGHT($A100,LEN($A100)-FIND("'",$A100))),$A100),"'!B4"))&gt;=H$2,"d",IF(INDIRECT(_xlfn.CONCAT("'",IF(ISNUMBER(FIND("'",$A100))=TRUE,_xlfn.CONCAT(LEFT($A100,FIND("'",$A100)-1),"''",RIGHT($A100,LEN($A100)-FIND("'",$A100))),$A100),"'!B5"))&gt;=H$2,"i",""))</f>
        <v>d</v>
      </c>
      <c r="I100" s="1" t="str" cm="1">
        <f t="array" aca="1" ref="I100" ca="1">IF(INDIRECT(_xlfn.CONCAT("'",IF(ISNUMBER(FIND("'",$A100))=TRUE,_xlfn.CONCAT(LEFT($A100,FIND("'",$A100)-1),"''",RIGHT($A100,LEN($A100)-FIND("'",$A100))),$A100),"'!B4"))&gt;=I$2,"d",IF(INDIRECT(_xlfn.CONCAT("'",IF(ISNUMBER(FIND("'",$A100))=TRUE,_xlfn.CONCAT(LEFT($A100,FIND("'",$A100)-1),"''",RIGHT($A100,LEN($A100)-FIND("'",$A100))),$A100),"'!B5"))&gt;=I$2,"i",""))</f>
        <v>d</v>
      </c>
      <c r="J100" s="1" t="str" cm="1">
        <f t="array" aca="1" ref="J100" ca="1">IF(INDIRECT(_xlfn.CONCAT("'",IF(ISNUMBER(FIND("'",$A100))=TRUE,_xlfn.CONCAT(LEFT($A100,FIND("'",$A100)-1),"''",RIGHT($A100,LEN($A100)-FIND("'",$A100))),$A100),"'!B4"))&gt;=J$2,"d",IF(INDIRECT(_xlfn.CONCAT("'",IF(ISNUMBER(FIND("'",$A100))=TRUE,_xlfn.CONCAT(LEFT($A100,FIND("'",$A100)-1),"''",RIGHT($A100,LEN($A100)-FIND("'",$A100))),$A100),"'!B5"))&gt;=J$2,"i",""))</f>
        <v>d</v>
      </c>
      <c r="K100" s="1" t="str" cm="1">
        <f t="array" aca="1" ref="K100" ca="1">IF(INDIRECT(_xlfn.CONCAT("'",IF(ISNUMBER(FIND("'",$A100))=TRUE,_xlfn.CONCAT(LEFT($A100,FIND("'",$A100)-1),"''",RIGHT($A100,LEN($A100)-FIND("'",$A100))),$A100),"'!B4"))&gt;=K$2,"d",IF(INDIRECT(_xlfn.CONCAT("'",IF(ISNUMBER(FIND("'",$A100))=TRUE,_xlfn.CONCAT(LEFT($A100,FIND("'",$A100)-1),"''",RIGHT($A100,LEN($A100)-FIND("'",$A100))),$A100),"'!B5"))&gt;=K$2,"i",""))</f>
        <v>d</v>
      </c>
      <c r="L100" s="1" t="str" cm="1">
        <f t="array" aca="1" ref="L100" ca="1">IF(INDIRECT(_xlfn.CONCAT("'",IF(ISNUMBER(FIND("'",$A100))=TRUE,_xlfn.CONCAT(LEFT($A100,FIND("'",$A100)-1),"''",RIGHT($A100,LEN($A100)-FIND("'",$A100))),$A100),"'!B4"))&gt;=L$2,"d",IF(INDIRECT(_xlfn.CONCAT("'",IF(ISNUMBER(FIND("'",$A100))=TRUE,_xlfn.CONCAT(LEFT($A100,FIND("'",$A100)-1),"''",RIGHT($A100,LEN($A100)-FIND("'",$A100))),$A100),"'!B5"))&gt;=L$2,"i",""))</f>
        <v>d</v>
      </c>
      <c r="M100" s="4" t="str" cm="1">
        <f t="array" aca="1" ref="M100" ca="1">IF(INDIRECT(_xlfn.CONCAT("'",IF(ISNUMBER(FIND("'",$A100))=TRUE,_xlfn.CONCAT(LEFT($A100,FIND("'",$A100)-1),"''",RIGHT($A100,LEN($A100)-FIND("'",$A100))),$A100),"'!B4"))&gt;=M$2,"d",IF(INDIRECT(_xlfn.CONCAT("'",IF(ISNUMBER(FIND("'",$A100))=TRUE,_xlfn.CONCAT(LEFT($A100,FIND("'",$A100)-1),"''",RIGHT($A100,LEN($A100)-FIND("'",$A100))),$A100),"'!B5"))&gt;=M$2,"i",""))</f>
        <v>d</v>
      </c>
      <c r="N100" s="95"/>
      <c r="O100" s="14" t="str" cm="1">
        <f t="array" aca="1" ref="O100" ca="1">IF(INDIRECT(_xlfn.CONCAT("'",IF(ISNUMBER(FIND("'",$A100))=TRUE,_xlfn.CONCAT(LEFT($A100,FIND("'",$A100)-1),"''",RIGHT($A100,LEN($A100)-FIND("'",$A100))),$A100),"'!C10"))&gt;=O$2,"d",IF(INDIRECT(_xlfn.CONCAT("'",IF(ISNUMBER(FIND("'",$A100))=TRUE,_xlfn.CONCAT(LEFT($A100,FIND("'",$A100)-1),"''",RIGHT($A100,LEN($A100)-FIND("'",$A100))),$A100),"'!C11"))&gt;=O$2,"i",""))</f>
        <v>d</v>
      </c>
      <c r="P100" s="1" t="str" cm="1">
        <f t="array" aca="1" ref="P100" ca="1">IF(INDIRECT(_xlfn.CONCAT("'",IF(ISNUMBER(FIND("'",$A100))=TRUE,_xlfn.CONCAT(LEFT($A100,FIND("'",$A100)-1),"''",RIGHT($A100,LEN($A100)-FIND("'",$A100))),$A100),"'!C10"))&gt;=P$2,"d",IF(INDIRECT(_xlfn.CONCAT("'",IF(ISNUMBER(FIND("'",$A100))=TRUE,_xlfn.CONCAT(LEFT($A100,FIND("'",$A100)-1),"''",RIGHT($A100,LEN($A100)-FIND("'",$A100))),$A100),"'!C11"))&gt;=P$2,"i",""))</f>
        <v>d</v>
      </c>
      <c r="Q100" s="1" t="str" cm="1">
        <f t="array" aca="1" ref="Q100" ca="1">IF(INDIRECT(_xlfn.CONCAT("'",IF(ISNUMBER(FIND("'",$A100))=TRUE,_xlfn.CONCAT(LEFT($A100,FIND("'",$A100)-1),"''",RIGHT($A100,LEN($A100)-FIND("'",$A100))),$A100),"'!C10"))&gt;=Q$2,"d",IF(INDIRECT(_xlfn.CONCAT("'",IF(ISNUMBER(FIND("'",$A100))=TRUE,_xlfn.CONCAT(LEFT($A100,FIND("'",$A100)-1),"''",RIGHT($A100,LEN($A100)-FIND("'",$A100))),$A100),"'!C11"))&gt;=Q$2,"i",""))</f>
        <v>d</v>
      </c>
      <c r="R100" s="1" t="str" cm="1">
        <f t="array" aca="1" ref="R100" ca="1">IF(INDIRECT(_xlfn.CONCAT("'",IF(ISNUMBER(FIND("'",$A100))=TRUE,_xlfn.CONCAT(LEFT($A100,FIND("'",$A100)-1),"''",RIGHT($A100,LEN($A100)-FIND("'",$A100))),$A100),"'!C10"))&gt;=R$2,"d",IF(INDIRECT(_xlfn.CONCAT("'",IF(ISNUMBER(FIND("'",$A100))=TRUE,_xlfn.CONCAT(LEFT($A100,FIND("'",$A100)-1),"''",RIGHT($A100,LEN($A100)-FIND("'",$A100))),$A100),"'!C11"))&gt;=R$2,"i",""))</f>
        <v>d</v>
      </c>
      <c r="S100" s="1" t="str" cm="1">
        <f t="array" aca="1" ref="S100" ca="1">IF(INDIRECT(_xlfn.CONCAT("'",IF(ISNUMBER(FIND("'",$A100))=TRUE,_xlfn.CONCAT(LEFT($A100,FIND("'",$A100)-1),"''",RIGHT($A100,LEN($A100)-FIND("'",$A100))),$A100),"'!C10"))&gt;=S$2,"d",IF(INDIRECT(_xlfn.CONCAT("'",IF(ISNUMBER(FIND("'",$A100))=TRUE,_xlfn.CONCAT(LEFT($A100,FIND("'",$A100)-1),"''",RIGHT($A100,LEN($A100)-FIND("'",$A100))),$A100),"'!C11"))&gt;=S$2,"i",""))</f>
        <v>d</v>
      </c>
      <c r="T100" s="4" t="str" cm="1">
        <f t="array" aca="1" ref="T100" ca="1">IF(INDIRECT(_xlfn.CONCAT("'",IF(ISNUMBER(FIND("'",$A100))=TRUE,_xlfn.CONCAT(LEFT($A100,FIND("'",$A100)-1),"''",RIGHT($A100,LEN($A100)-FIND("'",$A100))),$A100),"'!C10"))&gt;=T$2,"d",IF(INDIRECT(_xlfn.CONCAT("'",IF(ISNUMBER(FIND("'",$A100))=TRUE,_xlfn.CONCAT(LEFT($A100,FIND("'",$A100)-1),"''",RIGHT($A100,LEN($A100)-FIND("'",$A100))),$A100),"'!C11"))&gt;=T$2,"i",""))</f>
        <v>d</v>
      </c>
    </row>
    <row r="101" spans="1:20" hidden="1" x14ac:dyDescent="0.25">
      <c r="A101" s="54" t="str">
        <v>Lithic Spear</v>
      </c>
      <c r="B101" s="14" cm="1">
        <f t="array" ref="B101">_xlfn.XLOOKUP(A101,INDEX(Weapon_List,,1),INDEX(Weapon_List,,3),,0,1)</f>
        <v>4</v>
      </c>
      <c r="C101" s="4" t="str" cm="1">
        <f t="array" ref="C101">_xlfn.XLOOKUP(A101,INDEX(Weapon_List,,1),INDEX(Weapon_List,,2),,0,1)</f>
        <v>Polearm</v>
      </c>
      <c r="D101" s="38" t="str" cm="1">
        <f t="array" ref="D101">_xlfn.XLOOKUP(A101,INDEX(Weapon_List,,1),INDEX(Weapon_List,,4),,0,1)</f>
        <v>Liyue 3</v>
      </c>
      <c r="E101" s="38" t="str" cm="1">
        <f t="array" ref="E101">_xlfn.XLOOKUP(A101,INDEX(Weapon_List,,1),INDEX(Weapon_List,,5),,0,1)</f>
        <v>Hilichurl Shooter</v>
      </c>
      <c r="F101" s="38" t="str" cm="1">
        <f t="array" ref="F101">_xlfn.XLOOKUP(A101,INDEX(Weapon_List,,1),INDEX(Weapon_List,,6),,0,1)</f>
        <v>Vishap</v>
      </c>
      <c r="G101" s="14" t="str" cm="1">
        <f t="array" aca="1" ref="G101" ca="1">IF(INDIRECT(_xlfn.CONCAT("'",IF(ISNUMBER(FIND("'",$A101))=TRUE,_xlfn.CONCAT(LEFT($A101,FIND("'",$A101)-1),"''",RIGHT($A101,LEN($A101)-FIND("'",$A101))),$A101),"'!B4"))&gt;=G$2,"d",IF(INDIRECT(_xlfn.CONCAT("'",IF(ISNUMBER(FIND("'",$A101))=TRUE,_xlfn.CONCAT(LEFT($A101,FIND("'",$A101)-1),"''",RIGHT($A101,LEN($A101)-FIND("'",$A101))),$A101),"'!B5"))&gt;=G$2,"i",""))</f>
        <v>d</v>
      </c>
      <c r="H101" s="1" t="str" cm="1">
        <f t="array" aca="1" ref="H101" ca="1">IF(INDIRECT(_xlfn.CONCAT("'",IF(ISNUMBER(FIND("'",$A101))=TRUE,_xlfn.CONCAT(LEFT($A101,FIND("'",$A101)-1),"''",RIGHT($A101,LEN($A101)-FIND("'",$A101))),$A101),"'!B4"))&gt;=H$2,"d",IF(INDIRECT(_xlfn.CONCAT("'",IF(ISNUMBER(FIND("'",$A101))=TRUE,_xlfn.CONCAT(LEFT($A101,FIND("'",$A101)-1),"''",RIGHT($A101,LEN($A101)-FIND("'",$A101))),$A101),"'!B5"))&gt;=H$2,"i",""))</f>
        <v>d</v>
      </c>
      <c r="I101" s="1" t="str" cm="1">
        <f t="array" aca="1" ref="I101" ca="1">IF(INDIRECT(_xlfn.CONCAT("'",IF(ISNUMBER(FIND("'",$A101))=TRUE,_xlfn.CONCAT(LEFT($A101,FIND("'",$A101)-1),"''",RIGHT($A101,LEN($A101)-FIND("'",$A101))),$A101),"'!B4"))&gt;=I$2,"d",IF(INDIRECT(_xlfn.CONCAT("'",IF(ISNUMBER(FIND("'",$A101))=TRUE,_xlfn.CONCAT(LEFT($A101,FIND("'",$A101)-1),"''",RIGHT($A101,LEN($A101)-FIND("'",$A101))),$A101),"'!B5"))&gt;=I$2,"i",""))</f>
        <v>d</v>
      </c>
      <c r="J101" s="1" t="str" cm="1">
        <f t="array" aca="1" ref="J101" ca="1">IF(INDIRECT(_xlfn.CONCAT("'",IF(ISNUMBER(FIND("'",$A101))=TRUE,_xlfn.CONCAT(LEFT($A101,FIND("'",$A101)-1),"''",RIGHT($A101,LEN($A101)-FIND("'",$A101))),$A101),"'!B4"))&gt;=J$2,"d",IF(INDIRECT(_xlfn.CONCAT("'",IF(ISNUMBER(FIND("'",$A101))=TRUE,_xlfn.CONCAT(LEFT($A101,FIND("'",$A101)-1),"''",RIGHT($A101,LEN($A101)-FIND("'",$A101))),$A101),"'!B5"))&gt;=J$2,"i",""))</f>
        <v>d</v>
      </c>
      <c r="K101" s="1" t="str" cm="1">
        <f t="array" aca="1" ref="K101" ca="1">IF(INDIRECT(_xlfn.CONCAT("'",IF(ISNUMBER(FIND("'",$A101))=TRUE,_xlfn.CONCAT(LEFT($A101,FIND("'",$A101)-1),"''",RIGHT($A101,LEN($A101)-FIND("'",$A101))),$A101),"'!B4"))&gt;=K$2,"d",IF(INDIRECT(_xlfn.CONCAT("'",IF(ISNUMBER(FIND("'",$A101))=TRUE,_xlfn.CONCAT(LEFT($A101,FIND("'",$A101)-1),"''",RIGHT($A101,LEN($A101)-FIND("'",$A101))),$A101),"'!B5"))&gt;=K$2,"i",""))</f>
        <v>d</v>
      </c>
      <c r="L101" s="1" t="str" cm="1">
        <f t="array" aca="1" ref="L101" ca="1">IF(INDIRECT(_xlfn.CONCAT("'",IF(ISNUMBER(FIND("'",$A101))=TRUE,_xlfn.CONCAT(LEFT($A101,FIND("'",$A101)-1),"''",RIGHT($A101,LEN($A101)-FIND("'",$A101))),$A101),"'!B4"))&gt;=L$2,"d",IF(INDIRECT(_xlfn.CONCAT("'",IF(ISNUMBER(FIND("'",$A101))=TRUE,_xlfn.CONCAT(LEFT($A101,FIND("'",$A101)-1),"''",RIGHT($A101,LEN($A101)-FIND("'",$A101))),$A101),"'!B5"))&gt;=L$2,"i",""))</f>
        <v>d</v>
      </c>
      <c r="M101" s="4" t="str" cm="1">
        <f t="array" aca="1" ref="M101" ca="1">IF(INDIRECT(_xlfn.CONCAT("'",IF(ISNUMBER(FIND("'",$A101))=TRUE,_xlfn.CONCAT(LEFT($A101,FIND("'",$A101)-1),"''",RIGHT($A101,LEN($A101)-FIND("'",$A101))),$A101),"'!B4"))&gt;=M$2,"d",IF(INDIRECT(_xlfn.CONCAT("'",IF(ISNUMBER(FIND("'",$A101))=TRUE,_xlfn.CONCAT(LEFT($A101,FIND("'",$A101)-1),"''",RIGHT($A101,LEN($A101)-FIND("'",$A101))),$A101),"'!B5"))&gt;=M$2,"i",""))</f>
        <v>d</v>
      </c>
      <c r="N101" s="95"/>
      <c r="O101" s="14" t="str" cm="1">
        <f t="array" aca="1" ref="O101" ca="1">IF(INDIRECT(_xlfn.CONCAT("'",IF(ISNUMBER(FIND("'",$A101))=TRUE,_xlfn.CONCAT(LEFT($A101,FIND("'",$A101)-1),"''",RIGHT($A101,LEN($A101)-FIND("'",$A101))),$A101),"'!C10"))&gt;=O$2,"d",IF(INDIRECT(_xlfn.CONCAT("'",IF(ISNUMBER(FIND("'",$A101))=TRUE,_xlfn.CONCAT(LEFT($A101,FIND("'",$A101)-1),"''",RIGHT($A101,LEN($A101)-FIND("'",$A101))),$A101),"'!C11"))&gt;=O$2,"i",""))</f>
        <v>d</v>
      </c>
      <c r="P101" s="1" t="str" cm="1">
        <f t="array" aca="1" ref="P101" ca="1">IF(INDIRECT(_xlfn.CONCAT("'",IF(ISNUMBER(FIND("'",$A101))=TRUE,_xlfn.CONCAT(LEFT($A101,FIND("'",$A101)-1),"''",RIGHT($A101,LEN($A101)-FIND("'",$A101))),$A101),"'!C10"))&gt;=P$2,"d",IF(INDIRECT(_xlfn.CONCAT("'",IF(ISNUMBER(FIND("'",$A101))=TRUE,_xlfn.CONCAT(LEFT($A101,FIND("'",$A101)-1),"''",RIGHT($A101,LEN($A101)-FIND("'",$A101))),$A101),"'!C11"))&gt;=P$2,"i",""))</f>
        <v>d</v>
      </c>
      <c r="Q101" s="1" t="str" cm="1">
        <f t="array" aca="1" ref="Q101" ca="1">IF(INDIRECT(_xlfn.CONCAT("'",IF(ISNUMBER(FIND("'",$A101))=TRUE,_xlfn.CONCAT(LEFT($A101,FIND("'",$A101)-1),"''",RIGHT($A101,LEN($A101)-FIND("'",$A101))),$A101),"'!C10"))&gt;=Q$2,"d",IF(INDIRECT(_xlfn.CONCAT("'",IF(ISNUMBER(FIND("'",$A101))=TRUE,_xlfn.CONCAT(LEFT($A101,FIND("'",$A101)-1),"''",RIGHT($A101,LEN($A101)-FIND("'",$A101))),$A101),"'!C11"))&gt;=Q$2,"i",""))</f>
        <v>d</v>
      </c>
      <c r="R101" s="1" t="str" cm="1">
        <f t="array" aca="1" ref="R101" ca="1">IF(INDIRECT(_xlfn.CONCAT("'",IF(ISNUMBER(FIND("'",$A101))=TRUE,_xlfn.CONCAT(LEFT($A101,FIND("'",$A101)-1),"''",RIGHT($A101,LEN($A101)-FIND("'",$A101))),$A101),"'!C10"))&gt;=R$2,"d",IF(INDIRECT(_xlfn.CONCAT("'",IF(ISNUMBER(FIND("'",$A101))=TRUE,_xlfn.CONCAT(LEFT($A101,FIND("'",$A101)-1),"''",RIGHT($A101,LEN($A101)-FIND("'",$A101))),$A101),"'!C11"))&gt;=R$2,"i",""))</f>
        <v>d</v>
      </c>
      <c r="S101" s="1" t="str" cm="1">
        <f t="array" aca="1" ref="S101" ca="1">IF(INDIRECT(_xlfn.CONCAT("'",IF(ISNUMBER(FIND("'",$A101))=TRUE,_xlfn.CONCAT(LEFT($A101,FIND("'",$A101)-1),"''",RIGHT($A101,LEN($A101)-FIND("'",$A101))),$A101),"'!C10"))&gt;=S$2,"d",IF(INDIRECT(_xlfn.CONCAT("'",IF(ISNUMBER(FIND("'",$A101))=TRUE,_xlfn.CONCAT(LEFT($A101,FIND("'",$A101)-1),"''",RIGHT($A101,LEN($A101)-FIND("'",$A101))),$A101),"'!C11"))&gt;=S$2,"i",""))</f>
        <v>d</v>
      </c>
      <c r="T101" s="4" t="str" cm="1">
        <f t="array" aca="1" ref="T101" ca="1">IF(INDIRECT(_xlfn.CONCAT("'",IF(ISNUMBER(FIND("'",$A101))=TRUE,_xlfn.CONCAT(LEFT($A101,FIND("'",$A101)-1),"''",RIGHT($A101,LEN($A101)-FIND("'",$A101))),$A101),"'!C10"))&gt;=T$2,"d",IF(INDIRECT(_xlfn.CONCAT("'",IF(ISNUMBER(FIND("'",$A101))=TRUE,_xlfn.CONCAT(LEFT($A101,FIND("'",$A101)-1),"''",RIGHT($A101,LEN($A101)-FIND("'",$A101))),$A101),"'!C11"))&gt;=T$2,"i",""))</f>
        <v>d</v>
      </c>
    </row>
    <row r="102" spans="1:20" hidden="1" x14ac:dyDescent="0.25">
      <c r="A102" s="54" t="str">
        <v>Staff of Homa</v>
      </c>
      <c r="B102" s="14" cm="1">
        <f t="array" ref="B102">_xlfn.XLOOKUP(A102,INDEX(Weapon_List,,1),INDEX(Weapon_List,,3),,0,1)</f>
        <v>5</v>
      </c>
      <c r="C102" s="4" t="str" cm="1">
        <f t="array" ref="C102">_xlfn.XLOOKUP(A102,INDEX(Weapon_List,,1),INDEX(Weapon_List,,2),,0,1)</f>
        <v>Polearm</v>
      </c>
      <c r="D102" s="38" t="str" cm="1">
        <f t="array" ref="D102">_xlfn.XLOOKUP(A102,INDEX(Weapon_List,,1),INDEX(Weapon_List,,4),,0,1)</f>
        <v>Liyue 3</v>
      </c>
      <c r="E102" s="38" t="str" cm="1">
        <f t="array" ref="E102">_xlfn.XLOOKUP(A102,INDEX(Weapon_List,,1),INDEX(Weapon_List,,5),,0,1)</f>
        <v>Slime</v>
      </c>
      <c r="F102" s="38" t="str" cm="1">
        <f t="array" ref="F102">_xlfn.XLOOKUP(A102,INDEX(Weapon_List,,1),INDEX(Weapon_List,,6),,0,1)</f>
        <v>Abyss Mage</v>
      </c>
      <c r="G102" s="14" t="str" cm="1">
        <f t="array" aca="1" ref="G102" ca="1">IF(INDIRECT(_xlfn.CONCAT("'",IF(ISNUMBER(FIND("'",$A102))=TRUE,_xlfn.CONCAT(LEFT($A102,FIND("'",$A102)-1),"''",RIGHT($A102,LEN($A102)-FIND("'",$A102))),$A102),"'!B4"))&gt;=G$2,"d",IF(INDIRECT(_xlfn.CONCAT("'",IF(ISNUMBER(FIND("'",$A102))=TRUE,_xlfn.CONCAT(LEFT($A102,FIND("'",$A102)-1),"''",RIGHT($A102,LEN($A102)-FIND("'",$A102))),$A102),"'!B5"))&gt;=G$2,"i",""))</f>
        <v>d</v>
      </c>
      <c r="H102" s="1" t="str" cm="1">
        <f t="array" aca="1" ref="H102" ca="1">IF(INDIRECT(_xlfn.CONCAT("'",IF(ISNUMBER(FIND("'",$A102))=TRUE,_xlfn.CONCAT(LEFT($A102,FIND("'",$A102)-1),"''",RIGHT($A102,LEN($A102)-FIND("'",$A102))),$A102),"'!B4"))&gt;=H$2,"d",IF(INDIRECT(_xlfn.CONCAT("'",IF(ISNUMBER(FIND("'",$A102))=TRUE,_xlfn.CONCAT(LEFT($A102,FIND("'",$A102)-1),"''",RIGHT($A102,LEN($A102)-FIND("'",$A102))),$A102),"'!B5"))&gt;=H$2,"i",""))</f>
        <v>d</v>
      </c>
      <c r="I102" s="1" t="str" cm="1">
        <f t="array" aca="1" ref="I102" ca="1">IF(INDIRECT(_xlfn.CONCAT("'",IF(ISNUMBER(FIND("'",$A102))=TRUE,_xlfn.CONCAT(LEFT($A102,FIND("'",$A102)-1),"''",RIGHT($A102,LEN($A102)-FIND("'",$A102))),$A102),"'!B4"))&gt;=I$2,"d",IF(INDIRECT(_xlfn.CONCAT("'",IF(ISNUMBER(FIND("'",$A102))=TRUE,_xlfn.CONCAT(LEFT($A102,FIND("'",$A102)-1),"''",RIGHT($A102,LEN($A102)-FIND("'",$A102))),$A102),"'!B5"))&gt;=I$2,"i",""))</f>
        <v>d</v>
      </c>
      <c r="J102" s="1" t="str" cm="1">
        <f t="array" aca="1" ref="J102" ca="1">IF(INDIRECT(_xlfn.CONCAT("'",IF(ISNUMBER(FIND("'",$A102))=TRUE,_xlfn.CONCAT(LEFT($A102,FIND("'",$A102)-1),"''",RIGHT($A102,LEN($A102)-FIND("'",$A102))),$A102),"'!B4"))&gt;=J$2,"d",IF(INDIRECT(_xlfn.CONCAT("'",IF(ISNUMBER(FIND("'",$A102))=TRUE,_xlfn.CONCAT(LEFT($A102,FIND("'",$A102)-1),"''",RIGHT($A102,LEN($A102)-FIND("'",$A102))),$A102),"'!B5"))&gt;=J$2,"i",""))</f>
        <v>d</v>
      </c>
      <c r="K102" s="1" t="str" cm="1">
        <f t="array" aca="1" ref="K102" ca="1">IF(INDIRECT(_xlfn.CONCAT("'",IF(ISNUMBER(FIND("'",$A102))=TRUE,_xlfn.CONCAT(LEFT($A102,FIND("'",$A102)-1),"''",RIGHT($A102,LEN($A102)-FIND("'",$A102))),$A102),"'!B4"))&gt;=K$2,"d",IF(INDIRECT(_xlfn.CONCAT("'",IF(ISNUMBER(FIND("'",$A102))=TRUE,_xlfn.CONCAT(LEFT($A102,FIND("'",$A102)-1),"''",RIGHT($A102,LEN($A102)-FIND("'",$A102))),$A102),"'!B5"))&gt;=K$2,"i",""))</f>
        <v>d</v>
      </c>
      <c r="L102" s="1" t="str" cm="1">
        <f t="array" aca="1" ref="L102" ca="1">IF(INDIRECT(_xlfn.CONCAT("'",IF(ISNUMBER(FIND("'",$A102))=TRUE,_xlfn.CONCAT(LEFT($A102,FIND("'",$A102)-1),"''",RIGHT($A102,LEN($A102)-FIND("'",$A102))),$A102),"'!B4"))&gt;=L$2,"d",IF(INDIRECT(_xlfn.CONCAT("'",IF(ISNUMBER(FIND("'",$A102))=TRUE,_xlfn.CONCAT(LEFT($A102,FIND("'",$A102)-1),"''",RIGHT($A102,LEN($A102)-FIND("'",$A102))),$A102),"'!B5"))&gt;=L$2,"i",""))</f>
        <v>d</v>
      </c>
      <c r="M102" s="4" t="str" cm="1">
        <f t="array" aca="1" ref="M102" ca="1">IF(INDIRECT(_xlfn.CONCAT("'",IF(ISNUMBER(FIND("'",$A102))=TRUE,_xlfn.CONCAT(LEFT($A102,FIND("'",$A102)-1),"''",RIGHT($A102,LEN($A102)-FIND("'",$A102))),$A102),"'!B4"))&gt;=M$2,"d",IF(INDIRECT(_xlfn.CONCAT("'",IF(ISNUMBER(FIND("'",$A102))=TRUE,_xlfn.CONCAT(LEFT($A102,FIND("'",$A102)-1),"''",RIGHT($A102,LEN($A102)-FIND("'",$A102))),$A102),"'!B5"))&gt;=M$2,"i",""))</f>
        <v>d</v>
      </c>
      <c r="N102" s="95"/>
      <c r="O102" s="14" t="str" cm="1">
        <f t="array" aca="1" ref="O102" ca="1">IF(INDIRECT(_xlfn.CONCAT("'",IF(ISNUMBER(FIND("'",$A102))=TRUE,_xlfn.CONCAT(LEFT($A102,FIND("'",$A102)-1),"''",RIGHT($A102,LEN($A102)-FIND("'",$A102))),$A102),"'!C10"))&gt;=O$2,"d",IF(INDIRECT(_xlfn.CONCAT("'",IF(ISNUMBER(FIND("'",$A102))=TRUE,_xlfn.CONCAT(LEFT($A102,FIND("'",$A102)-1),"''",RIGHT($A102,LEN($A102)-FIND("'",$A102))),$A102),"'!C11"))&gt;=O$2,"i",""))</f>
        <v>d</v>
      </c>
      <c r="P102" s="1" t="str" cm="1">
        <f t="array" aca="1" ref="P102" ca="1">IF(INDIRECT(_xlfn.CONCAT("'",IF(ISNUMBER(FIND("'",$A102))=TRUE,_xlfn.CONCAT(LEFT($A102,FIND("'",$A102)-1),"''",RIGHT($A102,LEN($A102)-FIND("'",$A102))),$A102),"'!C10"))&gt;=P$2,"d",IF(INDIRECT(_xlfn.CONCAT("'",IF(ISNUMBER(FIND("'",$A102))=TRUE,_xlfn.CONCAT(LEFT($A102,FIND("'",$A102)-1),"''",RIGHT($A102,LEN($A102)-FIND("'",$A102))),$A102),"'!C11"))&gt;=P$2,"i",""))</f>
        <v>d</v>
      </c>
      <c r="Q102" s="1" t="str" cm="1">
        <f t="array" aca="1" ref="Q102" ca="1">IF(INDIRECT(_xlfn.CONCAT("'",IF(ISNUMBER(FIND("'",$A102))=TRUE,_xlfn.CONCAT(LEFT($A102,FIND("'",$A102)-1),"''",RIGHT($A102,LEN($A102)-FIND("'",$A102))),$A102),"'!C10"))&gt;=Q$2,"d",IF(INDIRECT(_xlfn.CONCAT("'",IF(ISNUMBER(FIND("'",$A102))=TRUE,_xlfn.CONCAT(LEFT($A102,FIND("'",$A102)-1),"''",RIGHT($A102,LEN($A102)-FIND("'",$A102))),$A102),"'!C11"))&gt;=Q$2,"i",""))</f>
        <v>d</v>
      </c>
      <c r="R102" s="1" t="str" cm="1">
        <f t="array" aca="1" ref="R102" ca="1">IF(INDIRECT(_xlfn.CONCAT("'",IF(ISNUMBER(FIND("'",$A102))=TRUE,_xlfn.CONCAT(LEFT($A102,FIND("'",$A102)-1),"''",RIGHT($A102,LEN($A102)-FIND("'",$A102))),$A102),"'!C10"))&gt;=R$2,"d",IF(INDIRECT(_xlfn.CONCAT("'",IF(ISNUMBER(FIND("'",$A102))=TRUE,_xlfn.CONCAT(LEFT($A102,FIND("'",$A102)-1),"''",RIGHT($A102,LEN($A102)-FIND("'",$A102))),$A102),"'!C11"))&gt;=R$2,"i",""))</f>
        <v>d</v>
      </c>
      <c r="S102" s="1" t="str" cm="1">
        <f t="array" aca="1" ref="S102" ca="1">IF(INDIRECT(_xlfn.CONCAT("'",IF(ISNUMBER(FIND("'",$A102))=TRUE,_xlfn.CONCAT(LEFT($A102,FIND("'",$A102)-1),"''",RIGHT($A102,LEN($A102)-FIND("'",$A102))),$A102),"'!C10"))&gt;=S$2,"d",IF(INDIRECT(_xlfn.CONCAT("'",IF(ISNUMBER(FIND("'",$A102))=TRUE,_xlfn.CONCAT(LEFT($A102,FIND("'",$A102)-1),"''",RIGHT($A102,LEN($A102)-FIND("'",$A102))),$A102),"'!C11"))&gt;=S$2,"i",""))</f>
        <v>d</v>
      </c>
      <c r="T102" s="4" t="str" cm="1">
        <f t="array" aca="1" ref="T102" ca="1">IF(INDIRECT(_xlfn.CONCAT("'",IF(ISNUMBER(FIND("'",$A102))=TRUE,_xlfn.CONCAT(LEFT($A102,FIND("'",$A102)-1),"''",RIGHT($A102,LEN($A102)-FIND("'",$A102))),$A102),"'!C10"))&gt;=T$2,"d",IF(INDIRECT(_xlfn.CONCAT("'",IF(ISNUMBER(FIND("'",$A102))=TRUE,_xlfn.CONCAT(LEFT($A102,FIND("'",$A102)-1),"''",RIGHT($A102,LEN($A102)-FIND("'",$A102))),$A102),"'!C11"))&gt;=T$2,"i",""))</f>
        <v>d</v>
      </c>
    </row>
    <row r="103" spans="1:20" hidden="1" x14ac:dyDescent="0.25">
      <c r="A103" s="54" t="str">
        <v>The Alley Flash</v>
      </c>
      <c r="B103" s="14" cm="1">
        <f t="array" ref="B103">_xlfn.XLOOKUP(A103,INDEX(Weapon_List,,1),INDEX(Weapon_List,,3),,0,1)</f>
        <v>4</v>
      </c>
      <c r="C103" s="4" t="str" cm="1">
        <f t="array" ref="C103">_xlfn.XLOOKUP(A103,INDEX(Weapon_List,,1),INDEX(Weapon_List,,2),,0,1)</f>
        <v>Sword</v>
      </c>
      <c r="D103" s="38" t="str" cm="1">
        <f t="array" ref="D103">_xlfn.XLOOKUP(A103,INDEX(Weapon_List,,1),INDEX(Weapon_List,,4),,0,1)</f>
        <v>Mondstadt 1</v>
      </c>
      <c r="E103" s="38" t="str" cm="1">
        <f t="array" ref="E103">_xlfn.XLOOKUP(A103,INDEX(Weapon_List,,1),INDEX(Weapon_List,,5),,0,1)</f>
        <v>Samachurl</v>
      </c>
      <c r="F103" s="38" t="str" cm="1">
        <f t="array" ref="F103">_xlfn.XLOOKUP(A103,INDEX(Weapon_List,,1),INDEX(Weapon_List,,6),,0,1)</f>
        <v>Mitachurl</v>
      </c>
      <c r="G103" s="14" t="str" cm="1">
        <f t="array" aca="1" ref="G103" ca="1">IF(INDIRECT(_xlfn.CONCAT("'",IF(ISNUMBER(FIND("'",$A103))=TRUE,_xlfn.CONCAT(LEFT($A103,FIND("'",$A103)-1),"''",RIGHT($A103,LEN($A103)-FIND("'",$A103))),$A103),"'!B4"))&gt;=G$2,"d",IF(INDIRECT(_xlfn.CONCAT("'",IF(ISNUMBER(FIND("'",$A103))=TRUE,_xlfn.CONCAT(LEFT($A103,FIND("'",$A103)-1),"''",RIGHT($A103,LEN($A103)-FIND("'",$A103))),$A103),"'!B5"))&gt;=G$2,"i",""))</f>
        <v>d</v>
      </c>
      <c r="H103" s="1" t="str" cm="1">
        <f t="array" aca="1" ref="H103" ca="1">IF(INDIRECT(_xlfn.CONCAT("'",IF(ISNUMBER(FIND("'",$A103))=TRUE,_xlfn.CONCAT(LEFT($A103,FIND("'",$A103)-1),"''",RIGHT($A103,LEN($A103)-FIND("'",$A103))),$A103),"'!B4"))&gt;=H$2,"d",IF(INDIRECT(_xlfn.CONCAT("'",IF(ISNUMBER(FIND("'",$A103))=TRUE,_xlfn.CONCAT(LEFT($A103,FIND("'",$A103)-1),"''",RIGHT($A103,LEN($A103)-FIND("'",$A103))),$A103),"'!B5"))&gt;=H$2,"i",""))</f>
        <v>d</v>
      </c>
      <c r="I103" s="1" t="str" cm="1">
        <f t="array" aca="1" ref="I103" ca="1">IF(INDIRECT(_xlfn.CONCAT("'",IF(ISNUMBER(FIND("'",$A103))=TRUE,_xlfn.CONCAT(LEFT($A103,FIND("'",$A103)-1),"''",RIGHT($A103,LEN($A103)-FIND("'",$A103))),$A103),"'!B4"))&gt;=I$2,"d",IF(INDIRECT(_xlfn.CONCAT("'",IF(ISNUMBER(FIND("'",$A103))=TRUE,_xlfn.CONCAT(LEFT($A103,FIND("'",$A103)-1),"''",RIGHT($A103,LEN($A103)-FIND("'",$A103))),$A103),"'!B5"))&gt;=I$2,"i",""))</f>
        <v>d</v>
      </c>
      <c r="J103" s="1" t="str" cm="1">
        <f t="array" aca="1" ref="J103" ca="1">IF(INDIRECT(_xlfn.CONCAT("'",IF(ISNUMBER(FIND("'",$A103))=TRUE,_xlfn.CONCAT(LEFT($A103,FIND("'",$A103)-1),"''",RIGHT($A103,LEN($A103)-FIND("'",$A103))),$A103),"'!B4"))&gt;=J$2,"d",IF(INDIRECT(_xlfn.CONCAT("'",IF(ISNUMBER(FIND("'",$A103))=TRUE,_xlfn.CONCAT(LEFT($A103,FIND("'",$A103)-1),"''",RIGHT($A103,LEN($A103)-FIND("'",$A103))),$A103),"'!B5"))&gt;=J$2,"i",""))</f>
        <v>d</v>
      </c>
      <c r="K103" s="1" t="str" cm="1">
        <f t="array" aca="1" ref="K103" ca="1">IF(INDIRECT(_xlfn.CONCAT("'",IF(ISNUMBER(FIND("'",$A103))=TRUE,_xlfn.CONCAT(LEFT($A103,FIND("'",$A103)-1),"''",RIGHT($A103,LEN($A103)-FIND("'",$A103))),$A103),"'!B4"))&gt;=K$2,"d",IF(INDIRECT(_xlfn.CONCAT("'",IF(ISNUMBER(FIND("'",$A103))=TRUE,_xlfn.CONCAT(LEFT($A103,FIND("'",$A103)-1),"''",RIGHT($A103,LEN($A103)-FIND("'",$A103))),$A103),"'!B5"))&gt;=K$2,"i",""))</f>
        <v>d</v>
      </c>
      <c r="L103" s="1" t="str" cm="1">
        <f t="array" aca="1" ref="L103" ca="1">IF(INDIRECT(_xlfn.CONCAT("'",IF(ISNUMBER(FIND("'",$A103))=TRUE,_xlfn.CONCAT(LEFT($A103,FIND("'",$A103)-1),"''",RIGHT($A103,LEN($A103)-FIND("'",$A103))),$A103),"'!B4"))&gt;=L$2,"d",IF(INDIRECT(_xlfn.CONCAT("'",IF(ISNUMBER(FIND("'",$A103))=TRUE,_xlfn.CONCAT(LEFT($A103,FIND("'",$A103)-1),"''",RIGHT($A103,LEN($A103)-FIND("'",$A103))),$A103),"'!B5"))&gt;=L$2,"i",""))</f>
        <v>d</v>
      </c>
      <c r="M103" s="4" t="str" cm="1">
        <f t="array" aca="1" ref="M103" ca="1">IF(INDIRECT(_xlfn.CONCAT("'",IF(ISNUMBER(FIND("'",$A103))=TRUE,_xlfn.CONCAT(LEFT($A103,FIND("'",$A103)-1),"''",RIGHT($A103,LEN($A103)-FIND("'",$A103))),$A103),"'!B4"))&gt;=M$2,"d",IF(INDIRECT(_xlfn.CONCAT("'",IF(ISNUMBER(FIND("'",$A103))=TRUE,_xlfn.CONCAT(LEFT($A103,FIND("'",$A103)-1),"''",RIGHT($A103,LEN($A103)-FIND("'",$A103))),$A103),"'!B5"))&gt;=M$2,"i",""))</f>
        <v>d</v>
      </c>
      <c r="N103" s="95"/>
      <c r="O103" s="14" t="str" cm="1">
        <f t="array" aca="1" ref="O103" ca="1">IF(INDIRECT(_xlfn.CONCAT("'",IF(ISNUMBER(FIND("'",$A103))=TRUE,_xlfn.CONCAT(LEFT($A103,FIND("'",$A103)-1),"''",RIGHT($A103,LEN($A103)-FIND("'",$A103))),$A103),"'!C10"))&gt;=O$2,"d",IF(INDIRECT(_xlfn.CONCAT("'",IF(ISNUMBER(FIND("'",$A103))=TRUE,_xlfn.CONCAT(LEFT($A103,FIND("'",$A103)-1),"''",RIGHT($A103,LEN($A103)-FIND("'",$A103))),$A103),"'!C11"))&gt;=O$2,"i",""))</f>
        <v>d</v>
      </c>
      <c r="P103" s="1" t="str" cm="1">
        <f t="array" aca="1" ref="P103" ca="1">IF(INDIRECT(_xlfn.CONCAT("'",IF(ISNUMBER(FIND("'",$A103))=TRUE,_xlfn.CONCAT(LEFT($A103,FIND("'",$A103)-1),"''",RIGHT($A103,LEN($A103)-FIND("'",$A103))),$A103),"'!C10"))&gt;=P$2,"d",IF(INDIRECT(_xlfn.CONCAT("'",IF(ISNUMBER(FIND("'",$A103))=TRUE,_xlfn.CONCAT(LEFT($A103,FIND("'",$A103)-1),"''",RIGHT($A103,LEN($A103)-FIND("'",$A103))),$A103),"'!C11"))&gt;=P$2,"i",""))</f>
        <v>d</v>
      </c>
      <c r="Q103" s="1" t="str" cm="1">
        <f t="array" aca="1" ref="Q103" ca="1">IF(INDIRECT(_xlfn.CONCAT("'",IF(ISNUMBER(FIND("'",$A103))=TRUE,_xlfn.CONCAT(LEFT($A103,FIND("'",$A103)-1),"''",RIGHT($A103,LEN($A103)-FIND("'",$A103))),$A103),"'!C10"))&gt;=Q$2,"d",IF(INDIRECT(_xlfn.CONCAT("'",IF(ISNUMBER(FIND("'",$A103))=TRUE,_xlfn.CONCAT(LEFT($A103,FIND("'",$A103)-1),"''",RIGHT($A103,LEN($A103)-FIND("'",$A103))),$A103),"'!C11"))&gt;=Q$2,"i",""))</f>
        <v>d</v>
      </c>
      <c r="R103" s="1" t="str" cm="1">
        <f t="array" aca="1" ref="R103" ca="1">IF(INDIRECT(_xlfn.CONCAT("'",IF(ISNUMBER(FIND("'",$A103))=TRUE,_xlfn.CONCAT(LEFT($A103,FIND("'",$A103)-1),"''",RIGHT($A103,LEN($A103)-FIND("'",$A103))),$A103),"'!C10"))&gt;=R$2,"d",IF(INDIRECT(_xlfn.CONCAT("'",IF(ISNUMBER(FIND("'",$A103))=TRUE,_xlfn.CONCAT(LEFT($A103,FIND("'",$A103)-1),"''",RIGHT($A103,LEN($A103)-FIND("'",$A103))),$A103),"'!C11"))&gt;=R$2,"i",""))</f>
        <v>d</v>
      </c>
      <c r="S103" s="1" t="str" cm="1">
        <f t="array" aca="1" ref="S103" ca="1">IF(INDIRECT(_xlfn.CONCAT("'",IF(ISNUMBER(FIND("'",$A103))=TRUE,_xlfn.CONCAT(LEFT($A103,FIND("'",$A103)-1),"''",RIGHT($A103,LEN($A103)-FIND("'",$A103))),$A103),"'!C10"))&gt;=S$2,"d",IF(INDIRECT(_xlfn.CONCAT("'",IF(ISNUMBER(FIND("'",$A103))=TRUE,_xlfn.CONCAT(LEFT($A103,FIND("'",$A103)-1),"''",RIGHT($A103,LEN($A103)-FIND("'",$A103))),$A103),"'!C11"))&gt;=S$2,"i",""))</f>
        <v>d</v>
      </c>
      <c r="T103" s="4" t="str" cm="1">
        <f t="array" aca="1" ref="T103" ca="1">IF(INDIRECT(_xlfn.CONCAT("'",IF(ISNUMBER(FIND("'",$A103))=TRUE,_xlfn.CONCAT(LEFT($A103,FIND("'",$A103)-1),"''",RIGHT($A103,LEN($A103)-FIND("'",$A103))),$A103),"'!C10"))&gt;=T$2,"d",IF(INDIRECT(_xlfn.CONCAT("'",IF(ISNUMBER(FIND("'",$A103))=TRUE,_xlfn.CONCAT(LEFT($A103,FIND("'",$A103)-1),"''",RIGHT($A103,LEN($A103)-FIND("'",$A103))),$A103),"'!C11"))&gt;=T$2,"i",""))</f>
        <v>d</v>
      </c>
    </row>
    <row r="104" spans="1:20" hidden="1" x14ac:dyDescent="0.25">
      <c r="A104" s="54" t="str">
        <v>Wine and Song</v>
      </c>
      <c r="B104" s="14" cm="1">
        <f t="array" ref="B104">_xlfn.XLOOKUP(A104,INDEX(Weapon_List,,1),INDEX(Weapon_List,,3),,0,1)</f>
        <v>4</v>
      </c>
      <c r="C104" s="4" t="str" cm="1">
        <f t="array" ref="C104">_xlfn.XLOOKUP(A104,INDEX(Weapon_List,,1),INDEX(Weapon_List,,2),,0,1)</f>
        <v>Catalyst</v>
      </c>
      <c r="D104" s="38" t="str" cm="1">
        <f t="array" ref="D104">_xlfn.XLOOKUP(A104,INDEX(Weapon_List,,1),INDEX(Weapon_List,,4),,0,1)</f>
        <v>Mondstadt 2</v>
      </c>
      <c r="E104" s="38" t="str" cm="1">
        <f t="array" ref="E104">_xlfn.XLOOKUP(A104,INDEX(Weapon_List,,1),INDEX(Weapon_List,,5),,0,1)</f>
        <v>Samachurl</v>
      </c>
      <c r="F104" s="38" t="str" cm="1">
        <f t="array" ref="F104">_xlfn.XLOOKUP(A104,INDEX(Weapon_List,,1),INDEX(Weapon_List,,6),,0,1)</f>
        <v>Abyss Mage</v>
      </c>
      <c r="G104" s="14" t="str" cm="1">
        <f t="array" aca="1" ref="G104" ca="1">IF(INDIRECT(_xlfn.CONCAT("'",IF(ISNUMBER(FIND("'",$A104))=TRUE,_xlfn.CONCAT(LEFT($A104,FIND("'",$A104)-1),"''",RIGHT($A104,LEN($A104)-FIND("'",$A104))),$A104),"'!B4"))&gt;=G$2,"d",IF(INDIRECT(_xlfn.CONCAT("'",IF(ISNUMBER(FIND("'",$A104))=TRUE,_xlfn.CONCAT(LEFT($A104,FIND("'",$A104)-1),"''",RIGHT($A104,LEN($A104)-FIND("'",$A104))),$A104),"'!B5"))&gt;=G$2,"i",""))</f>
        <v>d</v>
      </c>
      <c r="H104" s="1" t="str" cm="1">
        <f t="array" aca="1" ref="H104" ca="1">IF(INDIRECT(_xlfn.CONCAT("'",IF(ISNUMBER(FIND("'",$A104))=TRUE,_xlfn.CONCAT(LEFT($A104,FIND("'",$A104)-1),"''",RIGHT($A104,LEN($A104)-FIND("'",$A104))),$A104),"'!B4"))&gt;=H$2,"d",IF(INDIRECT(_xlfn.CONCAT("'",IF(ISNUMBER(FIND("'",$A104))=TRUE,_xlfn.CONCAT(LEFT($A104,FIND("'",$A104)-1),"''",RIGHT($A104,LEN($A104)-FIND("'",$A104))),$A104),"'!B5"))&gt;=H$2,"i",""))</f>
        <v>d</v>
      </c>
      <c r="I104" s="1" t="str" cm="1">
        <f t="array" aca="1" ref="I104" ca="1">IF(INDIRECT(_xlfn.CONCAT("'",IF(ISNUMBER(FIND("'",$A104))=TRUE,_xlfn.CONCAT(LEFT($A104,FIND("'",$A104)-1),"''",RIGHT($A104,LEN($A104)-FIND("'",$A104))),$A104),"'!B4"))&gt;=I$2,"d",IF(INDIRECT(_xlfn.CONCAT("'",IF(ISNUMBER(FIND("'",$A104))=TRUE,_xlfn.CONCAT(LEFT($A104,FIND("'",$A104)-1),"''",RIGHT($A104,LEN($A104)-FIND("'",$A104))),$A104),"'!B5"))&gt;=I$2,"i",""))</f>
        <v>d</v>
      </c>
      <c r="J104" s="1" t="str" cm="1">
        <f t="array" aca="1" ref="J104" ca="1">IF(INDIRECT(_xlfn.CONCAT("'",IF(ISNUMBER(FIND("'",$A104))=TRUE,_xlfn.CONCAT(LEFT($A104,FIND("'",$A104)-1),"''",RIGHT($A104,LEN($A104)-FIND("'",$A104))),$A104),"'!B4"))&gt;=J$2,"d",IF(INDIRECT(_xlfn.CONCAT("'",IF(ISNUMBER(FIND("'",$A104))=TRUE,_xlfn.CONCAT(LEFT($A104,FIND("'",$A104)-1),"''",RIGHT($A104,LEN($A104)-FIND("'",$A104))),$A104),"'!B5"))&gt;=J$2,"i",""))</f>
        <v>d</v>
      </c>
      <c r="K104" s="1" t="str" cm="1">
        <f t="array" aca="1" ref="K104" ca="1">IF(INDIRECT(_xlfn.CONCAT("'",IF(ISNUMBER(FIND("'",$A104))=TRUE,_xlfn.CONCAT(LEFT($A104,FIND("'",$A104)-1),"''",RIGHT($A104,LEN($A104)-FIND("'",$A104))),$A104),"'!B4"))&gt;=K$2,"d",IF(INDIRECT(_xlfn.CONCAT("'",IF(ISNUMBER(FIND("'",$A104))=TRUE,_xlfn.CONCAT(LEFT($A104,FIND("'",$A104)-1),"''",RIGHT($A104,LEN($A104)-FIND("'",$A104))),$A104),"'!B5"))&gt;=K$2,"i",""))</f>
        <v>d</v>
      </c>
      <c r="L104" s="1" t="str" cm="1">
        <f t="array" aca="1" ref="L104" ca="1">IF(INDIRECT(_xlfn.CONCAT("'",IF(ISNUMBER(FIND("'",$A104))=TRUE,_xlfn.CONCAT(LEFT($A104,FIND("'",$A104)-1),"''",RIGHT($A104,LEN($A104)-FIND("'",$A104))),$A104),"'!B4"))&gt;=L$2,"d",IF(INDIRECT(_xlfn.CONCAT("'",IF(ISNUMBER(FIND("'",$A104))=TRUE,_xlfn.CONCAT(LEFT($A104,FIND("'",$A104)-1),"''",RIGHT($A104,LEN($A104)-FIND("'",$A104))),$A104),"'!B5"))&gt;=L$2,"i",""))</f>
        <v>d</v>
      </c>
      <c r="M104" s="4" t="str" cm="1">
        <f t="array" aca="1" ref="M104" ca="1">IF(INDIRECT(_xlfn.CONCAT("'",IF(ISNUMBER(FIND("'",$A104))=TRUE,_xlfn.CONCAT(LEFT($A104,FIND("'",$A104)-1),"''",RIGHT($A104,LEN($A104)-FIND("'",$A104))),$A104),"'!B4"))&gt;=M$2,"d",IF(INDIRECT(_xlfn.CONCAT("'",IF(ISNUMBER(FIND("'",$A104))=TRUE,_xlfn.CONCAT(LEFT($A104,FIND("'",$A104)-1),"''",RIGHT($A104,LEN($A104)-FIND("'",$A104))),$A104),"'!B5"))&gt;=M$2,"i",""))</f>
        <v>d</v>
      </c>
      <c r="N104" s="95"/>
      <c r="O104" s="14" t="str" cm="1">
        <f t="array" aca="1" ref="O104" ca="1">IF(INDIRECT(_xlfn.CONCAT("'",IF(ISNUMBER(FIND("'",$A104))=TRUE,_xlfn.CONCAT(LEFT($A104,FIND("'",$A104)-1),"''",RIGHT($A104,LEN($A104)-FIND("'",$A104))),$A104),"'!C10"))&gt;=O$2,"d",IF(INDIRECT(_xlfn.CONCAT("'",IF(ISNUMBER(FIND("'",$A104))=TRUE,_xlfn.CONCAT(LEFT($A104,FIND("'",$A104)-1),"''",RIGHT($A104,LEN($A104)-FIND("'",$A104))),$A104),"'!C11"))&gt;=O$2,"i",""))</f>
        <v>d</v>
      </c>
      <c r="P104" s="1" t="str" cm="1">
        <f t="array" aca="1" ref="P104" ca="1">IF(INDIRECT(_xlfn.CONCAT("'",IF(ISNUMBER(FIND("'",$A104))=TRUE,_xlfn.CONCAT(LEFT($A104,FIND("'",$A104)-1),"''",RIGHT($A104,LEN($A104)-FIND("'",$A104))),$A104),"'!C10"))&gt;=P$2,"d",IF(INDIRECT(_xlfn.CONCAT("'",IF(ISNUMBER(FIND("'",$A104))=TRUE,_xlfn.CONCAT(LEFT($A104,FIND("'",$A104)-1),"''",RIGHT($A104,LEN($A104)-FIND("'",$A104))),$A104),"'!C11"))&gt;=P$2,"i",""))</f>
        <v>d</v>
      </c>
      <c r="Q104" s="1" t="str" cm="1">
        <f t="array" aca="1" ref="Q104" ca="1">IF(INDIRECT(_xlfn.CONCAT("'",IF(ISNUMBER(FIND("'",$A104))=TRUE,_xlfn.CONCAT(LEFT($A104,FIND("'",$A104)-1),"''",RIGHT($A104,LEN($A104)-FIND("'",$A104))),$A104),"'!C10"))&gt;=Q$2,"d",IF(INDIRECT(_xlfn.CONCAT("'",IF(ISNUMBER(FIND("'",$A104))=TRUE,_xlfn.CONCAT(LEFT($A104,FIND("'",$A104)-1),"''",RIGHT($A104,LEN($A104)-FIND("'",$A104))),$A104),"'!C11"))&gt;=Q$2,"i",""))</f>
        <v>d</v>
      </c>
      <c r="R104" s="1" t="str" cm="1">
        <f t="array" aca="1" ref="R104" ca="1">IF(INDIRECT(_xlfn.CONCAT("'",IF(ISNUMBER(FIND("'",$A104))=TRUE,_xlfn.CONCAT(LEFT($A104,FIND("'",$A104)-1),"''",RIGHT($A104,LEN($A104)-FIND("'",$A104))),$A104),"'!C10"))&gt;=R$2,"d",IF(INDIRECT(_xlfn.CONCAT("'",IF(ISNUMBER(FIND("'",$A104))=TRUE,_xlfn.CONCAT(LEFT($A104,FIND("'",$A104)-1),"''",RIGHT($A104,LEN($A104)-FIND("'",$A104))),$A104),"'!C11"))&gt;=R$2,"i",""))</f>
        <v>d</v>
      </c>
      <c r="S104" s="1" t="str" cm="1">
        <f t="array" aca="1" ref="S104" ca="1">IF(INDIRECT(_xlfn.CONCAT("'",IF(ISNUMBER(FIND("'",$A104))=TRUE,_xlfn.CONCAT(LEFT($A104,FIND("'",$A104)-1),"''",RIGHT($A104,LEN($A104)-FIND("'",$A104))),$A104),"'!C10"))&gt;=S$2,"d",IF(INDIRECT(_xlfn.CONCAT("'",IF(ISNUMBER(FIND("'",$A104))=TRUE,_xlfn.CONCAT(LEFT($A104,FIND("'",$A104)-1),"''",RIGHT($A104,LEN($A104)-FIND("'",$A104))),$A104),"'!C11"))&gt;=S$2,"i",""))</f>
        <v>d</v>
      </c>
      <c r="T104" s="4" t="str" cm="1">
        <f t="array" aca="1" ref="T104" ca="1">IF(INDIRECT(_xlfn.CONCAT("'",IF(ISNUMBER(FIND("'",$A104))=TRUE,_xlfn.CONCAT(LEFT($A104,FIND("'",$A104)-1),"''",RIGHT($A104,LEN($A104)-FIND("'",$A104))),$A104),"'!C10"))&gt;=T$2,"d",IF(INDIRECT(_xlfn.CONCAT("'",IF(ISNUMBER(FIND("'",$A104))=TRUE,_xlfn.CONCAT(LEFT($A104,FIND("'",$A104)-1),"''",RIGHT($A104,LEN($A104)-FIND("'",$A104))),$A104),"'!C11"))&gt;=T$2,"i",""))</f>
        <v>d</v>
      </c>
    </row>
    <row r="105" spans="1:20" hidden="1" x14ac:dyDescent="0.25">
      <c r="A105" s="54" t="str">
        <v>Elegy for the End</v>
      </c>
      <c r="B105" s="14" cm="1">
        <f t="array" ref="B105">_xlfn.XLOOKUP(A105,INDEX(Weapon_List,,1),INDEX(Weapon_List,,3),,0,1)</f>
        <v>5</v>
      </c>
      <c r="C105" s="4" t="str" cm="1">
        <f t="array" ref="C105">_xlfn.XLOOKUP(A105,INDEX(Weapon_List,,1),INDEX(Weapon_List,,2),,0,1)</f>
        <v>Bow</v>
      </c>
      <c r="D105" s="38" t="str" cm="1">
        <f t="array" ref="D105">_xlfn.XLOOKUP(A105,INDEX(Weapon_List,,1),INDEX(Weapon_List,,4),,0,1)</f>
        <v>Mondstadt 2</v>
      </c>
      <c r="E105" s="38" t="str" cm="1">
        <f t="array" ref="E105">_xlfn.XLOOKUP(A105,INDEX(Weapon_List,,1),INDEX(Weapon_List,,5),,0,1)</f>
        <v>Fatui</v>
      </c>
      <c r="F105" s="38" t="str" cm="1">
        <f t="array" ref="F105">_xlfn.XLOOKUP(A105,INDEX(Weapon_List,,1),INDEX(Weapon_List,,6),,0,1)</f>
        <v>Mitachurl</v>
      </c>
      <c r="G105" s="14" t="str" cm="1">
        <f t="array" aca="1" ref="G105" ca="1">IF(INDIRECT(_xlfn.CONCAT("'",IF(ISNUMBER(FIND("'",$A105))=TRUE,_xlfn.CONCAT(LEFT($A105,FIND("'",$A105)-1),"''",RIGHT($A105,LEN($A105)-FIND("'",$A105))),$A105),"'!B4"))&gt;=G$2,"d",IF(INDIRECT(_xlfn.CONCAT("'",IF(ISNUMBER(FIND("'",$A105))=TRUE,_xlfn.CONCAT(LEFT($A105,FIND("'",$A105)-1),"''",RIGHT($A105,LEN($A105)-FIND("'",$A105))),$A105),"'!B5"))&gt;=G$2,"i",""))</f>
        <v>d</v>
      </c>
      <c r="H105" s="1" t="str" cm="1">
        <f t="array" aca="1" ref="H105" ca="1">IF(INDIRECT(_xlfn.CONCAT("'",IF(ISNUMBER(FIND("'",$A105))=TRUE,_xlfn.CONCAT(LEFT($A105,FIND("'",$A105)-1),"''",RIGHT($A105,LEN($A105)-FIND("'",$A105))),$A105),"'!B4"))&gt;=H$2,"d",IF(INDIRECT(_xlfn.CONCAT("'",IF(ISNUMBER(FIND("'",$A105))=TRUE,_xlfn.CONCAT(LEFT($A105,FIND("'",$A105)-1),"''",RIGHT($A105,LEN($A105)-FIND("'",$A105))),$A105),"'!B5"))&gt;=H$2,"i",""))</f>
        <v>d</v>
      </c>
      <c r="I105" s="1" t="str" cm="1">
        <f t="array" aca="1" ref="I105" ca="1">IF(INDIRECT(_xlfn.CONCAT("'",IF(ISNUMBER(FIND("'",$A105))=TRUE,_xlfn.CONCAT(LEFT($A105,FIND("'",$A105)-1),"''",RIGHT($A105,LEN($A105)-FIND("'",$A105))),$A105),"'!B4"))&gt;=I$2,"d",IF(INDIRECT(_xlfn.CONCAT("'",IF(ISNUMBER(FIND("'",$A105))=TRUE,_xlfn.CONCAT(LEFT($A105,FIND("'",$A105)-1),"''",RIGHT($A105,LEN($A105)-FIND("'",$A105))),$A105),"'!B5"))&gt;=I$2,"i",""))</f>
        <v>d</v>
      </c>
      <c r="J105" s="1" t="str" cm="1">
        <f t="array" aca="1" ref="J105" ca="1">IF(INDIRECT(_xlfn.CONCAT("'",IF(ISNUMBER(FIND("'",$A105))=TRUE,_xlfn.CONCAT(LEFT($A105,FIND("'",$A105)-1),"''",RIGHT($A105,LEN($A105)-FIND("'",$A105))),$A105),"'!B4"))&gt;=J$2,"d",IF(INDIRECT(_xlfn.CONCAT("'",IF(ISNUMBER(FIND("'",$A105))=TRUE,_xlfn.CONCAT(LEFT($A105,FIND("'",$A105)-1),"''",RIGHT($A105,LEN($A105)-FIND("'",$A105))),$A105),"'!B5"))&gt;=J$2,"i",""))</f>
        <v>d</v>
      </c>
      <c r="K105" s="1" t="str" cm="1">
        <f t="array" aca="1" ref="K105" ca="1">IF(INDIRECT(_xlfn.CONCAT("'",IF(ISNUMBER(FIND("'",$A105))=TRUE,_xlfn.CONCAT(LEFT($A105,FIND("'",$A105)-1),"''",RIGHT($A105,LEN($A105)-FIND("'",$A105))),$A105),"'!B4"))&gt;=K$2,"d",IF(INDIRECT(_xlfn.CONCAT("'",IF(ISNUMBER(FIND("'",$A105))=TRUE,_xlfn.CONCAT(LEFT($A105,FIND("'",$A105)-1),"''",RIGHT($A105,LEN($A105)-FIND("'",$A105))),$A105),"'!B5"))&gt;=K$2,"i",""))</f>
        <v>d</v>
      </c>
      <c r="L105" s="1" t="str" cm="1">
        <f t="array" aca="1" ref="L105" ca="1">IF(INDIRECT(_xlfn.CONCAT("'",IF(ISNUMBER(FIND("'",$A105))=TRUE,_xlfn.CONCAT(LEFT($A105,FIND("'",$A105)-1),"''",RIGHT($A105,LEN($A105)-FIND("'",$A105))),$A105),"'!B4"))&gt;=L$2,"d",IF(INDIRECT(_xlfn.CONCAT("'",IF(ISNUMBER(FIND("'",$A105))=TRUE,_xlfn.CONCAT(LEFT($A105,FIND("'",$A105)-1),"''",RIGHT($A105,LEN($A105)-FIND("'",$A105))),$A105),"'!B5"))&gt;=L$2,"i",""))</f>
        <v>d</v>
      </c>
      <c r="M105" s="4" t="str" cm="1">
        <f t="array" aca="1" ref="M105" ca="1">IF(INDIRECT(_xlfn.CONCAT("'",IF(ISNUMBER(FIND("'",$A105))=TRUE,_xlfn.CONCAT(LEFT($A105,FIND("'",$A105)-1),"''",RIGHT($A105,LEN($A105)-FIND("'",$A105))),$A105),"'!B4"))&gt;=M$2,"d",IF(INDIRECT(_xlfn.CONCAT("'",IF(ISNUMBER(FIND("'",$A105))=TRUE,_xlfn.CONCAT(LEFT($A105,FIND("'",$A105)-1),"''",RIGHT($A105,LEN($A105)-FIND("'",$A105))),$A105),"'!B5"))&gt;=M$2,"i",""))</f>
        <v>d</v>
      </c>
      <c r="N105" s="95"/>
      <c r="O105" s="14" t="str" cm="1">
        <f t="array" aca="1" ref="O105" ca="1">IF(INDIRECT(_xlfn.CONCAT("'",IF(ISNUMBER(FIND("'",$A105))=TRUE,_xlfn.CONCAT(LEFT($A105,FIND("'",$A105)-1),"''",RIGHT($A105,LEN($A105)-FIND("'",$A105))),$A105),"'!C10"))&gt;=O$2,"d",IF(INDIRECT(_xlfn.CONCAT("'",IF(ISNUMBER(FIND("'",$A105))=TRUE,_xlfn.CONCAT(LEFT($A105,FIND("'",$A105)-1),"''",RIGHT($A105,LEN($A105)-FIND("'",$A105))),$A105),"'!C11"))&gt;=O$2,"i",""))</f>
        <v>d</v>
      </c>
      <c r="P105" s="1" t="str" cm="1">
        <f t="array" aca="1" ref="P105" ca="1">IF(INDIRECT(_xlfn.CONCAT("'",IF(ISNUMBER(FIND("'",$A105))=TRUE,_xlfn.CONCAT(LEFT($A105,FIND("'",$A105)-1),"''",RIGHT($A105,LEN($A105)-FIND("'",$A105))),$A105),"'!C10"))&gt;=P$2,"d",IF(INDIRECT(_xlfn.CONCAT("'",IF(ISNUMBER(FIND("'",$A105))=TRUE,_xlfn.CONCAT(LEFT($A105,FIND("'",$A105)-1),"''",RIGHT($A105,LEN($A105)-FIND("'",$A105))),$A105),"'!C11"))&gt;=P$2,"i",""))</f>
        <v>d</v>
      </c>
      <c r="Q105" s="1" t="str" cm="1">
        <f t="array" aca="1" ref="Q105" ca="1">IF(INDIRECT(_xlfn.CONCAT("'",IF(ISNUMBER(FIND("'",$A105))=TRUE,_xlfn.CONCAT(LEFT($A105,FIND("'",$A105)-1),"''",RIGHT($A105,LEN($A105)-FIND("'",$A105))),$A105),"'!C10"))&gt;=Q$2,"d",IF(INDIRECT(_xlfn.CONCAT("'",IF(ISNUMBER(FIND("'",$A105))=TRUE,_xlfn.CONCAT(LEFT($A105,FIND("'",$A105)-1),"''",RIGHT($A105,LEN($A105)-FIND("'",$A105))),$A105),"'!C11"))&gt;=Q$2,"i",""))</f>
        <v>d</v>
      </c>
      <c r="R105" s="1" t="str" cm="1">
        <f t="array" aca="1" ref="R105" ca="1">IF(INDIRECT(_xlfn.CONCAT("'",IF(ISNUMBER(FIND("'",$A105))=TRUE,_xlfn.CONCAT(LEFT($A105,FIND("'",$A105)-1),"''",RIGHT($A105,LEN($A105)-FIND("'",$A105))),$A105),"'!C10"))&gt;=R$2,"d",IF(INDIRECT(_xlfn.CONCAT("'",IF(ISNUMBER(FIND("'",$A105))=TRUE,_xlfn.CONCAT(LEFT($A105,FIND("'",$A105)-1),"''",RIGHT($A105,LEN($A105)-FIND("'",$A105))),$A105),"'!C11"))&gt;=R$2,"i",""))</f>
        <v>d</v>
      </c>
      <c r="S105" s="1" t="str" cm="1">
        <f t="array" aca="1" ref="S105" ca="1">IF(INDIRECT(_xlfn.CONCAT("'",IF(ISNUMBER(FIND("'",$A105))=TRUE,_xlfn.CONCAT(LEFT($A105,FIND("'",$A105)-1),"''",RIGHT($A105,LEN($A105)-FIND("'",$A105))),$A105),"'!C10"))&gt;=S$2,"d",IF(INDIRECT(_xlfn.CONCAT("'",IF(ISNUMBER(FIND("'",$A105))=TRUE,_xlfn.CONCAT(LEFT($A105,FIND("'",$A105)-1),"''",RIGHT($A105,LEN($A105)-FIND("'",$A105))),$A105),"'!C11"))&gt;=S$2,"i",""))</f>
        <v>d</v>
      </c>
      <c r="T105" s="4" t="str" cm="1">
        <f t="array" aca="1" ref="T105" ca="1">IF(INDIRECT(_xlfn.CONCAT("'",IF(ISNUMBER(FIND("'",$A105))=TRUE,_xlfn.CONCAT(LEFT($A105,FIND("'",$A105)-1),"''",RIGHT($A105,LEN($A105)-FIND("'",$A105))),$A105),"'!C10"))&gt;=T$2,"d",IF(INDIRECT(_xlfn.CONCAT("'",IF(ISNUMBER(FIND("'",$A105))=TRUE,_xlfn.CONCAT(LEFT($A105,FIND("'",$A105)-1),"''",RIGHT($A105,LEN($A105)-FIND("'",$A105))),$A105),"'!C11"))&gt;=T$2,"i",""))</f>
        <v>d</v>
      </c>
    </row>
    <row r="106" spans="1:20" hidden="1" x14ac:dyDescent="0.25">
      <c r="A106" s="54" t="str">
        <v>Alley Hunter</v>
      </c>
      <c r="B106" s="14" cm="1">
        <f t="array" ref="B106">_xlfn.XLOOKUP(A106,INDEX(Weapon_List,,1),INDEX(Weapon_List,,3),,0,1)</f>
        <v>4</v>
      </c>
      <c r="C106" s="4" t="str" cm="1">
        <f t="array" ref="C106">_xlfn.XLOOKUP(A106,INDEX(Weapon_List,,1),INDEX(Weapon_List,,2),,0,1)</f>
        <v>Bow</v>
      </c>
      <c r="D106" s="38" t="str" cm="1">
        <f t="array" ref="D106">_xlfn.XLOOKUP(A106,INDEX(Weapon_List,,1),INDEX(Weapon_List,,4),,0,1)</f>
        <v>Mondstadt 3</v>
      </c>
      <c r="E106" s="38" t="str" cm="1">
        <f t="array" ref="E106">_xlfn.XLOOKUP(A106,INDEX(Weapon_List,,1),INDEX(Weapon_List,,5),,0,1)</f>
        <v>Slime</v>
      </c>
      <c r="F106" s="38" t="str" cm="1">
        <f t="array" ref="F106">_xlfn.XLOOKUP(A106,INDEX(Weapon_List,,1),INDEX(Weapon_List,,6),,0,1)</f>
        <v>Ruin Machine 1</v>
      </c>
      <c r="G106" s="14" t="str" cm="1">
        <f t="array" aca="1" ref="G106" ca="1">IF(INDIRECT(_xlfn.CONCAT("'",IF(ISNUMBER(FIND("'",$A106))=TRUE,_xlfn.CONCAT(LEFT($A106,FIND("'",$A106)-1),"''",RIGHT($A106,LEN($A106)-FIND("'",$A106))),$A106),"'!B4"))&gt;=G$2,"d",IF(INDIRECT(_xlfn.CONCAT("'",IF(ISNUMBER(FIND("'",$A106))=TRUE,_xlfn.CONCAT(LEFT($A106,FIND("'",$A106)-1),"''",RIGHT($A106,LEN($A106)-FIND("'",$A106))),$A106),"'!B5"))&gt;=G$2,"i",""))</f>
        <v>d</v>
      </c>
      <c r="H106" s="1" t="str" cm="1">
        <f t="array" aca="1" ref="H106" ca="1">IF(INDIRECT(_xlfn.CONCAT("'",IF(ISNUMBER(FIND("'",$A106))=TRUE,_xlfn.CONCAT(LEFT($A106,FIND("'",$A106)-1),"''",RIGHT($A106,LEN($A106)-FIND("'",$A106))),$A106),"'!B4"))&gt;=H$2,"d",IF(INDIRECT(_xlfn.CONCAT("'",IF(ISNUMBER(FIND("'",$A106))=TRUE,_xlfn.CONCAT(LEFT($A106,FIND("'",$A106)-1),"''",RIGHT($A106,LEN($A106)-FIND("'",$A106))),$A106),"'!B5"))&gt;=H$2,"i",""))</f>
        <v>d</v>
      </c>
      <c r="I106" s="1" t="str" cm="1">
        <f t="array" aca="1" ref="I106" ca="1">IF(INDIRECT(_xlfn.CONCAT("'",IF(ISNUMBER(FIND("'",$A106))=TRUE,_xlfn.CONCAT(LEFT($A106,FIND("'",$A106)-1),"''",RIGHT($A106,LEN($A106)-FIND("'",$A106))),$A106),"'!B4"))&gt;=I$2,"d",IF(INDIRECT(_xlfn.CONCAT("'",IF(ISNUMBER(FIND("'",$A106))=TRUE,_xlfn.CONCAT(LEFT($A106,FIND("'",$A106)-1),"''",RIGHT($A106,LEN($A106)-FIND("'",$A106))),$A106),"'!B5"))&gt;=I$2,"i",""))</f>
        <v>d</v>
      </c>
      <c r="J106" s="1" t="str" cm="1">
        <f t="array" aca="1" ref="J106" ca="1">IF(INDIRECT(_xlfn.CONCAT("'",IF(ISNUMBER(FIND("'",$A106))=TRUE,_xlfn.CONCAT(LEFT($A106,FIND("'",$A106)-1),"''",RIGHT($A106,LEN($A106)-FIND("'",$A106))),$A106),"'!B4"))&gt;=J$2,"d",IF(INDIRECT(_xlfn.CONCAT("'",IF(ISNUMBER(FIND("'",$A106))=TRUE,_xlfn.CONCAT(LEFT($A106,FIND("'",$A106)-1),"''",RIGHT($A106,LEN($A106)-FIND("'",$A106))),$A106),"'!B5"))&gt;=J$2,"i",""))</f>
        <v>d</v>
      </c>
      <c r="K106" s="1" t="str" cm="1">
        <f t="array" aca="1" ref="K106" ca="1">IF(INDIRECT(_xlfn.CONCAT("'",IF(ISNUMBER(FIND("'",$A106))=TRUE,_xlfn.CONCAT(LEFT($A106,FIND("'",$A106)-1),"''",RIGHT($A106,LEN($A106)-FIND("'",$A106))),$A106),"'!B4"))&gt;=K$2,"d",IF(INDIRECT(_xlfn.CONCAT("'",IF(ISNUMBER(FIND("'",$A106))=TRUE,_xlfn.CONCAT(LEFT($A106,FIND("'",$A106)-1),"''",RIGHT($A106,LEN($A106)-FIND("'",$A106))),$A106),"'!B5"))&gt;=K$2,"i",""))</f>
        <v>d</v>
      </c>
      <c r="L106" s="1" t="str" cm="1">
        <f t="array" aca="1" ref="L106" ca="1">IF(INDIRECT(_xlfn.CONCAT("'",IF(ISNUMBER(FIND("'",$A106))=TRUE,_xlfn.CONCAT(LEFT($A106,FIND("'",$A106)-1),"''",RIGHT($A106,LEN($A106)-FIND("'",$A106))),$A106),"'!B4"))&gt;=L$2,"d",IF(INDIRECT(_xlfn.CONCAT("'",IF(ISNUMBER(FIND("'",$A106))=TRUE,_xlfn.CONCAT(LEFT($A106,FIND("'",$A106)-1),"''",RIGHT($A106,LEN($A106)-FIND("'",$A106))),$A106),"'!B5"))&gt;=L$2,"i",""))</f>
        <v>d</v>
      </c>
      <c r="M106" s="4" t="str" cm="1">
        <f t="array" aca="1" ref="M106" ca="1">IF(INDIRECT(_xlfn.CONCAT("'",IF(ISNUMBER(FIND("'",$A106))=TRUE,_xlfn.CONCAT(LEFT($A106,FIND("'",$A106)-1),"''",RIGHT($A106,LEN($A106)-FIND("'",$A106))),$A106),"'!B4"))&gt;=M$2,"d",IF(INDIRECT(_xlfn.CONCAT("'",IF(ISNUMBER(FIND("'",$A106))=TRUE,_xlfn.CONCAT(LEFT($A106,FIND("'",$A106)-1),"''",RIGHT($A106,LEN($A106)-FIND("'",$A106))),$A106),"'!B5"))&gt;=M$2,"i",""))</f>
        <v>d</v>
      </c>
      <c r="N106" s="95"/>
      <c r="O106" s="14" t="str" cm="1">
        <f t="array" aca="1" ref="O106" ca="1">IF(INDIRECT(_xlfn.CONCAT("'",IF(ISNUMBER(FIND("'",$A106))=TRUE,_xlfn.CONCAT(LEFT($A106,FIND("'",$A106)-1),"''",RIGHT($A106,LEN($A106)-FIND("'",$A106))),$A106),"'!C10"))&gt;=O$2,"d",IF(INDIRECT(_xlfn.CONCAT("'",IF(ISNUMBER(FIND("'",$A106))=TRUE,_xlfn.CONCAT(LEFT($A106,FIND("'",$A106)-1),"''",RIGHT($A106,LEN($A106)-FIND("'",$A106))),$A106),"'!C11"))&gt;=O$2,"i",""))</f>
        <v>d</v>
      </c>
      <c r="P106" s="1" t="str" cm="1">
        <f t="array" aca="1" ref="P106" ca="1">IF(INDIRECT(_xlfn.CONCAT("'",IF(ISNUMBER(FIND("'",$A106))=TRUE,_xlfn.CONCAT(LEFT($A106,FIND("'",$A106)-1),"''",RIGHT($A106,LEN($A106)-FIND("'",$A106))),$A106),"'!C10"))&gt;=P$2,"d",IF(INDIRECT(_xlfn.CONCAT("'",IF(ISNUMBER(FIND("'",$A106))=TRUE,_xlfn.CONCAT(LEFT($A106,FIND("'",$A106)-1),"''",RIGHT($A106,LEN($A106)-FIND("'",$A106))),$A106),"'!C11"))&gt;=P$2,"i",""))</f>
        <v>d</v>
      </c>
      <c r="Q106" s="1" t="str" cm="1">
        <f t="array" aca="1" ref="Q106" ca="1">IF(INDIRECT(_xlfn.CONCAT("'",IF(ISNUMBER(FIND("'",$A106))=TRUE,_xlfn.CONCAT(LEFT($A106,FIND("'",$A106)-1),"''",RIGHT($A106,LEN($A106)-FIND("'",$A106))),$A106),"'!C10"))&gt;=Q$2,"d",IF(INDIRECT(_xlfn.CONCAT("'",IF(ISNUMBER(FIND("'",$A106))=TRUE,_xlfn.CONCAT(LEFT($A106,FIND("'",$A106)-1),"''",RIGHT($A106,LEN($A106)-FIND("'",$A106))),$A106),"'!C11"))&gt;=Q$2,"i",""))</f>
        <v>d</v>
      </c>
      <c r="R106" s="1" t="str" cm="1">
        <f t="array" aca="1" ref="R106" ca="1">IF(INDIRECT(_xlfn.CONCAT("'",IF(ISNUMBER(FIND("'",$A106))=TRUE,_xlfn.CONCAT(LEFT($A106,FIND("'",$A106)-1),"''",RIGHT($A106,LEN($A106)-FIND("'",$A106))),$A106),"'!C10"))&gt;=R$2,"d",IF(INDIRECT(_xlfn.CONCAT("'",IF(ISNUMBER(FIND("'",$A106))=TRUE,_xlfn.CONCAT(LEFT($A106,FIND("'",$A106)-1),"''",RIGHT($A106,LEN($A106)-FIND("'",$A106))),$A106),"'!C11"))&gt;=R$2,"i",""))</f>
        <v>d</v>
      </c>
      <c r="S106" s="1" t="str" cm="1">
        <f t="array" aca="1" ref="S106" ca="1">IF(INDIRECT(_xlfn.CONCAT("'",IF(ISNUMBER(FIND("'",$A106))=TRUE,_xlfn.CONCAT(LEFT($A106,FIND("'",$A106)-1),"''",RIGHT($A106,LEN($A106)-FIND("'",$A106))),$A106),"'!C10"))&gt;=S$2,"d",IF(INDIRECT(_xlfn.CONCAT("'",IF(ISNUMBER(FIND("'",$A106))=TRUE,_xlfn.CONCAT(LEFT($A106,FIND("'",$A106)-1),"''",RIGHT($A106,LEN($A106)-FIND("'",$A106))),$A106),"'!C11"))&gt;=S$2,"i",""))</f>
        <v>d</v>
      </c>
      <c r="T106" s="4" t="str" cm="1">
        <f t="array" aca="1" ref="T106" ca="1">IF(INDIRECT(_xlfn.CONCAT("'",IF(ISNUMBER(FIND("'",$A106))=TRUE,_xlfn.CONCAT(LEFT($A106,FIND("'",$A106)-1),"''",RIGHT($A106,LEN($A106)-FIND("'",$A106))),$A106),"'!C10"))&gt;=T$2,"d",IF(INDIRECT(_xlfn.CONCAT("'",IF(ISNUMBER(FIND("'",$A106))=TRUE,_xlfn.CONCAT(LEFT($A106,FIND("'",$A106)-1),"''",RIGHT($A106,LEN($A106)-FIND("'",$A106))),$A106),"'!C11"))&gt;=T$2,"i",""))</f>
        <v>d</v>
      </c>
    </row>
    <row r="107" spans="1:20" hidden="1" x14ac:dyDescent="0.25">
      <c r="A107" s="54" t="str">
        <v>Song of Broken Pines</v>
      </c>
      <c r="B107" s="14" cm="1">
        <f t="array" ref="B107">_xlfn.XLOOKUP(A107,INDEX(Weapon_List,,1),INDEX(Weapon_List,,3),,0,1)</f>
        <v>5</v>
      </c>
      <c r="C107" s="4" t="str" cm="1">
        <f t="array" ref="C107">_xlfn.XLOOKUP(A107,INDEX(Weapon_List,,1),INDEX(Weapon_List,,2),,0,1)</f>
        <v>Claymore</v>
      </c>
      <c r="D107" s="38" t="str" cm="1">
        <f t="array" ref="D107">_xlfn.XLOOKUP(A107,INDEX(Weapon_List,,1),INDEX(Weapon_List,,4),,0,1)</f>
        <v>Mondstadt 1</v>
      </c>
      <c r="E107" s="38" t="str" cm="1">
        <f t="array" ref="E107">_xlfn.XLOOKUP(A107,INDEX(Weapon_List,,1),INDEX(Weapon_List,,5),,0,1)</f>
        <v>Hilichurl</v>
      </c>
      <c r="F107" s="38" t="str" cm="1">
        <f t="array" ref="F107">_xlfn.XLOOKUP(A107,INDEX(Weapon_List,,1),INDEX(Weapon_List,,6),,0,1)</f>
        <v>Mitachurl</v>
      </c>
      <c r="G107" s="14" t="str" cm="1">
        <f t="array" aca="1" ref="G107" ca="1">IF(INDIRECT(_xlfn.CONCAT("'",IF(ISNUMBER(FIND("'",$A107))=TRUE,_xlfn.CONCAT(LEFT($A107,FIND("'",$A107)-1),"''",RIGHT($A107,LEN($A107)-FIND("'",$A107))),$A107),"'!B4"))&gt;=G$2,"d",IF(INDIRECT(_xlfn.CONCAT("'",IF(ISNUMBER(FIND("'",$A107))=TRUE,_xlfn.CONCAT(LEFT($A107,FIND("'",$A107)-1),"''",RIGHT($A107,LEN($A107)-FIND("'",$A107))),$A107),"'!B5"))&gt;=G$2,"i",""))</f>
        <v>d</v>
      </c>
      <c r="H107" s="1" t="str" cm="1">
        <f t="array" aca="1" ref="H107" ca="1">IF(INDIRECT(_xlfn.CONCAT("'",IF(ISNUMBER(FIND("'",$A107))=TRUE,_xlfn.CONCAT(LEFT($A107,FIND("'",$A107)-1),"''",RIGHT($A107,LEN($A107)-FIND("'",$A107))),$A107),"'!B4"))&gt;=H$2,"d",IF(INDIRECT(_xlfn.CONCAT("'",IF(ISNUMBER(FIND("'",$A107))=TRUE,_xlfn.CONCAT(LEFT($A107,FIND("'",$A107)-1),"''",RIGHT($A107,LEN($A107)-FIND("'",$A107))),$A107),"'!B5"))&gt;=H$2,"i",""))</f>
        <v>d</v>
      </c>
      <c r="I107" s="1" t="str" cm="1">
        <f t="array" aca="1" ref="I107" ca="1">IF(INDIRECT(_xlfn.CONCAT("'",IF(ISNUMBER(FIND("'",$A107))=TRUE,_xlfn.CONCAT(LEFT($A107,FIND("'",$A107)-1),"''",RIGHT($A107,LEN($A107)-FIND("'",$A107))),$A107),"'!B4"))&gt;=I$2,"d",IF(INDIRECT(_xlfn.CONCAT("'",IF(ISNUMBER(FIND("'",$A107))=TRUE,_xlfn.CONCAT(LEFT($A107,FIND("'",$A107)-1),"''",RIGHT($A107,LEN($A107)-FIND("'",$A107))),$A107),"'!B5"))&gt;=I$2,"i",""))</f>
        <v>d</v>
      </c>
      <c r="J107" s="1" t="str" cm="1">
        <f t="array" aca="1" ref="J107" ca="1">IF(INDIRECT(_xlfn.CONCAT("'",IF(ISNUMBER(FIND("'",$A107))=TRUE,_xlfn.CONCAT(LEFT($A107,FIND("'",$A107)-1),"''",RIGHT($A107,LEN($A107)-FIND("'",$A107))),$A107),"'!B4"))&gt;=J$2,"d",IF(INDIRECT(_xlfn.CONCAT("'",IF(ISNUMBER(FIND("'",$A107))=TRUE,_xlfn.CONCAT(LEFT($A107,FIND("'",$A107)-1),"''",RIGHT($A107,LEN($A107)-FIND("'",$A107))),$A107),"'!B5"))&gt;=J$2,"i",""))</f>
        <v>d</v>
      </c>
      <c r="K107" s="1" t="str" cm="1">
        <f t="array" aca="1" ref="K107" ca="1">IF(INDIRECT(_xlfn.CONCAT("'",IF(ISNUMBER(FIND("'",$A107))=TRUE,_xlfn.CONCAT(LEFT($A107,FIND("'",$A107)-1),"''",RIGHT($A107,LEN($A107)-FIND("'",$A107))),$A107),"'!B4"))&gt;=K$2,"d",IF(INDIRECT(_xlfn.CONCAT("'",IF(ISNUMBER(FIND("'",$A107))=TRUE,_xlfn.CONCAT(LEFT($A107,FIND("'",$A107)-1),"''",RIGHT($A107,LEN($A107)-FIND("'",$A107))),$A107),"'!B5"))&gt;=K$2,"i",""))</f>
        <v>d</v>
      </c>
      <c r="L107" s="1" t="str" cm="1">
        <f t="array" aca="1" ref="L107" ca="1">IF(INDIRECT(_xlfn.CONCAT("'",IF(ISNUMBER(FIND("'",$A107))=TRUE,_xlfn.CONCAT(LEFT($A107,FIND("'",$A107)-1),"''",RIGHT($A107,LEN($A107)-FIND("'",$A107))),$A107),"'!B4"))&gt;=L$2,"d",IF(INDIRECT(_xlfn.CONCAT("'",IF(ISNUMBER(FIND("'",$A107))=TRUE,_xlfn.CONCAT(LEFT($A107,FIND("'",$A107)-1),"''",RIGHT($A107,LEN($A107)-FIND("'",$A107))),$A107),"'!B5"))&gt;=L$2,"i",""))</f>
        <v>d</v>
      </c>
      <c r="M107" s="4" t="str" cm="1">
        <f t="array" aca="1" ref="M107" ca="1">IF(INDIRECT(_xlfn.CONCAT("'",IF(ISNUMBER(FIND("'",$A107))=TRUE,_xlfn.CONCAT(LEFT($A107,FIND("'",$A107)-1),"''",RIGHT($A107,LEN($A107)-FIND("'",$A107))),$A107),"'!B4"))&gt;=M$2,"d",IF(INDIRECT(_xlfn.CONCAT("'",IF(ISNUMBER(FIND("'",$A107))=TRUE,_xlfn.CONCAT(LEFT($A107,FIND("'",$A107)-1),"''",RIGHT($A107,LEN($A107)-FIND("'",$A107))),$A107),"'!B5"))&gt;=M$2,"i",""))</f>
        <v>d</v>
      </c>
      <c r="N107" s="95"/>
      <c r="O107" s="14" t="str" cm="1">
        <f t="array" aca="1" ref="O107" ca="1">IF(INDIRECT(_xlfn.CONCAT("'",IF(ISNUMBER(FIND("'",$A107))=TRUE,_xlfn.CONCAT(LEFT($A107,FIND("'",$A107)-1),"''",RIGHT($A107,LEN($A107)-FIND("'",$A107))),$A107),"'!C10"))&gt;=O$2,"d",IF(INDIRECT(_xlfn.CONCAT("'",IF(ISNUMBER(FIND("'",$A107))=TRUE,_xlfn.CONCAT(LEFT($A107,FIND("'",$A107)-1),"''",RIGHT($A107,LEN($A107)-FIND("'",$A107))),$A107),"'!C11"))&gt;=O$2,"i",""))</f>
        <v>d</v>
      </c>
      <c r="P107" s="1" t="str" cm="1">
        <f t="array" aca="1" ref="P107" ca="1">IF(INDIRECT(_xlfn.CONCAT("'",IF(ISNUMBER(FIND("'",$A107))=TRUE,_xlfn.CONCAT(LEFT($A107,FIND("'",$A107)-1),"''",RIGHT($A107,LEN($A107)-FIND("'",$A107))),$A107),"'!C10"))&gt;=P$2,"d",IF(INDIRECT(_xlfn.CONCAT("'",IF(ISNUMBER(FIND("'",$A107))=TRUE,_xlfn.CONCAT(LEFT($A107,FIND("'",$A107)-1),"''",RIGHT($A107,LEN($A107)-FIND("'",$A107))),$A107),"'!C11"))&gt;=P$2,"i",""))</f>
        <v>d</v>
      </c>
      <c r="Q107" s="1" t="str" cm="1">
        <f t="array" aca="1" ref="Q107" ca="1">IF(INDIRECT(_xlfn.CONCAT("'",IF(ISNUMBER(FIND("'",$A107))=TRUE,_xlfn.CONCAT(LEFT($A107,FIND("'",$A107)-1),"''",RIGHT($A107,LEN($A107)-FIND("'",$A107))),$A107),"'!C10"))&gt;=Q$2,"d",IF(INDIRECT(_xlfn.CONCAT("'",IF(ISNUMBER(FIND("'",$A107))=TRUE,_xlfn.CONCAT(LEFT($A107,FIND("'",$A107)-1),"''",RIGHT($A107,LEN($A107)-FIND("'",$A107))),$A107),"'!C11"))&gt;=Q$2,"i",""))</f>
        <v>d</v>
      </c>
      <c r="R107" s="1" t="str" cm="1">
        <f t="array" aca="1" ref="R107" ca="1">IF(INDIRECT(_xlfn.CONCAT("'",IF(ISNUMBER(FIND("'",$A107))=TRUE,_xlfn.CONCAT(LEFT($A107,FIND("'",$A107)-1),"''",RIGHT($A107,LEN($A107)-FIND("'",$A107))),$A107),"'!C10"))&gt;=R$2,"d",IF(INDIRECT(_xlfn.CONCAT("'",IF(ISNUMBER(FIND("'",$A107))=TRUE,_xlfn.CONCAT(LEFT($A107,FIND("'",$A107)-1),"''",RIGHT($A107,LEN($A107)-FIND("'",$A107))),$A107),"'!C11"))&gt;=R$2,"i",""))</f>
        <v>d</v>
      </c>
      <c r="S107" s="1" t="str" cm="1">
        <f t="array" aca="1" ref="S107" ca="1">IF(INDIRECT(_xlfn.CONCAT("'",IF(ISNUMBER(FIND("'",$A107))=TRUE,_xlfn.CONCAT(LEFT($A107,FIND("'",$A107)-1),"''",RIGHT($A107,LEN($A107)-FIND("'",$A107))),$A107),"'!C10"))&gt;=S$2,"d",IF(INDIRECT(_xlfn.CONCAT("'",IF(ISNUMBER(FIND("'",$A107))=TRUE,_xlfn.CONCAT(LEFT($A107,FIND("'",$A107)-1),"''",RIGHT($A107,LEN($A107)-FIND("'",$A107))),$A107),"'!C11"))&gt;=S$2,"i",""))</f>
        <v>d</v>
      </c>
      <c r="T107" s="4" t="str" cm="1">
        <f t="array" aca="1" ref="T107" ca="1">IF(INDIRECT(_xlfn.CONCAT("'",IF(ISNUMBER(FIND("'",$A107))=TRUE,_xlfn.CONCAT(LEFT($A107,FIND("'",$A107)-1),"''",RIGHT($A107,LEN($A107)-FIND("'",$A107))),$A107),"'!C10"))&gt;=T$2,"d",IF(INDIRECT(_xlfn.CONCAT("'",IF(ISNUMBER(FIND("'",$A107))=TRUE,_xlfn.CONCAT(LEFT($A107,FIND("'",$A107)-1),"''",RIGHT($A107,LEN($A107)-FIND("'",$A107))),$A107),"'!C11"))&gt;=T$2,"i",""))</f>
        <v>d</v>
      </c>
    </row>
    <row r="108" spans="1:20" hidden="1" x14ac:dyDescent="0.25">
      <c r="A108" s="54" t="str">
        <v>Dodoco Tales</v>
      </c>
      <c r="B108" s="14" cm="1">
        <f t="array" ref="B108">_xlfn.XLOOKUP(A108,INDEX(Weapon_List,,1),INDEX(Weapon_List,,3),,0,1)</f>
        <v>4</v>
      </c>
      <c r="C108" s="4" t="str" cm="1">
        <f t="array" ref="C108">_xlfn.XLOOKUP(A108,INDEX(Weapon_List,,1),INDEX(Weapon_List,,2),,0,1)</f>
        <v>Catalyst</v>
      </c>
      <c r="D108" s="38" t="str" cm="1">
        <f t="array" ref="D108">_xlfn.XLOOKUP(A108,INDEX(Weapon_List,,1),INDEX(Weapon_List,,4),,0,1)</f>
        <v>Mondstadt 2</v>
      </c>
      <c r="E108" s="38" t="str" cm="1">
        <f t="array" ref="E108">_xlfn.XLOOKUP(A108,INDEX(Weapon_List,,1),INDEX(Weapon_List,,5),,0,1)</f>
        <v>Hilichurl</v>
      </c>
      <c r="F108" s="38" t="str" cm="1">
        <f t="array" ref="F108">_xlfn.XLOOKUP(A108,INDEX(Weapon_List,,1),INDEX(Weapon_List,,6),,0,1)</f>
        <v>Abyss Mage</v>
      </c>
      <c r="G108" s="14" t="str" cm="1">
        <f t="array" aca="1" ref="G108" ca="1">IF(INDIRECT(_xlfn.CONCAT("'",IF(ISNUMBER(FIND("'",$A108))=TRUE,_xlfn.CONCAT(LEFT($A108,FIND("'",$A108)-1),"''",RIGHT($A108,LEN($A108)-FIND("'",$A108))),$A108),"'!B4"))&gt;=G$2,"d",IF(INDIRECT(_xlfn.CONCAT("'",IF(ISNUMBER(FIND("'",$A108))=TRUE,_xlfn.CONCAT(LEFT($A108,FIND("'",$A108)-1),"''",RIGHT($A108,LEN($A108)-FIND("'",$A108))),$A108),"'!B5"))&gt;=G$2,"i",""))</f>
        <v>d</v>
      </c>
      <c r="H108" s="1" t="str" cm="1">
        <f t="array" aca="1" ref="H108" ca="1">IF(INDIRECT(_xlfn.CONCAT("'",IF(ISNUMBER(FIND("'",$A108))=TRUE,_xlfn.CONCAT(LEFT($A108,FIND("'",$A108)-1),"''",RIGHT($A108,LEN($A108)-FIND("'",$A108))),$A108),"'!B4"))&gt;=H$2,"d",IF(INDIRECT(_xlfn.CONCAT("'",IF(ISNUMBER(FIND("'",$A108))=TRUE,_xlfn.CONCAT(LEFT($A108,FIND("'",$A108)-1),"''",RIGHT($A108,LEN($A108)-FIND("'",$A108))),$A108),"'!B5"))&gt;=H$2,"i",""))</f>
        <v>d</v>
      </c>
      <c r="I108" s="1" t="str" cm="1">
        <f t="array" aca="1" ref="I108" ca="1">IF(INDIRECT(_xlfn.CONCAT("'",IF(ISNUMBER(FIND("'",$A108))=TRUE,_xlfn.CONCAT(LEFT($A108,FIND("'",$A108)-1),"''",RIGHT($A108,LEN($A108)-FIND("'",$A108))),$A108),"'!B4"))&gt;=I$2,"d",IF(INDIRECT(_xlfn.CONCAT("'",IF(ISNUMBER(FIND("'",$A108))=TRUE,_xlfn.CONCAT(LEFT($A108,FIND("'",$A108)-1),"''",RIGHT($A108,LEN($A108)-FIND("'",$A108))),$A108),"'!B5"))&gt;=I$2,"i",""))</f>
        <v>d</v>
      </c>
      <c r="J108" s="1" t="str" cm="1">
        <f t="array" aca="1" ref="J108" ca="1">IF(INDIRECT(_xlfn.CONCAT("'",IF(ISNUMBER(FIND("'",$A108))=TRUE,_xlfn.CONCAT(LEFT($A108,FIND("'",$A108)-1),"''",RIGHT($A108,LEN($A108)-FIND("'",$A108))),$A108),"'!B4"))&gt;=J$2,"d",IF(INDIRECT(_xlfn.CONCAT("'",IF(ISNUMBER(FIND("'",$A108))=TRUE,_xlfn.CONCAT(LEFT($A108,FIND("'",$A108)-1),"''",RIGHT($A108,LEN($A108)-FIND("'",$A108))),$A108),"'!B5"))&gt;=J$2,"i",""))</f>
        <v>d</v>
      </c>
      <c r="K108" s="1" t="str" cm="1">
        <f t="array" aca="1" ref="K108" ca="1">IF(INDIRECT(_xlfn.CONCAT("'",IF(ISNUMBER(FIND("'",$A108))=TRUE,_xlfn.CONCAT(LEFT($A108,FIND("'",$A108)-1),"''",RIGHT($A108,LEN($A108)-FIND("'",$A108))),$A108),"'!B4"))&gt;=K$2,"d",IF(INDIRECT(_xlfn.CONCAT("'",IF(ISNUMBER(FIND("'",$A108))=TRUE,_xlfn.CONCAT(LEFT($A108,FIND("'",$A108)-1),"''",RIGHT($A108,LEN($A108)-FIND("'",$A108))),$A108),"'!B5"))&gt;=K$2,"i",""))</f>
        <v>d</v>
      </c>
      <c r="L108" s="1" t="str" cm="1">
        <f t="array" aca="1" ref="L108" ca="1">IF(INDIRECT(_xlfn.CONCAT("'",IF(ISNUMBER(FIND("'",$A108))=TRUE,_xlfn.CONCAT(LEFT($A108,FIND("'",$A108)-1),"''",RIGHT($A108,LEN($A108)-FIND("'",$A108))),$A108),"'!B4"))&gt;=L$2,"d",IF(INDIRECT(_xlfn.CONCAT("'",IF(ISNUMBER(FIND("'",$A108))=TRUE,_xlfn.CONCAT(LEFT($A108,FIND("'",$A108)-1),"''",RIGHT($A108,LEN($A108)-FIND("'",$A108))),$A108),"'!B5"))&gt;=L$2,"i",""))</f>
        <v>d</v>
      </c>
      <c r="M108" s="4" t="str" cm="1">
        <f t="array" aca="1" ref="M108" ca="1">IF(INDIRECT(_xlfn.CONCAT("'",IF(ISNUMBER(FIND("'",$A108))=TRUE,_xlfn.CONCAT(LEFT($A108,FIND("'",$A108)-1),"''",RIGHT($A108,LEN($A108)-FIND("'",$A108))),$A108),"'!B4"))&gt;=M$2,"d",IF(INDIRECT(_xlfn.CONCAT("'",IF(ISNUMBER(FIND("'",$A108))=TRUE,_xlfn.CONCAT(LEFT($A108,FIND("'",$A108)-1),"''",RIGHT($A108,LEN($A108)-FIND("'",$A108))),$A108),"'!B5"))&gt;=M$2,"i",""))</f>
        <v>d</v>
      </c>
      <c r="N108" s="95"/>
      <c r="O108" s="14" t="str" cm="1">
        <f t="array" aca="1" ref="O108" ca="1">IF(INDIRECT(_xlfn.CONCAT("'",IF(ISNUMBER(FIND("'",$A108))=TRUE,_xlfn.CONCAT(LEFT($A108,FIND("'",$A108)-1),"''",RIGHT($A108,LEN($A108)-FIND("'",$A108))),$A108),"'!C10"))&gt;=O$2,"d",IF(INDIRECT(_xlfn.CONCAT("'",IF(ISNUMBER(FIND("'",$A108))=TRUE,_xlfn.CONCAT(LEFT($A108,FIND("'",$A108)-1),"''",RIGHT($A108,LEN($A108)-FIND("'",$A108))),$A108),"'!C11"))&gt;=O$2,"i",""))</f>
        <v>d</v>
      </c>
      <c r="P108" s="1" t="str" cm="1">
        <f t="array" aca="1" ref="P108" ca="1">IF(INDIRECT(_xlfn.CONCAT("'",IF(ISNUMBER(FIND("'",$A108))=TRUE,_xlfn.CONCAT(LEFT($A108,FIND("'",$A108)-1),"''",RIGHT($A108,LEN($A108)-FIND("'",$A108))),$A108),"'!C10"))&gt;=P$2,"d",IF(INDIRECT(_xlfn.CONCAT("'",IF(ISNUMBER(FIND("'",$A108))=TRUE,_xlfn.CONCAT(LEFT($A108,FIND("'",$A108)-1),"''",RIGHT($A108,LEN($A108)-FIND("'",$A108))),$A108),"'!C11"))&gt;=P$2,"i",""))</f>
        <v>d</v>
      </c>
      <c r="Q108" s="1" t="str" cm="1">
        <f t="array" aca="1" ref="Q108" ca="1">IF(INDIRECT(_xlfn.CONCAT("'",IF(ISNUMBER(FIND("'",$A108))=TRUE,_xlfn.CONCAT(LEFT($A108,FIND("'",$A108)-1),"''",RIGHT($A108,LEN($A108)-FIND("'",$A108))),$A108),"'!C10"))&gt;=Q$2,"d",IF(INDIRECT(_xlfn.CONCAT("'",IF(ISNUMBER(FIND("'",$A108))=TRUE,_xlfn.CONCAT(LEFT($A108,FIND("'",$A108)-1),"''",RIGHT($A108,LEN($A108)-FIND("'",$A108))),$A108),"'!C11"))&gt;=Q$2,"i",""))</f>
        <v>d</v>
      </c>
      <c r="R108" s="1" t="str" cm="1">
        <f t="array" aca="1" ref="R108" ca="1">IF(INDIRECT(_xlfn.CONCAT("'",IF(ISNUMBER(FIND("'",$A108))=TRUE,_xlfn.CONCAT(LEFT($A108,FIND("'",$A108)-1),"''",RIGHT($A108,LEN($A108)-FIND("'",$A108))),$A108),"'!C10"))&gt;=R$2,"d",IF(INDIRECT(_xlfn.CONCAT("'",IF(ISNUMBER(FIND("'",$A108))=TRUE,_xlfn.CONCAT(LEFT($A108,FIND("'",$A108)-1),"''",RIGHT($A108,LEN($A108)-FIND("'",$A108))),$A108),"'!C11"))&gt;=R$2,"i",""))</f>
        <v>d</v>
      </c>
      <c r="S108" s="1" t="str" cm="1">
        <f t="array" aca="1" ref="S108" ca="1">IF(INDIRECT(_xlfn.CONCAT("'",IF(ISNUMBER(FIND("'",$A108))=TRUE,_xlfn.CONCAT(LEFT($A108,FIND("'",$A108)-1),"''",RIGHT($A108,LEN($A108)-FIND("'",$A108))),$A108),"'!C10"))&gt;=S$2,"d",IF(INDIRECT(_xlfn.CONCAT("'",IF(ISNUMBER(FIND("'",$A108))=TRUE,_xlfn.CONCAT(LEFT($A108,FIND("'",$A108)-1),"''",RIGHT($A108,LEN($A108)-FIND("'",$A108))),$A108),"'!C11"))&gt;=S$2,"i",""))</f>
        <v>d</v>
      </c>
      <c r="T108" s="4" t="str" cm="1">
        <f t="array" aca="1" ref="T108" ca="1">IF(INDIRECT(_xlfn.CONCAT("'",IF(ISNUMBER(FIND("'",$A108))=TRUE,_xlfn.CONCAT(LEFT($A108,FIND("'",$A108)-1),"''",RIGHT($A108,LEN($A108)-FIND("'",$A108))),$A108),"'!C10"))&gt;=T$2,"d",IF(INDIRECT(_xlfn.CONCAT("'",IF(ISNUMBER(FIND("'",$A108))=TRUE,_xlfn.CONCAT(LEFT($A108,FIND("'",$A108)-1),"''",RIGHT($A108,LEN($A108)-FIND("'",$A108))),$A108),"'!C11"))&gt;=T$2,"i",""))</f>
        <v>d</v>
      </c>
    </row>
    <row r="109" spans="1:20" hidden="1" x14ac:dyDescent="0.25">
      <c r="A109" s="54" t="str">
        <v>Mitternachts Waltz</v>
      </c>
      <c r="B109" s="14" cm="1">
        <f t="array" ref="B109">_xlfn.XLOOKUP(A109,INDEX(Weapon_List,,1),INDEX(Weapon_List,,3),,0,1)</f>
        <v>4</v>
      </c>
      <c r="C109" s="4" t="str" cm="1">
        <f t="array" ref="C109">_xlfn.XLOOKUP(A109,INDEX(Weapon_List,,1),INDEX(Weapon_List,,2),,0,1)</f>
        <v>Bow</v>
      </c>
      <c r="D109" s="38" t="str" cm="1">
        <f t="array" ref="D109">_xlfn.XLOOKUP(A109,INDEX(Weapon_List,,1),INDEX(Weapon_List,,4),,0,1)</f>
        <v>Mondstadt 1</v>
      </c>
      <c r="E109" s="38" t="str" cm="1">
        <f t="array" ref="E109">_xlfn.XLOOKUP(A109,INDEX(Weapon_List,,1),INDEX(Weapon_List,,5),,0,1)</f>
        <v>Treasure Hoarder</v>
      </c>
      <c r="F109" s="38" t="str" cm="1">
        <f t="array" ref="F109">_xlfn.XLOOKUP(A109,INDEX(Weapon_List,,1),INDEX(Weapon_List,,6),,0,1)</f>
        <v>Mitachurl</v>
      </c>
      <c r="G109" s="14" t="str" cm="1">
        <f t="array" aca="1" ref="G109" ca="1">IF(INDIRECT(_xlfn.CONCAT("'",IF(ISNUMBER(FIND("'",$A109))=TRUE,_xlfn.CONCAT(LEFT($A109,FIND("'",$A109)-1),"''",RIGHT($A109,LEN($A109)-FIND("'",$A109))),$A109),"'!B4"))&gt;=G$2,"d",IF(INDIRECT(_xlfn.CONCAT("'",IF(ISNUMBER(FIND("'",$A109))=TRUE,_xlfn.CONCAT(LEFT($A109,FIND("'",$A109)-1),"''",RIGHT($A109,LEN($A109)-FIND("'",$A109))),$A109),"'!B5"))&gt;=G$2,"i",""))</f>
        <v>d</v>
      </c>
      <c r="H109" s="1" t="str" cm="1">
        <f t="array" aca="1" ref="H109" ca="1">IF(INDIRECT(_xlfn.CONCAT("'",IF(ISNUMBER(FIND("'",$A109))=TRUE,_xlfn.CONCAT(LEFT($A109,FIND("'",$A109)-1),"''",RIGHT($A109,LEN($A109)-FIND("'",$A109))),$A109),"'!B4"))&gt;=H$2,"d",IF(INDIRECT(_xlfn.CONCAT("'",IF(ISNUMBER(FIND("'",$A109))=TRUE,_xlfn.CONCAT(LEFT($A109,FIND("'",$A109)-1),"''",RIGHT($A109,LEN($A109)-FIND("'",$A109))),$A109),"'!B5"))&gt;=H$2,"i",""))</f>
        <v>d</v>
      </c>
      <c r="I109" s="1" t="str" cm="1">
        <f t="array" aca="1" ref="I109" ca="1">IF(INDIRECT(_xlfn.CONCAT("'",IF(ISNUMBER(FIND("'",$A109))=TRUE,_xlfn.CONCAT(LEFT($A109,FIND("'",$A109)-1),"''",RIGHT($A109,LEN($A109)-FIND("'",$A109))),$A109),"'!B4"))&gt;=I$2,"d",IF(INDIRECT(_xlfn.CONCAT("'",IF(ISNUMBER(FIND("'",$A109))=TRUE,_xlfn.CONCAT(LEFT($A109,FIND("'",$A109)-1),"''",RIGHT($A109,LEN($A109)-FIND("'",$A109))),$A109),"'!B5"))&gt;=I$2,"i",""))</f>
        <v>d</v>
      </c>
      <c r="J109" s="1" t="str" cm="1">
        <f t="array" aca="1" ref="J109" ca="1">IF(INDIRECT(_xlfn.CONCAT("'",IF(ISNUMBER(FIND("'",$A109))=TRUE,_xlfn.CONCAT(LEFT($A109,FIND("'",$A109)-1),"''",RIGHT($A109,LEN($A109)-FIND("'",$A109))),$A109),"'!B4"))&gt;=J$2,"d",IF(INDIRECT(_xlfn.CONCAT("'",IF(ISNUMBER(FIND("'",$A109))=TRUE,_xlfn.CONCAT(LEFT($A109,FIND("'",$A109)-1),"''",RIGHT($A109,LEN($A109)-FIND("'",$A109))),$A109),"'!B5"))&gt;=J$2,"i",""))</f>
        <v>d</v>
      </c>
      <c r="K109" s="1" t="str" cm="1">
        <f t="array" aca="1" ref="K109" ca="1">IF(INDIRECT(_xlfn.CONCAT("'",IF(ISNUMBER(FIND("'",$A109))=TRUE,_xlfn.CONCAT(LEFT($A109,FIND("'",$A109)-1),"''",RIGHT($A109,LEN($A109)-FIND("'",$A109))),$A109),"'!B4"))&gt;=K$2,"d",IF(INDIRECT(_xlfn.CONCAT("'",IF(ISNUMBER(FIND("'",$A109))=TRUE,_xlfn.CONCAT(LEFT($A109,FIND("'",$A109)-1),"''",RIGHT($A109,LEN($A109)-FIND("'",$A109))),$A109),"'!B5"))&gt;=K$2,"i",""))</f>
        <v>d</v>
      </c>
      <c r="L109" s="1" t="str" cm="1">
        <f t="array" aca="1" ref="L109" ca="1">IF(INDIRECT(_xlfn.CONCAT("'",IF(ISNUMBER(FIND("'",$A109))=TRUE,_xlfn.CONCAT(LEFT($A109,FIND("'",$A109)-1),"''",RIGHT($A109,LEN($A109)-FIND("'",$A109))),$A109),"'!B4"))&gt;=L$2,"d",IF(INDIRECT(_xlfn.CONCAT("'",IF(ISNUMBER(FIND("'",$A109))=TRUE,_xlfn.CONCAT(LEFT($A109,FIND("'",$A109)-1),"''",RIGHT($A109,LEN($A109)-FIND("'",$A109))),$A109),"'!B5"))&gt;=L$2,"i",""))</f>
        <v>d</v>
      </c>
      <c r="M109" s="4" t="str" cm="1">
        <f t="array" aca="1" ref="M109" ca="1">IF(INDIRECT(_xlfn.CONCAT("'",IF(ISNUMBER(FIND("'",$A109))=TRUE,_xlfn.CONCAT(LEFT($A109,FIND("'",$A109)-1),"''",RIGHT($A109,LEN($A109)-FIND("'",$A109))),$A109),"'!B4"))&gt;=M$2,"d",IF(INDIRECT(_xlfn.CONCAT("'",IF(ISNUMBER(FIND("'",$A109))=TRUE,_xlfn.CONCAT(LEFT($A109,FIND("'",$A109)-1),"''",RIGHT($A109,LEN($A109)-FIND("'",$A109))),$A109),"'!B5"))&gt;=M$2,"i",""))</f>
        <v>d</v>
      </c>
      <c r="N109" s="95"/>
      <c r="O109" s="14" t="str" cm="1">
        <f t="array" aca="1" ref="O109" ca="1">IF(INDIRECT(_xlfn.CONCAT("'",IF(ISNUMBER(FIND("'",$A109))=TRUE,_xlfn.CONCAT(LEFT($A109,FIND("'",$A109)-1),"''",RIGHT($A109,LEN($A109)-FIND("'",$A109))),$A109),"'!C10"))&gt;=O$2,"d",IF(INDIRECT(_xlfn.CONCAT("'",IF(ISNUMBER(FIND("'",$A109))=TRUE,_xlfn.CONCAT(LEFT($A109,FIND("'",$A109)-1),"''",RIGHT($A109,LEN($A109)-FIND("'",$A109))),$A109),"'!C11"))&gt;=O$2,"i",""))</f>
        <v>d</v>
      </c>
      <c r="P109" s="1" t="str" cm="1">
        <f t="array" aca="1" ref="P109" ca="1">IF(INDIRECT(_xlfn.CONCAT("'",IF(ISNUMBER(FIND("'",$A109))=TRUE,_xlfn.CONCAT(LEFT($A109,FIND("'",$A109)-1),"''",RIGHT($A109,LEN($A109)-FIND("'",$A109))),$A109),"'!C10"))&gt;=P$2,"d",IF(INDIRECT(_xlfn.CONCAT("'",IF(ISNUMBER(FIND("'",$A109))=TRUE,_xlfn.CONCAT(LEFT($A109,FIND("'",$A109)-1),"''",RIGHT($A109,LEN($A109)-FIND("'",$A109))),$A109),"'!C11"))&gt;=P$2,"i",""))</f>
        <v>d</v>
      </c>
      <c r="Q109" s="1" t="str" cm="1">
        <f t="array" aca="1" ref="Q109" ca="1">IF(INDIRECT(_xlfn.CONCAT("'",IF(ISNUMBER(FIND("'",$A109))=TRUE,_xlfn.CONCAT(LEFT($A109,FIND("'",$A109)-1),"''",RIGHT($A109,LEN($A109)-FIND("'",$A109))),$A109),"'!C10"))&gt;=Q$2,"d",IF(INDIRECT(_xlfn.CONCAT("'",IF(ISNUMBER(FIND("'",$A109))=TRUE,_xlfn.CONCAT(LEFT($A109,FIND("'",$A109)-1),"''",RIGHT($A109,LEN($A109)-FIND("'",$A109))),$A109),"'!C11"))&gt;=Q$2,"i",""))</f>
        <v>d</v>
      </c>
      <c r="R109" s="1" t="str" cm="1">
        <f t="array" aca="1" ref="R109" ca="1">IF(INDIRECT(_xlfn.CONCAT("'",IF(ISNUMBER(FIND("'",$A109))=TRUE,_xlfn.CONCAT(LEFT($A109,FIND("'",$A109)-1),"''",RIGHT($A109,LEN($A109)-FIND("'",$A109))),$A109),"'!C10"))&gt;=R$2,"d",IF(INDIRECT(_xlfn.CONCAT("'",IF(ISNUMBER(FIND("'",$A109))=TRUE,_xlfn.CONCAT(LEFT($A109,FIND("'",$A109)-1),"''",RIGHT($A109,LEN($A109)-FIND("'",$A109))),$A109),"'!C11"))&gt;=R$2,"i",""))</f>
        <v>d</v>
      </c>
      <c r="S109" s="1" t="str" cm="1">
        <f t="array" aca="1" ref="S109" ca="1">IF(INDIRECT(_xlfn.CONCAT("'",IF(ISNUMBER(FIND("'",$A109))=TRUE,_xlfn.CONCAT(LEFT($A109,FIND("'",$A109)-1),"''",RIGHT($A109,LEN($A109)-FIND("'",$A109))),$A109),"'!C10"))&gt;=S$2,"d",IF(INDIRECT(_xlfn.CONCAT("'",IF(ISNUMBER(FIND("'",$A109))=TRUE,_xlfn.CONCAT(LEFT($A109,FIND("'",$A109)-1),"''",RIGHT($A109,LEN($A109)-FIND("'",$A109))),$A109),"'!C11"))&gt;=S$2,"i",""))</f>
        <v>d</v>
      </c>
      <c r="T109" s="4" t="str" cm="1">
        <f t="array" aca="1" ref="T109" ca="1">IF(INDIRECT(_xlfn.CONCAT("'",IF(ISNUMBER(FIND("'",$A109))=TRUE,_xlfn.CONCAT(LEFT($A109,FIND("'",$A109)-1),"''",RIGHT($A109,LEN($A109)-FIND("'",$A109))),$A109),"'!C10"))&gt;=T$2,"d",IF(INDIRECT(_xlfn.CONCAT("'",IF(ISNUMBER(FIND("'",$A109))=TRUE,_xlfn.CONCAT(LEFT($A109,FIND("'",$A109)-1),"''",RIGHT($A109,LEN($A109)-FIND("'",$A109))),$A109),"'!C11"))&gt;=T$2,"i",""))</f>
        <v>d</v>
      </c>
    </row>
    <row r="110" spans="1:20" hidden="1" x14ac:dyDescent="0.25">
      <c r="A110" s="54" t="str">
        <v>Freedom-Sworn</v>
      </c>
      <c r="B110" s="14" cm="1">
        <f t="array" ref="B110">_xlfn.XLOOKUP(A110,INDEX(Weapon_List,,1),INDEX(Weapon_List,,3),,0,1)</f>
        <v>5</v>
      </c>
      <c r="C110" s="4" t="str" cm="1">
        <f t="array" ref="C110">_xlfn.XLOOKUP(A110,INDEX(Weapon_List,,1),INDEX(Weapon_List,,2),,0,1)</f>
        <v>Sword</v>
      </c>
      <c r="D110" s="38" t="str" cm="1">
        <f t="array" ref="D110">_xlfn.XLOOKUP(A110,INDEX(Weapon_List,,1),INDEX(Weapon_List,,4),,0,1)</f>
        <v>Mondstadt 3</v>
      </c>
      <c r="E110" s="38" t="str" cm="1">
        <f t="array" ref="E110">_xlfn.XLOOKUP(A110,INDEX(Weapon_List,,1),INDEX(Weapon_List,,5),,0,1)</f>
        <v>Samachurl</v>
      </c>
      <c r="F110" s="38" t="str" cm="1">
        <f t="array" ref="F110">_xlfn.XLOOKUP(A110,INDEX(Weapon_List,,1),INDEX(Weapon_List,,6),,0,1)</f>
        <v>Ruin Machine 1</v>
      </c>
      <c r="G110" s="14" t="str" cm="1">
        <f t="array" aca="1" ref="G110" ca="1">IF(INDIRECT(_xlfn.CONCAT("'",IF(ISNUMBER(FIND("'",$A110))=TRUE,_xlfn.CONCAT(LEFT($A110,FIND("'",$A110)-1),"''",RIGHT($A110,LEN($A110)-FIND("'",$A110))),$A110),"'!B4"))&gt;=G$2,"d",IF(INDIRECT(_xlfn.CONCAT("'",IF(ISNUMBER(FIND("'",$A110))=TRUE,_xlfn.CONCAT(LEFT($A110,FIND("'",$A110)-1),"''",RIGHT($A110,LEN($A110)-FIND("'",$A110))),$A110),"'!B5"))&gt;=G$2,"i",""))</f>
        <v>d</v>
      </c>
      <c r="H110" s="1" t="str" cm="1">
        <f t="array" aca="1" ref="H110" ca="1">IF(INDIRECT(_xlfn.CONCAT("'",IF(ISNUMBER(FIND("'",$A110))=TRUE,_xlfn.CONCAT(LEFT($A110,FIND("'",$A110)-1),"''",RIGHT($A110,LEN($A110)-FIND("'",$A110))),$A110),"'!B4"))&gt;=H$2,"d",IF(INDIRECT(_xlfn.CONCAT("'",IF(ISNUMBER(FIND("'",$A110))=TRUE,_xlfn.CONCAT(LEFT($A110,FIND("'",$A110)-1),"''",RIGHT($A110,LEN($A110)-FIND("'",$A110))),$A110),"'!B5"))&gt;=H$2,"i",""))</f>
        <v>d</v>
      </c>
      <c r="I110" s="1" t="str" cm="1">
        <f t="array" aca="1" ref="I110" ca="1">IF(INDIRECT(_xlfn.CONCAT("'",IF(ISNUMBER(FIND("'",$A110))=TRUE,_xlfn.CONCAT(LEFT($A110,FIND("'",$A110)-1),"''",RIGHT($A110,LEN($A110)-FIND("'",$A110))),$A110),"'!B4"))&gt;=I$2,"d",IF(INDIRECT(_xlfn.CONCAT("'",IF(ISNUMBER(FIND("'",$A110))=TRUE,_xlfn.CONCAT(LEFT($A110,FIND("'",$A110)-1),"''",RIGHT($A110,LEN($A110)-FIND("'",$A110))),$A110),"'!B5"))&gt;=I$2,"i",""))</f>
        <v>d</v>
      </c>
      <c r="J110" s="1" t="str" cm="1">
        <f t="array" aca="1" ref="J110" ca="1">IF(INDIRECT(_xlfn.CONCAT("'",IF(ISNUMBER(FIND("'",$A110))=TRUE,_xlfn.CONCAT(LEFT($A110,FIND("'",$A110)-1),"''",RIGHT($A110,LEN($A110)-FIND("'",$A110))),$A110),"'!B4"))&gt;=J$2,"d",IF(INDIRECT(_xlfn.CONCAT("'",IF(ISNUMBER(FIND("'",$A110))=TRUE,_xlfn.CONCAT(LEFT($A110,FIND("'",$A110)-1),"''",RIGHT($A110,LEN($A110)-FIND("'",$A110))),$A110),"'!B5"))&gt;=J$2,"i",""))</f>
        <v>d</v>
      </c>
      <c r="K110" s="1" t="str" cm="1">
        <f t="array" aca="1" ref="K110" ca="1">IF(INDIRECT(_xlfn.CONCAT("'",IF(ISNUMBER(FIND("'",$A110))=TRUE,_xlfn.CONCAT(LEFT($A110,FIND("'",$A110)-1),"''",RIGHT($A110,LEN($A110)-FIND("'",$A110))),$A110),"'!B4"))&gt;=K$2,"d",IF(INDIRECT(_xlfn.CONCAT("'",IF(ISNUMBER(FIND("'",$A110))=TRUE,_xlfn.CONCAT(LEFT($A110,FIND("'",$A110)-1),"''",RIGHT($A110,LEN($A110)-FIND("'",$A110))),$A110),"'!B5"))&gt;=K$2,"i",""))</f>
        <v>d</v>
      </c>
      <c r="L110" s="1" t="str" cm="1">
        <f t="array" aca="1" ref="L110" ca="1">IF(INDIRECT(_xlfn.CONCAT("'",IF(ISNUMBER(FIND("'",$A110))=TRUE,_xlfn.CONCAT(LEFT($A110,FIND("'",$A110)-1),"''",RIGHT($A110,LEN($A110)-FIND("'",$A110))),$A110),"'!B4"))&gt;=L$2,"d",IF(INDIRECT(_xlfn.CONCAT("'",IF(ISNUMBER(FIND("'",$A110))=TRUE,_xlfn.CONCAT(LEFT($A110,FIND("'",$A110)-1),"''",RIGHT($A110,LEN($A110)-FIND("'",$A110))),$A110),"'!B5"))&gt;=L$2,"i",""))</f>
        <v>d</v>
      </c>
      <c r="M110" s="4" t="str" cm="1">
        <f t="array" aca="1" ref="M110" ca="1">IF(INDIRECT(_xlfn.CONCAT("'",IF(ISNUMBER(FIND("'",$A110))=TRUE,_xlfn.CONCAT(LEFT($A110,FIND("'",$A110)-1),"''",RIGHT($A110,LEN($A110)-FIND("'",$A110))),$A110),"'!B4"))&gt;=M$2,"d",IF(INDIRECT(_xlfn.CONCAT("'",IF(ISNUMBER(FIND("'",$A110))=TRUE,_xlfn.CONCAT(LEFT($A110,FIND("'",$A110)-1),"''",RIGHT($A110,LEN($A110)-FIND("'",$A110))),$A110),"'!B5"))&gt;=M$2,"i",""))</f>
        <v>d</v>
      </c>
      <c r="N110" s="95"/>
      <c r="O110" s="14" t="str" cm="1">
        <f t="array" aca="1" ref="O110" ca="1">IF(INDIRECT(_xlfn.CONCAT("'",IF(ISNUMBER(FIND("'",$A110))=TRUE,_xlfn.CONCAT(LEFT($A110,FIND("'",$A110)-1),"''",RIGHT($A110,LEN($A110)-FIND("'",$A110))),$A110),"'!C10"))&gt;=O$2,"d",IF(INDIRECT(_xlfn.CONCAT("'",IF(ISNUMBER(FIND("'",$A110))=TRUE,_xlfn.CONCAT(LEFT($A110,FIND("'",$A110)-1),"''",RIGHT($A110,LEN($A110)-FIND("'",$A110))),$A110),"'!C11"))&gt;=O$2,"i",""))</f>
        <v>d</v>
      </c>
      <c r="P110" s="1" t="str" cm="1">
        <f t="array" aca="1" ref="P110" ca="1">IF(INDIRECT(_xlfn.CONCAT("'",IF(ISNUMBER(FIND("'",$A110))=TRUE,_xlfn.CONCAT(LEFT($A110,FIND("'",$A110)-1),"''",RIGHT($A110,LEN($A110)-FIND("'",$A110))),$A110),"'!C10"))&gt;=P$2,"d",IF(INDIRECT(_xlfn.CONCAT("'",IF(ISNUMBER(FIND("'",$A110))=TRUE,_xlfn.CONCAT(LEFT($A110,FIND("'",$A110)-1),"''",RIGHT($A110,LEN($A110)-FIND("'",$A110))),$A110),"'!C11"))&gt;=P$2,"i",""))</f>
        <v>d</v>
      </c>
      <c r="Q110" s="1" t="str" cm="1">
        <f t="array" aca="1" ref="Q110" ca="1">IF(INDIRECT(_xlfn.CONCAT("'",IF(ISNUMBER(FIND("'",$A110))=TRUE,_xlfn.CONCAT(LEFT($A110,FIND("'",$A110)-1),"''",RIGHT($A110,LEN($A110)-FIND("'",$A110))),$A110),"'!C10"))&gt;=Q$2,"d",IF(INDIRECT(_xlfn.CONCAT("'",IF(ISNUMBER(FIND("'",$A110))=TRUE,_xlfn.CONCAT(LEFT($A110,FIND("'",$A110)-1),"''",RIGHT($A110,LEN($A110)-FIND("'",$A110))),$A110),"'!C11"))&gt;=Q$2,"i",""))</f>
        <v>d</v>
      </c>
      <c r="R110" s="1" t="str" cm="1">
        <f t="array" aca="1" ref="R110" ca="1">IF(INDIRECT(_xlfn.CONCAT("'",IF(ISNUMBER(FIND("'",$A110))=TRUE,_xlfn.CONCAT(LEFT($A110,FIND("'",$A110)-1),"''",RIGHT($A110,LEN($A110)-FIND("'",$A110))),$A110),"'!C10"))&gt;=R$2,"d",IF(INDIRECT(_xlfn.CONCAT("'",IF(ISNUMBER(FIND("'",$A110))=TRUE,_xlfn.CONCAT(LEFT($A110,FIND("'",$A110)-1),"''",RIGHT($A110,LEN($A110)-FIND("'",$A110))),$A110),"'!C11"))&gt;=R$2,"i",""))</f>
        <v>d</v>
      </c>
      <c r="S110" s="1" t="str" cm="1">
        <f t="array" aca="1" ref="S110" ca="1">IF(INDIRECT(_xlfn.CONCAT("'",IF(ISNUMBER(FIND("'",$A110))=TRUE,_xlfn.CONCAT(LEFT($A110,FIND("'",$A110)-1),"''",RIGHT($A110,LEN($A110)-FIND("'",$A110))),$A110),"'!C10"))&gt;=S$2,"d",IF(INDIRECT(_xlfn.CONCAT("'",IF(ISNUMBER(FIND("'",$A110))=TRUE,_xlfn.CONCAT(LEFT($A110,FIND("'",$A110)-1),"''",RIGHT($A110,LEN($A110)-FIND("'",$A110))),$A110),"'!C11"))&gt;=S$2,"i",""))</f>
        <v>d</v>
      </c>
      <c r="T110" s="4" t="str" cm="1">
        <f t="array" aca="1" ref="T110" ca="1">IF(INDIRECT(_xlfn.CONCAT("'",IF(ISNUMBER(FIND("'",$A110))=TRUE,_xlfn.CONCAT(LEFT($A110,FIND("'",$A110)-1),"''",RIGHT($A110,LEN($A110)-FIND("'",$A110))),$A110),"'!C10"))&gt;=T$2,"d",IF(INDIRECT(_xlfn.CONCAT("'",IF(ISNUMBER(FIND("'",$A110))=TRUE,_xlfn.CONCAT(LEFT($A110,FIND("'",$A110)-1),"''",RIGHT($A110,LEN($A110)-FIND("'",$A110))),$A110),"'!C11"))&gt;=T$2,"i",""))</f>
        <v>d</v>
      </c>
    </row>
    <row r="111" spans="1:20" hidden="1" x14ac:dyDescent="0.25">
      <c r="A111" s="54" t="str">
        <v>Amenoma Kageuchi</v>
      </c>
      <c r="B111" s="14" cm="1">
        <f t="array" ref="B111">_xlfn.XLOOKUP(A111,INDEX(Weapon_List,,1),INDEX(Weapon_List,,3),,0,1)</f>
        <v>4</v>
      </c>
      <c r="C111" s="4" t="str" cm="1">
        <f t="array" ref="C111">_xlfn.XLOOKUP(A111,INDEX(Weapon_List,,1),INDEX(Weapon_List,,2),,0,1)</f>
        <v>Sword</v>
      </c>
      <c r="D111" s="38" t="str" cm="1">
        <f t="array" ref="D111">_xlfn.XLOOKUP(A111,INDEX(Weapon_List,,1),INDEX(Weapon_List,,4),,0,1)</f>
        <v>Inazuma 1</v>
      </c>
      <c r="E111" s="38" t="str" cm="1">
        <f t="array" ref="E111">_xlfn.XLOOKUP(A111,INDEX(Weapon_List,,1),INDEX(Weapon_List,,5),,0,1)</f>
        <v>Nobushi</v>
      </c>
      <c r="F111" s="38" t="str" cm="1">
        <f t="array" ref="F111">_xlfn.XLOOKUP(A111,INDEX(Weapon_List,,1),INDEX(Weapon_List,,6),,0,1)</f>
        <v>Ruin Machine 2</v>
      </c>
      <c r="G111" s="14" t="str" cm="1">
        <f t="array" aca="1" ref="G111" ca="1">IF(INDIRECT(_xlfn.CONCAT("'",IF(ISNUMBER(FIND("'",$A111))=TRUE,_xlfn.CONCAT(LEFT($A111,FIND("'",$A111)-1),"''",RIGHT($A111,LEN($A111)-FIND("'",$A111))),$A111),"'!B4"))&gt;=G$2,"d",IF(INDIRECT(_xlfn.CONCAT("'",IF(ISNUMBER(FIND("'",$A111))=TRUE,_xlfn.CONCAT(LEFT($A111,FIND("'",$A111)-1),"''",RIGHT($A111,LEN($A111)-FIND("'",$A111))),$A111),"'!B5"))&gt;=G$2,"i",""))</f>
        <v>d</v>
      </c>
      <c r="H111" s="1" t="str" cm="1">
        <f t="array" aca="1" ref="H111" ca="1">IF(INDIRECT(_xlfn.CONCAT("'",IF(ISNUMBER(FIND("'",$A111))=TRUE,_xlfn.CONCAT(LEFT($A111,FIND("'",$A111)-1),"''",RIGHT($A111,LEN($A111)-FIND("'",$A111))),$A111),"'!B4"))&gt;=H$2,"d",IF(INDIRECT(_xlfn.CONCAT("'",IF(ISNUMBER(FIND("'",$A111))=TRUE,_xlfn.CONCAT(LEFT($A111,FIND("'",$A111)-1),"''",RIGHT($A111,LEN($A111)-FIND("'",$A111))),$A111),"'!B5"))&gt;=H$2,"i",""))</f>
        <v>d</v>
      </c>
      <c r="I111" s="1" t="str" cm="1">
        <f t="array" aca="1" ref="I111" ca="1">IF(INDIRECT(_xlfn.CONCAT("'",IF(ISNUMBER(FIND("'",$A111))=TRUE,_xlfn.CONCAT(LEFT($A111,FIND("'",$A111)-1),"''",RIGHT($A111,LEN($A111)-FIND("'",$A111))),$A111),"'!B4"))&gt;=I$2,"d",IF(INDIRECT(_xlfn.CONCAT("'",IF(ISNUMBER(FIND("'",$A111))=TRUE,_xlfn.CONCAT(LEFT($A111,FIND("'",$A111)-1),"''",RIGHT($A111,LEN($A111)-FIND("'",$A111))),$A111),"'!B5"))&gt;=I$2,"i",""))</f>
        <v>d</v>
      </c>
      <c r="J111" s="1" t="str" cm="1">
        <f t="array" aca="1" ref="J111" ca="1">IF(INDIRECT(_xlfn.CONCAT("'",IF(ISNUMBER(FIND("'",$A111))=TRUE,_xlfn.CONCAT(LEFT($A111,FIND("'",$A111)-1),"''",RIGHT($A111,LEN($A111)-FIND("'",$A111))),$A111),"'!B4"))&gt;=J$2,"d",IF(INDIRECT(_xlfn.CONCAT("'",IF(ISNUMBER(FIND("'",$A111))=TRUE,_xlfn.CONCAT(LEFT($A111,FIND("'",$A111)-1),"''",RIGHT($A111,LEN($A111)-FIND("'",$A111))),$A111),"'!B5"))&gt;=J$2,"i",""))</f>
        <v>d</v>
      </c>
      <c r="K111" s="1" t="str" cm="1">
        <f t="array" aca="1" ref="K111" ca="1">IF(INDIRECT(_xlfn.CONCAT("'",IF(ISNUMBER(FIND("'",$A111))=TRUE,_xlfn.CONCAT(LEFT($A111,FIND("'",$A111)-1),"''",RIGHT($A111,LEN($A111)-FIND("'",$A111))),$A111),"'!B4"))&gt;=K$2,"d",IF(INDIRECT(_xlfn.CONCAT("'",IF(ISNUMBER(FIND("'",$A111))=TRUE,_xlfn.CONCAT(LEFT($A111,FIND("'",$A111)-1),"''",RIGHT($A111,LEN($A111)-FIND("'",$A111))),$A111),"'!B5"))&gt;=K$2,"i",""))</f>
        <v>d</v>
      </c>
      <c r="L111" s="1" t="str" cm="1">
        <f t="array" aca="1" ref="L111" ca="1">IF(INDIRECT(_xlfn.CONCAT("'",IF(ISNUMBER(FIND("'",$A111))=TRUE,_xlfn.CONCAT(LEFT($A111,FIND("'",$A111)-1),"''",RIGHT($A111,LEN($A111)-FIND("'",$A111))),$A111),"'!B4"))&gt;=L$2,"d",IF(INDIRECT(_xlfn.CONCAT("'",IF(ISNUMBER(FIND("'",$A111))=TRUE,_xlfn.CONCAT(LEFT($A111,FIND("'",$A111)-1),"''",RIGHT($A111,LEN($A111)-FIND("'",$A111))),$A111),"'!B5"))&gt;=L$2,"i",""))</f>
        <v>d</v>
      </c>
      <c r="M111" s="4" t="str" cm="1">
        <f t="array" aca="1" ref="M111" ca="1">IF(INDIRECT(_xlfn.CONCAT("'",IF(ISNUMBER(FIND("'",$A111))=TRUE,_xlfn.CONCAT(LEFT($A111,FIND("'",$A111)-1),"''",RIGHT($A111,LEN($A111)-FIND("'",$A111))),$A111),"'!B4"))&gt;=M$2,"d",IF(INDIRECT(_xlfn.CONCAT("'",IF(ISNUMBER(FIND("'",$A111))=TRUE,_xlfn.CONCAT(LEFT($A111,FIND("'",$A111)-1),"''",RIGHT($A111,LEN($A111)-FIND("'",$A111))),$A111),"'!B5"))&gt;=M$2,"i",""))</f>
        <v>d</v>
      </c>
      <c r="N111" s="95"/>
      <c r="O111" s="14" t="str" cm="1">
        <f t="array" aca="1" ref="O111" ca="1">IF(INDIRECT(_xlfn.CONCAT("'",IF(ISNUMBER(FIND("'",$A111))=TRUE,_xlfn.CONCAT(LEFT($A111,FIND("'",$A111)-1),"''",RIGHT($A111,LEN($A111)-FIND("'",$A111))),$A111),"'!C10"))&gt;=O$2,"d",IF(INDIRECT(_xlfn.CONCAT("'",IF(ISNUMBER(FIND("'",$A111))=TRUE,_xlfn.CONCAT(LEFT($A111,FIND("'",$A111)-1),"''",RIGHT($A111,LEN($A111)-FIND("'",$A111))),$A111),"'!C11"))&gt;=O$2,"i",""))</f>
        <v>d</v>
      </c>
      <c r="P111" s="1" t="str" cm="1">
        <f t="array" aca="1" ref="P111" ca="1">IF(INDIRECT(_xlfn.CONCAT("'",IF(ISNUMBER(FIND("'",$A111))=TRUE,_xlfn.CONCAT(LEFT($A111,FIND("'",$A111)-1),"''",RIGHT($A111,LEN($A111)-FIND("'",$A111))),$A111),"'!C10"))&gt;=P$2,"d",IF(INDIRECT(_xlfn.CONCAT("'",IF(ISNUMBER(FIND("'",$A111))=TRUE,_xlfn.CONCAT(LEFT($A111,FIND("'",$A111)-1),"''",RIGHT($A111,LEN($A111)-FIND("'",$A111))),$A111),"'!C11"))&gt;=P$2,"i",""))</f>
        <v>d</v>
      </c>
      <c r="Q111" s="1" t="str" cm="1">
        <f t="array" aca="1" ref="Q111" ca="1">IF(INDIRECT(_xlfn.CONCAT("'",IF(ISNUMBER(FIND("'",$A111))=TRUE,_xlfn.CONCAT(LEFT($A111,FIND("'",$A111)-1),"''",RIGHT($A111,LEN($A111)-FIND("'",$A111))),$A111),"'!C10"))&gt;=Q$2,"d",IF(INDIRECT(_xlfn.CONCAT("'",IF(ISNUMBER(FIND("'",$A111))=TRUE,_xlfn.CONCAT(LEFT($A111,FIND("'",$A111)-1),"''",RIGHT($A111,LEN($A111)-FIND("'",$A111))),$A111),"'!C11"))&gt;=Q$2,"i",""))</f>
        <v>d</v>
      </c>
      <c r="R111" s="1" t="str" cm="1">
        <f t="array" aca="1" ref="R111" ca="1">IF(INDIRECT(_xlfn.CONCAT("'",IF(ISNUMBER(FIND("'",$A111))=TRUE,_xlfn.CONCAT(LEFT($A111,FIND("'",$A111)-1),"''",RIGHT($A111,LEN($A111)-FIND("'",$A111))),$A111),"'!C10"))&gt;=R$2,"d",IF(INDIRECT(_xlfn.CONCAT("'",IF(ISNUMBER(FIND("'",$A111))=TRUE,_xlfn.CONCAT(LEFT($A111,FIND("'",$A111)-1),"''",RIGHT($A111,LEN($A111)-FIND("'",$A111))),$A111),"'!C11"))&gt;=R$2,"i",""))</f>
        <v>d</v>
      </c>
      <c r="S111" s="1" t="str" cm="1">
        <f t="array" aca="1" ref="S111" ca="1">IF(INDIRECT(_xlfn.CONCAT("'",IF(ISNUMBER(FIND("'",$A111))=TRUE,_xlfn.CONCAT(LEFT($A111,FIND("'",$A111)-1),"''",RIGHT($A111,LEN($A111)-FIND("'",$A111))),$A111),"'!C10"))&gt;=S$2,"d",IF(INDIRECT(_xlfn.CONCAT("'",IF(ISNUMBER(FIND("'",$A111))=TRUE,_xlfn.CONCAT(LEFT($A111,FIND("'",$A111)-1),"''",RIGHT($A111,LEN($A111)-FIND("'",$A111))),$A111),"'!C11"))&gt;=S$2,"i",""))</f>
        <v>d</v>
      </c>
      <c r="T111" s="4" t="str" cm="1">
        <f t="array" aca="1" ref="T111" ca="1">IF(INDIRECT(_xlfn.CONCAT("'",IF(ISNUMBER(FIND("'",$A111))=TRUE,_xlfn.CONCAT(LEFT($A111,FIND("'",$A111)-1),"''",RIGHT($A111,LEN($A111)-FIND("'",$A111))),$A111),"'!C10"))&gt;=T$2,"d",IF(INDIRECT(_xlfn.CONCAT("'",IF(ISNUMBER(FIND("'",$A111))=TRUE,_xlfn.CONCAT(LEFT($A111,FIND("'",$A111)-1),"''",RIGHT($A111,LEN($A111)-FIND("'",$A111))),$A111),"'!C11"))&gt;=T$2,"i",""))</f>
        <v>d</v>
      </c>
    </row>
    <row r="112" spans="1:20" hidden="1" x14ac:dyDescent="0.25">
      <c r="A112" s="54" t="str">
        <v>Katsuragikiri Nagamasa</v>
      </c>
      <c r="B112" s="14" cm="1">
        <f t="array" ref="B112">_xlfn.XLOOKUP(A112,INDEX(Weapon_List,,1),INDEX(Weapon_List,,3),,0,1)</f>
        <v>4</v>
      </c>
      <c r="C112" s="4" t="str" cm="1">
        <f t="array" ref="C112">_xlfn.XLOOKUP(A112,INDEX(Weapon_List,,1),INDEX(Weapon_List,,2),,0,1)</f>
        <v>Claymore</v>
      </c>
      <c r="D112" s="38" t="str" cm="1">
        <f t="array" ref="D112">_xlfn.XLOOKUP(A112,INDEX(Weapon_List,,1),INDEX(Weapon_List,,4),,0,1)</f>
        <v>Inazuma 2</v>
      </c>
      <c r="E112" s="38" t="str" cm="1">
        <f t="array" ref="E112">_xlfn.XLOOKUP(A112,INDEX(Weapon_List,,1),INDEX(Weapon_List,,5),,0,1)</f>
        <v>Nobushi</v>
      </c>
      <c r="F112" s="38" t="str" cm="1">
        <f t="array" ref="F112">_xlfn.XLOOKUP(A112,INDEX(Weapon_List,,1),INDEX(Weapon_List,,6),,0,1)</f>
        <v>Ruin Machine 2</v>
      </c>
      <c r="G112" s="14" t="str" cm="1">
        <f t="array" aca="1" ref="G112" ca="1">IF(INDIRECT(_xlfn.CONCAT("'",IF(ISNUMBER(FIND("'",$A112))=TRUE,_xlfn.CONCAT(LEFT($A112,FIND("'",$A112)-1),"''",RIGHT($A112,LEN($A112)-FIND("'",$A112))),$A112),"'!B4"))&gt;=G$2,"d",IF(INDIRECT(_xlfn.CONCAT("'",IF(ISNUMBER(FIND("'",$A112))=TRUE,_xlfn.CONCAT(LEFT($A112,FIND("'",$A112)-1),"''",RIGHT($A112,LEN($A112)-FIND("'",$A112))),$A112),"'!B5"))&gt;=G$2,"i",""))</f>
        <v>d</v>
      </c>
      <c r="H112" s="1" t="str" cm="1">
        <f t="array" aca="1" ref="H112" ca="1">IF(INDIRECT(_xlfn.CONCAT("'",IF(ISNUMBER(FIND("'",$A112))=TRUE,_xlfn.CONCAT(LEFT($A112,FIND("'",$A112)-1),"''",RIGHT($A112,LEN($A112)-FIND("'",$A112))),$A112),"'!B4"))&gt;=H$2,"d",IF(INDIRECT(_xlfn.CONCAT("'",IF(ISNUMBER(FIND("'",$A112))=TRUE,_xlfn.CONCAT(LEFT($A112,FIND("'",$A112)-1),"''",RIGHT($A112,LEN($A112)-FIND("'",$A112))),$A112),"'!B5"))&gt;=H$2,"i",""))</f>
        <v>d</v>
      </c>
      <c r="I112" s="1" t="str" cm="1">
        <f t="array" aca="1" ref="I112" ca="1">IF(INDIRECT(_xlfn.CONCAT("'",IF(ISNUMBER(FIND("'",$A112))=TRUE,_xlfn.CONCAT(LEFT($A112,FIND("'",$A112)-1),"''",RIGHT($A112,LEN($A112)-FIND("'",$A112))),$A112),"'!B4"))&gt;=I$2,"d",IF(INDIRECT(_xlfn.CONCAT("'",IF(ISNUMBER(FIND("'",$A112))=TRUE,_xlfn.CONCAT(LEFT($A112,FIND("'",$A112)-1),"''",RIGHT($A112,LEN($A112)-FIND("'",$A112))),$A112),"'!B5"))&gt;=I$2,"i",""))</f>
        <v>d</v>
      </c>
      <c r="J112" s="1" t="str" cm="1">
        <f t="array" aca="1" ref="J112" ca="1">IF(INDIRECT(_xlfn.CONCAT("'",IF(ISNUMBER(FIND("'",$A112))=TRUE,_xlfn.CONCAT(LEFT($A112,FIND("'",$A112)-1),"''",RIGHT($A112,LEN($A112)-FIND("'",$A112))),$A112),"'!B4"))&gt;=J$2,"d",IF(INDIRECT(_xlfn.CONCAT("'",IF(ISNUMBER(FIND("'",$A112))=TRUE,_xlfn.CONCAT(LEFT($A112,FIND("'",$A112)-1),"''",RIGHT($A112,LEN($A112)-FIND("'",$A112))),$A112),"'!B5"))&gt;=J$2,"i",""))</f>
        <v>d</v>
      </c>
      <c r="K112" s="1" t="str" cm="1">
        <f t="array" aca="1" ref="K112" ca="1">IF(INDIRECT(_xlfn.CONCAT("'",IF(ISNUMBER(FIND("'",$A112))=TRUE,_xlfn.CONCAT(LEFT($A112,FIND("'",$A112)-1),"''",RIGHT($A112,LEN($A112)-FIND("'",$A112))),$A112),"'!B4"))&gt;=K$2,"d",IF(INDIRECT(_xlfn.CONCAT("'",IF(ISNUMBER(FIND("'",$A112))=TRUE,_xlfn.CONCAT(LEFT($A112,FIND("'",$A112)-1),"''",RIGHT($A112,LEN($A112)-FIND("'",$A112))),$A112),"'!B5"))&gt;=K$2,"i",""))</f>
        <v>d</v>
      </c>
      <c r="L112" s="1" t="str" cm="1">
        <f t="array" aca="1" ref="L112" ca="1">IF(INDIRECT(_xlfn.CONCAT("'",IF(ISNUMBER(FIND("'",$A112))=TRUE,_xlfn.CONCAT(LEFT($A112,FIND("'",$A112)-1),"''",RIGHT($A112,LEN($A112)-FIND("'",$A112))),$A112),"'!B4"))&gt;=L$2,"d",IF(INDIRECT(_xlfn.CONCAT("'",IF(ISNUMBER(FIND("'",$A112))=TRUE,_xlfn.CONCAT(LEFT($A112,FIND("'",$A112)-1),"''",RIGHT($A112,LEN($A112)-FIND("'",$A112))),$A112),"'!B5"))&gt;=L$2,"i",""))</f>
        <v>d</v>
      </c>
      <c r="M112" s="4" t="str" cm="1">
        <f t="array" aca="1" ref="M112" ca="1">IF(INDIRECT(_xlfn.CONCAT("'",IF(ISNUMBER(FIND("'",$A112))=TRUE,_xlfn.CONCAT(LEFT($A112,FIND("'",$A112)-1),"''",RIGHT($A112,LEN($A112)-FIND("'",$A112))),$A112),"'!B4"))&gt;=M$2,"d",IF(INDIRECT(_xlfn.CONCAT("'",IF(ISNUMBER(FIND("'",$A112))=TRUE,_xlfn.CONCAT(LEFT($A112,FIND("'",$A112)-1),"''",RIGHT($A112,LEN($A112)-FIND("'",$A112))),$A112),"'!B5"))&gt;=M$2,"i",""))</f>
        <v>d</v>
      </c>
      <c r="N112" s="95"/>
      <c r="O112" s="14" t="str" cm="1">
        <f t="array" aca="1" ref="O112" ca="1">IF(INDIRECT(_xlfn.CONCAT("'",IF(ISNUMBER(FIND("'",$A112))=TRUE,_xlfn.CONCAT(LEFT($A112,FIND("'",$A112)-1),"''",RIGHT($A112,LEN($A112)-FIND("'",$A112))),$A112),"'!C10"))&gt;=O$2,"d",IF(INDIRECT(_xlfn.CONCAT("'",IF(ISNUMBER(FIND("'",$A112))=TRUE,_xlfn.CONCAT(LEFT($A112,FIND("'",$A112)-1),"''",RIGHT($A112,LEN($A112)-FIND("'",$A112))),$A112),"'!C11"))&gt;=O$2,"i",""))</f>
        <v>d</v>
      </c>
      <c r="P112" s="1" t="str" cm="1">
        <f t="array" aca="1" ref="P112" ca="1">IF(INDIRECT(_xlfn.CONCAT("'",IF(ISNUMBER(FIND("'",$A112))=TRUE,_xlfn.CONCAT(LEFT($A112,FIND("'",$A112)-1),"''",RIGHT($A112,LEN($A112)-FIND("'",$A112))),$A112),"'!C10"))&gt;=P$2,"d",IF(INDIRECT(_xlfn.CONCAT("'",IF(ISNUMBER(FIND("'",$A112))=TRUE,_xlfn.CONCAT(LEFT($A112,FIND("'",$A112)-1),"''",RIGHT($A112,LEN($A112)-FIND("'",$A112))),$A112),"'!C11"))&gt;=P$2,"i",""))</f>
        <v>d</v>
      </c>
      <c r="Q112" s="1" t="str" cm="1">
        <f t="array" aca="1" ref="Q112" ca="1">IF(INDIRECT(_xlfn.CONCAT("'",IF(ISNUMBER(FIND("'",$A112))=TRUE,_xlfn.CONCAT(LEFT($A112,FIND("'",$A112)-1),"''",RIGHT($A112,LEN($A112)-FIND("'",$A112))),$A112),"'!C10"))&gt;=Q$2,"d",IF(INDIRECT(_xlfn.CONCAT("'",IF(ISNUMBER(FIND("'",$A112))=TRUE,_xlfn.CONCAT(LEFT($A112,FIND("'",$A112)-1),"''",RIGHT($A112,LEN($A112)-FIND("'",$A112))),$A112),"'!C11"))&gt;=Q$2,"i",""))</f>
        <v>d</v>
      </c>
      <c r="R112" s="1" t="str" cm="1">
        <f t="array" aca="1" ref="R112" ca="1">IF(INDIRECT(_xlfn.CONCAT("'",IF(ISNUMBER(FIND("'",$A112))=TRUE,_xlfn.CONCAT(LEFT($A112,FIND("'",$A112)-1),"''",RIGHT($A112,LEN($A112)-FIND("'",$A112))),$A112),"'!C10"))&gt;=R$2,"d",IF(INDIRECT(_xlfn.CONCAT("'",IF(ISNUMBER(FIND("'",$A112))=TRUE,_xlfn.CONCAT(LEFT($A112,FIND("'",$A112)-1),"''",RIGHT($A112,LEN($A112)-FIND("'",$A112))),$A112),"'!C11"))&gt;=R$2,"i",""))</f>
        <v>d</v>
      </c>
      <c r="S112" s="1" t="str" cm="1">
        <f t="array" aca="1" ref="S112" ca="1">IF(INDIRECT(_xlfn.CONCAT("'",IF(ISNUMBER(FIND("'",$A112))=TRUE,_xlfn.CONCAT(LEFT($A112,FIND("'",$A112)-1),"''",RIGHT($A112,LEN($A112)-FIND("'",$A112))),$A112),"'!C10"))&gt;=S$2,"d",IF(INDIRECT(_xlfn.CONCAT("'",IF(ISNUMBER(FIND("'",$A112))=TRUE,_xlfn.CONCAT(LEFT($A112,FIND("'",$A112)-1),"''",RIGHT($A112,LEN($A112)-FIND("'",$A112))),$A112),"'!C11"))&gt;=S$2,"i",""))</f>
        <v>d</v>
      </c>
      <c r="T112" s="4" t="str" cm="1">
        <f t="array" aca="1" ref="T112" ca="1">IF(INDIRECT(_xlfn.CONCAT("'",IF(ISNUMBER(FIND("'",$A112))=TRUE,_xlfn.CONCAT(LEFT($A112,FIND("'",$A112)-1),"''",RIGHT($A112,LEN($A112)-FIND("'",$A112))),$A112),"'!C10"))&gt;=T$2,"d",IF(INDIRECT(_xlfn.CONCAT("'",IF(ISNUMBER(FIND("'",$A112))=TRUE,_xlfn.CONCAT(LEFT($A112,FIND("'",$A112)-1),"''",RIGHT($A112,LEN($A112)-FIND("'",$A112))),$A112),"'!C11"))&gt;=T$2,"i",""))</f>
        <v>d</v>
      </c>
    </row>
    <row r="113" spans="1:20" hidden="1" x14ac:dyDescent="0.25">
      <c r="A113" s="54" t="str">
        <v>Kitain Cross Spear</v>
      </c>
      <c r="B113" s="14" cm="1">
        <f t="array" ref="B113">_xlfn.XLOOKUP(A113,INDEX(Weapon_List,,1),INDEX(Weapon_List,,3),,0,1)</f>
        <v>4</v>
      </c>
      <c r="C113" s="4" t="str" cm="1">
        <f t="array" ref="C113">_xlfn.XLOOKUP(A113,INDEX(Weapon_List,,1),INDEX(Weapon_List,,2),,0,1)</f>
        <v>Polearm</v>
      </c>
      <c r="D113" s="38" t="str" cm="1">
        <f t="array" ref="D113">_xlfn.XLOOKUP(A113,INDEX(Weapon_List,,1),INDEX(Weapon_List,,4),,0,1)</f>
        <v>Inazuma 3</v>
      </c>
      <c r="E113" s="38" t="str" cm="1">
        <f t="array" ref="E113">_xlfn.XLOOKUP(A113,INDEX(Weapon_List,,1),INDEX(Weapon_List,,5),,0,1)</f>
        <v>Treasure Hoarder</v>
      </c>
      <c r="F113" s="38" t="str" cm="1">
        <f t="array" ref="F113">_xlfn.XLOOKUP(A113,INDEX(Weapon_List,,1),INDEX(Weapon_List,,6),,0,1)</f>
        <v>Ruin Machine 2</v>
      </c>
      <c r="G113" s="14" t="str" cm="1">
        <f t="array" aca="1" ref="G113" ca="1">IF(INDIRECT(_xlfn.CONCAT("'",IF(ISNUMBER(FIND("'",$A113))=TRUE,_xlfn.CONCAT(LEFT($A113,FIND("'",$A113)-1),"''",RIGHT($A113,LEN($A113)-FIND("'",$A113))),$A113),"'!B4"))&gt;=G$2,"d",IF(INDIRECT(_xlfn.CONCAT("'",IF(ISNUMBER(FIND("'",$A113))=TRUE,_xlfn.CONCAT(LEFT($A113,FIND("'",$A113)-1),"''",RIGHT($A113,LEN($A113)-FIND("'",$A113))),$A113),"'!B5"))&gt;=G$2,"i",""))</f>
        <v>d</v>
      </c>
      <c r="H113" s="1" t="str" cm="1">
        <f t="array" aca="1" ref="H113" ca="1">IF(INDIRECT(_xlfn.CONCAT("'",IF(ISNUMBER(FIND("'",$A113))=TRUE,_xlfn.CONCAT(LEFT($A113,FIND("'",$A113)-1),"''",RIGHT($A113,LEN($A113)-FIND("'",$A113))),$A113),"'!B4"))&gt;=H$2,"d",IF(INDIRECT(_xlfn.CONCAT("'",IF(ISNUMBER(FIND("'",$A113))=TRUE,_xlfn.CONCAT(LEFT($A113,FIND("'",$A113)-1),"''",RIGHT($A113,LEN($A113)-FIND("'",$A113))),$A113),"'!B5"))&gt;=H$2,"i",""))</f>
        <v>d</v>
      </c>
      <c r="I113" s="1" t="str" cm="1">
        <f t="array" aca="1" ref="I113" ca="1">IF(INDIRECT(_xlfn.CONCAT("'",IF(ISNUMBER(FIND("'",$A113))=TRUE,_xlfn.CONCAT(LEFT($A113,FIND("'",$A113)-1),"''",RIGHT($A113,LEN($A113)-FIND("'",$A113))),$A113),"'!B4"))&gt;=I$2,"d",IF(INDIRECT(_xlfn.CONCAT("'",IF(ISNUMBER(FIND("'",$A113))=TRUE,_xlfn.CONCAT(LEFT($A113,FIND("'",$A113)-1),"''",RIGHT($A113,LEN($A113)-FIND("'",$A113))),$A113),"'!B5"))&gt;=I$2,"i",""))</f>
        <v>d</v>
      </c>
      <c r="J113" s="1" t="str" cm="1">
        <f t="array" aca="1" ref="J113" ca="1">IF(INDIRECT(_xlfn.CONCAT("'",IF(ISNUMBER(FIND("'",$A113))=TRUE,_xlfn.CONCAT(LEFT($A113,FIND("'",$A113)-1),"''",RIGHT($A113,LEN($A113)-FIND("'",$A113))),$A113),"'!B4"))&gt;=J$2,"d",IF(INDIRECT(_xlfn.CONCAT("'",IF(ISNUMBER(FIND("'",$A113))=TRUE,_xlfn.CONCAT(LEFT($A113,FIND("'",$A113)-1),"''",RIGHT($A113,LEN($A113)-FIND("'",$A113))),$A113),"'!B5"))&gt;=J$2,"i",""))</f>
        <v>d</v>
      </c>
      <c r="K113" s="1" t="str" cm="1">
        <f t="array" aca="1" ref="K113" ca="1">IF(INDIRECT(_xlfn.CONCAT("'",IF(ISNUMBER(FIND("'",$A113))=TRUE,_xlfn.CONCAT(LEFT($A113,FIND("'",$A113)-1),"''",RIGHT($A113,LEN($A113)-FIND("'",$A113))),$A113),"'!B4"))&gt;=K$2,"d",IF(INDIRECT(_xlfn.CONCAT("'",IF(ISNUMBER(FIND("'",$A113))=TRUE,_xlfn.CONCAT(LEFT($A113,FIND("'",$A113)-1),"''",RIGHT($A113,LEN($A113)-FIND("'",$A113))),$A113),"'!B5"))&gt;=K$2,"i",""))</f>
        <v>d</v>
      </c>
      <c r="L113" s="1" t="str" cm="1">
        <f t="array" aca="1" ref="L113" ca="1">IF(INDIRECT(_xlfn.CONCAT("'",IF(ISNUMBER(FIND("'",$A113))=TRUE,_xlfn.CONCAT(LEFT($A113,FIND("'",$A113)-1),"''",RIGHT($A113,LEN($A113)-FIND("'",$A113))),$A113),"'!B4"))&gt;=L$2,"d",IF(INDIRECT(_xlfn.CONCAT("'",IF(ISNUMBER(FIND("'",$A113))=TRUE,_xlfn.CONCAT(LEFT($A113,FIND("'",$A113)-1),"''",RIGHT($A113,LEN($A113)-FIND("'",$A113))),$A113),"'!B5"))&gt;=L$2,"i",""))</f>
        <v>d</v>
      </c>
      <c r="M113" s="4" t="str" cm="1">
        <f t="array" aca="1" ref="M113" ca="1">IF(INDIRECT(_xlfn.CONCAT("'",IF(ISNUMBER(FIND("'",$A113))=TRUE,_xlfn.CONCAT(LEFT($A113,FIND("'",$A113)-1),"''",RIGHT($A113,LEN($A113)-FIND("'",$A113))),$A113),"'!B4"))&gt;=M$2,"d",IF(INDIRECT(_xlfn.CONCAT("'",IF(ISNUMBER(FIND("'",$A113))=TRUE,_xlfn.CONCAT(LEFT($A113,FIND("'",$A113)-1),"''",RIGHT($A113,LEN($A113)-FIND("'",$A113))),$A113),"'!B5"))&gt;=M$2,"i",""))</f>
        <v>d</v>
      </c>
      <c r="N113" s="95"/>
      <c r="O113" s="14" t="str" cm="1">
        <f t="array" aca="1" ref="O113" ca="1">IF(INDIRECT(_xlfn.CONCAT("'",IF(ISNUMBER(FIND("'",$A113))=TRUE,_xlfn.CONCAT(LEFT($A113,FIND("'",$A113)-1),"''",RIGHT($A113,LEN($A113)-FIND("'",$A113))),$A113),"'!C10"))&gt;=O$2,"d",IF(INDIRECT(_xlfn.CONCAT("'",IF(ISNUMBER(FIND("'",$A113))=TRUE,_xlfn.CONCAT(LEFT($A113,FIND("'",$A113)-1),"''",RIGHT($A113,LEN($A113)-FIND("'",$A113))),$A113),"'!C11"))&gt;=O$2,"i",""))</f>
        <v>d</v>
      </c>
      <c r="P113" s="1" t="str" cm="1">
        <f t="array" aca="1" ref="P113" ca="1">IF(INDIRECT(_xlfn.CONCAT("'",IF(ISNUMBER(FIND("'",$A113))=TRUE,_xlfn.CONCAT(LEFT($A113,FIND("'",$A113)-1),"''",RIGHT($A113,LEN($A113)-FIND("'",$A113))),$A113),"'!C10"))&gt;=P$2,"d",IF(INDIRECT(_xlfn.CONCAT("'",IF(ISNUMBER(FIND("'",$A113))=TRUE,_xlfn.CONCAT(LEFT($A113,FIND("'",$A113)-1),"''",RIGHT($A113,LEN($A113)-FIND("'",$A113))),$A113),"'!C11"))&gt;=P$2,"i",""))</f>
        <v>d</v>
      </c>
      <c r="Q113" s="1" t="str" cm="1">
        <f t="array" aca="1" ref="Q113" ca="1">IF(INDIRECT(_xlfn.CONCAT("'",IF(ISNUMBER(FIND("'",$A113))=TRUE,_xlfn.CONCAT(LEFT($A113,FIND("'",$A113)-1),"''",RIGHT($A113,LEN($A113)-FIND("'",$A113))),$A113),"'!C10"))&gt;=Q$2,"d",IF(INDIRECT(_xlfn.CONCAT("'",IF(ISNUMBER(FIND("'",$A113))=TRUE,_xlfn.CONCAT(LEFT($A113,FIND("'",$A113)-1),"''",RIGHT($A113,LEN($A113)-FIND("'",$A113))),$A113),"'!C11"))&gt;=Q$2,"i",""))</f>
        <v>d</v>
      </c>
      <c r="R113" s="1" t="str" cm="1">
        <f t="array" aca="1" ref="R113" ca="1">IF(INDIRECT(_xlfn.CONCAT("'",IF(ISNUMBER(FIND("'",$A113))=TRUE,_xlfn.CONCAT(LEFT($A113,FIND("'",$A113)-1),"''",RIGHT($A113,LEN($A113)-FIND("'",$A113))),$A113),"'!C10"))&gt;=R$2,"d",IF(INDIRECT(_xlfn.CONCAT("'",IF(ISNUMBER(FIND("'",$A113))=TRUE,_xlfn.CONCAT(LEFT($A113,FIND("'",$A113)-1),"''",RIGHT($A113,LEN($A113)-FIND("'",$A113))),$A113),"'!C11"))&gt;=R$2,"i",""))</f>
        <v>d</v>
      </c>
      <c r="S113" s="1" t="str" cm="1">
        <f t="array" aca="1" ref="S113" ca="1">IF(INDIRECT(_xlfn.CONCAT("'",IF(ISNUMBER(FIND("'",$A113))=TRUE,_xlfn.CONCAT(LEFT($A113,FIND("'",$A113)-1),"''",RIGHT($A113,LEN($A113)-FIND("'",$A113))),$A113),"'!C10"))&gt;=S$2,"d",IF(INDIRECT(_xlfn.CONCAT("'",IF(ISNUMBER(FIND("'",$A113))=TRUE,_xlfn.CONCAT(LEFT($A113,FIND("'",$A113)-1),"''",RIGHT($A113,LEN($A113)-FIND("'",$A113))),$A113),"'!C11"))&gt;=S$2,"i",""))</f>
        <v>d</v>
      </c>
      <c r="T113" s="4" t="str" cm="1">
        <f t="array" aca="1" ref="T113" ca="1">IF(INDIRECT(_xlfn.CONCAT("'",IF(ISNUMBER(FIND("'",$A113))=TRUE,_xlfn.CONCAT(LEFT($A113,FIND("'",$A113)-1),"''",RIGHT($A113,LEN($A113)-FIND("'",$A113))),$A113),"'!C10"))&gt;=T$2,"d",IF(INDIRECT(_xlfn.CONCAT("'",IF(ISNUMBER(FIND("'",$A113))=TRUE,_xlfn.CONCAT(LEFT($A113,FIND("'",$A113)-1),"''",RIGHT($A113,LEN($A113)-FIND("'",$A113))),$A113),"'!C11"))&gt;=T$2,"i",""))</f>
        <v>d</v>
      </c>
    </row>
    <row r="114" spans="1:20" hidden="1" x14ac:dyDescent="0.25">
      <c r="A114" s="54" t="str">
        <v>Hakushin Ring</v>
      </c>
      <c r="B114" s="14" cm="1">
        <f t="array" ref="B114">_xlfn.XLOOKUP(A114,INDEX(Weapon_List,,1),INDEX(Weapon_List,,3),,0,1)</f>
        <v>4</v>
      </c>
      <c r="C114" s="4" t="str" cm="1">
        <f t="array" ref="C114">_xlfn.XLOOKUP(A114,INDEX(Weapon_List,,1),INDEX(Weapon_List,,2),,0,1)</f>
        <v>Catalyst</v>
      </c>
      <c r="D114" s="38" t="str" cm="1">
        <f t="array" ref="D114">_xlfn.XLOOKUP(A114,INDEX(Weapon_List,,1),INDEX(Weapon_List,,4),,0,1)</f>
        <v>Inazuma 1</v>
      </c>
      <c r="E114" s="38" t="str" cm="1">
        <f t="array" ref="E114">_xlfn.XLOOKUP(A114,INDEX(Weapon_List,,1),INDEX(Weapon_List,,5),,0,1)</f>
        <v>Samachurl</v>
      </c>
      <c r="F114" s="38" t="str" cm="1">
        <f t="array" ref="F114">_xlfn.XLOOKUP(A114,INDEX(Weapon_List,,1),INDEX(Weapon_List,,6),,0,1)</f>
        <v>Mirror Maiden</v>
      </c>
      <c r="G114" s="14" t="str" cm="1">
        <f t="array" aca="1" ref="G114" ca="1">IF(INDIRECT(_xlfn.CONCAT("'",IF(ISNUMBER(FIND("'",$A114))=TRUE,_xlfn.CONCAT(LEFT($A114,FIND("'",$A114)-1),"''",RIGHT($A114,LEN($A114)-FIND("'",$A114))),$A114),"'!B4"))&gt;=G$2,"d",IF(INDIRECT(_xlfn.CONCAT("'",IF(ISNUMBER(FIND("'",$A114))=TRUE,_xlfn.CONCAT(LEFT($A114,FIND("'",$A114)-1),"''",RIGHT($A114,LEN($A114)-FIND("'",$A114))),$A114),"'!B5"))&gt;=G$2,"i",""))</f>
        <v>d</v>
      </c>
      <c r="H114" s="1" t="str" cm="1">
        <f t="array" aca="1" ref="H114" ca="1">IF(INDIRECT(_xlfn.CONCAT("'",IF(ISNUMBER(FIND("'",$A114))=TRUE,_xlfn.CONCAT(LEFT($A114,FIND("'",$A114)-1),"''",RIGHT($A114,LEN($A114)-FIND("'",$A114))),$A114),"'!B4"))&gt;=H$2,"d",IF(INDIRECT(_xlfn.CONCAT("'",IF(ISNUMBER(FIND("'",$A114))=TRUE,_xlfn.CONCAT(LEFT($A114,FIND("'",$A114)-1),"''",RIGHT($A114,LEN($A114)-FIND("'",$A114))),$A114),"'!B5"))&gt;=H$2,"i",""))</f>
        <v>d</v>
      </c>
      <c r="I114" s="1" t="str" cm="1">
        <f t="array" aca="1" ref="I114" ca="1">IF(INDIRECT(_xlfn.CONCAT("'",IF(ISNUMBER(FIND("'",$A114))=TRUE,_xlfn.CONCAT(LEFT($A114,FIND("'",$A114)-1),"''",RIGHT($A114,LEN($A114)-FIND("'",$A114))),$A114),"'!B4"))&gt;=I$2,"d",IF(INDIRECT(_xlfn.CONCAT("'",IF(ISNUMBER(FIND("'",$A114))=TRUE,_xlfn.CONCAT(LEFT($A114,FIND("'",$A114)-1),"''",RIGHT($A114,LEN($A114)-FIND("'",$A114))),$A114),"'!B5"))&gt;=I$2,"i",""))</f>
        <v>d</v>
      </c>
      <c r="J114" s="1" t="str" cm="1">
        <f t="array" aca="1" ref="J114" ca="1">IF(INDIRECT(_xlfn.CONCAT("'",IF(ISNUMBER(FIND("'",$A114))=TRUE,_xlfn.CONCAT(LEFT($A114,FIND("'",$A114)-1),"''",RIGHT($A114,LEN($A114)-FIND("'",$A114))),$A114),"'!B4"))&gt;=J$2,"d",IF(INDIRECT(_xlfn.CONCAT("'",IF(ISNUMBER(FIND("'",$A114))=TRUE,_xlfn.CONCAT(LEFT($A114,FIND("'",$A114)-1),"''",RIGHT($A114,LEN($A114)-FIND("'",$A114))),$A114),"'!B5"))&gt;=J$2,"i",""))</f>
        <v>d</v>
      </c>
      <c r="K114" s="1" t="str" cm="1">
        <f t="array" aca="1" ref="K114" ca="1">IF(INDIRECT(_xlfn.CONCAT("'",IF(ISNUMBER(FIND("'",$A114))=TRUE,_xlfn.CONCAT(LEFT($A114,FIND("'",$A114)-1),"''",RIGHT($A114,LEN($A114)-FIND("'",$A114))),$A114),"'!B4"))&gt;=K$2,"d",IF(INDIRECT(_xlfn.CONCAT("'",IF(ISNUMBER(FIND("'",$A114))=TRUE,_xlfn.CONCAT(LEFT($A114,FIND("'",$A114)-1),"''",RIGHT($A114,LEN($A114)-FIND("'",$A114))),$A114),"'!B5"))&gt;=K$2,"i",""))</f>
        <v>d</v>
      </c>
      <c r="L114" s="1" t="str" cm="1">
        <f t="array" aca="1" ref="L114" ca="1">IF(INDIRECT(_xlfn.CONCAT("'",IF(ISNUMBER(FIND("'",$A114))=TRUE,_xlfn.CONCAT(LEFT($A114,FIND("'",$A114)-1),"''",RIGHT($A114,LEN($A114)-FIND("'",$A114))),$A114),"'!B4"))&gt;=L$2,"d",IF(INDIRECT(_xlfn.CONCAT("'",IF(ISNUMBER(FIND("'",$A114))=TRUE,_xlfn.CONCAT(LEFT($A114,FIND("'",$A114)-1),"''",RIGHT($A114,LEN($A114)-FIND("'",$A114))),$A114),"'!B5"))&gt;=L$2,"i",""))</f>
        <v>d</v>
      </c>
      <c r="M114" s="4" t="str" cm="1">
        <f t="array" aca="1" ref="M114" ca="1">IF(INDIRECT(_xlfn.CONCAT("'",IF(ISNUMBER(FIND("'",$A114))=TRUE,_xlfn.CONCAT(LEFT($A114,FIND("'",$A114)-1),"''",RIGHT($A114,LEN($A114)-FIND("'",$A114))),$A114),"'!B4"))&gt;=M$2,"d",IF(INDIRECT(_xlfn.CONCAT("'",IF(ISNUMBER(FIND("'",$A114))=TRUE,_xlfn.CONCAT(LEFT($A114,FIND("'",$A114)-1),"''",RIGHT($A114,LEN($A114)-FIND("'",$A114))),$A114),"'!B5"))&gt;=M$2,"i",""))</f>
        <v>d</v>
      </c>
      <c r="N114" s="95"/>
      <c r="O114" s="14" t="str" cm="1">
        <f t="array" aca="1" ref="O114" ca="1">IF(INDIRECT(_xlfn.CONCAT("'",IF(ISNUMBER(FIND("'",$A114))=TRUE,_xlfn.CONCAT(LEFT($A114,FIND("'",$A114)-1),"''",RIGHT($A114,LEN($A114)-FIND("'",$A114))),$A114),"'!C10"))&gt;=O$2,"d",IF(INDIRECT(_xlfn.CONCAT("'",IF(ISNUMBER(FIND("'",$A114))=TRUE,_xlfn.CONCAT(LEFT($A114,FIND("'",$A114)-1),"''",RIGHT($A114,LEN($A114)-FIND("'",$A114))),$A114),"'!C11"))&gt;=O$2,"i",""))</f>
        <v>d</v>
      </c>
      <c r="P114" s="1" t="str" cm="1">
        <f t="array" aca="1" ref="P114" ca="1">IF(INDIRECT(_xlfn.CONCAT("'",IF(ISNUMBER(FIND("'",$A114))=TRUE,_xlfn.CONCAT(LEFT($A114,FIND("'",$A114)-1),"''",RIGHT($A114,LEN($A114)-FIND("'",$A114))),$A114),"'!C10"))&gt;=P$2,"d",IF(INDIRECT(_xlfn.CONCAT("'",IF(ISNUMBER(FIND("'",$A114))=TRUE,_xlfn.CONCAT(LEFT($A114,FIND("'",$A114)-1),"''",RIGHT($A114,LEN($A114)-FIND("'",$A114))),$A114),"'!C11"))&gt;=P$2,"i",""))</f>
        <v>d</v>
      </c>
      <c r="Q114" s="1" t="str" cm="1">
        <f t="array" aca="1" ref="Q114" ca="1">IF(INDIRECT(_xlfn.CONCAT("'",IF(ISNUMBER(FIND("'",$A114))=TRUE,_xlfn.CONCAT(LEFT($A114,FIND("'",$A114)-1),"''",RIGHT($A114,LEN($A114)-FIND("'",$A114))),$A114),"'!C10"))&gt;=Q$2,"d",IF(INDIRECT(_xlfn.CONCAT("'",IF(ISNUMBER(FIND("'",$A114))=TRUE,_xlfn.CONCAT(LEFT($A114,FIND("'",$A114)-1),"''",RIGHT($A114,LEN($A114)-FIND("'",$A114))),$A114),"'!C11"))&gt;=Q$2,"i",""))</f>
        <v>d</v>
      </c>
      <c r="R114" s="1" t="str" cm="1">
        <f t="array" aca="1" ref="R114" ca="1">IF(INDIRECT(_xlfn.CONCAT("'",IF(ISNUMBER(FIND("'",$A114))=TRUE,_xlfn.CONCAT(LEFT($A114,FIND("'",$A114)-1),"''",RIGHT($A114,LEN($A114)-FIND("'",$A114))),$A114),"'!C10"))&gt;=R$2,"d",IF(INDIRECT(_xlfn.CONCAT("'",IF(ISNUMBER(FIND("'",$A114))=TRUE,_xlfn.CONCAT(LEFT($A114,FIND("'",$A114)-1),"''",RIGHT($A114,LEN($A114)-FIND("'",$A114))),$A114),"'!C11"))&gt;=R$2,"i",""))</f>
        <v>d</v>
      </c>
      <c r="S114" s="1" t="str" cm="1">
        <f t="array" aca="1" ref="S114" ca="1">IF(INDIRECT(_xlfn.CONCAT("'",IF(ISNUMBER(FIND("'",$A114))=TRUE,_xlfn.CONCAT(LEFT($A114,FIND("'",$A114)-1),"''",RIGHT($A114,LEN($A114)-FIND("'",$A114))),$A114),"'!C10"))&gt;=S$2,"d",IF(INDIRECT(_xlfn.CONCAT("'",IF(ISNUMBER(FIND("'",$A114))=TRUE,_xlfn.CONCAT(LEFT($A114,FIND("'",$A114)-1),"''",RIGHT($A114,LEN($A114)-FIND("'",$A114))),$A114),"'!C11"))&gt;=S$2,"i",""))</f>
        <v>d</v>
      </c>
      <c r="T114" s="4" t="str" cm="1">
        <f t="array" aca="1" ref="T114" ca="1">IF(INDIRECT(_xlfn.CONCAT("'",IF(ISNUMBER(FIND("'",$A114))=TRUE,_xlfn.CONCAT(LEFT($A114,FIND("'",$A114)-1),"''",RIGHT($A114,LEN($A114)-FIND("'",$A114))),$A114),"'!C10"))&gt;=T$2,"d",IF(INDIRECT(_xlfn.CONCAT("'",IF(ISNUMBER(FIND("'",$A114))=TRUE,_xlfn.CONCAT(LEFT($A114,FIND("'",$A114)-1),"''",RIGHT($A114,LEN($A114)-FIND("'",$A114))),$A114),"'!C11"))&gt;=T$2,"i",""))</f>
        <v>d</v>
      </c>
    </row>
    <row r="115" spans="1:20" hidden="1" x14ac:dyDescent="0.25">
      <c r="A115" s="54" t="str">
        <v>Hamayumi</v>
      </c>
      <c r="B115" s="14" cm="1">
        <f t="array" ref="B115">_xlfn.XLOOKUP(A115,INDEX(Weapon_List,,1),INDEX(Weapon_List,,3),,0,1)</f>
        <v>4</v>
      </c>
      <c r="C115" s="4" t="str" cm="1">
        <f t="array" ref="C115">_xlfn.XLOOKUP(A115,INDEX(Weapon_List,,1),INDEX(Weapon_List,,2),,0,1)</f>
        <v>Bow</v>
      </c>
      <c r="D115" s="38" t="str" cm="1">
        <f t="array" ref="D115">_xlfn.XLOOKUP(A115,INDEX(Weapon_List,,1),INDEX(Weapon_List,,4),,0,1)</f>
        <v>Inazuma 2</v>
      </c>
      <c r="E115" s="38" t="str" cm="1">
        <f t="array" ref="E115">_xlfn.XLOOKUP(A115,INDEX(Weapon_List,,1),INDEX(Weapon_List,,5),,0,1)</f>
        <v>Hilichurl Shooter</v>
      </c>
      <c r="F115" s="38" t="str" cm="1">
        <f t="array" ref="F115">_xlfn.XLOOKUP(A115,INDEX(Weapon_List,,1),INDEX(Weapon_List,,6),,0,1)</f>
        <v>Mirror Maiden</v>
      </c>
      <c r="G115" s="14" t="str" cm="1">
        <f t="array" aca="1" ref="G115" ca="1">IF(INDIRECT(_xlfn.CONCAT("'",IF(ISNUMBER(FIND("'",$A115))=TRUE,_xlfn.CONCAT(LEFT($A115,FIND("'",$A115)-1),"''",RIGHT($A115,LEN($A115)-FIND("'",$A115))),$A115),"'!B4"))&gt;=G$2,"d",IF(INDIRECT(_xlfn.CONCAT("'",IF(ISNUMBER(FIND("'",$A115))=TRUE,_xlfn.CONCAT(LEFT($A115,FIND("'",$A115)-1),"''",RIGHT($A115,LEN($A115)-FIND("'",$A115))),$A115),"'!B5"))&gt;=G$2,"i",""))</f>
        <v>d</v>
      </c>
      <c r="H115" s="1" t="str" cm="1">
        <f t="array" aca="1" ref="H115" ca="1">IF(INDIRECT(_xlfn.CONCAT("'",IF(ISNUMBER(FIND("'",$A115))=TRUE,_xlfn.CONCAT(LEFT($A115,FIND("'",$A115)-1),"''",RIGHT($A115,LEN($A115)-FIND("'",$A115))),$A115),"'!B4"))&gt;=H$2,"d",IF(INDIRECT(_xlfn.CONCAT("'",IF(ISNUMBER(FIND("'",$A115))=TRUE,_xlfn.CONCAT(LEFT($A115,FIND("'",$A115)-1),"''",RIGHT($A115,LEN($A115)-FIND("'",$A115))),$A115),"'!B5"))&gt;=H$2,"i",""))</f>
        <v>d</v>
      </c>
      <c r="I115" s="1" t="str" cm="1">
        <f t="array" aca="1" ref="I115" ca="1">IF(INDIRECT(_xlfn.CONCAT("'",IF(ISNUMBER(FIND("'",$A115))=TRUE,_xlfn.CONCAT(LEFT($A115,FIND("'",$A115)-1),"''",RIGHT($A115,LEN($A115)-FIND("'",$A115))),$A115),"'!B4"))&gt;=I$2,"d",IF(INDIRECT(_xlfn.CONCAT("'",IF(ISNUMBER(FIND("'",$A115))=TRUE,_xlfn.CONCAT(LEFT($A115,FIND("'",$A115)-1),"''",RIGHT($A115,LEN($A115)-FIND("'",$A115))),$A115),"'!B5"))&gt;=I$2,"i",""))</f>
        <v>d</v>
      </c>
      <c r="J115" s="1" t="str" cm="1">
        <f t="array" aca="1" ref="J115" ca="1">IF(INDIRECT(_xlfn.CONCAT("'",IF(ISNUMBER(FIND("'",$A115))=TRUE,_xlfn.CONCAT(LEFT($A115,FIND("'",$A115)-1),"''",RIGHT($A115,LEN($A115)-FIND("'",$A115))),$A115),"'!B4"))&gt;=J$2,"d",IF(INDIRECT(_xlfn.CONCAT("'",IF(ISNUMBER(FIND("'",$A115))=TRUE,_xlfn.CONCAT(LEFT($A115,FIND("'",$A115)-1),"''",RIGHT($A115,LEN($A115)-FIND("'",$A115))),$A115),"'!B5"))&gt;=J$2,"i",""))</f>
        <v>d</v>
      </c>
      <c r="K115" s="1" t="str" cm="1">
        <f t="array" aca="1" ref="K115" ca="1">IF(INDIRECT(_xlfn.CONCAT("'",IF(ISNUMBER(FIND("'",$A115))=TRUE,_xlfn.CONCAT(LEFT($A115,FIND("'",$A115)-1),"''",RIGHT($A115,LEN($A115)-FIND("'",$A115))),$A115),"'!B4"))&gt;=K$2,"d",IF(INDIRECT(_xlfn.CONCAT("'",IF(ISNUMBER(FIND("'",$A115))=TRUE,_xlfn.CONCAT(LEFT($A115,FIND("'",$A115)-1),"''",RIGHT($A115,LEN($A115)-FIND("'",$A115))),$A115),"'!B5"))&gt;=K$2,"i",""))</f>
        <v>d</v>
      </c>
      <c r="L115" s="1" t="str" cm="1">
        <f t="array" aca="1" ref="L115" ca="1">IF(INDIRECT(_xlfn.CONCAT("'",IF(ISNUMBER(FIND("'",$A115))=TRUE,_xlfn.CONCAT(LEFT($A115,FIND("'",$A115)-1),"''",RIGHT($A115,LEN($A115)-FIND("'",$A115))),$A115),"'!B4"))&gt;=L$2,"d",IF(INDIRECT(_xlfn.CONCAT("'",IF(ISNUMBER(FIND("'",$A115))=TRUE,_xlfn.CONCAT(LEFT($A115,FIND("'",$A115)-1),"''",RIGHT($A115,LEN($A115)-FIND("'",$A115))),$A115),"'!B5"))&gt;=L$2,"i",""))</f>
        <v>d</v>
      </c>
      <c r="M115" s="4" t="str" cm="1">
        <f t="array" aca="1" ref="M115" ca="1">IF(INDIRECT(_xlfn.CONCAT("'",IF(ISNUMBER(FIND("'",$A115))=TRUE,_xlfn.CONCAT(LEFT($A115,FIND("'",$A115)-1),"''",RIGHT($A115,LEN($A115)-FIND("'",$A115))),$A115),"'!B4"))&gt;=M$2,"d",IF(INDIRECT(_xlfn.CONCAT("'",IF(ISNUMBER(FIND("'",$A115))=TRUE,_xlfn.CONCAT(LEFT($A115,FIND("'",$A115)-1),"''",RIGHT($A115,LEN($A115)-FIND("'",$A115))),$A115),"'!B5"))&gt;=M$2,"i",""))</f>
        <v>d</v>
      </c>
      <c r="N115" s="95"/>
      <c r="O115" s="14" t="str" cm="1">
        <f t="array" aca="1" ref="O115" ca="1">IF(INDIRECT(_xlfn.CONCAT("'",IF(ISNUMBER(FIND("'",$A115))=TRUE,_xlfn.CONCAT(LEFT($A115,FIND("'",$A115)-1),"''",RIGHT($A115,LEN($A115)-FIND("'",$A115))),$A115),"'!C10"))&gt;=O$2,"d",IF(INDIRECT(_xlfn.CONCAT("'",IF(ISNUMBER(FIND("'",$A115))=TRUE,_xlfn.CONCAT(LEFT($A115,FIND("'",$A115)-1),"''",RIGHT($A115,LEN($A115)-FIND("'",$A115))),$A115),"'!C11"))&gt;=O$2,"i",""))</f>
        <v>d</v>
      </c>
      <c r="P115" s="1" t="str" cm="1">
        <f t="array" aca="1" ref="P115" ca="1">IF(INDIRECT(_xlfn.CONCAT("'",IF(ISNUMBER(FIND("'",$A115))=TRUE,_xlfn.CONCAT(LEFT($A115,FIND("'",$A115)-1),"''",RIGHT($A115,LEN($A115)-FIND("'",$A115))),$A115),"'!C10"))&gt;=P$2,"d",IF(INDIRECT(_xlfn.CONCAT("'",IF(ISNUMBER(FIND("'",$A115))=TRUE,_xlfn.CONCAT(LEFT($A115,FIND("'",$A115)-1),"''",RIGHT($A115,LEN($A115)-FIND("'",$A115))),$A115),"'!C11"))&gt;=P$2,"i",""))</f>
        <v>d</v>
      </c>
      <c r="Q115" s="1" t="str" cm="1">
        <f t="array" aca="1" ref="Q115" ca="1">IF(INDIRECT(_xlfn.CONCAT("'",IF(ISNUMBER(FIND("'",$A115))=TRUE,_xlfn.CONCAT(LEFT($A115,FIND("'",$A115)-1),"''",RIGHT($A115,LEN($A115)-FIND("'",$A115))),$A115),"'!C10"))&gt;=Q$2,"d",IF(INDIRECT(_xlfn.CONCAT("'",IF(ISNUMBER(FIND("'",$A115))=TRUE,_xlfn.CONCAT(LEFT($A115,FIND("'",$A115)-1),"''",RIGHT($A115,LEN($A115)-FIND("'",$A115))),$A115),"'!C11"))&gt;=Q$2,"i",""))</f>
        <v>d</v>
      </c>
      <c r="R115" s="1" t="str" cm="1">
        <f t="array" aca="1" ref="R115" ca="1">IF(INDIRECT(_xlfn.CONCAT("'",IF(ISNUMBER(FIND("'",$A115))=TRUE,_xlfn.CONCAT(LEFT($A115,FIND("'",$A115)-1),"''",RIGHT($A115,LEN($A115)-FIND("'",$A115))),$A115),"'!C10"))&gt;=R$2,"d",IF(INDIRECT(_xlfn.CONCAT("'",IF(ISNUMBER(FIND("'",$A115))=TRUE,_xlfn.CONCAT(LEFT($A115,FIND("'",$A115)-1),"''",RIGHT($A115,LEN($A115)-FIND("'",$A115))),$A115),"'!C11"))&gt;=R$2,"i",""))</f>
        <v>d</v>
      </c>
      <c r="S115" s="1" t="str" cm="1">
        <f t="array" aca="1" ref="S115" ca="1">IF(INDIRECT(_xlfn.CONCAT("'",IF(ISNUMBER(FIND("'",$A115))=TRUE,_xlfn.CONCAT(LEFT($A115,FIND("'",$A115)-1),"''",RIGHT($A115,LEN($A115)-FIND("'",$A115))),$A115),"'!C10"))&gt;=S$2,"d",IF(INDIRECT(_xlfn.CONCAT("'",IF(ISNUMBER(FIND("'",$A115))=TRUE,_xlfn.CONCAT(LEFT($A115,FIND("'",$A115)-1),"''",RIGHT($A115,LEN($A115)-FIND("'",$A115))),$A115),"'!C11"))&gt;=S$2,"i",""))</f>
        <v>d</v>
      </c>
      <c r="T115" s="4" t="str" cm="1">
        <f t="array" aca="1" ref="T115" ca="1">IF(INDIRECT(_xlfn.CONCAT("'",IF(ISNUMBER(FIND("'",$A115))=TRUE,_xlfn.CONCAT(LEFT($A115,FIND("'",$A115)-1),"''",RIGHT($A115,LEN($A115)-FIND("'",$A115))),$A115),"'!C10"))&gt;=T$2,"d",IF(INDIRECT(_xlfn.CONCAT("'",IF(ISNUMBER(FIND("'",$A115))=TRUE,_xlfn.CONCAT(LEFT($A115,FIND("'",$A115)-1),"''",RIGHT($A115,LEN($A115)-FIND("'",$A115))),$A115),"'!C11"))&gt;=T$2,"i",""))</f>
        <v>d</v>
      </c>
    </row>
    <row r="116" spans="1:20" hidden="1" x14ac:dyDescent="0.25">
      <c r="A116" s="54" t="str">
        <v>Mistsplitter Reforged</v>
      </c>
      <c r="B116" s="14" cm="1">
        <f t="array" ref="B116">_xlfn.XLOOKUP(A116,INDEX(Weapon_List,,1),INDEX(Weapon_List,,3),,0,1)</f>
        <v>5</v>
      </c>
      <c r="C116" s="4" t="str" cm="1">
        <f t="array" ref="C116">_xlfn.XLOOKUP(A116,INDEX(Weapon_List,,1),INDEX(Weapon_List,,2),,0,1)</f>
        <v>Sword</v>
      </c>
      <c r="D116" s="38" t="str" cm="1">
        <f t="array" ref="D116">_xlfn.XLOOKUP(A116,INDEX(Weapon_List,,1),INDEX(Weapon_List,,4),,0,1)</f>
        <v>Inazuma 1</v>
      </c>
      <c r="E116" s="38" t="str" cm="1">
        <f t="array" ref="E116">_xlfn.XLOOKUP(A116,INDEX(Weapon_List,,1),INDEX(Weapon_List,,5),,0,1)</f>
        <v>Nobushi</v>
      </c>
      <c r="F116" s="38" t="str" cm="1">
        <f t="array" ref="F116">_xlfn.XLOOKUP(A116,INDEX(Weapon_List,,1),INDEX(Weapon_List,,6),,0,1)</f>
        <v>Ruin Machine 2</v>
      </c>
      <c r="G116" s="14" t="str" cm="1">
        <f t="array" aca="1" ref="G116" ca="1">IF(INDIRECT(_xlfn.CONCAT("'",IF(ISNUMBER(FIND("'",$A116))=TRUE,_xlfn.CONCAT(LEFT($A116,FIND("'",$A116)-1),"''",RIGHT($A116,LEN($A116)-FIND("'",$A116))),$A116),"'!B4"))&gt;=G$2,"d",IF(INDIRECT(_xlfn.CONCAT("'",IF(ISNUMBER(FIND("'",$A116))=TRUE,_xlfn.CONCAT(LEFT($A116,FIND("'",$A116)-1),"''",RIGHT($A116,LEN($A116)-FIND("'",$A116))),$A116),"'!B5"))&gt;=G$2,"i",""))</f>
        <v>d</v>
      </c>
      <c r="H116" s="1" t="str" cm="1">
        <f t="array" aca="1" ref="H116" ca="1">IF(INDIRECT(_xlfn.CONCAT("'",IF(ISNUMBER(FIND("'",$A116))=TRUE,_xlfn.CONCAT(LEFT($A116,FIND("'",$A116)-1),"''",RIGHT($A116,LEN($A116)-FIND("'",$A116))),$A116),"'!B4"))&gt;=H$2,"d",IF(INDIRECT(_xlfn.CONCAT("'",IF(ISNUMBER(FIND("'",$A116))=TRUE,_xlfn.CONCAT(LEFT($A116,FIND("'",$A116)-1),"''",RIGHT($A116,LEN($A116)-FIND("'",$A116))),$A116),"'!B5"))&gt;=H$2,"i",""))</f>
        <v>d</v>
      </c>
      <c r="I116" s="1" t="str" cm="1">
        <f t="array" aca="1" ref="I116" ca="1">IF(INDIRECT(_xlfn.CONCAT("'",IF(ISNUMBER(FIND("'",$A116))=TRUE,_xlfn.CONCAT(LEFT($A116,FIND("'",$A116)-1),"''",RIGHT($A116,LEN($A116)-FIND("'",$A116))),$A116),"'!B4"))&gt;=I$2,"d",IF(INDIRECT(_xlfn.CONCAT("'",IF(ISNUMBER(FIND("'",$A116))=TRUE,_xlfn.CONCAT(LEFT($A116,FIND("'",$A116)-1),"''",RIGHT($A116,LEN($A116)-FIND("'",$A116))),$A116),"'!B5"))&gt;=I$2,"i",""))</f>
        <v>d</v>
      </c>
      <c r="J116" s="1" t="str" cm="1">
        <f t="array" aca="1" ref="J116" ca="1">IF(INDIRECT(_xlfn.CONCAT("'",IF(ISNUMBER(FIND("'",$A116))=TRUE,_xlfn.CONCAT(LEFT($A116,FIND("'",$A116)-1),"''",RIGHT($A116,LEN($A116)-FIND("'",$A116))),$A116),"'!B4"))&gt;=J$2,"d",IF(INDIRECT(_xlfn.CONCAT("'",IF(ISNUMBER(FIND("'",$A116))=TRUE,_xlfn.CONCAT(LEFT($A116,FIND("'",$A116)-1),"''",RIGHT($A116,LEN($A116)-FIND("'",$A116))),$A116),"'!B5"))&gt;=J$2,"i",""))</f>
        <v>d</v>
      </c>
      <c r="K116" s="1" t="str" cm="1">
        <f t="array" aca="1" ref="K116" ca="1">IF(INDIRECT(_xlfn.CONCAT("'",IF(ISNUMBER(FIND("'",$A116))=TRUE,_xlfn.CONCAT(LEFT($A116,FIND("'",$A116)-1),"''",RIGHT($A116,LEN($A116)-FIND("'",$A116))),$A116),"'!B4"))&gt;=K$2,"d",IF(INDIRECT(_xlfn.CONCAT("'",IF(ISNUMBER(FIND("'",$A116))=TRUE,_xlfn.CONCAT(LEFT($A116,FIND("'",$A116)-1),"''",RIGHT($A116,LEN($A116)-FIND("'",$A116))),$A116),"'!B5"))&gt;=K$2,"i",""))</f>
        <v>d</v>
      </c>
      <c r="L116" s="1" t="str" cm="1">
        <f t="array" aca="1" ref="L116" ca="1">IF(INDIRECT(_xlfn.CONCAT("'",IF(ISNUMBER(FIND("'",$A116))=TRUE,_xlfn.CONCAT(LEFT($A116,FIND("'",$A116)-1),"''",RIGHT($A116,LEN($A116)-FIND("'",$A116))),$A116),"'!B4"))&gt;=L$2,"d",IF(INDIRECT(_xlfn.CONCAT("'",IF(ISNUMBER(FIND("'",$A116))=TRUE,_xlfn.CONCAT(LEFT($A116,FIND("'",$A116)-1),"''",RIGHT($A116,LEN($A116)-FIND("'",$A116))),$A116),"'!B5"))&gt;=L$2,"i",""))</f>
        <v>d</v>
      </c>
      <c r="M116" s="4" t="str" cm="1">
        <f t="array" aca="1" ref="M116" ca="1">IF(INDIRECT(_xlfn.CONCAT("'",IF(ISNUMBER(FIND("'",$A116))=TRUE,_xlfn.CONCAT(LEFT($A116,FIND("'",$A116)-1),"''",RIGHT($A116,LEN($A116)-FIND("'",$A116))),$A116),"'!B4"))&gt;=M$2,"d",IF(INDIRECT(_xlfn.CONCAT("'",IF(ISNUMBER(FIND("'",$A116))=TRUE,_xlfn.CONCAT(LEFT($A116,FIND("'",$A116)-1),"''",RIGHT($A116,LEN($A116)-FIND("'",$A116))),$A116),"'!B5"))&gt;=M$2,"i",""))</f>
        <v>d</v>
      </c>
      <c r="N116" s="95"/>
      <c r="O116" s="14" t="str" cm="1">
        <f t="array" aca="1" ref="O116" ca="1">IF(INDIRECT(_xlfn.CONCAT("'",IF(ISNUMBER(FIND("'",$A116))=TRUE,_xlfn.CONCAT(LEFT($A116,FIND("'",$A116)-1),"''",RIGHT($A116,LEN($A116)-FIND("'",$A116))),$A116),"'!C10"))&gt;=O$2,"d",IF(INDIRECT(_xlfn.CONCAT("'",IF(ISNUMBER(FIND("'",$A116))=TRUE,_xlfn.CONCAT(LEFT($A116,FIND("'",$A116)-1),"''",RIGHT($A116,LEN($A116)-FIND("'",$A116))),$A116),"'!C11"))&gt;=O$2,"i",""))</f>
        <v>d</v>
      </c>
      <c r="P116" s="1" t="str" cm="1">
        <f t="array" aca="1" ref="P116" ca="1">IF(INDIRECT(_xlfn.CONCAT("'",IF(ISNUMBER(FIND("'",$A116))=TRUE,_xlfn.CONCAT(LEFT($A116,FIND("'",$A116)-1),"''",RIGHT($A116,LEN($A116)-FIND("'",$A116))),$A116),"'!C10"))&gt;=P$2,"d",IF(INDIRECT(_xlfn.CONCAT("'",IF(ISNUMBER(FIND("'",$A116))=TRUE,_xlfn.CONCAT(LEFT($A116,FIND("'",$A116)-1),"''",RIGHT($A116,LEN($A116)-FIND("'",$A116))),$A116),"'!C11"))&gt;=P$2,"i",""))</f>
        <v>d</v>
      </c>
      <c r="Q116" s="1" t="str" cm="1">
        <f t="array" aca="1" ref="Q116" ca="1">IF(INDIRECT(_xlfn.CONCAT("'",IF(ISNUMBER(FIND("'",$A116))=TRUE,_xlfn.CONCAT(LEFT($A116,FIND("'",$A116)-1),"''",RIGHT($A116,LEN($A116)-FIND("'",$A116))),$A116),"'!C10"))&gt;=Q$2,"d",IF(INDIRECT(_xlfn.CONCAT("'",IF(ISNUMBER(FIND("'",$A116))=TRUE,_xlfn.CONCAT(LEFT($A116,FIND("'",$A116)-1),"''",RIGHT($A116,LEN($A116)-FIND("'",$A116))),$A116),"'!C11"))&gt;=Q$2,"i",""))</f>
        <v>d</v>
      </c>
      <c r="R116" s="1" t="str" cm="1">
        <f t="array" aca="1" ref="R116" ca="1">IF(INDIRECT(_xlfn.CONCAT("'",IF(ISNUMBER(FIND("'",$A116))=TRUE,_xlfn.CONCAT(LEFT($A116,FIND("'",$A116)-1),"''",RIGHT($A116,LEN($A116)-FIND("'",$A116))),$A116),"'!C10"))&gt;=R$2,"d",IF(INDIRECT(_xlfn.CONCAT("'",IF(ISNUMBER(FIND("'",$A116))=TRUE,_xlfn.CONCAT(LEFT($A116,FIND("'",$A116)-1),"''",RIGHT($A116,LEN($A116)-FIND("'",$A116))),$A116),"'!C11"))&gt;=R$2,"i",""))</f>
        <v>d</v>
      </c>
      <c r="S116" s="1" t="str" cm="1">
        <f t="array" aca="1" ref="S116" ca="1">IF(INDIRECT(_xlfn.CONCAT("'",IF(ISNUMBER(FIND("'",$A116))=TRUE,_xlfn.CONCAT(LEFT($A116,FIND("'",$A116)-1),"''",RIGHT($A116,LEN($A116)-FIND("'",$A116))),$A116),"'!C10"))&gt;=S$2,"d",IF(INDIRECT(_xlfn.CONCAT("'",IF(ISNUMBER(FIND("'",$A116))=TRUE,_xlfn.CONCAT(LEFT($A116,FIND("'",$A116)-1),"''",RIGHT($A116,LEN($A116)-FIND("'",$A116))),$A116),"'!C11"))&gt;=S$2,"i",""))</f>
        <v>d</v>
      </c>
      <c r="T116" s="4" t="str" cm="1">
        <f t="array" aca="1" ref="T116" ca="1">IF(INDIRECT(_xlfn.CONCAT("'",IF(ISNUMBER(FIND("'",$A116))=TRUE,_xlfn.CONCAT(LEFT($A116,FIND("'",$A116)-1),"''",RIGHT($A116,LEN($A116)-FIND("'",$A116))),$A116),"'!C10"))&gt;=T$2,"d",IF(INDIRECT(_xlfn.CONCAT("'",IF(ISNUMBER(FIND("'",$A116))=TRUE,_xlfn.CONCAT(LEFT($A116,FIND("'",$A116)-1),"''",RIGHT($A116,LEN($A116)-FIND("'",$A116))),$A116),"'!C11"))&gt;=T$2,"i",""))</f>
        <v>d</v>
      </c>
    </row>
    <row r="117" spans="1:20" hidden="1" x14ac:dyDescent="0.25">
      <c r="A117" s="54" t="str">
        <v>Thundering Pulse</v>
      </c>
      <c r="B117" s="14" cm="1">
        <f t="array" ref="B117">_xlfn.XLOOKUP(A117,INDEX(Weapon_List,,1),INDEX(Weapon_List,,3),,0,1)</f>
        <v>5</v>
      </c>
      <c r="C117" s="4" t="str" cm="1">
        <f t="array" ref="C117">_xlfn.XLOOKUP(A117,INDEX(Weapon_List,,1),INDEX(Weapon_List,,2),,0,1)</f>
        <v>Bow</v>
      </c>
      <c r="D117" s="38" t="str" cm="1">
        <f t="array" ref="D117">_xlfn.XLOOKUP(A117,INDEX(Weapon_List,,1),INDEX(Weapon_List,,4),,0,1)</f>
        <v>Inazuma 2</v>
      </c>
      <c r="E117" s="38" t="str" cm="1">
        <f t="array" ref="E117">_xlfn.XLOOKUP(A117,INDEX(Weapon_List,,1),INDEX(Weapon_List,,5),,0,1)</f>
        <v>Hilichurl Shooter</v>
      </c>
      <c r="F117" s="38" t="str" cm="1">
        <f t="array" ref="F117">_xlfn.XLOOKUP(A117,INDEX(Weapon_List,,1),INDEX(Weapon_List,,6),,0,1)</f>
        <v>Mirror Maiden</v>
      </c>
      <c r="G117" s="14" t="str" cm="1">
        <f t="array" aca="1" ref="G117" ca="1">IF(INDIRECT(_xlfn.CONCAT("'",IF(ISNUMBER(FIND("'",$A117))=TRUE,_xlfn.CONCAT(LEFT($A117,FIND("'",$A117)-1),"''",RIGHT($A117,LEN($A117)-FIND("'",$A117))),$A117),"'!B4"))&gt;=G$2,"d",IF(INDIRECT(_xlfn.CONCAT("'",IF(ISNUMBER(FIND("'",$A117))=TRUE,_xlfn.CONCAT(LEFT($A117,FIND("'",$A117)-1),"''",RIGHT($A117,LEN($A117)-FIND("'",$A117))),$A117),"'!B5"))&gt;=G$2,"i",""))</f>
        <v>d</v>
      </c>
      <c r="H117" s="1" t="str" cm="1">
        <f t="array" aca="1" ref="H117" ca="1">IF(INDIRECT(_xlfn.CONCAT("'",IF(ISNUMBER(FIND("'",$A117))=TRUE,_xlfn.CONCAT(LEFT($A117,FIND("'",$A117)-1),"''",RIGHT($A117,LEN($A117)-FIND("'",$A117))),$A117),"'!B4"))&gt;=H$2,"d",IF(INDIRECT(_xlfn.CONCAT("'",IF(ISNUMBER(FIND("'",$A117))=TRUE,_xlfn.CONCAT(LEFT($A117,FIND("'",$A117)-1),"''",RIGHT($A117,LEN($A117)-FIND("'",$A117))),$A117),"'!B5"))&gt;=H$2,"i",""))</f>
        <v>d</v>
      </c>
      <c r="I117" s="1" t="str" cm="1">
        <f t="array" aca="1" ref="I117" ca="1">IF(INDIRECT(_xlfn.CONCAT("'",IF(ISNUMBER(FIND("'",$A117))=TRUE,_xlfn.CONCAT(LEFT($A117,FIND("'",$A117)-1),"''",RIGHT($A117,LEN($A117)-FIND("'",$A117))),$A117),"'!B4"))&gt;=I$2,"d",IF(INDIRECT(_xlfn.CONCAT("'",IF(ISNUMBER(FIND("'",$A117))=TRUE,_xlfn.CONCAT(LEFT($A117,FIND("'",$A117)-1),"''",RIGHT($A117,LEN($A117)-FIND("'",$A117))),$A117),"'!B5"))&gt;=I$2,"i",""))</f>
        <v>d</v>
      </c>
      <c r="J117" s="1" t="str" cm="1">
        <f t="array" aca="1" ref="J117" ca="1">IF(INDIRECT(_xlfn.CONCAT("'",IF(ISNUMBER(FIND("'",$A117))=TRUE,_xlfn.CONCAT(LEFT($A117,FIND("'",$A117)-1),"''",RIGHT($A117,LEN($A117)-FIND("'",$A117))),$A117),"'!B4"))&gt;=J$2,"d",IF(INDIRECT(_xlfn.CONCAT("'",IF(ISNUMBER(FIND("'",$A117))=TRUE,_xlfn.CONCAT(LEFT($A117,FIND("'",$A117)-1),"''",RIGHT($A117,LEN($A117)-FIND("'",$A117))),$A117),"'!B5"))&gt;=J$2,"i",""))</f>
        <v>d</v>
      </c>
      <c r="K117" s="1" t="str" cm="1">
        <f t="array" aca="1" ref="K117" ca="1">IF(INDIRECT(_xlfn.CONCAT("'",IF(ISNUMBER(FIND("'",$A117))=TRUE,_xlfn.CONCAT(LEFT($A117,FIND("'",$A117)-1),"''",RIGHT($A117,LEN($A117)-FIND("'",$A117))),$A117),"'!B4"))&gt;=K$2,"d",IF(INDIRECT(_xlfn.CONCAT("'",IF(ISNUMBER(FIND("'",$A117))=TRUE,_xlfn.CONCAT(LEFT($A117,FIND("'",$A117)-1),"''",RIGHT($A117,LEN($A117)-FIND("'",$A117))),$A117),"'!B5"))&gt;=K$2,"i",""))</f>
        <v>d</v>
      </c>
      <c r="L117" s="1" t="str" cm="1">
        <f t="array" aca="1" ref="L117" ca="1">IF(INDIRECT(_xlfn.CONCAT("'",IF(ISNUMBER(FIND("'",$A117))=TRUE,_xlfn.CONCAT(LEFT($A117,FIND("'",$A117)-1),"''",RIGHT($A117,LEN($A117)-FIND("'",$A117))),$A117),"'!B4"))&gt;=L$2,"d",IF(INDIRECT(_xlfn.CONCAT("'",IF(ISNUMBER(FIND("'",$A117))=TRUE,_xlfn.CONCAT(LEFT($A117,FIND("'",$A117)-1),"''",RIGHT($A117,LEN($A117)-FIND("'",$A117))),$A117),"'!B5"))&gt;=L$2,"i",""))</f>
        <v>d</v>
      </c>
      <c r="M117" s="4" t="str" cm="1">
        <f t="array" aca="1" ref="M117" ca="1">IF(INDIRECT(_xlfn.CONCAT("'",IF(ISNUMBER(FIND("'",$A117))=TRUE,_xlfn.CONCAT(LEFT($A117,FIND("'",$A117)-1),"''",RIGHT($A117,LEN($A117)-FIND("'",$A117))),$A117),"'!B4"))&gt;=M$2,"d",IF(INDIRECT(_xlfn.CONCAT("'",IF(ISNUMBER(FIND("'",$A117))=TRUE,_xlfn.CONCAT(LEFT($A117,FIND("'",$A117)-1),"''",RIGHT($A117,LEN($A117)-FIND("'",$A117))),$A117),"'!B5"))&gt;=M$2,"i",""))</f>
        <v>d</v>
      </c>
      <c r="N117" s="95"/>
      <c r="O117" s="14" t="str" cm="1">
        <f t="array" aca="1" ref="O117" ca="1">IF(INDIRECT(_xlfn.CONCAT("'",IF(ISNUMBER(FIND("'",$A117))=TRUE,_xlfn.CONCAT(LEFT($A117,FIND("'",$A117)-1),"''",RIGHT($A117,LEN($A117)-FIND("'",$A117))),$A117),"'!C10"))&gt;=O$2,"d",IF(INDIRECT(_xlfn.CONCAT("'",IF(ISNUMBER(FIND("'",$A117))=TRUE,_xlfn.CONCAT(LEFT($A117,FIND("'",$A117)-1),"''",RIGHT($A117,LEN($A117)-FIND("'",$A117))),$A117),"'!C11"))&gt;=O$2,"i",""))</f>
        <v>d</v>
      </c>
      <c r="P117" s="1" t="str" cm="1">
        <f t="array" aca="1" ref="P117" ca="1">IF(INDIRECT(_xlfn.CONCAT("'",IF(ISNUMBER(FIND("'",$A117))=TRUE,_xlfn.CONCAT(LEFT($A117,FIND("'",$A117)-1),"''",RIGHT($A117,LEN($A117)-FIND("'",$A117))),$A117),"'!C10"))&gt;=P$2,"d",IF(INDIRECT(_xlfn.CONCAT("'",IF(ISNUMBER(FIND("'",$A117))=TRUE,_xlfn.CONCAT(LEFT($A117,FIND("'",$A117)-1),"''",RIGHT($A117,LEN($A117)-FIND("'",$A117))),$A117),"'!C11"))&gt;=P$2,"i",""))</f>
        <v>d</v>
      </c>
      <c r="Q117" s="1" t="str" cm="1">
        <f t="array" aca="1" ref="Q117" ca="1">IF(INDIRECT(_xlfn.CONCAT("'",IF(ISNUMBER(FIND("'",$A117))=TRUE,_xlfn.CONCAT(LEFT($A117,FIND("'",$A117)-1),"''",RIGHT($A117,LEN($A117)-FIND("'",$A117))),$A117),"'!C10"))&gt;=Q$2,"d",IF(INDIRECT(_xlfn.CONCAT("'",IF(ISNUMBER(FIND("'",$A117))=TRUE,_xlfn.CONCAT(LEFT($A117,FIND("'",$A117)-1),"''",RIGHT($A117,LEN($A117)-FIND("'",$A117))),$A117),"'!C11"))&gt;=Q$2,"i",""))</f>
        <v>d</v>
      </c>
      <c r="R117" s="1" t="str" cm="1">
        <f t="array" aca="1" ref="R117" ca="1">IF(INDIRECT(_xlfn.CONCAT("'",IF(ISNUMBER(FIND("'",$A117))=TRUE,_xlfn.CONCAT(LEFT($A117,FIND("'",$A117)-1),"''",RIGHT($A117,LEN($A117)-FIND("'",$A117))),$A117),"'!C10"))&gt;=R$2,"d",IF(INDIRECT(_xlfn.CONCAT("'",IF(ISNUMBER(FIND("'",$A117))=TRUE,_xlfn.CONCAT(LEFT($A117,FIND("'",$A117)-1),"''",RIGHT($A117,LEN($A117)-FIND("'",$A117))),$A117),"'!C11"))&gt;=R$2,"i",""))</f>
        <v>d</v>
      </c>
      <c r="S117" s="1" t="str" cm="1">
        <f t="array" aca="1" ref="S117" ca="1">IF(INDIRECT(_xlfn.CONCAT("'",IF(ISNUMBER(FIND("'",$A117))=TRUE,_xlfn.CONCAT(LEFT($A117,FIND("'",$A117)-1),"''",RIGHT($A117,LEN($A117)-FIND("'",$A117))),$A117),"'!C10"))&gt;=S$2,"d",IF(INDIRECT(_xlfn.CONCAT("'",IF(ISNUMBER(FIND("'",$A117))=TRUE,_xlfn.CONCAT(LEFT($A117,FIND("'",$A117)-1),"''",RIGHT($A117,LEN($A117)-FIND("'",$A117))),$A117),"'!C11"))&gt;=S$2,"i",""))</f>
        <v>d</v>
      </c>
      <c r="T117" s="4" t="str" cm="1">
        <f t="array" aca="1" ref="T117" ca="1">IF(INDIRECT(_xlfn.CONCAT("'",IF(ISNUMBER(FIND("'",$A117))=TRUE,_xlfn.CONCAT(LEFT($A117,FIND("'",$A117)-1),"''",RIGHT($A117,LEN($A117)-FIND("'",$A117))),$A117),"'!C10"))&gt;=T$2,"d",IF(INDIRECT(_xlfn.CONCAT("'",IF(ISNUMBER(FIND("'",$A117))=TRUE,_xlfn.CONCAT(LEFT($A117,FIND("'",$A117)-1),"''",RIGHT($A117,LEN($A117)-FIND("'",$A117))),$A117),"'!C11"))&gt;=T$2,"i",""))</f>
        <v>d</v>
      </c>
    </row>
    <row r="118" spans="1:20" hidden="1" x14ac:dyDescent="0.25">
      <c r="A118" s="54" t="str">
        <v>"The Catch"</v>
      </c>
      <c r="B118" s="14" cm="1">
        <f t="array" ref="B118">_xlfn.XLOOKUP(A118,INDEX(Weapon_List,,1),INDEX(Weapon_List,,3),,0,1)</f>
        <v>4</v>
      </c>
      <c r="C118" s="4" t="str" cm="1">
        <f t="array" ref="C118">_xlfn.XLOOKUP(A118,INDEX(Weapon_List,,1),INDEX(Weapon_List,,2),,0,1)</f>
        <v>Polearm</v>
      </c>
      <c r="D118" s="38" t="str" cm="1">
        <f t="array" ref="D118">_xlfn.XLOOKUP(A118,INDEX(Weapon_List,,1),INDEX(Weapon_List,,4),,0,1)</f>
        <v>Inazuma 3</v>
      </c>
      <c r="E118" s="38" t="str" cm="1">
        <f t="array" ref="E118">_xlfn.XLOOKUP(A118,INDEX(Weapon_List,,1),INDEX(Weapon_List,,5),,0,1)</f>
        <v>Specter</v>
      </c>
      <c r="F118" s="38" t="str" cm="1">
        <f t="array" ref="F118">_xlfn.XLOOKUP(A118,INDEX(Weapon_List,,1),INDEX(Weapon_List,,6),,0,1)</f>
        <v>Ruin Machine 2</v>
      </c>
      <c r="G118" s="14" t="str" cm="1">
        <f t="array" aca="1" ref="G118" ca="1">IF(INDIRECT(_xlfn.CONCAT("'",IF(ISNUMBER(FIND("'",$A118))=TRUE,_xlfn.CONCAT(LEFT($A118,FIND("'",$A118)-1),"''",RIGHT($A118,LEN($A118)-FIND("'",$A118))),$A118),"'!B4"))&gt;=G$2,"d",IF(INDIRECT(_xlfn.CONCAT("'",IF(ISNUMBER(FIND("'",$A118))=TRUE,_xlfn.CONCAT(LEFT($A118,FIND("'",$A118)-1),"''",RIGHT($A118,LEN($A118)-FIND("'",$A118))),$A118),"'!B5"))&gt;=G$2,"i",""))</f>
        <v>d</v>
      </c>
      <c r="H118" s="1" t="str" cm="1">
        <f t="array" aca="1" ref="H118" ca="1">IF(INDIRECT(_xlfn.CONCAT("'",IF(ISNUMBER(FIND("'",$A118))=TRUE,_xlfn.CONCAT(LEFT($A118,FIND("'",$A118)-1),"''",RIGHT($A118,LEN($A118)-FIND("'",$A118))),$A118),"'!B4"))&gt;=H$2,"d",IF(INDIRECT(_xlfn.CONCAT("'",IF(ISNUMBER(FIND("'",$A118))=TRUE,_xlfn.CONCAT(LEFT($A118,FIND("'",$A118)-1),"''",RIGHT($A118,LEN($A118)-FIND("'",$A118))),$A118),"'!B5"))&gt;=H$2,"i",""))</f>
        <v>d</v>
      </c>
      <c r="I118" s="1" t="str" cm="1">
        <f t="array" aca="1" ref="I118" ca="1">IF(INDIRECT(_xlfn.CONCAT("'",IF(ISNUMBER(FIND("'",$A118))=TRUE,_xlfn.CONCAT(LEFT($A118,FIND("'",$A118)-1),"''",RIGHT($A118,LEN($A118)-FIND("'",$A118))),$A118),"'!B4"))&gt;=I$2,"d",IF(INDIRECT(_xlfn.CONCAT("'",IF(ISNUMBER(FIND("'",$A118))=TRUE,_xlfn.CONCAT(LEFT($A118,FIND("'",$A118)-1),"''",RIGHT($A118,LEN($A118)-FIND("'",$A118))),$A118),"'!B5"))&gt;=I$2,"i",""))</f>
        <v>d</v>
      </c>
      <c r="J118" s="1" t="str" cm="1">
        <f t="array" aca="1" ref="J118" ca="1">IF(INDIRECT(_xlfn.CONCAT("'",IF(ISNUMBER(FIND("'",$A118))=TRUE,_xlfn.CONCAT(LEFT($A118,FIND("'",$A118)-1),"''",RIGHT($A118,LEN($A118)-FIND("'",$A118))),$A118),"'!B4"))&gt;=J$2,"d",IF(INDIRECT(_xlfn.CONCAT("'",IF(ISNUMBER(FIND("'",$A118))=TRUE,_xlfn.CONCAT(LEFT($A118,FIND("'",$A118)-1),"''",RIGHT($A118,LEN($A118)-FIND("'",$A118))),$A118),"'!B5"))&gt;=J$2,"i",""))</f>
        <v>d</v>
      </c>
      <c r="K118" s="1" t="str" cm="1">
        <f t="array" aca="1" ref="K118" ca="1">IF(INDIRECT(_xlfn.CONCAT("'",IF(ISNUMBER(FIND("'",$A118))=TRUE,_xlfn.CONCAT(LEFT($A118,FIND("'",$A118)-1),"''",RIGHT($A118,LEN($A118)-FIND("'",$A118))),$A118),"'!B4"))&gt;=K$2,"d",IF(INDIRECT(_xlfn.CONCAT("'",IF(ISNUMBER(FIND("'",$A118))=TRUE,_xlfn.CONCAT(LEFT($A118,FIND("'",$A118)-1),"''",RIGHT($A118,LEN($A118)-FIND("'",$A118))),$A118),"'!B5"))&gt;=K$2,"i",""))</f>
        <v>d</v>
      </c>
      <c r="L118" s="1" t="str" cm="1">
        <f t="array" aca="1" ref="L118" ca="1">IF(INDIRECT(_xlfn.CONCAT("'",IF(ISNUMBER(FIND("'",$A118))=TRUE,_xlfn.CONCAT(LEFT($A118,FIND("'",$A118)-1),"''",RIGHT($A118,LEN($A118)-FIND("'",$A118))),$A118),"'!B4"))&gt;=L$2,"d",IF(INDIRECT(_xlfn.CONCAT("'",IF(ISNUMBER(FIND("'",$A118))=TRUE,_xlfn.CONCAT(LEFT($A118,FIND("'",$A118)-1),"''",RIGHT($A118,LEN($A118)-FIND("'",$A118))),$A118),"'!B5"))&gt;=L$2,"i",""))</f>
        <v>d</v>
      </c>
      <c r="M118" s="4" t="str" cm="1">
        <f t="array" aca="1" ref="M118" ca="1">IF(INDIRECT(_xlfn.CONCAT("'",IF(ISNUMBER(FIND("'",$A118))=TRUE,_xlfn.CONCAT(LEFT($A118,FIND("'",$A118)-1),"''",RIGHT($A118,LEN($A118)-FIND("'",$A118))),$A118),"'!B4"))&gt;=M$2,"d",IF(INDIRECT(_xlfn.CONCAT("'",IF(ISNUMBER(FIND("'",$A118))=TRUE,_xlfn.CONCAT(LEFT($A118,FIND("'",$A118)-1),"''",RIGHT($A118,LEN($A118)-FIND("'",$A118))),$A118),"'!B5"))&gt;=M$2,"i",""))</f>
        <v>d</v>
      </c>
      <c r="N118" s="95"/>
      <c r="O118" s="14" t="str" cm="1">
        <f t="array" aca="1" ref="O118" ca="1">IF(INDIRECT(_xlfn.CONCAT("'",IF(ISNUMBER(FIND("'",$A118))=TRUE,_xlfn.CONCAT(LEFT($A118,FIND("'",$A118)-1),"''",RIGHT($A118,LEN($A118)-FIND("'",$A118))),$A118),"'!C10"))&gt;=O$2,"d",IF(INDIRECT(_xlfn.CONCAT("'",IF(ISNUMBER(FIND("'",$A118))=TRUE,_xlfn.CONCAT(LEFT($A118,FIND("'",$A118)-1),"''",RIGHT($A118,LEN($A118)-FIND("'",$A118))),$A118),"'!C11"))&gt;=O$2,"i",""))</f>
        <v>d</v>
      </c>
      <c r="P118" s="1" t="str" cm="1">
        <f t="array" aca="1" ref="P118" ca="1">IF(INDIRECT(_xlfn.CONCAT("'",IF(ISNUMBER(FIND("'",$A118))=TRUE,_xlfn.CONCAT(LEFT($A118,FIND("'",$A118)-1),"''",RIGHT($A118,LEN($A118)-FIND("'",$A118))),$A118),"'!C10"))&gt;=P$2,"d",IF(INDIRECT(_xlfn.CONCAT("'",IF(ISNUMBER(FIND("'",$A118))=TRUE,_xlfn.CONCAT(LEFT($A118,FIND("'",$A118)-1),"''",RIGHT($A118,LEN($A118)-FIND("'",$A118))),$A118),"'!C11"))&gt;=P$2,"i",""))</f>
        <v>d</v>
      </c>
      <c r="Q118" s="1" t="str" cm="1">
        <f t="array" aca="1" ref="Q118" ca="1">IF(INDIRECT(_xlfn.CONCAT("'",IF(ISNUMBER(FIND("'",$A118))=TRUE,_xlfn.CONCAT(LEFT($A118,FIND("'",$A118)-1),"''",RIGHT($A118,LEN($A118)-FIND("'",$A118))),$A118),"'!C10"))&gt;=Q$2,"d",IF(INDIRECT(_xlfn.CONCAT("'",IF(ISNUMBER(FIND("'",$A118))=TRUE,_xlfn.CONCAT(LEFT($A118,FIND("'",$A118)-1),"''",RIGHT($A118,LEN($A118)-FIND("'",$A118))),$A118),"'!C11"))&gt;=Q$2,"i",""))</f>
        <v>d</v>
      </c>
      <c r="R118" s="1" t="str" cm="1">
        <f t="array" aca="1" ref="R118" ca="1">IF(INDIRECT(_xlfn.CONCAT("'",IF(ISNUMBER(FIND("'",$A118))=TRUE,_xlfn.CONCAT(LEFT($A118,FIND("'",$A118)-1),"''",RIGHT($A118,LEN($A118)-FIND("'",$A118))),$A118),"'!C10"))&gt;=R$2,"d",IF(INDIRECT(_xlfn.CONCAT("'",IF(ISNUMBER(FIND("'",$A118))=TRUE,_xlfn.CONCAT(LEFT($A118,FIND("'",$A118)-1),"''",RIGHT($A118,LEN($A118)-FIND("'",$A118))),$A118),"'!C11"))&gt;=R$2,"i",""))</f>
        <v>d</v>
      </c>
      <c r="S118" s="1" t="str" cm="1">
        <f t="array" aca="1" ref="S118" ca="1">IF(INDIRECT(_xlfn.CONCAT("'",IF(ISNUMBER(FIND("'",$A118))=TRUE,_xlfn.CONCAT(LEFT($A118,FIND("'",$A118)-1),"''",RIGHT($A118,LEN($A118)-FIND("'",$A118))),$A118),"'!C10"))&gt;=S$2,"d",IF(INDIRECT(_xlfn.CONCAT("'",IF(ISNUMBER(FIND("'",$A118))=TRUE,_xlfn.CONCAT(LEFT($A118,FIND("'",$A118)-1),"''",RIGHT($A118,LEN($A118)-FIND("'",$A118))),$A118),"'!C11"))&gt;=S$2,"i",""))</f>
        <v>d</v>
      </c>
      <c r="T118" s="4" t="str" cm="1">
        <f t="array" aca="1" ref="T118" ca="1">IF(INDIRECT(_xlfn.CONCAT("'",IF(ISNUMBER(FIND("'",$A118))=TRUE,_xlfn.CONCAT(LEFT($A118,FIND("'",$A118)-1),"''",RIGHT($A118,LEN($A118)-FIND("'",$A118))),$A118),"'!C10"))&gt;=T$2,"d",IF(INDIRECT(_xlfn.CONCAT("'",IF(ISNUMBER(FIND("'",$A118))=TRUE,_xlfn.CONCAT(LEFT($A118,FIND("'",$A118)-1),"''",RIGHT($A118,LEN($A118)-FIND("'",$A118))),$A118),"'!C11"))&gt;=T$2,"i",""))</f>
        <v>d</v>
      </c>
    </row>
    <row r="119" spans="1:20" hidden="1" x14ac:dyDescent="0.25">
      <c r="A119" s="54" t="str">
        <v>Luxurious Sea-Lord</v>
      </c>
      <c r="B119" s="14" cm="1">
        <f t="array" ref="B119">_xlfn.XLOOKUP(A119,INDEX(Weapon_List,,1),INDEX(Weapon_List,,3),,0,1)</f>
        <v>4</v>
      </c>
      <c r="C119" s="4" t="str" cm="1">
        <f t="array" ref="C119">_xlfn.XLOOKUP(A119,INDEX(Weapon_List,,1),INDEX(Weapon_List,,2),,0,1)</f>
        <v>Claymore</v>
      </c>
      <c r="D119" s="38" t="str" cm="1">
        <f t="array" ref="D119">_xlfn.XLOOKUP(A119,INDEX(Weapon_List,,1),INDEX(Weapon_List,,4),,0,1)</f>
        <v>Liyue 3</v>
      </c>
      <c r="E119" s="38" t="str" cm="1">
        <f t="array" ref="E119">_xlfn.XLOOKUP(A119,INDEX(Weapon_List,,1),INDEX(Weapon_List,,5),,0,1)</f>
        <v>Slime</v>
      </c>
      <c r="F119" s="38" t="str" cm="1">
        <f t="array" ref="F119">_xlfn.XLOOKUP(A119,INDEX(Weapon_List,,1),INDEX(Weapon_List,,6),,0,1)</f>
        <v>Vishap</v>
      </c>
      <c r="G119" s="14" t="str" cm="1">
        <f t="array" aca="1" ref="G119" ca="1">IF(INDIRECT(_xlfn.CONCAT("'",IF(ISNUMBER(FIND("'",$A119))=TRUE,_xlfn.CONCAT(LEFT($A119,FIND("'",$A119)-1),"''",RIGHT($A119,LEN($A119)-FIND("'",$A119))),$A119),"'!B4"))&gt;=G$2,"d",IF(INDIRECT(_xlfn.CONCAT("'",IF(ISNUMBER(FIND("'",$A119))=TRUE,_xlfn.CONCAT(LEFT($A119,FIND("'",$A119)-1),"''",RIGHT($A119,LEN($A119)-FIND("'",$A119))),$A119),"'!B5"))&gt;=G$2,"i",""))</f>
        <v>d</v>
      </c>
      <c r="H119" s="1" t="str" cm="1">
        <f t="array" aca="1" ref="H119" ca="1">IF(INDIRECT(_xlfn.CONCAT("'",IF(ISNUMBER(FIND("'",$A119))=TRUE,_xlfn.CONCAT(LEFT($A119,FIND("'",$A119)-1),"''",RIGHT($A119,LEN($A119)-FIND("'",$A119))),$A119),"'!B4"))&gt;=H$2,"d",IF(INDIRECT(_xlfn.CONCAT("'",IF(ISNUMBER(FIND("'",$A119))=TRUE,_xlfn.CONCAT(LEFT($A119,FIND("'",$A119)-1),"''",RIGHT($A119,LEN($A119)-FIND("'",$A119))),$A119),"'!B5"))&gt;=H$2,"i",""))</f>
        <v>d</v>
      </c>
      <c r="I119" s="1" t="str" cm="1">
        <f t="array" aca="1" ref="I119" ca="1">IF(INDIRECT(_xlfn.CONCAT("'",IF(ISNUMBER(FIND("'",$A119))=TRUE,_xlfn.CONCAT(LEFT($A119,FIND("'",$A119)-1),"''",RIGHT($A119,LEN($A119)-FIND("'",$A119))),$A119),"'!B4"))&gt;=I$2,"d",IF(INDIRECT(_xlfn.CONCAT("'",IF(ISNUMBER(FIND("'",$A119))=TRUE,_xlfn.CONCAT(LEFT($A119,FIND("'",$A119)-1),"''",RIGHT($A119,LEN($A119)-FIND("'",$A119))),$A119),"'!B5"))&gt;=I$2,"i",""))</f>
        <v>d</v>
      </c>
      <c r="J119" s="1" t="str" cm="1">
        <f t="array" aca="1" ref="J119" ca="1">IF(INDIRECT(_xlfn.CONCAT("'",IF(ISNUMBER(FIND("'",$A119))=TRUE,_xlfn.CONCAT(LEFT($A119,FIND("'",$A119)-1),"''",RIGHT($A119,LEN($A119)-FIND("'",$A119))),$A119),"'!B4"))&gt;=J$2,"d",IF(INDIRECT(_xlfn.CONCAT("'",IF(ISNUMBER(FIND("'",$A119))=TRUE,_xlfn.CONCAT(LEFT($A119,FIND("'",$A119)-1),"''",RIGHT($A119,LEN($A119)-FIND("'",$A119))),$A119),"'!B5"))&gt;=J$2,"i",""))</f>
        <v>d</v>
      </c>
      <c r="K119" s="1" t="str" cm="1">
        <f t="array" aca="1" ref="K119" ca="1">IF(INDIRECT(_xlfn.CONCAT("'",IF(ISNUMBER(FIND("'",$A119))=TRUE,_xlfn.CONCAT(LEFT($A119,FIND("'",$A119)-1),"''",RIGHT($A119,LEN($A119)-FIND("'",$A119))),$A119),"'!B4"))&gt;=K$2,"d",IF(INDIRECT(_xlfn.CONCAT("'",IF(ISNUMBER(FIND("'",$A119))=TRUE,_xlfn.CONCAT(LEFT($A119,FIND("'",$A119)-1),"''",RIGHT($A119,LEN($A119)-FIND("'",$A119))),$A119),"'!B5"))&gt;=K$2,"i",""))</f>
        <v>d</v>
      </c>
      <c r="L119" s="1" t="str" cm="1">
        <f t="array" aca="1" ref="L119" ca="1">IF(INDIRECT(_xlfn.CONCAT("'",IF(ISNUMBER(FIND("'",$A119))=TRUE,_xlfn.CONCAT(LEFT($A119,FIND("'",$A119)-1),"''",RIGHT($A119,LEN($A119)-FIND("'",$A119))),$A119),"'!B4"))&gt;=L$2,"d",IF(INDIRECT(_xlfn.CONCAT("'",IF(ISNUMBER(FIND("'",$A119))=TRUE,_xlfn.CONCAT(LEFT($A119,FIND("'",$A119)-1),"''",RIGHT($A119,LEN($A119)-FIND("'",$A119))),$A119),"'!B5"))&gt;=L$2,"i",""))</f>
        <v>d</v>
      </c>
      <c r="M119" s="4" t="str" cm="1">
        <f t="array" aca="1" ref="M119" ca="1">IF(INDIRECT(_xlfn.CONCAT("'",IF(ISNUMBER(FIND("'",$A119))=TRUE,_xlfn.CONCAT(LEFT($A119,FIND("'",$A119)-1),"''",RIGHT($A119,LEN($A119)-FIND("'",$A119))),$A119),"'!B4"))&gt;=M$2,"d",IF(INDIRECT(_xlfn.CONCAT("'",IF(ISNUMBER(FIND("'",$A119))=TRUE,_xlfn.CONCAT(LEFT($A119,FIND("'",$A119)-1),"''",RIGHT($A119,LEN($A119)-FIND("'",$A119))),$A119),"'!B5"))&gt;=M$2,"i",""))</f>
        <v>d</v>
      </c>
      <c r="N119" s="95"/>
      <c r="O119" s="14" t="str" cm="1">
        <f t="array" aca="1" ref="O119" ca="1">IF(INDIRECT(_xlfn.CONCAT("'",IF(ISNUMBER(FIND("'",$A119))=TRUE,_xlfn.CONCAT(LEFT($A119,FIND("'",$A119)-1),"''",RIGHT($A119,LEN($A119)-FIND("'",$A119))),$A119),"'!C10"))&gt;=O$2,"d",IF(INDIRECT(_xlfn.CONCAT("'",IF(ISNUMBER(FIND("'",$A119))=TRUE,_xlfn.CONCAT(LEFT($A119,FIND("'",$A119)-1),"''",RIGHT($A119,LEN($A119)-FIND("'",$A119))),$A119),"'!C11"))&gt;=O$2,"i",""))</f>
        <v>d</v>
      </c>
      <c r="P119" s="1" t="str" cm="1">
        <f t="array" aca="1" ref="P119" ca="1">IF(INDIRECT(_xlfn.CONCAT("'",IF(ISNUMBER(FIND("'",$A119))=TRUE,_xlfn.CONCAT(LEFT($A119,FIND("'",$A119)-1),"''",RIGHT($A119,LEN($A119)-FIND("'",$A119))),$A119),"'!C10"))&gt;=P$2,"d",IF(INDIRECT(_xlfn.CONCAT("'",IF(ISNUMBER(FIND("'",$A119))=TRUE,_xlfn.CONCAT(LEFT($A119,FIND("'",$A119)-1),"''",RIGHT($A119,LEN($A119)-FIND("'",$A119))),$A119),"'!C11"))&gt;=P$2,"i",""))</f>
        <v>d</v>
      </c>
      <c r="Q119" s="1" t="str" cm="1">
        <f t="array" aca="1" ref="Q119" ca="1">IF(INDIRECT(_xlfn.CONCAT("'",IF(ISNUMBER(FIND("'",$A119))=TRUE,_xlfn.CONCAT(LEFT($A119,FIND("'",$A119)-1),"''",RIGHT($A119,LEN($A119)-FIND("'",$A119))),$A119),"'!C10"))&gt;=Q$2,"d",IF(INDIRECT(_xlfn.CONCAT("'",IF(ISNUMBER(FIND("'",$A119))=TRUE,_xlfn.CONCAT(LEFT($A119,FIND("'",$A119)-1),"''",RIGHT($A119,LEN($A119)-FIND("'",$A119))),$A119),"'!C11"))&gt;=Q$2,"i",""))</f>
        <v>d</v>
      </c>
      <c r="R119" s="1" t="str" cm="1">
        <f t="array" aca="1" ref="R119" ca="1">IF(INDIRECT(_xlfn.CONCAT("'",IF(ISNUMBER(FIND("'",$A119))=TRUE,_xlfn.CONCAT(LEFT($A119,FIND("'",$A119)-1),"''",RIGHT($A119,LEN($A119)-FIND("'",$A119))),$A119),"'!C10"))&gt;=R$2,"d",IF(INDIRECT(_xlfn.CONCAT("'",IF(ISNUMBER(FIND("'",$A119))=TRUE,_xlfn.CONCAT(LEFT($A119,FIND("'",$A119)-1),"''",RIGHT($A119,LEN($A119)-FIND("'",$A119))),$A119),"'!C11"))&gt;=R$2,"i",""))</f>
        <v>d</v>
      </c>
      <c r="S119" s="1" t="str" cm="1">
        <f t="array" aca="1" ref="S119" ca="1">IF(INDIRECT(_xlfn.CONCAT("'",IF(ISNUMBER(FIND("'",$A119))=TRUE,_xlfn.CONCAT(LEFT($A119,FIND("'",$A119)-1),"''",RIGHT($A119,LEN($A119)-FIND("'",$A119))),$A119),"'!C10"))&gt;=S$2,"d",IF(INDIRECT(_xlfn.CONCAT("'",IF(ISNUMBER(FIND("'",$A119))=TRUE,_xlfn.CONCAT(LEFT($A119,FIND("'",$A119)-1),"''",RIGHT($A119,LEN($A119)-FIND("'",$A119))),$A119),"'!C11"))&gt;=S$2,"i",""))</f>
        <v>d</v>
      </c>
      <c r="T119" s="4" t="str" cm="1">
        <f t="array" aca="1" ref="T119" ca="1">IF(INDIRECT(_xlfn.CONCAT("'",IF(ISNUMBER(FIND("'",$A119))=TRUE,_xlfn.CONCAT(LEFT($A119,FIND("'",$A119)-1),"''",RIGHT($A119,LEN($A119)-FIND("'",$A119))),$A119),"'!C10"))&gt;=T$2,"d",IF(INDIRECT(_xlfn.CONCAT("'",IF(ISNUMBER(FIND("'",$A119))=TRUE,_xlfn.CONCAT(LEFT($A119,FIND("'",$A119)-1),"''",RIGHT($A119,LEN($A119)-FIND("'",$A119))),$A119),"'!C11"))&gt;=T$2,"i",""))</f>
        <v>d</v>
      </c>
    </row>
    <row r="120" spans="1:20" hidden="1" x14ac:dyDescent="0.25">
      <c r="A120" s="54" t="str">
        <v>Engulfing Lightning</v>
      </c>
      <c r="B120" s="14" cm="1">
        <f t="array" ref="B120">_xlfn.XLOOKUP(A120,INDEX(Weapon_List,,1),INDEX(Weapon_List,,3),,0,1)</f>
        <v>5</v>
      </c>
      <c r="C120" s="4" t="str" cm="1">
        <f t="array" ref="C120">_xlfn.XLOOKUP(A120,INDEX(Weapon_List,,1),INDEX(Weapon_List,,2),,0,1)</f>
        <v>Polearm</v>
      </c>
      <c r="D120" s="38" t="str" cm="1">
        <f t="array" ref="D120">_xlfn.XLOOKUP(A120,INDEX(Weapon_List,,1),INDEX(Weapon_List,,4),,0,1)</f>
        <v>Inazuma 3</v>
      </c>
      <c r="E120" s="38" t="str" cm="1">
        <f t="array" ref="E120">_xlfn.XLOOKUP(A120,INDEX(Weapon_List,,1),INDEX(Weapon_List,,5),,0,1)</f>
        <v>Nobushi</v>
      </c>
      <c r="F120" s="38" t="str" cm="1">
        <f t="array" ref="F120">_xlfn.XLOOKUP(A120,INDEX(Weapon_List,,1),INDEX(Weapon_List,,6),,0,1)</f>
        <v>Ruin Machine 2</v>
      </c>
      <c r="G120" s="14" t="str" cm="1">
        <f t="array" aca="1" ref="G120" ca="1">IF(INDIRECT(_xlfn.CONCAT("'",IF(ISNUMBER(FIND("'",$A120))=TRUE,_xlfn.CONCAT(LEFT($A120,FIND("'",$A120)-1),"''",RIGHT($A120,LEN($A120)-FIND("'",$A120))),$A120),"'!B4"))&gt;=G$2,"d",IF(INDIRECT(_xlfn.CONCAT("'",IF(ISNUMBER(FIND("'",$A120))=TRUE,_xlfn.CONCAT(LEFT($A120,FIND("'",$A120)-1),"''",RIGHT($A120,LEN($A120)-FIND("'",$A120))),$A120),"'!B5"))&gt;=G$2,"i",""))</f>
        <v>d</v>
      </c>
      <c r="H120" s="1" t="str" cm="1">
        <f t="array" aca="1" ref="H120" ca="1">IF(INDIRECT(_xlfn.CONCAT("'",IF(ISNUMBER(FIND("'",$A120))=TRUE,_xlfn.CONCAT(LEFT($A120,FIND("'",$A120)-1),"''",RIGHT($A120,LEN($A120)-FIND("'",$A120))),$A120),"'!B4"))&gt;=H$2,"d",IF(INDIRECT(_xlfn.CONCAT("'",IF(ISNUMBER(FIND("'",$A120))=TRUE,_xlfn.CONCAT(LEFT($A120,FIND("'",$A120)-1),"''",RIGHT($A120,LEN($A120)-FIND("'",$A120))),$A120),"'!B5"))&gt;=H$2,"i",""))</f>
        <v>d</v>
      </c>
      <c r="I120" s="1" t="str" cm="1">
        <f t="array" aca="1" ref="I120" ca="1">IF(INDIRECT(_xlfn.CONCAT("'",IF(ISNUMBER(FIND("'",$A120))=TRUE,_xlfn.CONCAT(LEFT($A120,FIND("'",$A120)-1),"''",RIGHT($A120,LEN($A120)-FIND("'",$A120))),$A120),"'!B4"))&gt;=I$2,"d",IF(INDIRECT(_xlfn.CONCAT("'",IF(ISNUMBER(FIND("'",$A120))=TRUE,_xlfn.CONCAT(LEFT($A120,FIND("'",$A120)-1),"''",RIGHT($A120,LEN($A120)-FIND("'",$A120))),$A120),"'!B5"))&gt;=I$2,"i",""))</f>
        <v>d</v>
      </c>
      <c r="J120" s="1" t="str" cm="1">
        <f t="array" aca="1" ref="J120" ca="1">IF(INDIRECT(_xlfn.CONCAT("'",IF(ISNUMBER(FIND("'",$A120))=TRUE,_xlfn.CONCAT(LEFT($A120,FIND("'",$A120)-1),"''",RIGHT($A120,LEN($A120)-FIND("'",$A120))),$A120),"'!B4"))&gt;=J$2,"d",IF(INDIRECT(_xlfn.CONCAT("'",IF(ISNUMBER(FIND("'",$A120))=TRUE,_xlfn.CONCAT(LEFT($A120,FIND("'",$A120)-1),"''",RIGHT($A120,LEN($A120)-FIND("'",$A120))),$A120),"'!B5"))&gt;=J$2,"i",""))</f>
        <v>d</v>
      </c>
      <c r="K120" s="1" t="str" cm="1">
        <f t="array" aca="1" ref="K120" ca="1">IF(INDIRECT(_xlfn.CONCAT("'",IF(ISNUMBER(FIND("'",$A120))=TRUE,_xlfn.CONCAT(LEFT($A120,FIND("'",$A120)-1),"''",RIGHT($A120,LEN($A120)-FIND("'",$A120))),$A120),"'!B4"))&gt;=K$2,"d",IF(INDIRECT(_xlfn.CONCAT("'",IF(ISNUMBER(FIND("'",$A120))=TRUE,_xlfn.CONCAT(LEFT($A120,FIND("'",$A120)-1),"''",RIGHT($A120,LEN($A120)-FIND("'",$A120))),$A120),"'!B5"))&gt;=K$2,"i",""))</f>
        <v>d</v>
      </c>
      <c r="L120" s="1" t="str" cm="1">
        <f t="array" aca="1" ref="L120" ca="1">IF(INDIRECT(_xlfn.CONCAT("'",IF(ISNUMBER(FIND("'",$A120))=TRUE,_xlfn.CONCAT(LEFT($A120,FIND("'",$A120)-1),"''",RIGHT($A120,LEN($A120)-FIND("'",$A120))),$A120),"'!B4"))&gt;=L$2,"d",IF(INDIRECT(_xlfn.CONCAT("'",IF(ISNUMBER(FIND("'",$A120))=TRUE,_xlfn.CONCAT(LEFT($A120,FIND("'",$A120)-1),"''",RIGHT($A120,LEN($A120)-FIND("'",$A120))),$A120),"'!B5"))&gt;=L$2,"i",""))</f>
        <v>d</v>
      </c>
      <c r="M120" s="4" t="str" cm="1">
        <f t="array" aca="1" ref="M120" ca="1">IF(INDIRECT(_xlfn.CONCAT("'",IF(ISNUMBER(FIND("'",$A120))=TRUE,_xlfn.CONCAT(LEFT($A120,FIND("'",$A120)-1),"''",RIGHT($A120,LEN($A120)-FIND("'",$A120))),$A120),"'!B4"))&gt;=M$2,"d",IF(INDIRECT(_xlfn.CONCAT("'",IF(ISNUMBER(FIND("'",$A120))=TRUE,_xlfn.CONCAT(LEFT($A120,FIND("'",$A120)-1),"''",RIGHT($A120,LEN($A120)-FIND("'",$A120))),$A120),"'!B5"))&gt;=M$2,"i",""))</f>
        <v>d</v>
      </c>
      <c r="N120" s="95"/>
      <c r="O120" s="14" t="str" cm="1">
        <f t="array" aca="1" ref="O120" ca="1">IF(INDIRECT(_xlfn.CONCAT("'",IF(ISNUMBER(FIND("'",$A120))=TRUE,_xlfn.CONCAT(LEFT($A120,FIND("'",$A120)-1),"''",RIGHT($A120,LEN($A120)-FIND("'",$A120))),$A120),"'!C10"))&gt;=O$2,"d",IF(INDIRECT(_xlfn.CONCAT("'",IF(ISNUMBER(FIND("'",$A120))=TRUE,_xlfn.CONCAT(LEFT($A120,FIND("'",$A120)-1),"''",RIGHT($A120,LEN($A120)-FIND("'",$A120))),$A120),"'!C11"))&gt;=O$2,"i",""))</f>
        <v>d</v>
      </c>
      <c r="P120" s="1" t="str" cm="1">
        <f t="array" aca="1" ref="P120" ca="1">IF(INDIRECT(_xlfn.CONCAT("'",IF(ISNUMBER(FIND("'",$A120))=TRUE,_xlfn.CONCAT(LEFT($A120,FIND("'",$A120)-1),"''",RIGHT($A120,LEN($A120)-FIND("'",$A120))),$A120),"'!C10"))&gt;=P$2,"d",IF(INDIRECT(_xlfn.CONCAT("'",IF(ISNUMBER(FIND("'",$A120))=TRUE,_xlfn.CONCAT(LEFT($A120,FIND("'",$A120)-1),"''",RIGHT($A120,LEN($A120)-FIND("'",$A120))),$A120),"'!C11"))&gt;=P$2,"i",""))</f>
        <v>d</v>
      </c>
      <c r="Q120" s="1" t="str" cm="1">
        <f t="array" aca="1" ref="Q120" ca="1">IF(INDIRECT(_xlfn.CONCAT("'",IF(ISNUMBER(FIND("'",$A120))=TRUE,_xlfn.CONCAT(LEFT($A120,FIND("'",$A120)-1),"''",RIGHT($A120,LEN($A120)-FIND("'",$A120))),$A120),"'!C10"))&gt;=Q$2,"d",IF(INDIRECT(_xlfn.CONCAT("'",IF(ISNUMBER(FIND("'",$A120))=TRUE,_xlfn.CONCAT(LEFT($A120,FIND("'",$A120)-1),"''",RIGHT($A120,LEN($A120)-FIND("'",$A120))),$A120),"'!C11"))&gt;=Q$2,"i",""))</f>
        <v>d</v>
      </c>
      <c r="R120" s="1" t="str" cm="1">
        <f t="array" aca="1" ref="R120" ca="1">IF(INDIRECT(_xlfn.CONCAT("'",IF(ISNUMBER(FIND("'",$A120))=TRUE,_xlfn.CONCAT(LEFT($A120,FIND("'",$A120)-1),"''",RIGHT($A120,LEN($A120)-FIND("'",$A120))),$A120),"'!C10"))&gt;=R$2,"d",IF(INDIRECT(_xlfn.CONCAT("'",IF(ISNUMBER(FIND("'",$A120))=TRUE,_xlfn.CONCAT(LEFT($A120,FIND("'",$A120)-1),"''",RIGHT($A120,LEN($A120)-FIND("'",$A120))),$A120),"'!C11"))&gt;=R$2,"i",""))</f>
        <v>d</v>
      </c>
      <c r="S120" s="1" t="str" cm="1">
        <f t="array" aca="1" ref="S120" ca="1">IF(INDIRECT(_xlfn.CONCAT("'",IF(ISNUMBER(FIND("'",$A120))=TRUE,_xlfn.CONCAT(LEFT($A120,FIND("'",$A120)-1),"''",RIGHT($A120,LEN($A120)-FIND("'",$A120))),$A120),"'!C10"))&gt;=S$2,"d",IF(INDIRECT(_xlfn.CONCAT("'",IF(ISNUMBER(FIND("'",$A120))=TRUE,_xlfn.CONCAT(LEFT($A120,FIND("'",$A120)-1),"''",RIGHT($A120,LEN($A120)-FIND("'",$A120))),$A120),"'!C11"))&gt;=S$2,"i",""))</f>
        <v>d</v>
      </c>
      <c r="T120" s="4" t="str" cm="1">
        <f t="array" aca="1" ref="T120" ca="1">IF(INDIRECT(_xlfn.CONCAT("'",IF(ISNUMBER(FIND("'",$A120))=TRUE,_xlfn.CONCAT(LEFT($A120,FIND("'",$A120)-1),"''",RIGHT($A120,LEN($A120)-FIND("'",$A120))),$A120),"'!C10"))&gt;=T$2,"d",IF(INDIRECT(_xlfn.CONCAT("'",IF(ISNUMBER(FIND("'",$A120))=TRUE,_xlfn.CONCAT(LEFT($A120,FIND("'",$A120)-1),"''",RIGHT($A120,LEN($A120)-FIND("'",$A120))),$A120),"'!C11"))&gt;=T$2,"i",""))</f>
        <v>d</v>
      </c>
    </row>
    <row r="121" spans="1:20" hidden="1" x14ac:dyDescent="0.25">
      <c r="A121" s="54" t="str">
        <v>Everlasting Moonglow</v>
      </c>
      <c r="B121" s="14" cm="1">
        <f t="array" ref="B121">_xlfn.XLOOKUP(A121,INDEX(Weapon_List,,1),INDEX(Weapon_List,,3),,0,1)</f>
        <v>5</v>
      </c>
      <c r="C121" s="4" t="str" cm="1">
        <f t="array" ref="C121">_xlfn.XLOOKUP(A121,INDEX(Weapon_List,,1),INDEX(Weapon_List,,2),,0,1)</f>
        <v>Catalyst</v>
      </c>
      <c r="D121" s="38" t="str" cm="1">
        <f t="array" ref="D121">_xlfn.XLOOKUP(A121,INDEX(Weapon_List,,1),INDEX(Weapon_List,,4),,0,1)</f>
        <v>Inazuma 1</v>
      </c>
      <c r="E121" s="38" t="str" cm="1">
        <f t="array" ref="E121">_xlfn.XLOOKUP(A121,INDEX(Weapon_List,,1),INDEX(Weapon_List,,5),,0,1)</f>
        <v>Specter</v>
      </c>
      <c r="F121" s="38" t="str" cm="1">
        <f t="array" ref="F121">_xlfn.XLOOKUP(A121,INDEX(Weapon_List,,1),INDEX(Weapon_List,,6),,0,1)</f>
        <v>Mirror Maiden</v>
      </c>
      <c r="G121" s="14" t="str" cm="1">
        <f t="array" aca="1" ref="G121" ca="1">IF(INDIRECT(_xlfn.CONCAT("'",IF(ISNUMBER(FIND("'",$A121))=TRUE,_xlfn.CONCAT(LEFT($A121,FIND("'",$A121)-1),"''",RIGHT($A121,LEN($A121)-FIND("'",$A121))),$A121),"'!B4"))&gt;=G$2,"d",IF(INDIRECT(_xlfn.CONCAT("'",IF(ISNUMBER(FIND("'",$A121))=TRUE,_xlfn.CONCAT(LEFT($A121,FIND("'",$A121)-1),"''",RIGHT($A121,LEN($A121)-FIND("'",$A121))),$A121),"'!B5"))&gt;=G$2,"i",""))</f>
        <v>d</v>
      </c>
      <c r="H121" s="1" t="str" cm="1">
        <f t="array" aca="1" ref="H121" ca="1">IF(INDIRECT(_xlfn.CONCAT("'",IF(ISNUMBER(FIND("'",$A121))=TRUE,_xlfn.CONCAT(LEFT($A121,FIND("'",$A121)-1),"''",RIGHT($A121,LEN($A121)-FIND("'",$A121))),$A121),"'!B4"))&gt;=H$2,"d",IF(INDIRECT(_xlfn.CONCAT("'",IF(ISNUMBER(FIND("'",$A121))=TRUE,_xlfn.CONCAT(LEFT($A121,FIND("'",$A121)-1),"''",RIGHT($A121,LEN($A121)-FIND("'",$A121))),$A121),"'!B5"))&gt;=H$2,"i",""))</f>
        <v>d</v>
      </c>
      <c r="I121" s="1" t="str" cm="1">
        <f t="array" aca="1" ref="I121" ca="1">IF(INDIRECT(_xlfn.CONCAT("'",IF(ISNUMBER(FIND("'",$A121))=TRUE,_xlfn.CONCAT(LEFT($A121,FIND("'",$A121)-1),"''",RIGHT($A121,LEN($A121)-FIND("'",$A121))),$A121),"'!B4"))&gt;=I$2,"d",IF(INDIRECT(_xlfn.CONCAT("'",IF(ISNUMBER(FIND("'",$A121))=TRUE,_xlfn.CONCAT(LEFT($A121,FIND("'",$A121)-1),"''",RIGHT($A121,LEN($A121)-FIND("'",$A121))),$A121),"'!B5"))&gt;=I$2,"i",""))</f>
        <v>d</v>
      </c>
      <c r="J121" s="1" t="str" cm="1">
        <f t="array" aca="1" ref="J121" ca="1">IF(INDIRECT(_xlfn.CONCAT("'",IF(ISNUMBER(FIND("'",$A121))=TRUE,_xlfn.CONCAT(LEFT($A121,FIND("'",$A121)-1),"''",RIGHT($A121,LEN($A121)-FIND("'",$A121))),$A121),"'!B4"))&gt;=J$2,"d",IF(INDIRECT(_xlfn.CONCAT("'",IF(ISNUMBER(FIND("'",$A121))=TRUE,_xlfn.CONCAT(LEFT($A121,FIND("'",$A121)-1),"''",RIGHT($A121,LEN($A121)-FIND("'",$A121))),$A121),"'!B5"))&gt;=J$2,"i",""))</f>
        <v>d</v>
      </c>
      <c r="K121" s="1" t="str" cm="1">
        <f t="array" aca="1" ref="K121" ca="1">IF(INDIRECT(_xlfn.CONCAT("'",IF(ISNUMBER(FIND("'",$A121))=TRUE,_xlfn.CONCAT(LEFT($A121,FIND("'",$A121)-1),"''",RIGHT($A121,LEN($A121)-FIND("'",$A121))),$A121),"'!B4"))&gt;=K$2,"d",IF(INDIRECT(_xlfn.CONCAT("'",IF(ISNUMBER(FIND("'",$A121))=TRUE,_xlfn.CONCAT(LEFT($A121,FIND("'",$A121)-1),"''",RIGHT($A121,LEN($A121)-FIND("'",$A121))),$A121),"'!B5"))&gt;=K$2,"i",""))</f>
        <v>d</v>
      </c>
      <c r="L121" s="1" t="str" cm="1">
        <f t="array" aca="1" ref="L121" ca="1">IF(INDIRECT(_xlfn.CONCAT("'",IF(ISNUMBER(FIND("'",$A121))=TRUE,_xlfn.CONCAT(LEFT($A121,FIND("'",$A121)-1),"''",RIGHT($A121,LEN($A121)-FIND("'",$A121))),$A121),"'!B4"))&gt;=L$2,"d",IF(INDIRECT(_xlfn.CONCAT("'",IF(ISNUMBER(FIND("'",$A121))=TRUE,_xlfn.CONCAT(LEFT($A121,FIND("'",$A121)-1),"''",RIGHT($A121,LEN($A121)-FIND("'",$A121))),$A121),"'!B5"))&gt;=L$2,"i",""))</f>
        <v>d</v>
      </c>
      <c r="M121" s="4" t="str" cm="1">
        <f t="array" aca="1" ref="M121" ca="1">IF(INDIRECT(_xlfn.CONCAT("'",IF(ISNUMBER(FIND("'",$A121))=TRUE,_xlfn.CONCAT(LEFT($A121,FIND("'",$A121)-1),"''",RIGHT($A121,LEN($A121)-FIND("'",$A121))),$A121),"'!B4"))&gt;=M$2,"d",IF(INDIRECT(_xlfn.CONCAT("'",IF(ISNUMBER(FIND("'",$A121))=TRUE,_xlfn.CONCAT(LEFT($A121,FIND("'",$A121)-1),"''",RIGHT($A121,LEN($A121)-FIND("'",$A121))),$A121),"'!B5"))&gt;=M$2,"i",""))</f>
        <v>d</v>
      </c>
      <c r="N121" s="95"/>
      <c r="O121" s="14" t="str" cm="1">
        <f t="array" aca="1" ref="O121" ca="1">IF(INDIRECT(_xlfn.CONCAT("'",IF(ISNUMBER(FIND("'",$A121))=TRUE,_xlfn.CONCAT(LEFT($A121,FIND("'",$A121)-1),"''",RIGHT($A121,LEN($A121)-FIND("'",$A121))),$A121),"'!C10"))&gt;=O$2,"d",IF(INDIRECT(_xlfn.CONCAT("'",IF(ISNUMBER(FIND("'",$A121))=TRUE,_xlfn.CONCAT(LEFT($A121,FIND("'",$A121)-1),"''",RIGHT($A121,LEN($A121)-FIND("'",$A121))),$A121),"'!C11"))&gt;=O$2,"i",""))</f>
        <v>d</v>
      </c>
      <c r="P121" s="1" t="str" cm="1">
        <f t="array" aca="1" ref="P121" ca="1">IF(INDIRECT(_xlfn.CONCAT("'",IF(ISNUMBER(FIND("'",$A121))=TRUE,_xlfn.CONCAT(LEFT($A121,FIND("'",$A121)-1),"''",RIGHT($A121,LEN($A121)-FIND("'",$A121))),$A121),"'!C10"))&gt;=P$2,"d",IF(INDIRECT(_xlfn.CONCAT("'",IF(ISNUMBER(FIND("'",$A121))=TRUE,_xlfn.CONCAT(LEFT($A121,FIND("'",$A121)-1),"''",RIGHT($A121,LEN($A121)-FIND("'",$A121))),$A121),"'!C11"))&gt;=P$2,"i",""))</f>
        <v>d</v>
      </c>
      <c r="Q121" s="1" t="str" cm="1">
        <f t="array" aca="1" ref="Q121" ca="1">IF(INDIRECT(_xlfn.CONCAT("'",IF(ISNUMBER(FIND("'",$A121))=TRUE,_xlfn.CONCAT(LEFT($A121,FIND("'",$A121)-1),"''",RIGHT($A121,LEN($A121)-FIND("'",$A121))),$A121),"'!C10"))&gt;=Q$2,"d",IF(INDIRECT(_xlfn.CONCAT("'",IF(ISNUMBER(FIND("'",$A121))=TRUE,_xlfn.CONCAT(LEFT($A121,FIND("'",$A121)-1),"''",RIGHT($A121,LEN($A121)-FIND("'",$A121))),$A121),"'!C11"))&gt;=Q$2,"i",""))</f>
        <v>d</v>
      </c>
      <c r="R121" s="1" t="str" cm="1">
        <f t="array" aca="1" ref="R121" ca="1">IF(INDIRECT(_xlfn.CONCAT("'",IF(ISNUMBER(FIND("'",$A121))=TRUE,_xlfn.CONCAT(LEFT($A121,FIND("'",$A121)-1),"''",RIGHT($A121,LEN($A121)-FIND("'",$A121))),$A121),"'!C10"))&gt;=R$2,"d",IF(INDIRECT(_xlfn.CONCAT("'",IF(ISNUMBER(FIND("'",$A121))=TRUE,_xlfn.CONCAT(LEFT($A121,FIND("'",$A121)-1),"''",RIGHT($A121,LEN($A121)-FIND("'",$A121))),$A121),"'!C11"))&gt;=R$2,"i",""))</f>
        <v>d</v>
      </c>
      <c r="S121" s="1" t="str" cm="1">
        <f t="array" aca="1" ref="S121" ca="1">IF(INDIRECT(_xlfn.CONCAT("'",IF(ISNUMBER(FIND("'",$A121))=TRUE,_xlfn.CONCAT(LEFT($A121,FIND("'",$A121)-1),"''",RIGHT($A121,LEN($A121)-FIND("'",$A121))),$A121),"'!C10"))&gt;=S$2,"d",IF(INDIRECT(_xlfn.CONCAT("'",IF(ISNUMBER(FIND("'",$A121))=TRUE,_xlfn.CONCAT(LEFT($A121,FIND("'",$A121)-1),"''",RIGHT($A121,LEN($A121)-FIND("'",$A121))),$A121),"'!C11"))&gt;=S$2,"i",""))</f>
        <v>d</v>
      </c>
      <c r="T121" s="4" t="str" cm="1">
        <f t="array" aca="1" ref="T121" ca="1">IF(INDIRECT(_xlfn.CONCAT("'",IF(ISNUMBER(FIND("'",$A121))=TRUE,_xlfn.CONCAT(LEFT($A121,FIND("'",$A121)-1),"''",RIGHT($A121,LEN($A121)-FIND("'",$A121))),$A121),"'!C10"))&gt;=T$2,"d",IF(INDIRECT(_xlfn.CONCAT("'",IF(ISNUMBER(FIND("'",$A121))=TRUE,_xlfn.CONCAT(LEFT($A121,FIND("'",$A121)-1),"''",RIGHT($A121,LEN($A121)-FIND("'",$A121))),$A121),"'!C11"))&gt;=T$2,"i",""))</f>
        <v>d</v>
      </c>
    </row>
    <row r="122" spans="1:20" hidden="1" x14ac:dyDescent="0.25">
      <c r="A122" s="54" t="str">
        <v>Akuoumaru</v>
      </c>
      <c r="B122" s="14" cm="1">
        <f t="array" ref="B122">_xlfn.XLOOKUP(A122,INDEX(Weapon_List,,1),INDEX(Weapon_List,,3),,0,1)</f>
        <v>4</v>
      </c>
      <c r="C122" s="4" t="str" cm="1">
        <f t="array" ref="C122">_xlfn.XLOOKUP(A122,INDEX(Weapon_List,,1),INDEX(Weapon_List,,2),,0,1)</f>
        <v>Claymore</v>
      </c>
      <c r="D122" s="38" t="str" cm="1">
        <f t="array" ref="D122">_xlfn.XLOOKUP(A122,INDEX(Weapon_List,,1),INDEX(Weapon_List,,4),,0,1)</f>
        <v>Inazuma 1</v>
      </c>
      <c r="E122" s="38" t="str" cm="1">
        <f t="array" ref="E122">_xlfn.XLOOKUP(A122,INDEX(Weapon_List,,1),INDEX(Weapon_List,,5),,0,1)</f>
        <v>Nobushi</v>
      </c>
      <c r="F122" s="38" t="str" cm="1">
        <f t="array" ref="F122">_xlfn.XLOOKUP(A122,INDEX(Weapon_List,,1),INDEX(Weapon_List,,6),,0,1)</f>
        <v>Rifthound</v>
      </c>
      <c r="G122" s="14" t="str" cm="1">
        <f t="array" aca="1" ref="G122" ca="1">IF(INDIRECT(_xlfn.CONCAT("'",IF(ISNUMBER(FIND("'",$A122))=TRUE,_xlfn.CONCAT(LEFT($A122,FIND("'",$A122)-1),"''",RIGHT($A122,LEN($A122)-FIND("'",$A122))),$A122),"'!B4"))&gt;=G$2,"d",IF(INDIRECT(_xlfn.CONCAT("'",IF(ISNUMBER(FIND("'",$A122))=TRUE,_xlfn.CONCAT(LEFT($A122,FIND("'",$A122)-1),"''",RIGHT($A122,LEN($A122)-FIND("'",$A122))),$A122),"'!B5"))&gt;=G$2,"i",""))</f>
        <v>d</v>
      </c>
      <c r="H122" s="1" t="str" cm="1">
        <f t="array" aca="1" ref="H122" ca="1">IF(INDIRECT(_xlfn.CONCAT("'",IF(ISNUMBER(FIND("'",$A122))=TRUE,_xlfn.CONCAT(LEFT($A122,FIND("'",$A122)-1),"''",RIGHT($A122,LEN($A122)-FIND("'",$A122))),$A122),"'!B4"))&gt;=H$2,"d",IF(INDIRECT(_xlfn.CONCAT("'",IF(ISNUMBER(FIND("'",$A122))=TRUE,_xlfn.CONCAT(LEFT($A122,FIND("'",$A122)-1),"''",RIGHT($A122,LEN($A122)-FIND("'",$A122))),$A122),"'!B5"))&gt;=H$2,"i",""))</f>
        <v>d</v>
      </c>
      <c r="I122" s="1" t="str" cm="1">
        <f t="array" aca="1" ref="I122" ca="1">IF(INDIRECT(_xlfn.CONCAT("'",IF(ISNUMBER(FIND("'",$A122))=TRUE,_xlfn.CONCAT(LEFT($A122,FIND("'",$A122)-1),"''",RIGHT($A122,LEN($A122)-FIND("'",$A122))),$A122),"'!B4"))&gt;=I$2,"d",IF(INDIRECT(_xlfn.CONCAT("'",IF(ISNUMBER(FIND("'",$A122))=TRUE,_xlfn.CONCAT(LEFT($A122,FIND("'",$A122)-1),"''",RIGHT($A122,LEN($A122)-FIND("'",$A122))),$A122),"'!B5"))&gt;=I$2,"i",""))</f>
        <v>d</v>
      </c>
      <c r="J122" s="1" t="str" cm="1">
        <f t="array" aca="1" ref="J122" ca="1">IF(INDIRECT(_xlfn.CONCAT("'",IF(ISNUMBER(FIND("'",$A122))=TRUE,_xlfn.CONCAT(LEFT($A122,FIND("'",$A122)-1),"''",RIGHT($A122,LEN($A122)-FIND("'",$A122))),$A122),"'!B4"))&gt;=J$2,"d",IF(INDIRECT(_xlfn.CONCAT("'",IF(ISNUMBER(FIND("'",$A122))=TRUE,_xlfn.CONCAT(LEFT($A122,FIND("'",$A122)-1),"''",RIGHT($A122,LEN($A122)-FIND("'",$A122))),$A122),"'!B5"))&gt;=J$2,"i",""))</f>
        <v>d</v>
      </c>
      <c r="K122" s="1" t="str" cm="1">
        <f t="array" aca="1" ref="K122" ca="1">IF(INDIRECT(_xlfn.CONCAT("'",IF(ISNUMBER(FIND("'",$A122))=TRUE,_xlfn.CONCAT(LEFT($A122,FIND("'",$A122)-1),"''",RIGHT($A122,LEN($A122)-FIND("'",$A122))),$A122),"'!B4"))&gt;=K$2,"d",IF(INDIRECT(_xlfn.CONCAT("'",IF(ISNUMBER(FIND("'",$A122))=TRUE,_xlfn.CONCAT(LEFT($A122,FIND("'",$A122)-1),"''",RIGHT($A122,LEN($A122)-FIND("'",$A122))),$A122),"'!B5"))&gt;=K$2,"i",""))</f>
        <v>d</v>
      </c>
      <c r="L122" s="1" t="str" cm="1">
        <f t="array" aca="1" ref="L122" ca="1">IF(INDIRECT(_xlfn.CONCAT("'",IF(ISNUMBER(FIND("'",$A122))=TRUE,_xlfn.CONCAT(LEFT($A122,FIND("'",$A122)-1),"''",RIGHT($A122,LEN($A122)-FIND("'",$A122))),$A122),"'!B4"))&gt;=L$2,"d",IF(INDIRECT(_xlfn.CONCAT("'",IF(ISNUMBER(FIND("'",$A122))=TRUE,_xlfn.CONCAT(LEFT($A122,FIND("'",$A122)-1),"''",RIGHT($A122,LEN($A122)-FIND("'",$A122))),$A122),"'!B5"))&gt;=L$2,"i",""))</f>
        <v>d</v>
      </c>
      <c r="M122" s="4" t="str" cm="1">
        <f t="array" aca="1" ref="M122" ca="1">IF(INDIRECT(_xlfn.CONCAT("'",IF(ISNUMBER(FIND("'",$A122))=TRUE,_xlfn.CONCAT(LEFT($A122,FIND("'",$A122)-1),"''",RIGHT($A122,LEN($A122)-FIND("'",$A122))),$A122),"'!B4"))&gt;=M$2,"d",IF(INDIRECT(_xlfn.CONCAT("'",IF(ISNUMBER(FIND("'",$A122))=TRUE,_xlfn.CONCAT(LEFT($A122,FIND("'",$A122)-1),"''",RIGHT($A122,LEN($A122)-FIND("'",$A122))),$A122),"'!B5"))&gt;=M$2,"i",""))</f>
        <v>d</v>
      </c>
      <c r="N122" s="95"/>
      <c r="O122" s="14" t="str" cm="1">
        <f t="array" aca="1" ref="O122" ca="1">IF(INDIRECT(_xlfn.CONCAT("'",IF(ISNUMBER(FIND("'",$A122))=TRUE,_xlfn.CONCAT(LEFT($A122,FIND("'",$A122)-1),"''",RIGHT($A122,LEN($A122)-FIND("'",$A122))),$A122),"'!C10"))&gt;=O$2,"d",IF(INDIRECT(_xlfn.CONCAT("'",IF(ISNUMBER(FIND("'",$A122))=TRUE,_xlfn.CONCAT(LEFT($A122,FIND("'",$A122)-1),"''",RIGHT($A122,LEN($A122)-FIND("'",$A122))),$A122),"'!C11"))&gt;=O$2,"i",""))</f>
        <v>d</v>
      </c>
      <c r="P122" s="1" t="str" cm="1">
        <f t="array" aca="1" ref="P122" ca="1">IF(INDIRECT(_xlfn.CONCAT("'",IF(ISNUMBER(FIND("'",$A122))=TRUE,_xlfn.CONCAT(LEFT($A122,FIND("'",$A122)-1),"''",RIGHT($A122,LEN($A122)-FIND("'",$A122))),$A122),"'!C10"))&gt;=P$2,"d",IF(INDIRECT(_xlfn.CONCAT("'",IF(ISNUMBER(FIND("'",$A122))=TRUE,_xlfn.CONCAT(LEFT($A122,FIND("'",$A122)-1),"''",RIGHT($A122,LEN($A122)-FIND("'",$A122))),$A122),"'!C11"))&gt;=P$2,"i",""))</f>
        <v>d</v>
      </c>
      <c r="Q122" s="1" t="str" cm="1">
        <f t="array" aca="1" ref="Q122" ca="1">IF(INDIRECT(_xlfn.CONCAT("'",IF(ISNUMBER(FIND("'",$A122))=TRUE,_xlfn.CONCAT(LEFT($A122,FIND("'",$A122)-1),"''",RIGHT($A122,LEN($A122)-FIND("'",$A122))),$A122),"'!C10"))&gt;=Q$2,"d",IF(INDIRECT(_xlfn.CONCAT("'",IF(ISNUMBER(FIND("'",$A122))=TRUE,_xlfn.CONCAT(LEFT($A122,FIND("'",$A122)-1),"''",RIGHT($A122,LEN($A122)-FIND("'",$A122))),$A122),"'!C11"))&gt;=Q$2,"i",""))</f>
        <v>d</v>
      </c>
      <c r="R122" s="1" t="str" cm="1">
        <f t="array" aca="1" ref="R122" ca="1">IF(INDIRECT(_xlfn.CONCAT("'",IF(ISNUMBER(FIND("'",$A122))=TRUE,_xlfn.CONCAT(LEFT($A122,FIND("'",$A122)-1),"''",RIGHT($A122,LEN($A122)-FIND("'",$A122))),$A122),"'!C10"))&gt;=R$2,"d",IF(INDIRECT(_xlfn.CONCAT("'",IF(ISNUMBER(FIND("'",$A122))=TRUE,_xlfn.CONCAT(LEFT($A122,FIND("'",$A122)-1),"''",RIGHT($A122,LEN($A122)-FIND("'",$A122))),$A122),"'!C11"))&gt;=R$2,"i",""))</f>
        <v>d</v>
      </c>
      <c r="S122" s="1" t="str" cm="1">
        <f t="array" aca="1" ref="S122" ca="1">IF(INDIRECT(_xlfn.CONCAT("'",IF(ISNUMBER(FIND("'",$A122))=TRUE,_xlfn.CONCAT(LEFT($A122,FIND("'",$A122)-1),"''",RIGHT($A122,LEN($A122)-FIND("'",$A122))),$A122),"'!C10"))&gt;=S$2,"d",IF(INDIRECT(_xlfn.CONCAT("'",IF(ISNUMBER(FIND("'",$A122))=TRUE,_xlfn.CONCAT(LEFT($A122,FIND("'",$A122)-1),"''",RIGHT($A122,LEN($A122)-FIND("'",$A122))),$A122),"'!C11"))&gt;=S$2,"i",""))</f>
        <v>d</v>
      </c>
      <c r="T122" s="4" t="str" cm="1">
        <f t="array" aca="1" ref="T122" ca="1">IF(INDIRECT(_xlfn.CONCAT("'",IF(ISNUMBER(FIND("'",$A122))=TRUE,_xlfn.CONCAT(LEFT($A122,FIND("'",$A122)-1),"''",RIGHT($A122,LEN($A122)-FIND("'",$A122))),$A122),"'!C10"))&gt;=T$2,"d",IF(INDIRECT(_xlfn.CONCAT("'",IF(ISNUMBER(FIND("'",$A122))=TRUE,_xlfn.CONCAT(LEFT($A122,FIND("'",$A122)-1),"''",RIGHT($A122,LEN($A122)-FIND("'",$A122))),$A122),"'!C11"))&gt;=T$2,"i",""))</f>
        <v>d</v>
      </c>
    </row>
    <row r="123" spans="1:20" hidden="1" x14ac:dyDescent="0.25">
      <c r="A123" s="54" t="str">
        <v>Polar Star</v>
      </c>
      <c r="B123" s="14" cm="1">
        <f t="array" ref="B123">_xlfn.XLOOKUP(A123,INDEX(Weapon_List,,1),INDEX(Weapon_List,,3),,0,1)</f>
        <v>5</v>
      </c>
      <c r="C123" s="4" t="str" cm="1">
        <f t="array" ref="C123">_xlfn.XLOOKUP(A123,INDEX(Weapon_List,,1),INDEX(Weapon_List,,2),,0,1)</f>
        <v>Bow</v>
      </c>
      <c r="D123" s="38" t="str" cm="1">
        <f t="array" ref="D123">_xlfn.XLOOKUP(A123,INDEX(Weapon_List,,1),INDEX(Weapon_List,,4),,0,1)</f>
        <v>Inazuma 3</v>
      </c>
      <c r="E123" s="38" t="str" cm="1">
        <f t="array" ref="E123">_xlfn.XLOOKUP(A123,INDEX(Weapon_List,,1),INDEX(Weapon_List,,5),,0,1)</f>
        <v>Specter</v>
      </c>
      <c r="F123" s="38" t="str" cm="1">
        <f t="array" ref="F123">_xlfn.XLOOKUP(A123,INDEX(Weapon_List,,1),INDEX(Weapon_List,,6),,0,1)</f>
        <v>Rifthound</v>
      </c>
      <c r="G123" s="14" t="str" cm="1">
        <f t="array" aca="1" ref="G123" ca="1">IF(INDIRECT(_xlfn.CONCAT("'",IF(ISNUMBER(FIND("'",$A123))=TRUE,_xlfn.CONCAT(LEFT($A123,FIND("'",$A123)-1),"''",RIGHT($A123,LEN($A123)-FIND("'",$A123))),$A123),"'!B4"))&gt;=G$2,"d",IF(INDIRECT(_xlfn.CONCAT("'",IF(ISNUMBER(FIND("'",$A123))=TRUE,_xlfn.CONCAT(LEFT($A123,FIND("'",$A123)-1),"''",RIGHT($A123,LEN($A123)-FIND("'",$A123))),$A123),"'!B5"))&gt;=G$2,"i",""))</f>
        <v>d</v>
      </c>
      <c r="H123" s="1" t="str" cm="1">
        <f t="array" aca="1" ref="H123" ca="1">IF(INDIRECT(_xlfn.CONCAT("'",IF(ISNUMBER(FIND("'",$A123))=TRUE,_xlfn.CONCAT(LEFT($A123,FIND("'",$A123)-1),"''",RIGHT($A123,LEN($A123)-FIND("'",$A123))),$A123),"'!B4"))&gt;=H$2,"d",IF(INDIRECT(_xlfn.CONCAT("'",IF(ISNUMBER(FIND("'",$A123))=TRUE,_xlfn.CONCAT(LEFT($A123,FIND("'",$A123)-1),"''",RIGHT($A123,LEN($A123)-FIND("'",$A123))),$A123),"'!B5"))&gt;=H$2,"i",""))</f>
        <v>d</v>
      </c>
      <c r="I123" s="1" t="str" cm="1">
        <f t="array" aca="1" ref="I123" ca="1">IF(INDIRECT(_xlfn.CONCAT("'",IF(ISNUMBER(FIND("'",$A123))=TRUE,_xlfn.CONCAT(LEFT($A123,FIND("'",$A123)-1),"''",RIGHT($A123,LEN($A123)-FIND("'",$A123))),$A123),"'!B4"))&gt;=I$2,"d",IF(INDIRECT(_xlfn.CONCAT("'",IF(ISNUMBER(FIND("'",$A123))=TRUE,_xlfn.CONCAT(LEFT($A123,FIND("'",$A123)-1),"''",RIGHT($A123,LEN($A123)-FIND("'",$A123))),$A123),"'!B5"))&gt;=I$2,"i",""))</f>
        <v>d</v>
      </c>
      <c r="J123" s="1" t="str" cm="1">
        <f t="array" aca="1" ref="J123" ca="1">IF(INDIRECT(_xlfn.CONCAT("'",IF(ISNUMBER(FIND("'",$A123))=TRUE,_xlfn.CONCAT(LEFT($A123,FIND("'",$A123)-1),"''",RIGHT($A123,LEN($A123)-FIND("'",$A123))),$A123),"'!B4"))&gt;=J$2,"d",IF(INDIRECT(_xlfn.CONCAT("'",IF(ISNUMBER(FIND("'",$A123))=TRUE,_xlfn.CONCAT(LEFT($A123,FIND("'",$A123)-1),"''",RIGHT($A123,LEN($A123)-FIND("'",$A123))),$A123),"'!B5"))&gt;=J$2,"i",""))</f>
        <v>d</v>
      </c>
      <c r="K123" s="1" t="str" cm="1">
        <f t="array" aca="1" ref="K123" ca="1">IF(INDIRECT(_xlfn.CONCAT("'",IF(ISNUMBER(FIND("'",$A123))=TRUE,_xlfn.CONCAT(LEFT($A123,FIND("'",$A123)-1),"''",RIGHT($A123,LEN($A123)-FIND("'",$A123))),$A123),"'!B4"))&gt;=K$2,"d",IF(INDIRECT(_xlfn.CONCAT("'",IF(ISNUMBER(FIND("'",$A123))=TRUE,_xlfn.CONCAT(LEFT($A123,FIND("'",$A123)-1),"''",RIGHT($A123,LEN($A123)-FIND("'",$A123))),$A123),"'!B5"))&gt;=K$2,"i",""))</f>
        <v>d</v>
      </c>
      <c r="L123" s="1" t="str" cm="1">
        <f t="array" aca="1" ref="L123" ca="1">IF(INDIRECT(_xlfn.CONCAT("'",IF(ISNUMBER(FIND("'",$A123))=TRUE,_xlfn.CONCAT(LEFT($A123,FIND("'",$A123)-1),"''",RIGHT($A123,LEN($A123)-FIND("'",$A123))),$A123),"'!B4"))&gt;=L$2,"d",IF(INDIRECT(_xlfn.CONCAT("'",IF(ISNUMBER(FIND("'",$A123))=TRUE,_xlfn.CONCAT(LEFT($A123,FIND("'",$A123)-1),"''",RIGHT($A123,LEN($A123)-FIND("'",$A123))),$A123),"'!B5"))&gt;=L$2,"i",""))</f>
        <v>d</v>
      </c>
      <c r="M123" s="4" t="str" cm="1">
        <f t="array" aca="1" ref="M123" ca="1">IF(INDIRECT(_xlfn.CONCAT("'",IF(ISNUMBER(FIND("'",$A123))=TRUE,_xlfn.CONCAT(LEFT($A123,FIND("'",$A123)-1),"''",RIGHT($A123,LEN($A123)-FIND("'",$A123))),$A123),"'!B4"))&gt;=M$2,"d",IF(INDIRECT(_xlfn.CONCAT("'",IF(ISNUMBER(FIND("'",$A123))=TRUE,_xlfn.CONCAT(LEFT($A123,FIND("'",$A123)-1),"''",RIGHT($A123,LEN($A123)-FIND("'",$A123))),$A123),"'!B5"))&gt;=M$2,"i",""))</f>
        <v>d</v>
      </c>
      <c r="N123" s="95"/>
      <c r="O123" s="14" t="str" cm="1">
        <f t="array" aca="1" ref="O123" ca="1">IF(INDIRECT(_xlfn.CONCAT("'",IF(ISNUMBER(FIND("'",$A123))=TRUE,_xlfn.CONCAT(LEFT($A123,FIND("'",$A123)-1),"''",RIGHT($A123,LEN($A123)-FIND("'",$A123))),$A123),"'!C10"))&gt;=O$2,"d",IF(INDIRECT(_xlfn.CONCAT("'",IF(ISNUMBER(FIND("'",$A123))=TRUE,_xlfn.CONCAT(LEFT($A123,FIND("'",$A123)-1),"''",RIGHT($A123,LEN($A123)-FIND("'",$A123))),$A123),"'!C11"))&gt;=O$2,"i",""))</f>
        <v>d</v>
      </c>
      <c r="P123" s="1" t="str" cm="1">
        <f t="array" aca="1" ref="P123" ca="1">IF(INDIRECT(_xlfn.CONCAT("'",IF(ISNUMBER(FIND("'",$A123))=TRUE,_xlfn.CONCAT(LEFT($A123,FIND("'",$A123)-1),"''",RIGHT($A123,LEN($A123)-FIND("'",$A123))),$A123),"'!C10"))&gt;=P$2,"d",IF(INDIRECT(_xlfn.CONCAT("'",IF(ISNUMBER(FIND("'",$A123))=TRUE,_xlfn.CONCAT(LEFT($A123,FIND("'",$A123)-1),"''",RIGHT($A123,LEN($A123)-FIND("'",$A123))),$A123),"'!C11"))&gt;=P$2,"i",""))</f>
        <v>d</v>
      </c>
      <c r="Q123" s="1" t="str" cm="1">
        <f t="array" aca="1" ref="Q123" ca="1">IF(INDIRECT(_xlfn.CONCAT("'",IF(ISNUMBER(FIND("'",$A123))=TRUE,_xlfn.CONCAT(LEFT($A123,FIND("'",$A123)-1),"''",RIGHT($A123,LEN($A123)-FIND("'",$A123))),$A123),"'!C10"))&gt;=Q$2,"d",IF(INDIRECT(_xlfn.CONCAT("'",IF(ISNUMBER(FIND("'",$A123))=TRUE,_xlfn.CONCAT(LEFT($A123,FIND("'",$A123)-1),"''",RIGHT($A123,LEN($A123)-FIND("'",$A123))),$A123),"'!C11"))&gt;=Q$2,"i",""))</f>
        <v>d</v>
      </c>
      <c r="R123" s="1" t="str" cm="1">
        <f t="array" aca="1" ref="R123" ca="1">IF(INDIRECT(_xlfn.CONCAT("'",IF(ISNUMBER(FIND("'",$A123))=TRUE,_xlfn.CONCAT(LEFT($A123,FIND("'",$A123)-1),"''",RIGHT($A123,LEN($A123)-FIND("'",$A123))),$A123),"'!C10"))&gt;=R$2,"d",IF(INDIRECT(_xlfn.CONCAT("'",IF(ISNUMBER(FIND("'",$A123))=TRUE,_xlfn.CONCAT(LEFT($A123,FIND("'",$A123)-1),"''",RIGHT($A123,LEN($A123)-FIND("'",$A123))),$A123),"'!C11"))&gt;=R$2,"i",""))</f>
        <v>d</v>
      </c>
      <c r="S123" s="1" t="str" cm="1">
        <f t="array" aca="1" ref="S123" ca="1">IF(INDIRECT(_xlfn.CONCAT("'",IF(ISNUMBER(FIND("'",$A123))=TRUE,_xlfn.CONCAT(LEFT($A123,FIND("'",$A123)-1),"''",RIGHT($A123,LEN($A123)-FIND("'",$A123))),$A123),"'!C10"))&gt;=S$2,"d",IF(INDIRECT(_xlfn.CONCAT("'",IF(ISNUMBER(FIND("'",$A123))=TRUE,_xlfn.CONCAT(LEFT($A123,FIND("'",$A123)-1),"''",RIGHT($A123,LEN($A123)-FIND("'",$A123))),$A123),"'!C11"))&gt;=S$2,"i",""))</f>
        <v>d</v>
      </c>
      <c r="T123" s="4" t="str" cm="1">
        <f t="array" aca="1" ref="T123" ca="1">IF(INDIRECT(_xlfn.CONCAT("'",IF(ISNUMBER(FIND("'",$A123))=TRUE,_xlfn.CONCAT(LEFT($A123,FIND("'",$A123)-1),"''",RIGHT($A123,LEN($A123)-FIND("'",$A123))),$A123),"'!C10"))&gt;=T$2,"d",IF(INDIRECT(_xlfn.CONCAT("'",IF(ISNUMBER(FIND("'",$A123))=TRUE,_xlfn.CONCAT(LEFT($A123,FIND("'",$A123)-1),"''",RIGHT($A123,LEN($A123)-FIND("'",$A123))),$A123),"'!C11"))&gt;=T$2,"i",""))</f>
        <v>d</v>
      </c>
    </row>
    <row r="124" spans="1:20" hidden="1" x14ac:dyDescent="0.25">
      <c r="A124" s="54" t="str">
        <v>Mouun's Moon</v>
      </c>
      <c r="B124" s="14" cm="1">
        <f t="array" ref="B124">_xlfn.XLOOKUP(A124,INDEX(Weapon_List,,1),INDEX(Weapon_List,,3),,0,1)</f>
        <v>4</v>
      </c>
      <c r="C124" s="4" t="str" cm="1">
        <f t="array" ref="C124">_xlfn.XLOOKUP(A124,INDEX(Weapon_List,,1),INDEX(Weapon_List,,2),,0,1)</f>
        <v>Bow</v>
      </c>
      <c r="D124" s="38" t="str" cm="1">
        <f t="array" ref="D124">_xlfn.XLOOKUP(A124,INDEX(Weapon_List,,1),INDEX(Weapon_List,,4),,0,1)</f>
        <v>Inazuma 2</v>
      </c>
      <c r="E124" s="38" t="str" cm="1">
        <f t="array" ref="E124">_xlfn.XLOOKUP(A124,INDEX(Weapon_List,,1),INDEX(Weapon_List,,5),,0,1)</f>
        <v>Specter</v>
      </c>
      <c r="F124" s="38" t="str" cm="1">
        <f t="array" ref="F124">_xlfn.XLOOKUP(A124,INDEX(Weapon_List,,1),INDEX(Weapon_List,,6),,0,1)</f>
        <v>Mirror Maiden</v>
      </c>
      <c r="G124" s="14" t="str" cm="1">
        <f t="array" aca="1" ref="G124" ca="1">IF(INDIRECT(_xlfn.CONCAT("'",IF(ISNUMBER(FIND("'",$A124))=TRUE,_xlfn.CONCAT(LEFT($A124,FIND("'",$A124)-1),"''",RIGHT($A124,LEN($A124)-FIND("'",$A124))),$A124),"'!B4"))&gt;=G$2,"d",IF(INDIRECT(_xlfn.CONCAT("'",IF(ISNUMBER(FIND("'",$A124))=TRUE,_xlfn.CONCAT(LEFT($A124,FIND("'",$A124)-1),"''",RIGHT($A124,LEN($A124)-FIND("'",$A124))),$A124),"'!B5"))&gt;=G$2,"i",""))</f>
        <v>d</v>
      </c>
      <c r="H124" s="1" t="str" cm="1">
        <f t="array" aca="1" ref="H124" ca="1">IF(INDIRECT(_xlfn.CONCAT("'",IF(ISNUMBER(FIND("'",$A124))=TRUE,_xlfn.CONCAT(LEFT($A124,FIND("'",$A124)-1),"''",RIGHT($A124,LEN($A124)-FIND("'",$A124))),$A124),"'!B4"))&gt;=H$2,"d",IF(INDIRECT(_xlfn.CONCAT("'",IF(ISNUMBER(FIND("'",$A124))=TRUE,_xlfn.CONCAT(LEFT($A124,FIND("'",$A124)-1),"''",RIGHT($A124,LEN($A124)-FIND("'",$A124))),$A124),"'!B5"))&gt;=H$2,"i",""))</f>
        <v>d</v>
      </c>
      <c r="I124" s="1" t="str" cm="1">
        <f t="array" aca="1" ref="I124" ca="1">IF(INDIRECT(_xlfn.CONCAT("'",IF(ISNUMBER(FIND("'",$A124))=TRUE,_xlfn.CONCAT(LEFT($A124,FIND("'",$A124)-1),"''",RIGHT($A124,LEN($A124)-FIND("'",$A124))),$A124),"'!B4"))&gt;=I$2,"d",IF(INDIRECT(_xlfn.CONCAT("'",IF(ISNUMBER(FIND("'",$A124))=TRUE,_xlfn.CONCAT(LEFT($A124,FIND("'",$A124)-1),"''",RIGHT($A124,LEN($A124)-FIND("'",$A124))),$A124),"'!B5"))&gt;=I$2,"i",""))</f>
        <v>d</v>
      </c>
      <c r="J124" s="1" t="str" cm="1">
        <f t="array" aca="1" ref="J124" ca="1">IF(INDIRECT(_xlfn.CONCAT("'",IF(ISNUMBER(FIND("'",$A124))=TRUE,_xlfn.CONCAT(LEFT($A124,FIND("'",$A124)-1),"''",RIGHT($A124,LEN($A124)-FIND("'",$A124))),$A124),"'!B4"))&gt;=J$2,"d",IF(INDIRECT(_xlfn.CONCAT("'",IF(ISNUMBER(FIND("'",$A124))=TRUE,_xlfn.CONCAT(LEFT($A124,FIND("'",$A124)-1),"''",RIGHT($A124,LEN($A124)-FIND("'",$A124))),$A124),"'!B5"))&gt;=J$2,"i",""))</f>
        <v>d</v>
      </c>
      <c r="K124" s="1" t="str" cm="1">
        <f t="array" aca="1" ref="K124" ca="1">IF(INDIRECT(_xlfn.CONCAT("'",IF(ISNUMBER(FIND("'",$A124))=TRUE,_xlfn.CONCAT(LEFT($A124,FIND("'",$A124)-1),"''",RIGHT($A124,LEN($A124)-FIND("'",$A124))),$A124),"'!B4"))&gt;=K$2,"d",IF(INDIRECT(_xlfn.CONCAT("'",IF(ISNUMBER(FIND("'",$A124))=TRUE,_xlfn.CONCAT(LEFT($A124,FIND("'",$A124)-1),"''",RIGHT($A124,LEN($A124)-FIND("'",$A124))),$A124),"'!B5"))&gt;=K$2,"i",""))</f>
        <v>d</v>
      </c>
      <c r="L124" s="1" t="str" cm="1">
        <f t="array" aca="1" ref="L124" ca="1">IF(INDIRECT(_xlfn.CONCAT("'",IF(ISNUMBER(FIND("'",$A124))=TRUE,_xlfn.CONCAT(LEFT($A124,FIND("'",$A124)-1),"''",RIGHT($A124,LEN($A124)-FIND("'",$A124))),$A124),"'!B4"))&gt;=L$2,"d",IF(INDIRECT(_xlfn.CONCAT("'",IF(ISNUMBER(FIND("'",$A124))=TRUE,_xlfn.CONCAT(LEFT($A124,FIND("'",$A124)-1),"''",RIGHT($A124,LEN($A124)-FIND("'",$A124))),$A124),"'!B5"))&gt;=L$2,"i",""))</f>
        <v>d</v>
      </c>
      <c r="M124" s="4" t="str" cm="1">
        <f t="array" aca="1" ref="M124" ca="1">IF(INDIRECT(_xlfn.CONCAT("'",IF(ISNUMBER(FIND("'",$A124))=TRUE,_xlfn.CONCAT(LEFT($A124,FIND("'",$A124)-1),"''",RIGHT($A124,LEN($A124)-FIND("'",$A124))),$A124),"'!B4"))&gt;=M$2,"d",IF(INDIRECT(_xlfn.CONCAT("'",IF(ISNUMBER(FIND("'",$A124))=TRUE,_xlfn.CONCAT(LEFT($A124,FIND("'",$A124)-1),"''",RIGHT($A124,LEN($A124)-FIND("'",$A124))),$A124),"'!B5"))&gt;=M$2,"i",""))</f>
        <v>d</v>
      </c>
      <c r="N124" s="95"/>
      <c r="O124" s="14" t="str" cm="1">
        <f t="array" aca="1" ref="O124" ca="1">IF(INDIRECT(_xlfn.CONCAT("'",IF(ISNUMBER(FIND("'",$A124))=TRUE,_xlfn.CONCAT(LEFT($A124,FIND("'",$A124)-1),"''",RIGHT($A124,LEN($A124)-FIND("'",$A124))),$A124),"'!C10"))&gt;=O$2,"d",IF(INDIRECT(_xlfn.CONCAT("'",IF(ISNUMBER(FIND("'",$A124))=TRUE,_xlfn.CONCAT(LEFT($A124,FIND("'",$A124)-1),"''",RIGHT($A124,LEN($A124)-FIND("'",$A124))),$A124),"'!C11"))&gt;=O$2,"i",""))</f>
        <v>d</v>
      </c>
      <c r="P124" s="1" t="str" cm="1">
        <f t="array" aca="1" ref="P124" ca="1">IF(INDIRECT(_xlfn.CONCAT("'",IF(ISNUMBER(FIND("'",$A124))=TRUE,_xlfn.CONCAT(LEFT($A124,FIND("'",$A124)-1),"''",RIGHT($A124,LEN($A124)-FIND("'",$A124))),$A124),"'!C10"))&gt;=P$2,"d",IF(INDIRECT(_xlfn.CONCAT("'",IF(ISNUMBER(FIND("'",$A124))=TRUE,_xlfn.CONCAT(LEFT($A124,FIND("'",$A124)-1),"''",RIGHT($A124,LEN($A124)-FIND("'",$A124))),$A124),"'!C11"))&gt;=P$2,"i",""))</f>
        <v>d</v>
      </c>
      <c r="Q124" s="1" t="str" cm="1">
        <f t="array" aca="1" ref="Q124" ca="1">IF(INDIRECT(_xlfn.CONCAT("'",IF(ISNUMBER(FIND("'",$A124))=TRUE,_xlfn.CONCAT(LEFT($A124,FIND("'",$A124)-1),"''",RIGHT($A124,LEN($A124)-FIND("'",$A124))),$A124),"'!C10"))&gt;=Q$2,"d",IF(INDIRECT(_xlfn.CONCAT("'",IF(ISNUMBER(FIND("'",$A124))=TRUE,_xlfn.CONCAT(LEFT($A124,FIND("'",$A124)-1),"''",RIGHT($A124,LEN($A124)-FIND("'",$A124))),$A124),"'!C11"))&gt;=Q$2,"i",""))</f>
        <v>d</v>
      </c>
      <c r="R124" s="1" t="str" cm="1">
        <f t="array" aca="1" ref="R124" ca="1">IF(INDIRECT(_xlfn.CONCAT("'",IF(ISNUMBER(FIND("'",$A124))=TRUE,_xlfn.CONCAT(LEFT($A124,FIND("'",$A124)-1),"''",RIGHT($A124,LEN($A124)-FIND("'",$A124))),$A124),"'!C10"))&gt;=R$2,"d",IF(INDIRECT(_xlfn.CONCAT("'",IF(ISNUMBER(FIND("'",$A124))=TRUE,_xlfn.CONCAT(LEFT($A124,FIND("'",$A124)-1),"''",RIGHT($A124,LEN($A124)-FIND("'",$A124))),$A124),"'!C11"))&gt;=R$2,"i",""))</f>
        <v>d</v>
      </c>
      <c r="S124" s="1" t="str" cm="1">
        <f t="array" aca="1" ref="S124" ca="1">IF(INDIRECT(_xlfn.CONCAT("'",IF(ISNUMBER(FIND("'",$A124))=TRUE,_xlfn.CONCAT(LEFT($A124,FIND("'",$A124)-1),"''",RIGHT($A124,LEN($A124)-FIND("'",$A124))),$A124),"'!C10"))&gt;=S$2,"d",IF(INDIRECT(_xlfn.CONCAT("'",IF(ISNUMBER(FIND("'",$A124))=TRUE,_xlfn.CONCAT(LEFT($A124,FIND("'",$A124)-1),"''",RIGHT($A124,LEN($A124)-FIND("'",$A124))),$A124),"'!C11"))&gt;=S$2,"i",""))</f>
        <v>d</v>
      </c>
      <c r="T124" s="4" t="str" cm="1">
        <f t="array" aca="1" ref="T124" ca="1">IF(INDIRECT(_xlfn.CONCAT("'",IF(ISNUMBER(FIND("'",$A124))=TRUE,_xlfn.CONCAT(LEFT($A124,FIND("'",$A124)-1),"''",RIGHT($A124,LEN($A124)-FIND("'",$A124))),$A124),"'!C10"))&gt;=T$2,"d",IF(INDIRECT(_xlfn.CONCAT("'",IF(ISNUMBER(FIND("'",$A124))=TRUE,_xlfn.CONCAT(LEFT($A124,FIND("'",$A124)-1),"''",RIGHT($A124,LEN($A124)-FIND("'",$A124))),$A124),"'!C11"))&gt;=T$2,"i",""))</f>
        <v>d</v>
      </c>
    </row>
    <row r="125" spans="1:20" hidden="1" x14ac:dyDescent="0.25">
      <c r="A125" s="54" t="str">
        <v>Wavebreaker's Fin</v>
      </c>
      <c r="B125" s="14" cm="1">
        <f t="array" ref="B125">_xlfn.XLOOKUP(A125,INDEX(Weapon_List,,1),INDEX(Weapon_List,,3),,0,1)</f>
        <v>4</v>
      </c>
      <c r="C125" s="4" t="str" cm="1">
        <f t="array" ref="C125">_xlfn.XLOOKUP(A125,INDEX(Weapon_List,,1),INDEX(Weapon_List,,2),,0,1)</f>
        <v>Polearm</v>
      </c>
      <c r="D125" s="38" t="str" cm="1">
        <f t="array" ref="D125">_xlfn.XLOOKUP(A125,INDEX(Weapon_List,,1),INDEX(Weapon_List,,4),,0,1)</f>
        <v>Inazuma 3</v>
      </c>
      <c r="E125" s="38" t="str" cm="1">
        <f t="array" ref="E125">_xlfn.XLOOKUP(A125,INDEX(Weapon_List,,1),INDEX(Weapon_List,,5),,0,1)</f>
        <v>Nobushi</v>
      </c>
      <c r="F125" s="38" t="str" cm="1">
        <f t="array" ref="F125">_xlfn.XLOOKUP(A125,INDEX(Weapon_List,,1),INDEX(Weapon_List,,6),,0,1)</f>
        <v>Rifthound</v>
      </c>
      <c r="G125" s="14" t="str" cm="1">
        <f t="array" aca="1" ref="G125" ca="1">IF(INDIRECT(_xlfn.CONCAT("'",IF(ISNUMBER(FIND("'",$A125))=TRUE,_xlfn.CONCAT(LEFT($A125,FIND("'",$A125)-1),"''",RIGHT($A125,LEN($A125)-FIND("'",$A125))),$A125),"'!B4"))&gt;=G$2,"d",IF(INDIRECT(_xlfn.CONCAT("'",IF(ISNUMBER(FIND("'",$A125))=TRUE,_xlfn.CONCAT(LEFT($A125,FIND("'",$A125)-1),"''",RIGHT($A125,LEN($A125)-FIND("'",$A125))),$A125),"'!B5"))&gt;=G$2,"i",""))</f>
        <v>d</v>
      </c>
      <c r="H125" s="1" t="str" cm="1">
        <f t="array" aca="1" ref="H125" ca="1">IF(INDIRECT(_xlfn.CONCAT("'",IF(ISNUMBER(FIND("'",$A125))=TRUE,_xlfn.CONCAT(LEFT($A125,FIND("'",$A125)-1),"''",RIGHT($A125,LEN($A125)-FIND("'",$A125))),$A125),"'!B4"))&gt;=H$2,"d",IF(INDIRECT(_xlfn.CONCAT("'",IF(ISNUMBER(FIND("'",$A125))=TRUE,_xlfn.CONCAT(LEFT($A125,FIND("'",$A125)-1),"''",RIGHT($A125,LEN($A125)-FIND("'",$A125))),$A125),"'!B5"))&gt;=H$2,"i",""))</f>
        <v>d</v>
      </c>
      <c r="I125" s="1" t="str" cm="1">
        <f t="array" aca="1" ref="I125" ca="1">IF(INDIRECT(_xlfn.CONCAT("'",IF(ISNUMBER(FIND("'",$A125))=TRUE,_xlfn.CONCAT(LEFT($A125,FIND("'",$A125)-1),"''",RIGHT($A125,LEN($A125)-FIND("'",$A125))),$A125),"'!B4"))&gt;=I$2,"d",IF(INDIRECT(_xlfn.CONCAT("'",IF(ISNUMBER(FIND("'",$A125))=TRUE,_xlfn.CONCAT(LEFT($A125,FIND("'",$A125)-1),"''",RIGHT($A125,LEN($A125)-FIND("'",$A125))),$A125),"'!B5"))&gt;=I$2,"i",""))</f>
        <v>d</v>
      </c>
      <c r="J125" s="1" t="str" cm="1">
        <f t="array" aca="1" ref="J125" ca="1">IF(INDIRECT(_xlfn.CONCAT("'",IF(ISNUMBER(FIND("'",$A125))=TRUE,_xlfn.CONCAT(LEFT($A125,FIND("'",$A125)-1),"''",RIGHT($A125,LEN($A125)-FIND("'",$A125))),$A125),"'!B4"))&gt;=J$2,"d",IF(INDIRECT(_xlfn.CONCAT("'",IF(ISNUMBER(FIND("'",$A125))=TRUE,_xlfn.CONCAT(LEFT($A125,FIND("'",$A125)-1),"''",RIGHT($A125,LEN($A125)-FIND("'",$A125))),$A125),"'!B5"))&gt;=J$2,"i",""))</f>
        <v>d</v>
      </c>
      <c r="K125" s="1" t="str" cm="1">
        <f t="array" aca="1" ref="K125" ca="1">IF(INDIRECT(_xlfn.CONCAT("'",IF(ISNUMBER(FIND("'",$A125))=TRUE,_xlfn.CONCAT(LEFT($A125,FIND("'",$A125)-1),"''",RIGHT($A125,LEN($A125)-FIND("'",$A125))),$A125),"'!B4"))&gt;=K$2,"d",IF(INDIRECT(_xlfn.CONCAT("'",IF(ISNUMBER(FIND("'",$A125))=TRUE,_xlfn.CONCAT(LEFT($A125,FIND("'",$A125)-1),"''",RIGHT($A125,LEN($A125)-FIND("'",$A125))),$A125),"'!B5"))&gt;=K$2,"i",""))</f>
        <v>d</v>
      </c>
      <c r="L125" s="1" t="str" cm="1">
        <f t="array" aca="1" ref="L125" ca="1">IF(INDIRECT(_xlfn.CONCAT("'",IF(ISNUMBER(FIND("'",$A125))=TRUE,_xlfn.CONCAT(LEFT($A125,FIND("'",$A125)-1),"''",RIGHT($A125,LEN($A125)-FIND("'",$A125))),$A125),"'!B4"))&gt;=L$2,"d",IF(INDIRECT(_xlfn.CONCAT("'",IF(ISNUMBER(FIND("'",$A125))=TRUE,_xlfn.CONCAT(LEFT($A125,FIND("'",$A125)-1),"''",RIGHT($A125,LEN($A125)-FIND("'",$A125))),$A125),"'!B5"))&gt;=L$2,"i",""))</f>
        <v>d</v>
      </c>
      <c r="M125" s="4" t="str" cm="1">
        <f t="array" aca="1" ref="M125" ca="1">IF(INDIRECT(_xlfn.CONCAT("'",IF(ISNUMBER(FIND("'",$A125))=TRUE,_xlfn.CONCAT(LEFT($A125,FIND("'",$A125)-1),"''",RIGHT($A125,LEN($A125)-FIND("'",$A125))),$A125),"'!B4"))&gt;=M$2,"d",IF(INDIRECT(_xlfn.CONCAT("'",IF(ISNUMBER(FIND("'",$A125))=TRUE,_xlfn.CONCAT(LEFT($A125,FIND("'",$A125)-1),"''",RIGHT($A125,LEN($A125)-FIND("'",$A125))),$A125),"'!B5"))&gt;=M$2,"i",""))</f>
        <v>d</v>
      </c>
      <c r="N125" s="95"/>
      <c r="O125" s="14" t="str" cm="1">
        <f t="array" aca="1" ref="O125" ca="1">IF(INDIRECT(_xlfn.CONCAT("'",IF(ISNUMBER(FIND("'",$A125))=TRUE,_xlfn.CONCAT(LEFT($A125,FIND("'",$A125)-1),"''",RIGHT($A125,LEN($A125)-FIND("'",$A125))),$A125),"'!C10"))&gt;=O$2,"d",IF(INDIRECT(_xlfn.CONCAT("'",IF(ISNUMBER(FIND("'",$A125))=TRUE,_xlfn.CONCAT(LEFT($A125,FIND("'",$A125)-1),"''",RIGHT($A125,LEN($A125)-FIND("'",$A125))),$A125),"'!C11"))&gt;=O$2,"i",""))</f>
        <v>d</v>
      </c>
      <c r="P125" s="1" t="str" cm="1">
        <f t="array" aca="1" ref="P125" ca="1">IF(INDIRECT(_xlfn.CONCAT("'",IF(ISNUMBER(FIND("'",$A125))=TRUE,_xlfn.CONCAT(LEFT($A125,FIND("'",$A125)-1),"''",RIGHT($A125,LEN($A125)-FIND("'",$A125))),$A125),"'!C10"))&gt;=P$2,"d",IF(INDIRECT(_xlfn.CONCAT("'",IF(ISNUMBER(FIND("'",$A125))=TRUE,_xlfn.CONCAT(LEFT($A125,FIND("'",$A125)-1),"''",RIGHT($A125,LEN($A125)-FIND("'",$A125))),$A125),"'!C11"))&gt;=P$2,"i",""))</f>
        <v>d</v>
      </c>
      <c r="Q125" s="1" t="str" cm="1">
        <f t="array" aca="1" ref="Q125" ca="1">IF(INDIRECT(_xlfn.CONCAT("'",IF(ISNUMBER(FIND("'",$A125))=TRUE,_xlfn.CONCAT(LEFT($A125,FIND("'",$A125)-1),"''",RIGHT($A125,LEN($A125)-FIND("'",$A125))),$A125),"'!C10"))&gt;=Q$2,"d",IF(INDIRECT(_xlfn.CONCAT("'",IF(ISNUMBER(FIND("'",$A125))=TRUE,_xlfn.CONCAT(LEFT($A125,FIND("'",$A125)-1),"''",RIGHT($A125,LEN($A125)-FIND("'",$A125))),$A125),"'!C11"))&gt;=Q$2,"i",""))</f>
        <v>d</v>
      </c>
      <c r="R125" s="1" t="str" cm="1">
        <f t="array" aca="1" ref="R125" ca="1">IF(INDIRECT(_xlfn.CONCAT("'",IF(ISNUMBER(FIND("'",$A125))=TRUE,_xlfn.CONCAT(LEFT($A125,FIND("'",$A125)-1),"''",RIGHT($A125,LEN($A125)-FIND("'",$A125))),$A125),"'!C10"))&gt;=R$2,"d",IF(INDIRECT(_xlfn.CONCAT("'",IF(ISNUMBER(FIND("'",$A125))=TRUE,_xlfn.CONCAT(LEFT($A125,FIND("'",$A125)-1),"''",RIGHT($A125,LEN($A125)-FIND("'",$A125))),$A125),"'!C11"))&gt;=R$2,"i",""))</f>
        <v>d</v>
      </c>
      <c r="S125" s="1" t="str" cm="1">
        <f t="array" aca="1" ref="S125" ca="1">IF(INDIRECT(_xlfn.CONCAT("'",IF(ISNUMBER(FIND("'",$A125))=TRUE,_xlfn.CONCAT(LEFT($A125,FIND("'",$A125)-1),"''",RIGHT($A125,LEN($A125)-FIND("'",$A125))),$A125),"'!C10"))&gt;=S$2,"d",IF(INDIRECT(_xlfn.CONCAT("'",IF(ISNUMBER(FIND("'",$A125))=TRUE,_xlfn.CONCAT(LEFT($A125,FIND("'",$A125)-1),"''",RIGHT($A125,LEN($A125)-FIND("'",$A125))),$A125),"'!C11"))&gt;=S$2,"i",""))</f>
        <v>d</v>
      </c>
      <c r="T125" s="4" t="str" cm="1">
        <f t="array" aca="1" ref="T125" ca="1">IF(INDIRECT(_xlfn.CONCAT("'",IF(ISNUMBER(FIND("'",$A125))=TRUE,_xlfn.CONCAT(LEFT($A125,FIND("'",$A125)-1),"''",RIGHT($A125,LEN($A125)-FIND("'",$A125))),$A125),"'!C10"))&gt;=T$2,"d",IF(INDIRECT(_xlfn.CONCAT("'",IF(ISNUMBER(FIND("'",$A125))=TRUE,_xlfn.CONCAT(LEFT($A125,FIND("'",$A125)-1),"''",RIGHT($A125,LEN($A125)-FIND("'",$A125))),$A125),"'!C11"))&gt;=T$2,"i",""))</f>
        <v>d</v>
      </c>
    </row>
    <row r="126" spans="1:20" hidden="1" x14ac:dyDescent="0.25">
      <c r="A126" s="54" t="str">
        <v>Redhorn Stonethresher</v>
      </c>
      <c r="B126" s="14" cm="1">
        <f t="array" ref="B126">_xlfn.XLOOKUP(A126,INDEX(Weapon_List,,1),INDEX(Weapon_List,,3),,0,1)</f>
        <v>5</v>
      </c>
      <c r="C126" s="4" t="str" cm="1">
        <f t="array" ref="C126">_xlfn.XLOOKUP(A126,INDEX(Weapon_List,,1),INDEX(Weapon_List,,2),,0,1)</f>
        <v>Claymore</v>
      </c>
      <c r="D126" s="38" t="str" cm="1">
        <f t="array" ref="D126">_xlfn.XLOOKUP(A126,INDEX(Weapon_List,,1),INDEX(Weapon_List,,4),,0,1)</f>
        <v>Inazuma 2</v>
      </c>
      <c r="E126" s="38" t="str" cm="1">
        <f t="array" ref="E126">_xlfn.XLOOKUP(A126,INDEX(Weapon_List,,1),INDEX(Weapon_List,,5),,0,1)</f>
        <v>Nobushi</v>
      </c>
      <c r="F126" s="38" t="str" cm="1">
        <f t="array" ref="F126">_xlfn.XLOOKUP(A126,INDEX(Weapon_List,,1),INDEX(Weapon_List,,6),,0,1)</f>
        <v>Rifthound</v>
      </c>
      <c r="G126" s="14" t="str" cm="1">
        <f t="array" aca="1" ref="G126" ca="1">IF(INDIRECT(_xlfn.CONCAT("'",IF(ISNUMBER(FIND("'",$A126))=TRUE,_xlfn.CONCAT(LEFT($A126,FIND("'",$A126)-1),"''",RIGHT($A126,LEN($A126)-FIND("'",$A126))),$A126),"'!B4"))&gt;=G$2,"d",IF(INDIRECT(_xlfn.CONCAT("'",IF(ISNUMBER(FIND("'",$A126))=TRUE,_xlfn.CONCAT(LEFT($A126,FIND("'",$A126)-1),"''",RIGHT($A126,LEN($A126)-FIND("'",$A126))),$A126),"'!B5"))&gt;=G$2,"i",""))</f>
        <v>d</v>
      </c>
      <c r="H126" s="1" t="str" cm="1">
        <f t="array" aca="1" ref="H126" ca="1">IF(INDIRECT(_xlfn.CONCAT("'",IF(ISNUMBER(FIND("'",$A126))=TRUE,_xlfn.CONCAT(LEFT($A126,FIND("'",$A126)-1),"''",RIGHT($A126,LEN($A126)-FIND("'",$A126))),$A126),"'!B4"))&gt;=H$2,"d",IF(INDIRECT(_xlfn.CONCAT("'",IF(ISNUMBER(FIND("'",$A126))=TRUE,_xlfn.CONCAT(LEFT($A126,FIND("'",$A126)-1),"''",RIGHT($A126,LEN($A126)-FIND("'",$A126))),$A126),"'!B5"))&gt;=H$2,"i",""))</f>
        <v>d</v>
      </c>
      <c r="I126" s="1" t="str" cm="1">
        <f t="array" aca="1" ref="I126" ca="1">IF(INDIRECT(_xlfn.CONCAT("'",IF(ISNUMBER(FIND("'",$A126))=TRUE,_xlfn.CONCAT(LEFT($A126,FIND("'",$A126)-1),"''",RIGHT($A126,LEN($A126)-FIND("'",$A126))),$A126),"'!B4"))&gt;=I$2,"d",IF(INDIRECT(_xlfn.CONCAT("'",IF(ISNUMBER(FIND("'",$A126))=TRUE,_xlfn.CONCAT(LEFT($A126,FIND("'",$A126)-1),"''",RIGHT($A126,LEN($A126)-FIND("'",$A126))),$A126),"'!B5"))&gt;=I$2,"i",""))</f>
        <v>d</v>
      </c>
      <c r="J126" s="1" t="str" cm="1">
        <f t="array" aca="1" ref="J126" ca="1">IF(INDIRECT(_xlfn.CONCAT("'",IF(ISNUMBER(FIND("'",$A126))=TRUE,_xlfn.CONCAT(LEFT($A126,FIND("'",$A126)-1),"''",RIGHT($A126,LEN($A126)-FIND("'",$A126))),$A126),"'!B4"))&gt;=J$2,"d",IF(INDIRECT(_xlfn.CONCAT("'",IF(ISNUMBER(FIND("'",$A126))=TRUE,_xlfn.CONCAT(LEFT($A126,FIND("'",$A126)-1),"''",RIGHT($A126,LEN($A126)-FIND("'",$A126))),$A126),"'!B5"))&gt;=J$2,"i",""))</f>
        <v>d</v>
      </c>
      <c r="K126" s="1" t="str" cm="1">
        <f t="array" aca="1" ref="K126" ca="1">IF(INDIRECT(_xlfn.CONCAT("'",IF(ISNUMBER(FIND("'",$A126))=TRUE,_xlfn.CONCAT(LEFT($A126,FIND("'",$A126)-1),"''",RIGHT($A126,LEN($A126)-FIND("'",$A126))),$A126),"'!B4"))&gt;=K$2,"d",IF(INDIRECT(_xlfn.CONCAT("'",IF(ISNUMBER(FIND("'",$A126))=TRUE,_xlfn.CONCAT(LEFT($A126,FIND("'",$A126)-1),"''",RIGHT($A126,LEN($A126)-FIND("'",$A126))),$A126),"'!B5"))&gt;=K$2,"i",""))</f>
        <v>d</v>
      </c>
      <c r="L126" s="1" t="str" cm="1">
        <f t="array" aca="1" ref="L126" ca="1">IF(INDIRECT(_xlfn.CONCAT("'",IF(ISNUMBER(FIND("'",$A126))=TRUE,_xlfn.CONCAT(LEFT($A126,FIND("'",$A126)-1),"''",RIGHT($A126,LEN($A126)-FIND("'",$A126))),$A126),"'!B4"))&gt;=L$2,"d",IF(INDIRECT(_xlfn.CONCAT("'",IF(ISNUMBER(FIND("'",$A126))=TRUE,_xlfn.CONCAT(LEFT($A126,FIND("'",$A126)-1),"''",RIGHT($A126,LEN($A126)-FIND("'",$A126))),$A126),"'!B5"))&gt;=L$2,"i",""))</f>
        <v>d</v>
      </c>
      <c r="M126" s="4" t="str" cm="1">
        <f t="array" aca="1" ref="M126" ca="1">IF(INDIRECT(_xlfn.CONCAT("'",IF(ISNUMBER(FIND("'",$A126))=TRUE,_xlfn.CONCAT(LEFT($A126,FIND("'",$A126)-1),"''",RIGHT($A126,LEN($A126)-FIND("'",$A126))),$A126),"'!B4"))&gt;=M$2,"d",IF(INDIRECT(_xlfn.CONCAT("'",IF(ISNUMBER(FIND("'",$A126))=TRUE,_xlfn.CONCAT(LEFT($A126,FIND("'",$A126)-1),"''",RIGHT($A126,LEN($A126)-FIND("'",$A126))),$A126),"'!B5"))&gt;=M$2,"i",""))</f>
        <v>d</v>
      </c>
      <c r="N126" s="95"/>
      <c r="O126" s="14" t="str" cm="1">
        <f t="array" aca="1" ref="O126" ca="1">IF(INDIRECT(_xlfn.CONCAT("'",IF(ISNUMBER(FIND("'",$A126))=TRUE,_xlfn.CONCAT(LEFT($A126,FIND("'",$A126)-1),"''",RIGHT($A126,LEN($A126)-FIND("'",$A126))),$A126),"'!C10"))&gt;=O$2,"d",IF(INDIRECT(_xlfn.CONCAT("'",IF(ISNUMBER(FIND("'",$A126))=TRUE,_xlfn.CONCAT(LEFT($A126,FIND("'",$A126)-1),"''",RIGHT($A126,LEN($A126)-FIND("'",$A126))),$A126),"'!C11"))&gt;=O$2,"i",""))</f>
        <v>d</v>
      </c>
      <c r="P126" s="1" t="str" cm="1">
        <f t="array" aca="1" ref="P126" ca="1">IF(INDIRECT(_xlfn.CONCAT("'",IF(ISNUMBER(FIND("'",$A126))=TRUE,_xlfn.CONCAT(LEFT($A126,FIND("'",$A126)-1),"''",RIGHT($A126,LEN($A126)-FIND("'",$A126))),$A126),"'!C10"))&gt;=P$2,"d",IF(INDIRECT(_xlfn.CONCAT("'",IF(ISNUMBER(FIND("'",$A126))=TRUE,_xlfn.CONCAT(LEFT($A126,FIND("'",$A126)-1),"''",RIGHT($A126,LEN($A126)-FIND("'",$A126))),$A126),"'!C11"))&gt;=P$2,"i",""))</f>
        <v>d</v>
      </c>
      <c r="Q126" s="1" t="str" cm="1">
        <f t="array" aca="1" ref="Q126" ca="1">IF(INDIRECT(_xlfn.CONCAT("'",IF(ISNUMBER(FIND("'",$A126))=TRUE,_xlfn.CONCAT(LEFT($A126,FIND("'",$A126)-1),"''",RIGHT($A126,LEN($A126)-FIND("'",$A126))),$A126),"'!C10"))&gt;=Q$2,"d",IF(INDIRECT(_xlfn.CONCAT("'",IF(ISNUMBER(FIND("'",$A126))=TRUE,_xlfn.CONCAT(LEFT($A126,FIND("'",$A126)-1),"''",RIGHT($A126,LEN($A126)-FIND("'",$A126))),$A126),"'!C11"))&gt;=Q$2,"i",""))</f>
        <v>d</v>
      </c>
      <c r="R126" s="1" t="str" cm="1">
        <f t="array" aca="1" ref="R126" ca="1">IF(INDIRECT(_xlfn.CONCAT("'",IF(ISNUMBER(FIND("'",$A126))=TRUE,_xlfn.CONCAT(LEFT($A126,FIND("'",$A126)-1),"''",RIGHT($A126,LEN($A126)-FIND("'",$A126))),$A126),"'!C10"))&gt;=R$2,"d",IF(INDIRECT(_xlfn.CONCAT("'",IF(ISNUMBER(FIND("'",$A126))=TRUE,_xlfn.CONCAT(LEFT($A126,FIND("'",$A126)-1),"''",RIGHT($A126,LEN($A126)-FIND("'",$A126))),$A126),"'!C11"))&gt;=R$2,"i",""))</f>
        <v>d</v>
      </c>
      <c r="S126" s="1" t="str" cm="1">
        <f t="array" aca="1" ref="S126" ca="1">IF(INDIRECT(_xlfn.CONCAT("'",IF(ISNUMBER(FIND("'",$A126))=TRUE,_xlfn.CONCAT(LEFT($A126,FIND("'",$A126)-1),"''",RIGHT($A126,LEN($A126)-FIND("'",$A126))),$A126),"'!C10"))&gt;=S$2,"d",IF(INDIRECT(_xlfn.CONCAT("'",IF(ISNUMBER(FIND("'",$A126))=TRUE,_xlfn.CONCAT(LEFT($A126,FIND("'",$A126)-1),"''",RIGHT($A126,LEN($A126)-FIND("'",$A126))),$A126),"'!C11"))&gt;=S$2,"i",""))</f>
        <v>d</v>
      </c>
      <c r="T126" s="4" t="str" cm="1">
        <f t="array" aca="1" ref="T126" ca="1">IF(INDIRECT(_xlfn.CONCAT("'",IF(ISNUMBER(FIND("'",$A126))=TRUE,_xlfn.CONCAT(LEFT($A126,FIND("'",$A126)-1),"''",RIGHT($A126,LEN($A126)-FIND("'",$A126))),$A126),"'!C10"))&gt;=T$2,"d",IF(INDIRECT(_xlfn.CONCAT("'",IF(ISNUMBER(FIND("'",$A126))=TRUE,_xlfn.CONCAT(LEFT($A126,FIND("'",$A126)-1),"''",RIGHT($A126,LEN($A126)-FIND("'",$A126))),$A126),"'!C11"))&gt;=T$2,"i",""))</f>
        <v>d</v>
      </c>
    </row>
    <row r="127" spans="1:20" hidden="1" x14ac:dyDescent="0.25">
      <c r="A127" s="54" t="str">
        <v>Cinnabar Spindle</v>
      </c>
      <c r="B127" s="14" cm="1">
        <f t="array" ref="B127">_xlfn.XLOOKUP(A127,INDEX(Weapon_List,,1),INDEX(Weapon_List,,3),,0,1)</f>
        <v>4</v>
      </c>
      <c r="C127" s="4" t="str" cm="1">
        <f t="array" ref="C127">_xlfn.XLOOKUP(A127,INDEX(Weapon_List,,1),INDEX(Weapon_List,,2),,0,1)</f>
        <v>Sword</v>
      </c>
      <c r="D127" s="38" t="str" cm="1">
        <f t="array" ref="D127">_xlfn.XLOOKUP(A127,INDEX(Weapon_List,,1),INDEX(Weapon_List,,4),,0,1)</f>
        <v>Mondstadt 1</v>
      </c>
      <c r="E127" s="38" t="str" cm="1">
        <f t="array" ref="E127">_xlfn.XLOOKUP(A127,INDEX(Weapon_List,,1),INDEX(Weapon_List,,5),,0,1)</f>
        <v>Hilichurl</v>
      </c>
      <c r="F127" s="38" t="str" cm="1">
        <f t="array" ref="F127">_xlfn.XLOOKUP(A127,INDEX(Weapon_List,,1),INDEX(Weapon_List,,6),,0,1)</f>
        <v>Ruin Machine 1</v>
      </c>
      <c r="G127" s="14" t="str" cm="1">
        <f t="array" aca="1" ref="G127" ca="1">IF(INDIRECT(_xlfn.CONCAT("'",IF(ISNUMBER(FIND("'",$A127))=TRUE,_xlfn.CONCAT(LEFT($A127,FIND("'",$A127)-1),"''",RIGHT($A127,LEN($A127)-FIND("'",$A127))),$A127),"'!B4"))&gt;=G$2,"d",IF(INDIRECT(_xlfn.CONCAT("'",IF(ISNUMBER(FIND("'",$A127))=TRUE,_xlfn.CONCAT(LEFT($A127,FIND("'",$A127)-1),"''",RIGHT($A127,LEN($A127)-FIND("'",$A127))),$A127),"'!B5"))&gt;=G$2,"i",""))</f>
        <v>d</v>
      </c>
      <c r="H127" s="1" t="str" cm="1">
        <f t="array" aca="1" ref="H127" ca="1">IF(INDIRECT(_xlfn.CONCAT("'",IF(ISNUMBER(FIND("'",$A127))=TRUE,_xlfn.CONCAT(LEFT($A127,FIND("'",$A127)-1),"''",RIGHT($A127,LEN($A127)-FIND("'",$A127))),$A127),"'!B4"))&gt;=H$2,"d",IF(INDIRECT(_xlfn.CONCAT("'",IF(ISNUMBER(FIND("'",$A127))=TRUE,_xlfn.CONCAT(LEFT($A127,FIND("'",$A127)-1),"''",RIGHT($A127,LEN($A127)-FIND("'",$A127))),$A127),"'!B5"))&gt;=H$2,"i",""))</f>
        <v>d</v>
      </c>
      <c r="I127" s="1" t="str" cm="1">
        <f t="array" aca="1" ref="I127" ca="1">IF(INDIRECT(_xlfn.CONCAT("'",IF(ISNUMBER(FIND("'",$A127))=TRUE,_xlfn.CONCAT(LEFT($A127,FIND("'",$A127)-1),"''",RIGHT($A127,LEN($A127)-FIND("'",$A127))),$A127),"'!B4"))&gt;=I$2,"d",IF(INDIRECT(_xlfn.CONCAT("'",IF(ISNUMBER(FIND("'",$A127))=TRUE,_xlfn.CONCAT(LEFT($A127,FIND("'",$A127)-1),"''",RIGHT($A127,LEN($A127)-FIND("'",$A127))),$A127),"'!B5"))&gt;=I$2,"i",""))</f>
        <v>d</v>
      </c>
      <c r="J127" s="1" t="str" cm="1">
        <f t="array" aca="1" ref="J127" ca="1">IF(INDIRECT(_xlfn.CONCAT("'",IF(ISNUMBER(FIND("'",$A127))=TRUE,_xlfn.CONCAT(LEFT($A127,FIND("'",$A127)-1),"''",RIGHT($A127,LEN($A127)-FIND("'",$A127))),$A127),"'!B4"))&gt;=J$2,"d",IF(INDIRECT(_xlfn.CONCAT("'",IF(ISNUMBER(FIND("'",$A127))=TRUE,_xlfn.CONCAT(LEFT($A127,FIND("'",$A127)-1),"''",RIGHT($A127,LEN($A127)-FIND("'",$A127))),$A127),"'!B5"))&gt;=J$2,"i",""))</f>
        <v>d</v>
      </c>
      <c r="K127" s="1" t="str" cm="1">
        <f t="array" aca="1" ref="K127" ca="1">IF(INDIRECT(_xlfn.CONCAT("'",IF(ISNUMBER(FIND("'",$A127))=TRUE,_xlfn.CONCAT(LEFT($A127,FIND("'",$A127)-1),"''",RIGHT($A127,LEN($A127)-FIND("'",$A127))),$A127),"'!B4"))&gt;=K$2,"d",IF(INDIRECT(_xlfn.CONCAT("'",IF(ISNUMBER(FIND("'",$A127))=TRUE,_xlfn.CONCAT(LEFT($A127,FIND("'",$A127)-1),"''",RIGHT($A127,LEN($A127)-FIND("'",$A127))),$A127),"'!B5"))&gt;=K$2,"i",""))</f>
        <v>d</v>
      </c>
      <c r="L127" s="1" t="str" cm="1">
        <f t="array" aca="1" ref="L127" ca="1">IF(INDIRECT(_xlfn.CONCAT("'",IF(ISNUMBER(FIND("'",$A127))=TRUE,_xlfn.CONCAT(LEFT($A127,FIND("'",$A127)-1),"''",RIGHT($A127,LEN($A127)-FIND("'",$A127))),$A127),"'!B4"))&gt;=L$2,"d",IF(INDIRECT(_xlfn.CONCAT("'",IF(ISNUMBER(FIND("'",$A127))=TRUE,_xlfn.CONCAT(LEFT($A127,FIND("'",$A127)-1),"''",RIGHT($A127,LEN($A127)-FIND("'",$A127))),$A127),"'!B5"))&gt;=L$2,"i",""))</f>
        <v>d</v>
      </c>
      <c r="M127" s="4" t="str" cm="1">
        <f t="array" aca="1" ref="M127" ca="1">IF(INDIRECT(_xlfn.CONCAT("'",IF(ISNUMBER(FIND("'",$A127))=TRUE,_xlfn.CONCAT(LEFT($A127,FIND("'",$A127)-1),"''",RIGHT($A127,LEN($A127)-FIND("'",$A127))),$A127),"'!B4"))&gt;=M$2,"d",IF(INDIRECT(_xlfn.CONCAT("'",IF(ISNUMBER(FIND("'",$A127))=TRUE,_xlfn.CONCAT(LEFT($A127,FIND("'",$A127)-1),"''",RIGHT($A127,LEN($A127)-FIND("'",$A127))),$A127),"'!B5"))&gt;=M$2,"i",""))</f>
        <v>d</v>
      </c>
      <c r="N127" s="95"/>
      <c r="O127" s="14" t="str" cm="1">
        <f t="array" aca="1" ref="O127" ca="1">IF(INDIRECT(_xlfn.CONCAT("'",IF(ISNUMBER(FIND("'",$A127))=TRUE,_xlfn.CONCAT(LEFT($A127,FIND("'",$A127)-1),"''",RIGHT($A127,LEN($A127)-FIND("'",$A127))),$A127),"'!C10"))&gt;=O$2,"d",IF(INDIRECT(_xlfn.CONCAT("'",IF(ISNUMBER(FIND("'",$A127))=TRUE,_xlfn.CONCAT(LEFT($A127,FIND("'",$A127)-1),"''",RIGHT($A127,LEN($A127)-FIND("'",$A127))),$A127),"'!C11"))&gt;=O$2,"i",""))</f>
        <v>d</v>
      </c>
      <c r="P127" s="1" t="str" cm="1">
        <f t="array" aca="1" ref="P127" ca="1">IF(INDIRECT(_xlfn.CONCAT("'",IF(ISNUMBER(FIND("'",$A127))=TRUE,_xlfn.CONCAT(LEFT($A127,FIND("'",$A127)-1),"''",RIGHT($A127,LEN($A127)-FIND("'",$A127))),$A127),"'!C10"))&gt;=P$2,"d",IF(INDIRECT(_xlfn.CONCAT("'",IF(ISNUMBER(FIND("'",$A127))=TRUE,_xlfn.CONCAT(LEFT($A127,FIND("'",$A127)-1),"''",RIGHT($A127,LEN($A127)-FIND("'",$A127))),$A127),"'!C11"))&gt;=P$2,"i",""))</f>
        <v>d</v>
      </c>
      <c r="Q127" s="1" t="str" cm="1">
        <f t="array" aca="1" ref="Q127" ca="1">IF(INDIRECT(_xlfn.CONCAT("'",IF(ISNUMBER(FIND("'",$A127))=TRUE,_xlfn.CONCAT(LEFT($A127,FIND("'",$A127)-1),"''",RIGHT($A127,LEN($A127)-FIND("'",$A127))),$A127),"'!C10"))&gt;=Q$2,"d",IF(INDIRECT(_xlfn.CONCAT("'",IF(ISNUMBER(FIND("'",$A127))=TRUE,_xlfn.CONCAT(LEFT($A127,FIND("'",$A127)-1),"''",RIGHT($A127,LEN($A127)-FIND("'",$A127))),$A127),"'!C11"))&gt;=Q$2,"i",""))</f>
        <v>d</v>
      </c>
      <c r="R127" s="1" t="str" cm="1">
        <f t="array" aca="1" ref="R127" ca="1">IF(INDIRECT(_xlfn.CONCAT("'",IF(ISNUMBER(FIND("'",$A127))=TRUE,_xlfn.CONCAT(LEFT($A127,FIND("'",$A127)-1),"''",RIGHT($A127,LEN($A127)-FIND("'",$A127))),$A127),"'!C10"))&gt;=R$2,"d",IF(INDIRECT(_xlfn.CONCAT("'",IF(ISNUMBER(FIND("'",$A127))=TRUE,_xlfn.CONCAT(LEFT($A127,FIND("'",$A127)-1),"''",RIGHT($A127,LEN($A127)-FIND("'",$A127))),$A127),"'!C11"))&gt;=R$2,"i",""))</f>
        <v>d</v>
      </c>
      <c r="S127" s="1" t="str" cm="1">
        <f t="array" aca="1" ref="S127" ca="1">IF(INDIRECT(_xlfn.CONCAT("'",IF(ISNUMBER(FIND("'",$A127))=TRUE,_xlfn.CONCAT(LEFT($A127,FIND("'",$A127)-1),"''",RIGHT($A127,LEN($A127)-FIND("'",$A127))),$A127),"'!C10"))&gt;=S$2,"d",IF(INDIRECT(_xlfn.CONCAT("'",IF(ISNUMBER(FIND("'",$A127))=TRUE,_xlfn.CONCAT(LEFT($A127,FIND("'",$A127)-1),"''",RIGHT($A127,LEN($A127)-FIND("'",$A127))),$A127),"'!C11"))&gt;=S$2,"i",""))</f>
        <v>d</v>
      </c>
      <c r="T127" s="4" t="str" cm="1">
        <f t="array" aca="1" ref="T127" ca="1">IF(INDIRECT(_xlfn.CONCAT("'",IF(ISNUMBER(FIND("'",$A127))=TRUE,_xlfn.CONCAT(LEFT($A127,FIND("'",$A127)-1),"''",RIGHT($A127,LEN($A127)-FIND("'",$A127))),$A127),"'!C10"))&gt;=T$2,"d",IF(INDIRECT(_xlfn.CONCAT("'",IF(ISNUMBER(FIND("'",$A127))=TRUE,_xlfn.CONCAT(LEFT($A127,FIND("'",$A127)-1),"''",RIGHT($A127,LEN($A127)-FIND("'",$A127))),$A127),"'!C11"))&gt;=T$2,"i",""))</f>
        <v>d</v>
      </c>
    </row>
    <row r="128" spans="1:20" hidden="1" x14ac:dyDescent="0.25">
      <c r="A128" s="54" t="str">
        <v>Calamity Queller</v>
      </c>
      <c r="B128" s="14" cm="1">
        <f t="array" ref="B128">_xlfn.XLOOKUP(A128,INDEX(Weapon_List,,1),INDEX(Weapon_List,,3),,0,1)</f>
        <v>5</v>
      </c>
      <c r="C128" s="4" t="str" cm="1">
        <f t="array" ref="C128">_xlfn.XLOOKUP(A128,INDEX(Weapon_List,,1),INDEX(Weapon_List,,2),,0,1)</f>
        <v>Polearm</v>
      </c>
      <c r="D128" s="38" t="str" cm="1">
        <f t="array" ref="D128">_xlfn.XLOOKUP(A128,INDEX(Weapon_List,,1),INDEX(Weapon_List,,4),,0,1)</f>
        <v>Liyue 2</v>
      </c>
      <c r="E128" s="38" t="str" cm="1">
        <f t="array" ref="E128">_xlfn.XLOOKUP(A128,INDEX(Weapon_List,,1),INDEX(Weapon_List,,5),,0,1)</f>
        <v>Whopperflower</v>
      </c>
      <c r="F128" s="38" t="str" cm="1">
        <f t="array" ref="F128">_xlfn.XLOOKUP(A128,INDEX(Weapon_List,,1),INDEX(Weapon_List,,6),,0,1)</f>
        <v>Fatui Cicin Mage</v>
      </c>
      <c r="G128" s="14" t="str" cm="1">
        <f t="array" aca="1" ref="G128" ca="1">IF(INDIRECT(_xlfn.CONCAT("'",IF(ISNUMBER(FIND("'",$A128))=TRUE,_xlfn.CONCAT(LEFT($A128,FIND("'",$A128)-1),"''",RIGHT($A128,LEN($A128)-FIND("'",$A128))),$A128),"'!B4"))&gt;=G$2,"d",IF(INDIRECT(_xlfn.CONCAT("'",IF(ISNUMBER(FIND("'",$A128))=TRUE,_xlfn.CONCAT(LEFT($A128,FIND("'",$A128)-1),"''",RIGHT($A128,LEN($A128)-FIND("'",$A128))),$A128),"'!B5"))&gt;=G$2,"i",""))</f>
        <v>d</v>
      </c>
      <c r="H128" s="1" t="str" cm="1">
        <f t="array" aca="1" ref="H128" ca="1">IF(INDIRECT(_xlfn.CONCAT("'",IF(ISNUMBER(FIND("'",$A128))=TRUE,_xlfn.CONCAT(LEFT($A128,FIND("'",$A128)-1),"''",RIGHT($A128,LEN($A128)-FIND("'",$A128))),$A128),"'!B4"))&gt;=H$2,"d",IF(INDIRECT(_xlfn.CONCAT("'",IF(ISNUMBER(FIND("'",$A128))=TRUE,_xlfn.CONCAT(LEFT($A128,FIND("'",$A128)-1),"''",RIGHT($A128,LEN($A128)-FIND("'",$A128))),$A128),"'!B5"))&gt;=H$2,"i",""))</f>
        <v>d</v>
      </c>
      <c r="I128" s="1" t="str" cm="1">
        <f t="array" aca="1" ref="I128" ca="1">IF(INDIRECT(_xlfn.CONCAT("'",IF(ISNUMBER(FIND("'",$A128))=TRUE,_xlfn.CONCAT(LEFT($A128,FIND("'",$A128)-1),"''",RIGHT($A128,LEN($A128)-FIND("'",$A128))),$A128),"'!B4"))&gt;=I$2,"d",IF(INDIRECT(_xlfn.CONCAT("'",IF(ISNUMBER(FIND("'",$A128))=TRUE,_xlfn.CONCAT(LEFT($A128,FIND("'",$A128)-1),"''",RIGHT($A128,LEN($A128)-FIND("'",$A128))),$A128),"'!B5"))&gt;=I$2,"i",""))</f>
        <v>d</v>
      </c>
      <c r="J128" s="1" t="str" cm="1">
        <f t="array" aca="1" ref="J128" ca="1">IF(INDIRECT(_xlfn.CONCAT("'",IF(ISNUMBER(FIND("'",$A128))=TRUE,_xlfn.CONCAT(LEFT($A128,FIND("'",$A128)-1),"''",RIGHT($A128,LEN($A128)-FIND("'",$A128))),$A128),"'!B4"))&gt;=J$2,"d",IF(INDIRECT(_xlfn.CONCAT("'",IF(ISNUMBER(FIND("'",$A128))=TRUE,_xlfn.CONCAT(LEFT($A128,FIND("'",$A128)-1),"''",RIGHT($A128,LEN($A128)-FIND("'",$A128))),$A128),"'!B5"))&gt;=J$2,"i",""))</f>
        <v>d</v>
      </c>
      <c r="K128" s="1" t="str" cm="1">
        <f t="array" aca="1" ref="K128" ca="1">IF(INDIRECT(_xlfn.CONCAT("'",IF(ISNUMBER(FIND("'",$A128))=TRUE,_xlfn.CONCAT(LEFT($A128,FIND("'",$A128)-1),"''",RIGHT($A128,LEN($A128)-FIND("'",$A128))),$A128),"'!B4"))&gt;=K$2,"d",IF(INDIRECT(_xlfn.CONCAT("'",IF(ISNUMBER(FIND("'",$A128))=TRUE,_xlfn.CONCAT(LEFT($A128,FIND("'",$A128)-1),"''",RIGHT($A128,LEN($A128)-FIND("'",$A128))),$A128),"'!B5"))&gt;=K$2,"i",""))</f>
        <v>d</v>
      </c>
      <c r="L128" s="1" t="str" cm="1">
        <f t="array" aca="1" ref="L128" ca="1">IF(INDIRECT(_xlfn.CONCAT("'",IF(ISNUMBER(FIND("'",$A128))=TRUE,_xlfn.CONCAT(LEFT($A128,FIND("'",$A128)-1),"''",RIGHT($A128,LEN($A128)-FIND("'",$A128))),$A128),"'!B4"))&gt;=L$2,"d",IF(INDIRECT(_xlfn.CONCAT("'",IF(ISNUMBER(FIND("'",$A128))=TRUE,_xlfn.CONCAT(LEFT($A128,FIND("'",$A128)-1),"''",RIGHT($A128,LEN($A128)-FIND("'",$A128))),$A128),"'!B5"))&gt;=L$2,"i",""))</f>
        <v>d</v>
      </c>
      <c r="M128" s="4" t="str" cm="1">
        <f t="array" aca="1" ref="M128" ca="1">IF(INDIRECT(_xlfn.CONCAT("'",IF(ISNUMBER(FIND("'",$A128))=TRUE,_xlfn.CONCAT(LEFT($A128,FIND("'",$A128)-1),"''",RIGHT($A128,LEN($A128)-FIND("'",$A128))),$A128),"'!B4"))&gt;=M$2,"d",IF(INDIRECT(_xlfn.CONCAT("'",IF(ISNUMBER(FIND("'",$A128))=TRUE,_xlfn.CONCAT(LEFT($A128,FIND("'",$A128)-1),"''",RIGHT($A128,LEN($A128)-FIND("'",$A128))),$A128),"'!B5"))&gt;=M$2,"i",""))</f>
        <v>d</v>
      </c>
      <c r="N128" s="95"/>
      <c r="O128" s="14" t="str" cm="1">
        <f t="array" aca="1" ref="O128" ca="1">IF(INDIRECT(_xlfn.CONCAT("'",IF(ISNUMBER(FIND("'",$A128))=TRUE,_xlfn.CONCAT(LEFT($A128,FIND("'",$A128)-1),"''",RIGHT($A128,LEN($A128)-FIND("'",$A128))),$A128),"'!C10"))&gt;=O$2,"d",IF(INDIRECT(_xlfn.CONCAT("'",IF(ISNUMBER(FIND("'",$A128))=TRUE,_xlfn.CONCAT(LEFT($A128,FIND("'",$A128)-1),"''",RIGHT($A128,LEN($A128)-FIND("'",$A128))),$A128),"'!C11"))&gt;=O$2,"i",""))</f>
        <v>d</v>
      </c>
      <c r="P128" s="1" t="str" cm="1">
        <f t="array" aca="1" ref="P128" ca="1">IF(INDIRECT(_xlfn.CONCAT("'",IF(ISNUMBER(FIND("'",$A128))=TRUE,_xlfn.CONCAT(LEFT($A128,FIND("'",$A128)-1),"''",RIGHT($A128,LEN($A128)-FIND("'",$A128))),$A128),"'!C10"))&gt;=P$2,"d",IF(INDIRECT(_xlfn.CONCAT("'",IF(ISNUMBER(FIND("'",$A128))=TRUE,_xlfn.CONCAT(LEFT($A128,FIND("'",$A128)-1),"''",RIGHT($A128,LEN($A128)-FIND("'",$A128))),$A128),"'!C11"))&gt;=P$2,"i",""))</f>
        <v>d</v>
      </c>
      <c r="Q128" s="1" t="str" cm="1">
        <f t="array" aca="1" ref="Q128" ca="1">IF(INDIRECT(_xlfn.CONCAT("'",IF(ISNUMBER(FIND("'",$A128))=TRUE,_xlfn.CONCAT(LEFT($A128,FIND("'",$A128)-1),"''",RIGHT($A128,LEN($A128)-FIND("'",$A128))),$A128),"'!C10"))&gt;=Q$2,"d",IF(INDIRECT(_xlfn.CONCAT("'",IF(ISNUMBER(FIND("'",$A128))=TRUE,_xlfn.CONCAT(LEFT($A128,FIND("'",$A128)-1),"''",RIGHT($A128,LEN($A128)-FIND("'",$A128))),$A128),"'!C11"))&gt;=Q$2,"i",""))</f>
        <v>d</v>
      </c>
      <c r="R128" s="1" t="str" cm="1">
        <f t="array" aca="1" ref="R128" ca="1">IF(INDIRECT(_xlfn.CONCAT("'",IF(ISNUMBER(FIND("'",$A128))=TRUE,_xlfn.CONCAT(LEFT($A128,FIND("'",$A128)-1),"''",RIGHT($A128,LEN($A128)-FIND("'",$A128))),$A128),"'!C10"))&gt;=R$2,"d",IF(INDIRECT(_xlfn.CONCAT("'",IF(ISNUMBER(FIND("'",$A128))=TRUE,_xlfn.CONCAT(LEFT($A128,FIND("'",$A128)-1),"''",RIGHT($A128,LEN($A128)-FIND("'",$A128))),$A128),"'!C11"))&gt;=R$2,"i",""))</f>
        <v>d</v>
      </c>
      <c r="S128" s="1" t="str" cm="1">
        <f t="array" aca="1" ref="S128" ca="1">IF(INDIRECT(_xlfn.CONCAT("'",IF(ISNUMBER(FIND("'",$A128))=TRUE,_xlfn.CONCAT(LEFT($A128,FIND("'",$A128)-1),"''",RIGHT($A128,LEN($A128)-FIND("'",$A128))),$A128),"'!C10"))&gt;=S$2,"d",IF(INDIRECT(_xlfn.CONCAT("'",IF(ISNUMBER(FIND("'",$A128))=TRUE,_xlfn.CONCAT(LEFT($A128,FIND("'",$A128)-1),"''",RIGHT($A128,LEN($A128)-FIND("'",$A128))),$A128),"'!C11"))&gt;=S$2,"i",""))</f>
        <v>d</v>
      </c>
      <c r="T128" s="4" t="str" cm="1">
        <f t="array" aca="1" ref="T128" ca="1">IF(INDIRECT(_xlfn.CONCAT("'",IF(ISNUMBER(FIND("'",$A128))=TRUE,_xlfn.CONCAT(LEFT($A128,FIND("'",$A128)-1),"''",RIGHT($A128,LEN($A128)-FIND("'",$A128))),$A128),"'!C10"))&gt;=T$2,"d",IF(INDIRECT(_xlfn.CONCAT("'",IF(ISNUMBER(FIND("'",$A128))=TRUE,_xlfn.CONCAT(LEFT($A128,FIND("'",$A128)-1),"''",RIGHT($A128,LEN($A128)-FIND("'",$A128))),$A128),"'!C11"))&gt;=T$2,"i",""))</f>
        <v>d</v>
      </c>
    </row>
    <row r="129" spans="1:20" hidden="1" x14ac:dyDescent="0.25">
      <c r="A129" s="54" t="str">
        <v>Kagura's Verity</v>
      </c>
      <c r="B129" s="14" cm="1">
        <f t="array" ref="B129">_xlfn.XLOOKUP(A129,INDEX(Weapon_List,,1),INDEX(Weapon_List,,3),,0,1)</f>
        <v>5</v>
      </c>
      <c r="C129" s="4" t="str" cm="1">
        <f t="array" ref="C129">_xlfn.XLOOKUP(A129,INDEX(Weapon_List,,1),INDEX(Weapon_List,,2),,0,1)</f>
        <v>Catalyst</v>
      </c>
      <c r="D129" s="38" t="str" cm="1">
        <f t="array" ref="D129">_xlfn.XLOOKUP(A129,INDEX(Weapon_List,,1),INDEX(Weapon_List,,4),,0,1)</f>
        <v>Inazuma 3</v>
      </c>
      <c r="E129" s="38" t="str" cm="1">
        <f t="array" ref="E129">_xlfn.XLOOKUP(A129,INDEX(Weapon_List,,1),INDEX(Weapon_List,,5),,0,1)</f>
        <v>Specter</v>
      </c>
      <c r="F129" s="38" t="str" cm="1">
        <f t="array" ref="F129">_xlfn.XLOOKUP(A129,INDEX(Weapon_List,,1),INDEX(Weapon_List,,6),,0,1)</f>
        <v>Rifthound</v>
      </c>
      <c r="G129" s="14" t="str" cm="1">
        <f t="array" aca="1" ref="G129" ca="1">IF(INDIRECT(_xlfn.CONCAT("'",IF(ISNUMBER(FIND("'",$A129))=TRUE,_xlfn.CONCAT(LEFT($A129,FIND("'",$A129)-1),"''",RIGHT($A129,LEN($A129)-FIND("'",$A129))),$A129),"'!B4"))&gt;=G$2,"d",IF(INDIRECT(_xlfn.CONCAT("'",IF(ISNUMBER(FIND("'",$A129))=TRUE,_xlfn.CONCAT(LEFT($A129,FIND("'",$A129)-1),"''",RIGHT($A129,LEN($A129)-FIND("'",$A129))),$A129),"'!B5"))&gt;=G$2,"i",""))</f>
        <v>d</v>
      </c>
      <c r="H129" s="1" t="str" cm="1">
        <f t="array" aca="1" ref="H129" ca="1">IF(INDIRECT(_xlfn.CONCAT("'",IF(ISNUMBER(FIND("'",$A129))=TRUE,_xlfn.CONCAT(LEFT($A129,FIND("'",$A129)-1),"''",RIGHT($A129,LEN($A129)-FIND("'",$A129))),$A129),"'!B4"))&gt;=H$2,"d",IF(INDIRECT(_xlfn.CONCAT("'",IF(ISNUMBER(FIND("'",$A129))=TRUE,_xlfn.CONCAT(LEFT($A129,FIND("'",$A129)-1),"''",RIGHT($A129,LEN($A129)-FIND("'",$A129))),$A129),"'!B5"))&gt;=H$2,"i",""))</f>
        <v>d</v>
      </c>
      <c r="I129" s="1" t="str" cm="1">
        <f t="array" aca="1" ref="I129" ca="1">IF(INDIRECT(_xlfn.CONCAT("'",IF(ISNUMBER(FIND("'",$A129))=TRUE,_xlfn.CONCAT(LEFT($A129,FIND("'",$A129)-1),"''",RIGHT($A129,LEN($A129)-FIND("'",$A129))),$A129),"'!B4"))&gt;=I$2,"d",IF(INDIRECT(_xlfn.CONCAT("'",IF(ISNUMBER(FIND("'",$A129))=TRUE,_xlfn.CONCAT(LEFT($A129,FIND("'",$A129)-1),"''",RIGHT($A129,LEN($A129)-FIND("'",$A129))),$A129),"'!B5"))&gt;=I$2,"i",""))</f>
        <v>d</v>
      </c>
      <c r="J129" s="1" t="str" cm="1">
        <f t="array" aca="1" ref="J129" ca="1">IF(INDIRECT(_xlfn.CONCAT("'",IF(ISNUMBER(FIND("'",$A129))=TRUE,_xlfn.CONCAT(LEFT($A129,FIND("'",$A129)-1),"''",RIGHT($A129,LEN($A129)-FIND("'",$A129))),$A129),"'!B4"))&gt;=J$2,"d",IF(INDIRECT(_xlfn.CONCAT("'",IF(ISNUMBER(FIND("'",$A129))=TRUE,_xlfn.CONCAT(LEFT($A129,FIND("'",$A129)-1),"''",RIGHT($A129,LEN($A129)-FIND("'",$A129))),$A129),"'!B5"))&gt;=J$2,"i",""))</f>
        <v>d</v>
      </c>
      <c r="K129" s="1" t="str" cm="1">
        <f t="array" aca="1" ref="K129" ca="1">IF(INDIRECT(_xlfn.CONCAT("'",IF(ISNUMBER(FIND("'",$A129))=TRUE,_xlfn.CONCAT(LEFT($A129,FIND("'",$A129)-1),"''",RIGHT($A129,LEN($A129)-FIND("'",$A129))),$A129),"'!B4"))&gt;=K$2,"d",IF(INDIRECT(_xlfn.CONCAT("'",IF(ISNUMBER(FIND("'",$A129))=TRUE,_xlfn.CONCAT(LEFT($A129,FIND("'",$A129)-1),"''",RIGHT($A129,LEN($A129)-FIND("'",$A129))),$A129),"'!B5"))&gt;=K$2,"i",""))</f>
        <v>d</v>
      </c>
      <c r="L129" s="1" t="str" cm="1">
        <f t="array" aca="1" ref="L129" ca="1">IF(INDIRECT(_xlfn.CONCAT("'",IF(ISNUMBER(FIND("'",$A129))=TRUE,_xlfn.CONCAT(LEFT($A129,FIND("'",$A129)-1),"''",RIGHT($A129,LEN($A129)-FIND("'",$A129))),$A129),"'!B4"))&gt;=L$2,"d",IF(INDIRECT(_xlfn.CONCAT("'",IF(ISNUMBER(FIND("'",$A129))=TRUE,_xlfn.CONCAT(LEFT($A129,FIND("'",$A129)-1),"''",RIGHT($A129,LEN($A129)-FIND("'",$A129))),$A129),"'!B5"))&gt;=L$2,"i",""))</f>
        <v>d</v>
      </c>
      <c r="M129" s="4" t="str" cm="1">
        <f t="array" aca="1" ref="M129" ca="1">IF(INDIRECT(_xlfn.CONCAT("'",IF(ISNUMBER(FIND("'",$A129))=TRUE,_xlfn.CONCAT(LEFT($A129,FIND("'",$A129)-1),"''",RIGHT($A129,LEN($A129)-FIND("'",$A129))),$A129),"'!B4"))&gt;=M$2,"d",IF(INDIRECT(_xlfn.CONCAT("'",IF(ISNUMBER(FIND("'",$A129))=TRUE,_xlfn.CONCAT(LEFT($A129,FIND("'",$A129)-1),"''",RIGHT($A129,LEN($A129)-FIND("'",$A129))),$A129),"'!B5"))&gt;=M$2,"i",""))</f>
        <v>d</v>
      </c>
      <c r="N129" s="95"/>
      <c r="O129" s="14" t="str" cm="1">
        <f t="array" aca="1" ref="O129" ca="1">IF(INDIRECT(_xlfn.CONCAT("'",IF(ISNUMBER(FIND("'",$A129))=TRUE,_xlfn.CONCAT(LEFT($A129,FIND("'",$A129)-1),"''",RIGHT($A129,LEN($A129)-FIND("'",$A129))),$A129),"'!C10"))&gt;=O$2,"d",IF(INDIRECT(_xlfn.CONCAT("'",IF(ISNUMBER(FIND("'",$A129))=TRUE,_xlfn.CONCAT(LEFT($A129,FIND("'",$A129)-1),"''",RIGHT($A129,LEN($A129)-FIND("'",$A129))),$A129),"'!C11"))&gt;=O$2,"i",""))</f>
        <v>d</v>
      </c>
      <c r="P129" s="1" t="str" cm="1">
        <f t="array" aca="1" ref="P129" ca="1">IF(INDIRECT(_xlfn.CONCAT("'",IF(ISNUMBER(FIND("'",$A129))=TRUE,_xlfn.CONCAT(LEFT($A129,FIND("'",$A129)-1),"''",RIGHT($A129,LEN($A129)-FIND("'",$A129))),$A129),"'!C10"))&gt;=P$2,"d",IF(INDIRECT(_xlfn.CONCAT("'",IF(ISNUMBER(FIND("'",$A129))=TRUE,_xlfn.CONCAT(LEFT($A129,FIND("'",$A129)-1),"''",RIGHT($A129,LEN($A129)-FIND("'",$A129))),$A129),"'!C11"))&gt;=P$2,"i",""))</f>
        <v>d</v>
      </c>
      <c r="Q129" s="1" t="str" cm="1">
        <f t="array" aca="1" ref="Q129" ca="1">IF(INDIRECT(_xlfn.CONCAT("'",IF(ISNUMBER(FIND("'",$A129))=TRUE,_xlfn.CONCAT(LEFT($A129,FIND("'",$A129)-1),"''",RIGHT($A129,LEN($A129)-FIND("'",$A129))),$A129),"'!C10"))&gt;=Q$2,"d",IF(INDIRECT(_xlfn.CONCAT("'",IF(ISNUMBER(FIND("'",$A129))=TRUE,_xlfn.CONCAT(LEFT($A129,FIND("'",$A129)-1),"''",RIGHT($A129,LEN($A129)-FIND("'",$A129))),$A129),"'!C11"))&gt;=Q$2,"i",""))</f>
        <v>d</v>
      </c>
      <c r="R129" s="1" t="str" cm="1">
        <f t="array" aca="1" ref="R129" ca="1">IF(INDIRECT(_xlfn.CONCAT("'",IF(ISNUMBER(FIND("'",$A129))=TRUE,_xlfn.CONCAT(LEFT($A129,FIND("'",$A129)-1),"''",RIGHT($A129,LEN($A129)-FIND("'",$A129))),$A129),"'!C10"))&gt;=R$2,"d",IF(INDIRECT(_xlfn.CONCAT("'",IF(ISNUMBER(FIND("'",$A129))=TRUE,_xlfn.CONCAT(LEFT($A129,FIND("'",$A129)-1),"''",RIGHT($A129,LEN($A129)-FIND("'",$A129))),$A129),"'!C11"))&gt;=R$2,"i",""))</f>
        <v>d</v>
      </c>
      <c r="S129" s="1" t="str" cm="1">
        <f t="array" aca="1" ref="S129" ca="1">IF(INDIRECT(_xlfn.CONCAT("'",IF(ISNUMBER(FIND("'",$A129))=TRUE,_xlfn.CONCAT(LEFT($A129,FIND("'",$A129)-1),"''",RIGHT($A129,LEN($A129)-FIND("'",$A129))),$A129),"'!C10"))&gt;=S$2,"d",IF(INDIRECT(_xlfn.CONCAT("'",IF(ISNUMBER(FIND("'",$A129))=TRUE,_xlfn.CONCAT(LEFT($A129,FIND("'",$A129)-1),"''",RIGHT($A129,LEN($A129)-FIND("'",$A129))),$A129),"'!C11"))&gt;=S$2,"i",""))</f>
        <v>d</v>
      </c>
      <c r="T129" s="4" t="str" cm="1">
        <f t="array" aca="1" ref="T129" ca="1">IF(INDIRECT(_xlfn.CONCAT("'",IF(ISNUMBER(FIND("'",$A129))=TRUE,_xlfn.CONCAT(LEFT($A129,FIND("'",$A129)-1),"''",RIGHT($A129,LEN($A129)-FIND("'",$A129))),$A129),"'!C10"))&gt;=T$2,"d",IF(INDIRECT(_xlfn.CONCAT("'",IF(ISNUMBER(FIND("'",$A129))=TRUE,_xlfn.CONCAT(LEFT($A129,FIND("'",$A129)-1),"''",RIGHT($A129,LEN($A129)-FIND("'",$A129))),$A129),"'!C11"))&gt;=T$2,"i",""))</f>
        <v>d</v>
      </c>
    </row>
    <row r="130" spans="1:20" hidden="1" x14ac:dyDescent="0.25">
      <c r="A130" s="54" t="str">
        <v>Oathsworn Eye</v>
      </c>
      <c r="B130" s="14" cm="1">
        <f t="array" ref="B130">_xlfn.XLOOKUP(A130,INDEX(Weapon_List,,1),INDEX(Weapon_List,,3),,0,1)</f>
        <v>4</v>
      </c>
      <c r="C130" s="4" t="str" cm="1">
        <f t="array" ref="C130">_xlfn.XLOOKUP(A130,INDEX(Weapon_List,,1),INDEX(Weapon_List,,2),,0,1)</f>
        <v>Catalyst</v>
      </c>
      <c r="D130" s="38" t="str" cm="1">
        <f t="array" ref="D130">_xlfn.XLOOKUP(A130,INDEX(Weapon_List,,1),INDEX(Weapon_List,,4),,0,1)</f>
        <v>Inazuma 1</v>
      </c>
      <c r="E130" s="38" t="str" cm="1">
        <f t="array" ref="E130">_xlfn.XLOOKUP(A130,INDEX(Weapon_List,,1),INDEX(Weapon_List,,5),,0,1)</f>
        <v>Specter</v>
      </c>
      <c r="F130" s="38" t="str" cm="1">
        <f t="array" ref="F130">_xlfn.XLOOKUP(A130,INDEX(Weapon_List,,1),INDEX(Weapon_List,,6),,0,1)</f>
        <v>Rifthound</v>
      </c>
      <c r="G130" s="14" t="str" cm="1">
        <f t="array" aca="1" ref="G130" ca="1">IF(INDIRECT(_xlfn.CONCAT("'",IF(ISNUMBER(FIND("'",$A130))=TRUE,_xlfn.CONCAT(LEFT($A130,FIND("'",$A130)-1),"''",RIGHT($A130,LEN($A130)-FIND("'",$A130))),$A130),"'!B4"))&gt;=G$2,"d",IF(INDIRECT(_xlfn.CONCAT("'",IF(ISNUMBER(FIND("'",$A130))=TRUE,_xlfn.CONCAT(LEFT($A130,FIND("'",$A130)-1),"''",RIGHT($A130,LEN($A130)-FIND("'",$A130))),$A130),"'!B5"))&gt;=G$2,"i",""))</f>
        <v>d</v>
      </c>
      <c r="H130" s="1" t="str" cm="1">
        <f t="array" aca="1" ref="H130" ca="1">IF(INDIRECT(_xlfn.CONCAT("'",IF(ISNUMBER(FIND("'",$A130))=TRUE,_xlfn.CONCAT(LEFT($A130,FIND("'",$A130)-1),"''",RIGHT($A130,LEN($A130)-FIND("'",$A130))),$A130),"'!B4"))&gt;=H$2,"d",IF(INDIRECT(_xlfn.CONCAT("'",IF(ISNUMBER(FIND("'",$A130))=TRUE,_xlfn.CONCAT(LEFT($A130,FIND("'",$A130)-1),"''",RIGHT($A130,LEN($A130)-FIND("'",$A130))),$A130),"'!B5"))&gt;=H$2,"i",""))</f>
        <v>d</v>
      </c>
      <c r="I130" s="1" t="str" cm="1">
        <f t="array" aca="1" ref="I130" ca="1">IF(INDIRECT(_xlfn.CONCAT("'",IF(ISNUMBER(FIND("'",$A130))=TRUE,_xlfn.CONCAT(LEFT($A130,FIND("'",$A130)-1),"''",RIGHT($A130,LEN($A130)-FIND("'",$A130))),$A130),"'!B4"))&gt;=I$2,"d",IF(INDIRECT(_xlfn.CONCAT("'",IF(ISNUMBER(FIND("'",$A130))=TRUE,_xlfn.CONCAT(LEFT($A130,FIND("'",$A130)-1),"''",RIGHT($A130,LEN($A130)-FIND("'",$A130))),$A130),"'!B5"))&gt;=I$2,"i",""))</f>
        <v>d</v>
      </c>
      <c r="J130" s="1" t="str" cm="1">
        <f t="array" aca="1" ref="J130" ca="1">IF(INDIRECT(_xlfn.CONCAT("'",IF(ISNUMBER(FIND("'",$A130))=TRUE,_xlfn.CONCAT(LEFT($A130,FIND("'",$A130)-1),"''",RIGHT($A130,LEN($A130)-FIND("'",$A130))),$A130),"'!B4"))&gt;=J$2,"d",IF(INDIRECT(_xlfn.CONCAT("'",IF(ISNUMBER(FIND("'",$A130))=TRUE,_xlfn.CONCAT(LEFT($A130,FIND("'",$A130)-1),"''",RIGHT($A130,LEN($A130)-FIND("'",$A130))),$A130),"'!B5"))&gt;=J$2,"i",""))</f>
        <v>d</v>
      </c>
      <c r="K130" s="1" t="str" cm="1">
        <f t="array" aca="1" ref="K130" ca="1">IF(INDIRECT(_xlfn.CONCAT("'",IF(ISNUMBER(FIND("'",$A130))=TRUE,_xlfn.CONCAT(LEFT($A130,FIND("'",$A130)-1),"''",RIGHT($A130,LEN($A130)-FIND("'",$A130))),$A130),"'!B4"))&gt;=K$2,"d",IF(INDIRECT(_xlfn.CONCAT("'",IF(ISNUMBER(FIND("'",$A130))=TRUE,_xlfn.CONCAT(LEFT($A130,FIND("'",$A130)-1),"''",RIGHT($A130,LEN($A130)-FIND("'",$A130))),$A130),"'!B5"))&gt;=K$2,"i",""))</f>
        <v>d</v>
      </c>
      <c r="L130" s="1" t="str" cm="1">
        <f t="array" aca="1" ref="L130" ca="1">IF(INDIRECT(_xlfn.CONCAT("'",IF(ISNUMBER(FIND("'",$A130))=TRUE,_xlfn.CONCAT(LEFT($A130,FIND("'",$A130)-1),"''",RIGHT($A130,LEN($A130)-FIND("'",$A130))),$A130),"'!B4"))&gt;=L$2,"d",IF(INDIRECT(_xlfn.CONCAT("'",IF(ISNUMBER(FIND("'",$A130))=TRUE,_xlfn.CONCAT(LEFT($A130,FIND("'",$A130)-1),"''",RIGHT($A130,LEN($A130)-FIND("'",$A130))),$A130),"'!B5"))&gt;=L$2,"i",""))</f>
        <v>d</v>
      </c>
      <c r="M130" s="4" t="str" cm="1">
        <f t="array" aca="1" ref="M130" ca="1">IF(INDIRECT(_xlfn.CONCAT("'",IF(ISNUMBER(FIND("'",$A130))=TRUE,_xlfn.CONCAT(LEFT($A130,FIND("'",$A130)-1),"''",RIGHT($A130,LEN($A130)-FIND("'",$A130))),$A130),"'!B4"))&gt;=M$2,"d",IF(INDIRECT(_xlfn.CONCAT("'",IF(ISNUMBER(FIND("'",$A130))=TRUE,_xlfn.CONCAT(LEFT($A130,FIND("'",$A130)-1),"''",RIGHT($A130,LEN($A130)-FIND("'",$A130))),$A130),"'!B5"))&gt;=M$2,"i",""))</f>
        <v>d</v>
      </c>
      <c r="N130" s="95"/>
      <c r="O130" s="14" t="str" cm="1">
        <f t="array" aca="1" ref="O130" ca="1">IF(INDIRECT(_xlfn.CONCAT("'",IF(ISNUMBER(FIND("'",$A130))=TRUE,_xlfn.CONCAT(LEFT($A130,FIND("'",$A130)-1),"''",RIGHT($A130,LEN($A130)-FIND("'",$A130))),$A130),"'!C10"))&gt;=O$2,"d",IF(INDIRECT(_xlfn.CONCAT("'",IF(ISNUMBER(FIND("'",$A130))=TRUE,_xlfn.CONCAT(LEFT($A130,FIND("'",$A130)-1),"''",RIGHT($A130,LEN($A130)-FIND("'",$A130))),$A130),"'!C11"))&gt;=O$2,"i",""))</f>
        <v>d</v>
      </c>
      <c r="P130" s="1" t="str" cm="1">
        <f t="array" aca="1" ref="P130" ca="1">IF(INDIRECT(_xlfn.CONCAT("'",IF(ISNUMBER(FIND("'",$A130))=TRUE,_xlfn.CONCAT(LEFT($A130,FIND("'",$A130)-1),"''",RIGHT($A130,LEN($A130)-FIND("'",$A130))),$A130),"'!C10"))&gt;=P$2,"d",IF(INDIRECT(_xlfn.CONCAT("'",IF(ISNUMBER(FIND("'",$A130))=TRUE,_xlfn.CONCAT(LEFT($A130,FIND("'",$A130)-1),"''",RIGHT($A130,LEN($A130)-FIND("'",$A130))),$A130),"'!C11"))&gt;=P$2,"i",""))</f>
        <v>d</v>
      </c>
      <c r="Q130" s="1" t="str" cm="1">
        <f t="array" aca="1" ref="Q130" ca="1">IF(INDIRECT(_xlfn.CONCAT("'",IF(ISNUMBER(FIND("'",$A130))=TRUE,_xlfn.CONCAT(LEFT($A130,FIND("'",$A130)-1),"''",RIGHT($A130,LEN($A130)-FIND("'",$A130))),$A130),"'!C10"))&gt;=Q$2,"d",IF(INDIRECT(_xlfn.CONCAT("'",IF(ISNUMBER(FIND("'",$A130))=TRUE,_xlfn.CONCAT(LEFT($A130,FIND("'",$A130)-1),"''",RIGHT($A130,LEN($A130)-FIND("'",$A130))),$A130),"'!C11"))&gt;=Q$2,"i",""))</f>
        <v>d</v>
      </c>
      <c r="R130" s="1" t="str" cm="1">
        <f t="array" aca="1" ref="R130" ca="1">IF(INDIRECT(_xlfn.CONCAT("'",IF(ISNUMBER(FIND("'",$A130))=TRUE,_xlfn.CONCAT(LEFT($A130,FIND("'",$A130)-1),"''",RIGHT($A130,LEN($A130)-FIND("'",$A130))),$A130),"'!C10"))&gt;=R$2,"d",IF(INDIRECT(_xlfn.CONCAT("'",IF(ISNUMBER(FIND("'",$A130))=TRUE,_xlfn.CONCAT(LEFT($A130,FIND("'",$A130)-1),"''",RIGHT($A130,LEN($A130)-FIND("'",$A130))),$A130),"'!C11"))&gt;=R$2,"i",""))</f>
        <v>d</v>
      </c>
      <c r="S130" s="1" t="str" cm="1">
        <f t="array" aca="1" ref="S130" ca="1">IF(INDIRECT(_xlfn.CONCAT("'",IF(ISNUMBER(FIND("'",$A130))=TRUE,_xlfn.CONCAT(LEFT($A130,FIND("'",$A130)-1),"''",RIGHT($A130,LEN($A130)-FIND("'",$A130))),$A130),"'!C10"))&gt;=S$2,"d",IF(INDIRECT(_xlfn.CONCAT("'",IF(ISNUMBER(FIND("'",$A130))=TRUE,_xlfn.CONCAT(LEFT($A130,FIND("'",$A130)-1),"''",RIGHT($A130,LEN($A130)-FIND("'",$A130))),$A130),"'!C11"))&gt;=S$2,"i",""))</f>
        <v>d</v>
      </c>
      <c r="T130" s="4" t="str" cm="1">
        <f t="array" aca="1" ref="T130" ca="1">IF(INDIRECT(_xlfn.CONCAT("'",IF(ISNUMBER(FIND("'",$A130))=TRUE,_xlfn.CONCAT(LEFT($A130,FIND("'",$A130)-1),"''",RIGHT($A130,LEN($A130)-FIND("'",$A130))),$A130),"'!C10"))&gt;=T$2,"d",IF(INDIRECT(_xlfn.CONCAT("'",IF(ISNUMBER(FIND("'",$A130))=TRUE,_xlfn.CONCAT(LEFT($A130,FIND("'",$A130)-1),"''",RIGHT($A130,LEN($A130)-FIND("'",$A130))),$A130),"'!C11"))&gt;=T$2,"i",""))</f>
        <v>d</v>
      </c>
    </row>
    <row r="131" spans="1:20" hidden="1" x14ac:dyDescent="0.25">
      <c r="A131" s="54" t="str">
        <v>Haran Geppaku Futsu</v>
      </c>
      <c r="B131" s="14" cm="1">
        <f t="array" ref="B131">_xlfn.XLOOKUP(A131,INDEX(Weapon_List,,1),INDEX(Weapon_List,,3),,0,1)</f>
        <v>5</v>
      </c>
      <c r="C131" s="4" t="str" cm="1">
        <f t="array" ref="C131">_xlfn.XLOOKUP(A131,INDEX(Weapon_List,,1),INDEX(Weapon_List,,2),,0,1)</f>
        <v>Sword</v>
      </c>
      <c r="D131" s="38" t="str" cm="1">
        <f t="array" ref="D131">_xlfn.XLOOKUP(A131,INDEX(Weapon_List,,1),INDEX(Weapon_List,,4),,0,1)</f>
        <v>Inazuma 2</v>
      </c>
      <c r="E131" s="38" t="str" cm="1">
        <f t="array" ref="E131">_xlfn.XLOOKUP(A131,INDEX(Weapon_List,,1),INDEX(Weapon_List,,5),,0,1)</f>
        <v>Nobushi</v>
      </c>
      <c r="F131" s="38" t="str" cm="1">
        <f t="array" ref="F131">_xlfn.XLOOKUP(A131,INDEX(Weapon_List,,1),INDEX(Weapon_List,,6),,0,1)</f>
        <v>Shadowy Husk</v>
      </c>
      <c r="G131" s="14" t="str" cm="1">
        <f t="array" aca="1" ref="G131" ca="1">IF(INDIRECT(_xlfn.CONCAT("'",IF(ISNUMBER(FIND("'",$A131))=TRUE,_xlfn.CONCAT(LEFT($A131,FIND("'",$A131)-1),"''",RIGHT($A131,LEN($A131)-FIND("'",$A131))),$A131),"'!B4"))&gt;=G$2,"d",IF(INDIRECT(_xlfn.CONCAT("'",IF(ISNUMBER(FIND("'",$A131))=TRUE,_xlfn.CONCAT(LEFT($A131,FIND("'",$A131)-1),"''",RIGHT($A131,LEN($A131)-FIND("'",$A131))),$A131),"'!B5"))&gt;=G$2,"i",""))</f>
        <v>d</v>
      </c>
      <c r="H131" s="1" t="str" cm="1">
        <f t="array" aca="1" ref="H131" ca="1">IF(INDIRECT(_xlfn.CONCAT("'",IF(ISNUMBER(FIND("'",$A131))=TRUE,_xlfn.CONCAT(LEFT($A131,FIND("'",$A131)-1),"''",RIGHT($A131,LEN($A131)-FIND("'",$A131))),$A131),"'!B4"))&gt;=H$2,"d",IF(INDIRECT(_xlfn.CONCAT("'",IF(ISNUMBER(FIND("'",$A131))=TRUE,_xlfn.CONCAT(LEFT($A131,FIND("'",$A131)-1),"''",RIGHT($A131,LEN($A131)-FIND("'",$A131))),$A131),"'!B5"))&gt;=H$2,"i",""))</f>
        <v>d</v>
      </c>
      <c r="I131" s="1" t="str" cm="1">
        <f t="array" aca="1" ref="I131" ca="1">IF(INDIRECT(_xlfn.CONCAT("'",IF(ISNUMBER(FIND("'",$A131))=TRUE,_xlfn.CONCAT(LEFT($A131,FIND("'",$A131)-1),"''",RIGHT($A131,LEN($A131)-FIND("'",$A131))),$A131),"'!B4"))&gt;=I$2,"d",IF(INDIRECT(_xlfn.CONCAT("'",IF(ISNUMBER(FIND("'",$A131))=TRUE,_xlfn.CONCAT(LEFT($A131,FIND("'",$A131)-1),"''",RIGHT($A131,LEN($A131)-FIND("'",$A131))),$A131),"'!B5"))&gt;=I$2,"i",""))</f>
        <v>d</v>
      </c>
      <c r="J131" s="1" t="str" cm="1">
        <f t="array" aca="1" ref="J131" ca="1">IF(INDIRECT(_xlfn.CONCAT("'",IF(ISNUMBER(FIND("'",$A131))=TRUE,_xlfn.CONCAT(LEFT($A131,FIND("'",$A131)-1),"''",RIGHT($A131,LEN($A131)-FIND("'",$A131))),$A131),"'!B4"))&gt;=J$2,"d",IF(INDIRECT(_xlfn.CONCAT("'",IF(ISNUMBER(FIND("'",$A131))=TRUE,_xlfn.CONCAT(LEFT($A131,FIND("'",$A131)-1),"''",RIGHT($A131,LEN($A131)-FIND("'",$A131))),$A131),"'!B5"))&gt;=J$2,"i",""))</f>
        <v>d</v>
      </c>
      <c r="K131" s="1" t="str" cm="1">
        <f t="array" aca="1" ref="K131" ca="1">IF(INDIRECT(_xlfn.CONCAT("'",IF(ISNUMBER(FIND("'",$A131))=TRUE,_xlfn.CONCAT(LEFT($A131,FIND("'",$A131)-1),"''",RIGHT($A131,LEN($A131)-FIND("'",$A131))),$A131),"'!B4"))&gt;=K$2,"d",IF(INDIRECT(_xlfn.CONCAT("'",IF(ISNUMBER(FIND("'",$A131))=TRUE,_xlfn.CONCAT(LEFT($A131,FIND("'",$A131)-1),"''",RIGHT($A131,LEN($A131)-FIND("'",$A131))),$A131),"'!B5"))&gt;=K$2,"i",""))</f>
        <v>d</v>
      </c>
      <c r="L131" s="1" t="str" cm="1">
        <f t="array" aca="1" ref="L131" ca="1">IF(INDIRECT(_xlfn.CONCAT("'",IF(ISNUMBER(FIND("'",$A131))=TRUE,_xlfn.CONCAT(LEFT($A131,FIND("'",$A131)-1),"''",RIGHT($A131,LEN($A131)-FIND("'",$A131))),$A131),"'!B4"))&gt;=L$2,"d",IF(INDIRECT(_xlfn.CONCAT("'",IF(ISNUMBER(FIND("'",$A131))=TRUE,_xlfn.CONCAT(LEFT($A131,FIND("'",$A131)-1),"''",RIGHT($A131,LEN($A131)-FIND("'",$A131))),$A131),"'!B5"))&gt;=L$2,"i",""))</f>
        <v>d</v>
      </c>
      <c r="M131" s="4" t="str" cm="1">
        <f t="array" aca="1" ref="M131" ca="1">IF(INDIRECT(_xlfn.CONCAT("'",IF(ISNUMBER(FIND("'",$A131))=TRUE,_xlfn.CONCAT(LEFT($A131,FIND("'",$A131)-1),"''",RIGHT($A131,LEN($A131)-FIND("'",$A131))),$A131),"'!B4"))&gt;=M$2,"d",IF(INDIRECT(_xlfn.CONCAT("'",IF(ISNUMBER(FIND("'",$A131))=TRUE,_xlfn.CONCAT(LEFT($A131,FIND("'",$A131)-1),"''",RIGHT($A131,LEN($A131)-FIND("'",$A131))),$A131),"'!B5"))&gt;=M$2,"i",""))</f>
        <v>d</v>
      </c>
      <c r="N131" s="95"/>
      <c r="O131" s="14" t="str" cm="1">
        <f t="array" aca="1" ref="O131" ca="1">IF(INDIRECT(_xlfn.CONCAT("'",IF(ISNUMBER(FIND("'",$A131))=TRUE,_xlfn.CONCAT(LEFT($A131,FIND("'",$A131)-1),"''",RIGHT($A131,LEN($A131)-FIND("'",$A131))),$A131),"'!C10"))&gt;=O$2,"d",IF(INDIRECT(_xlfn.CONCAT("'",IF(ISNUMBER(FIND("'",$A131))=TRUE,_xlfn.CONCAT(LEFT($A131,FIND("'",$A131)-1),"''",RIGHT($A131,LEN($A131)-FIND("'",$A131))),$A131),"'!C11"))&gt;=O$2,"i",""))</f>
        <v>d</v>
      </c>
      <c r="P131" s="1" t="str" cm="1">
        <f t="array" aca="1" ref="P131" ca="1">IF(INDIRECT(_xlfn.CONCAT("'",IF(ISNUMBER(FIND("'",$A131))=TRUE,_xlfn.CONCAT(LEFT($A131,FIND("'",$A131)-1),"''",RIGHT($A131,LEN($A131)-FIND("'",$A131))),$A131),"'!C10"))&gt;=P$2,"d",IF(INDIRECT(_xlfn.CONCAT("'",IF(ISNUMBER(FIND("'",$A131))=TRUE,_xlfn.CONCAT(LEFT($A131,FIND("'",$A131)-1),"''",RIGHT($A131,LEN($A131)-FIND("'",$A131))),$A131),"'!C11"))&gt;=P$2,"i",""))</f>
        <v>d</v>
      </c>
      <c r="Q131" s="1" t="str" cm="1">
        <f t="array" aca="1" ref="Q131" ca="1">IF(INDIRECT(_xlfn.CONCAT("'",IF(ISNUMBER(FIND("'",$A131))=TRUE,_xlfn.CONCAT(LEFT($A131,FIND("'",$A131)-1),"''",RIGHT($A131,LEN($A131)-FIND("'",$A131))),$A131),"'!C10"))&gt;=Q$2,"d",IF(INDIRECT(_xlfn.CONCAT("'",IF(ISNUMBER(FIND("'",$A131))=TRUE,_xlfn.CONCAT(LEFT($A131,FIND("'",$A131)-1),"''",RIGHT($A131,LEN($A131)-FIND("'",$A131))),$A131),"'!C11"))&gt;=Q$2,"i",""))</f>
        <v>d</v>
      </c>
      <c r="R131" s="1" t="str" cm="1">
        <f t="array" aca="1" ref="R131" ca="1">IF(INDIRECT(_xlfn.CONCAT("'",IF(ISNUMBER(FIND("'",$A131))=TRUE,_xlfn.CONCAT(LEFT($A131,FIND("'",$A131)-1),"''",RIGHT($A131,LEN($A131)-FIND("'",$A131))),$A131),"'!C10"))&gt;=R$2,"d",IF(INDIRECT(_xlfn.CONCAT("'",IF(ISNUMBER(FIND("'",$A131))=TRUE,_xlfn.CONCAT(LEFT($A131,FIND("'",$A131)-1),"''",RIGHT($A131,LEN($A131)-FIND("'",$A131))),$A131),"'!C11"))&gt;=R$2,"i",""))</f>
        <v>d</v>
      </c>
      <c r="S131" s="1" t="str" cm="1">
        <f t="array" aca="1" ref="S131" ca="1">IF(INDIRECT(_xlfn.CONCAT("'",IF(ISNUMBER(FIND("'",$A131))=TRUE,_xlfn.CONCAT(LEFT($A131,FIND("'",$A131)-1),"''",RIGHT($A131,LEN($A131)-FIND("'",$A131))),$A131),"'!C10"))&gt;=S$2,"d",IF(INDIRECT(_xlfn.CONCAT("'",IF(ISNUMBER(FIND("'",$A131))=TRUE,_xlfn.CONCAT(LEFT($A131,FIND("'",$A131)-1),"''",RIGHT($A131,LEN($A131)-FIND("'",$A131))),$A131),"'!C11"))&gt;=S$2,"i",""))</f>
        <v>d</v>
      </c>
      <c r="T131" s="4" t="str" cm="1">
        <f t="array" aca="1" ref="T131" ca="1">IF(INDIRECT(_xlfn.CONCAT("'",IF(ISNUMBER(FIND("'",$A131))=TRUE,_xlfn.CONCAT(LEFT($A131,FIND("'",$A131)-1),"''",RIGHT($A131,LEN($A131)-FIND("'",$A131))),$A131),"'!C10"))&gt;=T$2,"d",IF(INDIRECT(_xlfn.CONCAT("'",IF(ISNUMBER(FIND("'",$A131))=TRUE,_xlfn.CONCAT(LEFT($A131,FIND("'",$A131)-1),"''",RIGHT($A131,LEN($A131)-FIND("'",$A131))),$A131),"'!C11"))&gt;=T$2,"i",""))</f>
        <v>d</v>
      </c>
    </row>
    <row r="132" spans="1:20" hidden="1" x14ac:dyDescent="0.25">
      <c r="A132" s="54" t="str">
        <v>Aqua Simulacra</v>
      </c>
      <c r="B132" s="14" cm="1">
        <f t="array" ref="B132">_xlfn.XLOOKUP(A132,INDEX(Weapon_List,,1),INDEX(Weapon_List,,3),,0,1)</f>
        <v>5</v>
      </c>
      <c r="C132" s="4" t="str" cm="1">
        <f t="array" ref="C132">_xlfn.XLOOKUP(A132,INDEX(Weapon_List,,1),INDEX(Weapon_List,,2),,0,1)</f>
        <v>Bow</v>
      </c>
      <c r="D132" s="38" t="str" cm="1">
        <f t="array" ref="D132">_xlfn.XLOOKUP(A132,INDEX(Weapon_List,,1),INDEX(Weapon_List,,4),,0,1)</f>
        <v>Liyue 1</v>
      </c>
      <c r="E132" s="38" t="str" cm="1">
        <f t="array" ref="E132">_xlfn.XLOOKUP(A132,INDEX(Weapon_List,,1),INDEX(Weapon_List,,5),,0,1)</f>
        <v>Specter</v>
      </c>
      <c r="F132" s="38" t="str" cm="1">
        <f t="array" ref="F132">_xlfn.XLOOKUP(A132,INDEX(Weapon_List,,1),INDEX(Weapon_List,,6),,0,1)</f>
        <v>Shadowy Husk</v>
      </c>
      <c r="G132" s="14" t="str" cm="1">
        <f t="array" aca="1" ref="G132" ca="1">IF(INDIRECT(_xlfn.CONCAT("'",IF(ISNUMBER(FIND("'",$A132))=TRUE,_xlfn.CONCAT(LEFT($A132,FIND("'",$A132)-1),"''",RIGHT($A132,LEN($A132)-FIND("'",$A132))),$A132),"'!B4"))&gt;=G$2,"d",IF(INDIRECT(_xlfn.CONCAT("'",IF(ISNUMBER(FIND("'",$A132))=TRUE,_xlfn.CONCAT(LEFT($A132,FIND("'",$A132)-1),"''",RIGHT($A132,LEN($A132)-FIND("'",$A132))),$A132),"'!B5"))&gt;=G$2,"i",""))</f>
        <v>d</v>
      </c>
      <c r="H132" s="1" t="str" cm="1">
        <f t="array" aca="1" ref="H132" ca="1">IF(INDIRECT(_xlfn.CONCAT("'",IF(ISNUMBER(FIND("'",$A132))=TRUE,_xlfn.CONCAT(LEFT($A132,FIND("'",$A132)-1),"''",RIGHT($A132,LEN($A132)-FIND("'",$A132))),$A132),"'!B4"))&gt;=H$2,"d",IF(INDIRECT(_xlfn.CONCAT("'",IF(ISNUMBER(FIND("'",$A132))=TRUE,_xlfn.CONCAT(LEFT($A132,FIND("'",$A132)-1),"''",RIGHT($A132,LEN($A132)-FIND("'",$A132))),$A132),"'!B5"))&gt;=H$2,"i",""))</f>
        <v>d</v>
      </c>
      <c r="I132" s="1" t="str" cm="1">
        <f t="array" aca="1" ref="I132" ca="1">IF(INDIRECT(_xlfn.CONCAT("'",IF(ISNUMBER(FIND("'",$A132))=TRUE,_xlfn.CONCAT(LEFT($A132,FIND("'",$A132)-1),"''",RIGHT($A132,LEN($A132)-FIND("'",$A132))),$A132),"'!B4"))&gt;=I$2,"d",IF(INDIRECT(_xlfn.CONCAT("'",IF(ISNUMBER(FIND("'",$A132))=TRUE,_xlfn.CONCAT(LEFT($A132,FIND("'",$A132)-1),"''",RIGHT($A132,LEN($A132)-FIND("'",$A132))),$A132),"'!B5"))&gt;=I$2,"i",""))</f>
        <v>d</v>
      </c>
      <c r="J132" s="1" t="str" cm="1">
        <f t="array" aca="1" ref="J132" ca="1">IF(INDIRECT(_xlfn.CONCAT("'",IF(ISNUMBER(FIND("'",$A132))=TRUE,_xlfn.CONCAT(LEFT($A132,FIND("'",$A132)-1),"''",RIGHT($A132,LEN($A132)-FIND("'",$A132))),$A132),"'!B4"))&gt;=J$2,"d",IF(INDIRECT(_xlfn.CONCAT("'",IF(ISNUMBER(FIND("'",$A132))=TRUE,_xlfn.CONCAT(LEFT($A132,FIND("'",$A132)-1),"''",RIGHT($A132,LEN($A132)-FIND("'",$A132))),$A132),"'!B5"))&gt;=J$2,"i",""))</f>
        <v>d</v>
      </c>
      <c r="K132" s="1" t="str" cm="1">
        <f t="array" aca="1" ref="K132" ca="1">IF(INDIRECT(_xlfn.CONCAT("'",IF(ISNUMBER(FIND("'",$A132))=TRUE,_xlfn.CONCAT(LEFT($A132,FIND("'",$A132)-1),"''",RIGHT($A132,LEN($A132)-FIND("'",$A132))),$A132),"'!B4"))&gt;=K$2,"d",IF(INDIRECT(_xlfn.CONCAT("'",IF(ISNUMBER(FIND("'",$A132))=TRUE,_xlfn.CONCAT(LEFT($A132,FIND("'",$A132)-1),"''",RIGHT($A132,LEN($A132)-FIND("'",$A132))),$A132),"'!B5"))&gt;=K$2,"i",""))</f>
        <v>d</v>
      </c>
      <c r="L132" s="1" t="str" cm="1">
        <f t="array" aca="1" ref="L132" ca="1">IF(INDIRECT(_xlfn.CONCAT("'",IF(ISNUMBER(FIND("'",$A132))=TRUE,_xlfn.CONCAT(LEFT($A132,FIND("'",$A132)-1),"''",RIGHT($A132,LEN($A132)-FIND("'",$A132))),$A132),"'!B4"))&gt;=L$2,"d",IF(INDIRECT(_xlfn.CONCAT("'",IF(ISNUMBER(FIND("'",$A132))=TRUE,_xlfn.CONCAT(LEFT($A132,FIND("'",$A132)-1),"''",RIGHT($A132,LEN($A132)-FIND("'",$A132))),$A132),"'!B5"))&gt;=L$2,"i",""))</f>
        <v>d</v>
      </c>
      <c r="M132" s="4" t="str" cm="1">
        <f t="array" aca="1" ref="M132" ca="1">IF(INDIRECT(_xlfn.CONCAT("'",IF(ISNUMBER(FIND("'",$A132))=TRUE,_xlfn.CONCAT(LEFT($A132,FIND("'",$A132)-1),"''",RIGHT($A132,LEN($A132)-FIND("'",$A132))),$A132),"'!B4"))&gt;=M$2,"d",IF(INDIRECT(_xlfn.CONCAT("'",IF(ISNUMBER(FIND("'",$A132))=TRUE,_xlfn.CONCAT(LEFT($A132,FIND("'",$A132)-1),"''",RIGHT($A132,LEN($A132)-FIND("'",$A132))),$A132),"'!B5"))&gt;=M$2,"i",""))</f>
        <v>d</v>
      </c>
      <c r="N132" s="95"/>
      <c r="O132" s="14" t="str" cm="1">
        <f t="array" aca="1" ref="O132" ca="1">IF(INDIRECT(_xlfn.CONCAT("'",IF(ISNUMBER(FIND("'",$A132))=TRUE,_xlfn.CONCAT(LEFT($A132,FIND("'",$A132)-1),"''",RIGHT($A132,LEN($A132)-FIND("'",$A132))),$A132),"'!C10"))&gt;=O$2,"d",IF(INDIRECT(_xlfn.CONCAT("'",IF(ISNUMBER(FIND("'",$A132))=TRUE,_xlfn.CONCAT(LEFT($A132,FIND("'",$A132)-1),"''",RIGHT($A132,LEN($A132)-FIND("'",$A132))),$A132),"'!C11"))&gt;=O$2,"i",""))</f>
        <v>d</v>
      </c>
      <c r="P132" s="1" t="str" cm="1">
        <f t="array" aca="1" ref="P132" ca="1">IF(INDIRECT(_xlfn.CONCAT("'",IF(ISNUMBER(FIND("'",$A132))=TRUE,_xlfn.CONCAT(LEFT($A132,FIND("'",$A132)-1),"''",RIGHT($A132,LEN($A132)-FIND("'",$A132))),$A132),"'!C10"))&gt;=P$2,"d",IF(INDIRECT(_xlfn.CONCAT("'",IF(ISNUMBER(FIND("'",$A132))=TRUE,_xlfn.CONCAT(LEFT($A132,FIND("'",$A132)-1),"''",RIGHT($A132,LEN($A132)-FIND("'",$A132))),$A132),"'!C11"))&gt;=P$2,"i",""))</f>
        <v>d</v>
      </c>
      <c r="Q132" s="1" t="str" cm="1">
        <f t="array" aca="1" ref="Q132" ca="1">IF(INDIRECT(_xlfn.CONCAT("'",IF(ISNUMBER(FIND("'",$A132))=TRUE,_xlfn.CONCAT(LEFT($A132,FIND("'",$A132)-1),"''",RIGHT($A132,LEN($A132)-FIND("'",$A132))),$A132),"'!C10"))&gt;=Q$2,"d",IF(INDIRECT(_xlfn.CONCAT("'",IF(ISNUMBER(FIND("'",$A132))=TRUE,_xlfn.CONCAT(LEFT($A132,FIND("'",$A132)-1),"''",RIGHT($A132,LEN($A132)-FIND("'",$A132))),$A132),"'!C11"))&gt;=Q$2,"i",""))</f>
        <v>d</v>
      </c>
      <c r="R132" s="1" t="str" cm="1">
        <f t="array" aca="1" ref="R132" ca="1">IF(INDIRECT(_xlfn.CONCAT("'",IF(ISNUMBER(FIND("'",$A132))=TRUE,_xlfn.CONCAT(LEFT($A132,FIND("'",$A132)-1),"''",RIGHT($A132,LEN($A132)-FIND("'",$A132))),$A132),"'!C10"))&gt;=R$2,"d",IF(INDIRECT(_xlfn.CONCAT("'",IF(ISNUMBER(FIND("'",$A132))=TRUE,_xlfn.CONCAT(LEFT($A132,FIND("'",$A132)-1),"''",RIGHT($A132,LEN($A132)-FIND("'",$A132))),$A132),"'!C11"))&gt;=R$2,"i",""))</f>
        <v>d</v>
      </c>
      <c r="S132" s="1" t="str" cm="1">
        <f t="array" aca="1" ref="S132" ca="1">IF(INDIRECT(_xlfn.CONCAT("'",IF(ISNUMBER(FIND("'",$A132))=TRUE,_xlfn.CONCAT(LEFT($A132,FIND("'",$A132)-1),"''",RIGHT($A132,LEN($A132)-FIND("'",$A132))),$A132),"'!C10"))&gt;=S$2,"d",IF(INDIRECT(_xlfn.CONCAT("'",IF(ISNUMBER(FIND("'",$A132))=TRUE,_xlfn.CONCAT(LEFT($A132,FIND("'",$A132)-1),"''",RIGHT($A132,LEN($A132)-FIND("'",$A132))),$A132),"'!C11"))&gt;=S$2,"i",""))</f>
        <v>d</v>
      </c>
      <c r="T132" s="4" t="str" cm="1">
        <f t="array" aca="1" ref="T132" ca="1">IF(INDIRECT(_xlfn.CONCAT("'",IF(ISNUMBER(FIND("'",$A132))=TRUE,_xlfn.CONCAT(LEFT($A132,FIND("'",$A132)-1),"''",RIGHT($A132,LEN($A132)-FIND("'",$A132))),$A132),"'!C10"))&gt;=T$2,"d",IF(INDIRECT(_xlfn.CONCAT("'",IF(ISNUMBER(FIND("'",$A132))=TRUE,_xlfn.CONCAT(LEFT($A132,FIND("'",$A132)-1),"''",RIGHT($A132,LEN($A132)-FIND("'",$A132))),$A132),"'!C11"))&gt;=T$2,"i",""))</f>
        <v>d</v>
      </c>
    </row>
    <row r="133" spans="1:20" hidden="1" x14ac:dyDescent="0.25">
      <c r="A133" s="54" t="str">
        <v>Fading Twilight</v>
      </c>
      <c r="B133" s="14" cm="1">
        <f t="array" ref="B133">_xlfn.XLOOKUP(A133,INDEX(Weapon_List,,1),INDEX(Weapon_List,,3),,0,1)</f>
        <v>4</v>
      </c>
      <c r="C133" s="4" t="str" cm="1">
        <f t="array" ref="C133">_xlfn.XLOOKUP(A133,INDEX(Weapon_List,,1),INDEX(Weapon_List,,2),,0,1)</f>
        <v>Bow</v>
      </c>
      <c r="D133" s="38" t="str" cm="1">
        <f t="array" ref="D133">_xlfn.XLOOKUP(A133,INDEX(Weapon_List,,1),INDEX(Weapon_List,,4),,0,1)</f>
        <v>Liyue 3</v>
      </c>
      <c r="E133" s="38" t="str" cm="1">
        <f t="array" ref="E133">_xlfn.XLOOKUP(A133,INDEX(Weapon_List,,1),INDEX(Weapon_List,,5),,0,1)</f>
        <v>Samachurl</v>
      </c>
      <c r="F133" s="38" t="str" cm="1">
        <f t="array" ref="F133">_xlfn.XLOOKUP(A133,INDEX(Weapon_List,,1),INDEX(Weapon_List,,6),,0,1)</f>
        <v>Fatui Agent</v>
      </c>
      <c r="G133" s="14" t="str" cm="1">
        <f t="array" aca="1" ref="G133" ca="1">IF(INDIRECT(_xlfn.CONCAT("'",IF(ISNUMBER(FIND("'",$A133))=TRUE,_xlfn.CONCAT(LEFT($A133,FIND("'",$A133)-1),"''",RIGHT($A133,LEN($A133)-FIND("'",$A133))),$A133),"'!B4"))&gt;=G$2,"d",IF(INDIRECT(_xlfn.CONCAT("'",IF(ISNUMBER(FIND("'",$A133))=TRUE,_xlfn.CONCAT(LEFT($A133,FIND("'",$A133)-1),"''",RIGHT($A133,LEN($A133)-FIND("'",$A133))),$A133),"'!B5"))&gt;=G$2,"i",""))</f>
        <v>d</v>
      </c>
      <c r="H133" s="1" t="str" cm="1">
        <f t="array" aca="1" ref="H133" ca="1">IF(INDIRECT(_xlfn.CONCAT("'",IF(ISNUMBER(FIND("'",$A133))=TRUE,_xlfn.CONCAT(LEFT($A133,FIND("'",$A133)-1),"''",RIGHT($A133,LEN($A133)-FIND("'",$A133))),$A133),"'!B4"))&gt;=H$2,"d",IF(INDIRECT(_xlfn.CONCAT("'",IF(ISNUMBER(FIND("'",$A133))=TRUE,_xlfn.CONCAT(LEFT($A133,FIND("'",$A133)-1),"''",RIGHT($A133,LEN($A133)-FIND("'",$A133))),$A133),"'!B5"))&gt;=H$2,"i",""))</f>
        <v>d</v>
      </c>
      <c r="I133" s="1" t="str" cm="1">
        <f t="array" aca="1" ref="I133" ca="1">IF(INDIRECT(_xlfn.CONCAT("'",IF(ISNUMBER(FIND("'",$A133))=TRUE,_xlfn.CONCAT(LEFT($A133,FIND("'",$A133)-1),"''",RIGHT($A133,LEN($A133)-FIND("'",$A133))),$A133),"'!B4"))&gt;=I$2,"d",IF(INDIRECT(_xlfn.CONCAT("'",IF(ISNUMBER(FIND("'",$A133))=TRUE,_xlfn.CONCAT(LEFT($A133,FIND("'",$A133)-1),"''",RIGHT($A133,LEN($A133)-FIND("'",$A133))),$A133),"'!B5"))&gt;=I$2,"i",""))</f>
        <v>d</v>
      </c>
      <c r="J133" s="1" t="str" cm="1">
        <f t="array" aca="1" ref="J133" ca="1">IF(INDIRECT(_xlfn.CONCAT("'",IF(ISNUMBER(FIND("'",$A133))=TRUE,_xlfn.CONCAT(LEFT($A133,FIND("'",$A133)-1),"''",RIGHT($A133,LEN($A133)-FIND("'",$A133))),$A133),"'!B4"))&gt;=J$2,"d",IF(INDIRECT(_xlfn.CONCAT("'",IF(ISNUMBER(FIND("'",$A133))=TRUE,_xlfn.CONCAT(LEFT($A133,FIND("'",$A133)-1),"''",RIGHT($A133,LEN($A133)-FIND("'",$A133))),$A133),"'!B5"))&gt;=J$2,"i",""))</f>
        <v>d</v>
      </c>
      <c r="K133" s="1" t="str" cm="1">
        <f t="array" aca="1" ref="K133" ca="1">IF(INDIRECT(_xlfn.CONCAT("'",IF(ISNUMBER(FIND("'",$A133))=TRUE,_xlfn.CONCAT(LEFT($A133,FIND("'",$A133)-1),"''",RIGHT($A133,LEN($A133)-FIND("'",$A133))),$A133),"'!B4"))&gt;=K$2,"d",IF(INDIRECT(_xlfn.CONCAT("'",IF(ISNUMBER(FIND("'",$A133))=TRUE,_xlfn.CONCAT(LEFT($A133,FIND("'",$A133)-1),"''",RIGHT($A133,LEN($A133)-FIND("'",$A133))),$A133),"'!B5"))&gt;=K$2,"i",""))</f>
        <v>d</v>
      </c>
      <c r="L133" s="1" t="str" cm="1">
        <f t="array" aca="1" ref="L133" ca="1">IF(INDIRECT(_xlfn.CONCAT("'",IF(ISNUMBER(FIND("'",$A133))=TRUE,_xlfn.CONCAT(LEFT($A133,FIND("'",$A133)-1),"''",RIGHT($A133,LEN($A133)-FIND("'",$A133))),$A133),"'!B4"))&gt;=L$2,"d",IF(INDIRECT(_xlfn.CONCAT("'",IF(ISNUMBER(FIND("'",$A133))=TRUE,_xlfn.CONCAT(LEFT($A133,FIND("'",$A133)-1),"''",RIGHT($A133,LEN($A133)-FIND("'",$A133))),$A133),"'!B5"))&gt;=L$2,"i",""))</f>
        <v>d</v>
      </c>
      <c r="M133" s="4" t="str" cm="1">
        <f t="array" aca="1" ref="M133" ca="1">IF(INDIRECT(_xlfn.CONCAT("'",IF(ISNUMBER(FIND("'",$A133))=TRUE,_xlfn.CONCAT(LEFT($A133,FIND("'",$A133)-1),"''",RIGHT($A133,LEN($A133)-FIND("'",$A133))),$A133),"'!B4"))&gt;=M$2,"d",IF(INDIRECT(_xlfn.CONCAT("'",IF(ISNUMBER(FIND("'",$A133))=TRUE,_xlfn.CONCAT(LEFT($A133,FIND("'",$A133)-1),"''",RIGHT($A133,LEN($A133)-FIND("'",$A133))),$A133),"'!B5"))&gt;=M$2,"i",""))</f>
        <v>d</v>
      </c>
      <c r="N133" s="95"/>
      <c r="O133" s="14" t="str" cm="1">
        <f t="array" aca="1" ref="O133" ca="1">IF(INDIRECT(_xlfn.CONCAT("'",IF(ISNUMBER(FIND("'",$A133))=TRUE,_xlfn.CONCAT(LEFT($A133,FIND("'",$A133)-1),"''",RIGHT($A133,LEN($A133)-FIND("'",$A133))),$A133),"'!C10"))&gt;=O$2,"d",IF(INDIRECT(_xlfn.CONCAT("'",IF(ISNUMBER(FIND("'",$A133))=TRUE,_xlfn.CONCAT(LEFT($A133,FIND("'",$A133)-1),"''",RIGHT($A133,LEN($A133)-FIND("'",$A133))),$A133),"'!C11"))&gt;=O$2,"i",""))</f>
        <v>d</v>
      </c>
      <c r="P133" s="1" t="str" cm="1">
        <f t="array" aca="1" ref="P133" ca="1">IF(INDIRECT(_xlfn.CONCAT("'",IF(ISNUMBER(FIND("'",$A133))=TRUE,_xlfn.CONCAT(LEFT($A133,FIND("'",$A133)-1),"''",RIGHT($A133,LEN($A133)-FIND("'",$A133))),$A133),"'!C10"))&gt;=P$2,"d",IF(INDIRECT(_xlfn.CONCAT("'",IF(ISNUMBER(FIND("'",$A133))=TRUE,_xlfn.CONCAT(LEFT($A133,FIND("'",$A133)-1),"''",RIGHT($A133,LEN($A133)-FIND("'",$A133))),$A133),"'!C11"))&gt;=P$2,"i",""))</f>
        <v>d</v>
      </c>
      <c r="Q133" s="1" t="str" cm="1">
        <f t="array" aca="1" ref="Q133" ca="1">IF(INDIRECT(_xlfn.CONCAT("'",IF(ISNUMBER(FIND("'",$A133))=TRUE,_xlfn.CONCAT(LEFT($A133,FIND("'",$A133)-1),"''",RIGHT($A133,LEN($A133)-FIND("'",$A133))),$A133),"'!C10"))&gt;=Q$2,"d",IF(INDIRECT(_xlfn.CONCAT("'",IF(ISNUMBER(FIND("'",$A133))=TRUE,_xlfn.CONCAT(LEFT($A133,FIND("'",$A133)-1),"''",RIGHT($A133,LEN($A133)-FIND("'",$A133))),$A133),"'!C11"))&gt;=Q$2,"i",""))</f>
        <v>d</v>
      </c>
      <c r="R133" s="1" t="str" cm="1">
        <f t="array" aca="1" ref="R133" ca="1">IF(INDIRECT(_xlfn.CONCAT("'",IF(ISNUMBER(FIND("'",$A133))=TRUE,_xlfn.CONCAT(LEFT($A133,FIND("'",$A133)-1),"''",RIGHT($A133,LEN($A133)-FIND("'",$A133))),$A133),"'!C10"))&gt;=R$2,"d",IF(INDIRECT(_xlfn.CONCAT("'",IF(ISNUMBER(FIND("'",$A133))=TRUE,_xlfn.CONCAT(LEFT($A133,FIND("'",$A133)-1),"''",RIGHT($A133,LEN($A133)-FIND("'",$A133))),$A133),"'!C11"))&gt;=R$2,"i",""))</f>
        <v>d</v>
      </c>
      <c r="S133" s="1" t="str" cm="1">
        <f t="array" aca="1" ref="S133" ca="1">IF(INDIRECT(_xlfn.CONCAT("'",IF(ISNUMBER(FIND("'",$A133))=TRUE,_xlfn.CONCAT(LEFT($A133,FIND("'",$A133)-1),"''",RIGHT($A133,LEN($A133)-FIND("'",$A133))),$A133),"'!C10"))&gt;=S$2,"d",IF(INDIRECT(_xlfn.CONCAT("'",IF(ISNUMBER(FIND("'",$A133))=TRUE,_xlfn.CONCAT(LEFT($A133,FIND("'",$A133)-1),"''",RIGHT($A133,LEN($A133)-FIND("'",$A133))),$A133),"'!C11"))&gt;=S$2,"i",""))</f>
        <v>d</v>
      </c>
      <c r="T133" s="4" t="str" cm="1">
        <f t="array" aca="1" ref="T133" ca="1">IF(INDIRECT(_xlfn.CONCAT("'",IF(ISNUMBER(FIND("'",$A133))=TRUE,_xlfn.CONCAT(LEFT($A133,FIND("'",$A133)-1),"''",RIGHT($A133,LEN($A133)-FIND("'",$A133))),$A133),"'!C10"))&gt;=T$2,"d",IF(INDIRECT(_xlfn.CONCAT("'",IF(ISNUMBER(FIND("'",$A133))=TRUE,_xlfn.CONCAT(LEFT($A133,FIND("'",$A133)-1),"''",RIGHT($A133,LEN($A133)-FIND("'",$A133))),$A133),"'!C11"))&gt;=T$2,"i",""))</f>
        <v>d</v>
      </c>
    </row>
    <row r="134" spans="1:20" hidden="1" x14ac:dyDescent="0.25">
      <c r="A134" s="54" t="str">
        <v>Kagotsurube Isshin</v>
      </c>
      <c r="B134" s="14" cm="1">
        <f t="array" ref="B134">_xlfn.XLOOKUP(A134,INDEX(Weapon_List,,1),INDEX(Weapon_List,,3),,0,1)</f>
        <v>4</v>
      </c>
      <c r="C134" s="4" t="str" cm="1">
        <f t="array" ref="C134">_xlfn.XLOOKUP(A134,INDEX(Weapon_List,,1),INDEX(Weapon_List,,2),,0,1)</f>
        <v>Sword</v>
      </c>
      <c r="D134" s="38" t="str" cm="1">
        <f t="array" ref="D134">_xlfn.XLOOKUP(A134,INDEX(Weapon_List,,1),INDEX(Weapon_List,,4),,0,1)</f>
        <v>Inazuma 3</v>
      </c>
      <c r="E134" s="38" t="str" cm="1">
        <f t="array" ref="E134">_xlfn.XLOOKUP(A134,INDEX(Weapon_List,,1),INDEX(Weapon_List,,5),,0,1)</f>
        <v>Specter</v>
      </c>
      <c r="F134" s="38" t="str" cm="1">
        <f t="array" ref="F134">_xlfn.XLOOKUP(A134,INDEX(Weapon_List,,1),INDEX(Weapon_List,,6),,0,1)</f>
        <v>Shadowy Husk</v>
      </c>
      <c r="G134" s="14" t="str" cm="1">
        <f t="array" aca="1" ref="G134" ca="1">IF(INDIRECT(_xlfn.CONCAT("'",IF(ISNUMBER(FIND("'",$A134))=TRUE,_xlfn.CONCAT(LEFT($A134,FIND("'",$A134)-1),"''",RIGHT($A134,LEN($A134)-FIND("'",$A134))),$A134),"'!B4"))&gt;=G$2,"d",IF(INDIRECT(_xlfn.CONCAT("'",IF(ISNUMBER(FIND("'",$A134))=TRUE,_xlfn.CONCAT(LEFT($A134,FIND("'",$A134)-1),"''",RIGHT($A134,LEN($A134)-FIND("'",$A134))),$A134),"'!B5"))&gt;=G$2,"i",""))</f>
        <v>d</v>
      </c>
      <c r="H134" s="1" t="str" cm="1">
        <f t="array" aca="1" ref="H134" ca="1">IF(INDIRECT(_xlfn.CONCAT("'",IF(ISNUMBER(FIND("'",$A134))=TRUE,_xlfn.CONCAT(LEFT($A134,FIND("'",$A134)-1),"''",RIGHT($A134,LEN($A134)-FIND("'",$A134))),$A134),"'!B4"))&gt;=H$2,"d",IF(INDIRECT(_xlfn.CONCAT("'",IF(ISNUMBER(FIND("'",$A134))=TRUE,_xlfn.CONCAT(LEFT($A134,FIND("'",$A134)-1),"''",RIGHT($A134,LEN($A134)-FIND("'",$A134))),$A134),"'!B5"))&gt;=H$2,"i",""))</f>
        <v>d</v>
      </c>
      <c r="I134" s="1" t="str" cm="1">
        <f t="array" aca="1" ref="I134" ca="1">IF(INDIRECT(_xlfn.CONCAT("'",IF(ISNUMBER(FIND("'",$A134))=TRUE,_xlfn.CONCAT(LEFT($A134,FIND("'",$A134)-1),"''",RIGHT($A134,LEN($A134)-FIND("'",$A134))),$A134),"'!B4"))&gt;=I$2,"d",IF(INDIRECT(_xlfn.CONCAT("'",IF(ISNUMBER(FIND("'",$A134))=TRUE,_xlfn.CONCAT(LEFT($A134,FIND("'",$A134)-1),"''",RIGHT($A134,LEN($A134)-FIND("'",$A134))),$A134),"'!B5"))&gt;=I$2,"i",""))</f>
        <v>d</v>
      </c>
      <c r="J134" s="1" t="str" cm="1">
        <f t="array" aca="1" ref="J134" ca="1">IF(INDIRECT(_xlfn.CONCAT("'",IF(ISNUMBER(FIND("'",$A134))=TRUE,_xlfn.CONCAT(LEFT($A134,FIND("'",$A134)-1),"''",RIGHT($A134,LEN($A134)-FIND("'",$A134))),$A134),"'!B4"))&gt;=J$2,"d",IF(INDIRECT(_xlfn.CONCAT("'",IF(ISNUMBER(FIND("'",$A134))=TRUE,_xlfn.CONCAT(LEFT($A134,FIND("'",$A134)-1),"''",RIGHT($A134,LEN($A134)-FIND("'",$A134))),$A134),"'!B5"))&gt;=J$2,"i",""))</f>
        <v>d</v>
      </c>
      <c r="K134" s="1" t="str" cm="1">
        <f t="array" aca="1" ref="K134" ca="1">IF(INDIRECT(_xlfn.CONCAT("'",IF(ISNUMBER(FIND("'",$A134))=TRUE,_xlfn.CONCAT(LEFT($A134,FIND("'",$A134)-1),"''",RIGHT($A134,LEN($A134)-FIND("'",$A134))),$A134),"'!B4"))&gt;=K$2,"d",IF(INDIRECT(_xlfn.CONCAT("'",IF(ISNUMBER(FIND("'",$A134))=TRUE,_xlfn.CONCAT(LEFT($A134,FIND("'",$A134)-1),"''",RIGHT($A134,LEN($A134)-FIND("'",$A134))),$A134),"'!B5"))&gt;=K$2,"i",""))</f>
        <v>d</v>
      </c>
      <c r="L134" s="1" t="str" cm="1">
        <f t="array" aca="1" ref="L134" ca="1">IF(INDIRECT(_xlfn.CONCAT("'",IF(ISNUMBER(FIND("'",$A134))=TRUE,_xlfn.CONCAT(LEFT($A134,FIND("'",$A134)-1),"''",RIGHT($A134,LEN($A134)-FIND("'",$A134))),$A134),"'!B4"))&gt;=L$2,"d",IF(INDIRECT(_xlfn.CONCAT("'",IF(ISNUMBER(FIND("'",$A134))=TRUE,_xlfn.CONCAT(LEFT($A134,FIND("'",$A134)-1),"''",RIGHT($A134,LEN($A134)-FIND("'",$A134))),$A134),"'!B5"))&gt;=L$2,"i",""))</f>
        <v>d</v>
      </c>
      <c r="M134" s="4" t="str" cm="1">
        <f t="array" aca="1" ref="M134" ca="1">IF(INDIRECT(_xlfn.CONCAT("'",IF(ISNUMBER(FIND("'",$A134))=TRUE,_xlfn.CONCAT(LEFT($A134,FIND("'",$A134)-1),"''",RIGHT($A134,LEN($A134)-FIND("'",$A134))),$A134),"'!B4"))&gt;=M$2,"d",IF(INDIRECT(_xlfn.CONCAT("'",IF(ISNUMBER(FIND("'",$A134))=TRUE,_xlfn.CONCAT(LEFT($A134,FIND("'",$A134)-1),"''",RIGHT($A134,LEN($A134)-FIND("'",$A134))),$A134),"'!B5"))&gt;=M$2,"i",""))</f>
        <v>d</v>
      </c>
      <c r="N134" s="95"/>
      <c r="O134" s="14" t="str" cm="1">
        <f t="array" aca="1" ref="O134" ca="1">IF(INDIRECT(_xlfn.CONCAT("'",IF(ISNUMBER(FIND("'",$A134))=TRUE,_xlfn.CONCAT(LEFT($A134,FIND("'",$A134)-1),"''",RIGHT($A134,LEN($A134)-FIND("'",$A134))),$A134),"'!C10"))&gt;=O$2,"d",IF(INDIRECT(_xlfn.CONCAT("'",IF(ISNUMBER(FIND("'",$A134))=TRUE,_xlfn.CONCAT(LEFT($A134,FIND("'",$A134)-1),"''",RIGHT($A134,LEN($A134)-FIND("'",$A134))),$A134),"'!C11"))&gt;=O$2,"i",""))</f>
        <v>d</v>
      </c>
      <c r="P134" s="1" t="str" cm="1">
        <f t="array" aca="1" ref="P134" ca="1">IF(INDIRECT(_xlfn.CONCAT("'",IF(ISNUMBER(FIND("'",$A134))=TRUE,_xlfn.CONCAT(LEFT($A134,FIND("'",$A134)-1),"''",RIGHT($A134,LEN($A134)-FIND("'",$A134))),$A134),"'!C10"))&gt;=P$2,"d",IF(INDIRECT(_xlfn.CONCAT("'",IF(ISNUMBER(FIND("'",$A134))=TRUE,_xlfn.CONCAT(LEFT($A134,FIND("'",$A134)-1),"''",RIGHT($A134,LEN($A134)-FIND("'",$A134))),$A134),"'!C11"))&gt;=P$2,"i",""))</f>
        <v>d</v>
      </c>
      <c r="Q134" s="1" t="str" cm="1">
        <f t="array" aca="1" ref="Q134" ca="1">IF(INDIRECT(_xlfn.CONCAT("'",IF(ISNUMBER(FIND("'",$A134))=TRUE,_xlfn.CONCAT(LEFT($A134,FIND("'",$A134)-1),"''",RIGHT($A134,LEN($A134)-FIND("'",$A134))),$A134),"'!C10"))&gt;=Q$2,"d",IF(INDIRECT(_xlfn.CONCAT("'",IF(ISNUMBER(FIND("'",$A134))=TRUE,_xlfn.CONCAT(LEFT($A134,FIND("'",$A134)-1),"''",RIGHT($A134,LEN($A134)-FIND("'",$A134))),$A134),"'!C11"))&gt;=Q$2,"i",""))</f>
        <v>d</v>
      </c>
      <c r="R134" s="1" t="str" cm="1">
        <f t="array" aca="1" ref="R134" ca="1">IF(INDIRECT(_xlfn.CONCAT("'",IF(ISNUMBER(FIND("'",$A134))=TRUE,_xlfn.CONCAT(LEFT($A134,FIND("'",$A134)-1),"''",RIGHT($A134,LEN($A134)-FIND("'",$A134))),$A134),"'!C10"))&gt;=R$2,"d",IF(INDIRECT(_xlfn.CONCAT("'",IF(ISNUMBER(FIND("'",$A134))=TRUE,_xlfn.CONCAT(LEFT($A134,FIND("'",$A134)-1),"''",RIGHT($A134,LEN($A134)-FIND("'",$A134))),$A134),"'!C11"))&gt;=R$2,"i",""))</f>
        <v>d</v>
      </c>
      <c r="S134" s="1" t="str" cm="1">
        <f t="array" aca="1" ref="S134" ca="1">IF(INDIRECT(_xlfn.CONCAT("'",IF(ISNUMBER(FIND("'",$A134))=TRUE,_xlfn.CONCAT(LEFT($A134,FIND("'",$A134)-1),"''",RIGHT($A134,LEN($A134)-FIND("'",$A134))),$A134),"'!C10"))&gt;=S$2,"d",IF(INDIRECT(_xlfn.CONCAT("'",IF(ISNUMBER(FIND("'",$A134))=TRUE,_xlfn.CONCAT(LEFT($A134,FIND("'",$A134)-1),"''",RIGHT($A134,LEN($A134)-FIND("'",$A134))),$A134),"'!C11"))&gt;=S$2,"i",""))</f>
        <v>d</v>
      </c>
      <c r="T134" s="4" t="str" cm="1">
        <f t="array" aca="1" ref="T134" ca="1">IF(INDIRECT(_xlfn.CONCAT("'",IF(ISNUMBER(FIND("'",$A134))=TRUE,_xlfn.CONCAT(LEFT($A134,FIND("'",$A134)-1),"''",RIGHT($A134,LEN($A134)-FIND("'",$A134))),$A134),"'!C10"))&gt;=T$2,"d",IF(INDIRECT(_xlfn.CONCAT("'",IF(ISNUMBER(FIND("'",$A134))=TRUE,_xlfn.CONCAT(LEFT($A134,FIND("'",$A134)-1),"''",RIGHT($A134,LEN($A134)-FIND("'",$A134))),$A134),"'!C11"))&gt;=T$2,"i",""))</f>
        <v>d</v>
      </c>
    </row>
    <row r="135" spans="1:20" hidden="1" x14ac:dyDescent="0.25">
      <c r="A135" s="54" t="str">
        <v>Sapwood Blade</v>
      </c>
      <c r="B135" s="14" cm="1">
        <f t="array" ref="B135">_xlfn.XLOOKUP(A135,INDEX(Weapon_List,,1),INDEX(Weapon_List,,3),,0,1)</f>
        <v>4</v>
      </c>
      <c r="C135" s="4" t="str" cm="1">
        <f t="array" ref="C135">_xlfn.XLOOKUP(A135,INDEX(Weapon_List,,1),INDEX(Weapon_List,,2),,0,1)</f>
        <v>Sword</v>
      </c>
      <c r="D135" s="38" t="str" cm="1">
        <f t="array" ref="D135">_xlfn.XLOOKUP(A135,INDEX(Weapon_List,,1),INDEX(Weapon_List,,4),,0,1)</f>
        <v>Sumeru 1</v>
      </c>
      <c r="E135" s="38" t="str" cm="1">
        <f t="array" ref="E135">_xlfn.XLOOKUP(A135,INDEX(Weapon_List,,1),INDEX(Weapon_List,,5),,0,1)</f>
        <v>Eremite</v>
      </c>
      <c r="F135" s="38" t="str" cm="1">
        <f t="array" ref="F135">_xlfn.XLOOKUP(A135,INDEX(Weapon_List,,1),INDEX(Weapon_List,,6),,0,1)</f>
        <v>Ruin Machine 3</v>
      </c>
      <c r="G135" s="14" t="str" cm="1">
        <f t="array" aca="1" ref="G135" ca="1">IF(INDIRECT(_xlfn.CONCAT("'",IF(ISNUMBER(FIND("'",$A135))=TRUE,_xlfn.CONCAT(LEFT($A135,FIND("'",$A135)-1),"''",RIGHT($A135,LEN($A135)-FIND("'",$A135))),$A135),"'!B4"))&gt;=G$2,"d",IF(INDIRECT(_xlfn.CONCAT("'",IF(ISNUMBER(FIND("'",$A135))=TRUE,_xlfn.CONCAT(LEFT($A135,FIND("'",$A135)-1),"''",RIGHT($A135,LEN($A135)-FIND("'",$A135))),$A135),"'!B5"))&gt;=G$2,"i",""))</f>
        <v>d</v>
      </c>
      <c r="H135" s="1" t="str" cm="1">
        <f t="array" aca="1" ref="H135" ca="1">IF(INDIRECT(_xlfn.CONCAT("'",IF(ISNUMBER(FIND("'",$A135))=TRUE,_xlfn.CONCAT(LEFT($A135,FIND("'",$A135)-1),"''",RIGHT($A135,LEN($A135)-FIND("'",$A135))),$A135),"'!B4"))&gt;=H$2,"d",IF(INDIRECT(_xlfn.CONCAT("'",IF(ISNUMBER(FIND("'",$A135))=TRUE,_xlfn.CONCAT(LEFT($A135,FIND("'",$A135)-1),"''",RIGHT($A135,LEN($A135)-FIND("'",$A135))),$A135),"'!B5"))&gt;=H$2,"i",""))</f>
        <v>d</v>
      </c>
      <c r="I135" s="1" t="str" cm="1">
        <f t="array" aca="1" ref="I135" ca="1">IF(INDIRECT(_xlfn.CONCAT("'",IF(ISNUMBER(FIND("'",$A135))=TRUE,_xlfn.CONCAT(LEFT($A135,FIND("'",$A135)-1),"''",RIGHT($A135,LEN($A135)-FIND("'",$A135))),$A135),"'!B4"))&gt;=I$2,"d",IF(INDIRECT(_xlfn.CONCAT("'",IF(ISNUMBER(FIND("'",$A135))=TRUE,_xlfn.CONCAT(LEFT($A135,FIND("'",$A135)-1),"''",RIGHT($A135,LEN($A135)-FIND("'",$A135))),$A135),"'!B5"))&gt;=I$2,"i",""))</f>
        <v>d</v>
      </c>
      <c r="J135" s="1" t="str" cm="1">
        <f t="array" aca="1" ref="J135" ca="1">IF(INDIRECT(_xlfn.CONCAT("'",IF(ISNUMBER(FIND("'",$A135))=TRUE,_xlfn.CONCAT(LEFT($A135,FIND("'",$A135)-1),"''",RIGHT($A135,LEN($A135)-FIND("'",$A135))),$A135),"'!B4"))&gt;=J$2,"d",IF(INDIRECT(_xlfn.CONCAT("'",IF(ISNUMBER(FIND("'",$A135))=TRUE,_xlfn.CONCAT(LEFT($A135,FIND("'",$A135)-1),"''",RIGHT($A135,LEN($A135)-FIND("'",$A135))),$A135),"'!B5"))&gt;=J$2,"i",""))</f>
        <v>d</v>
      </c>
      <c r="K135" s="1" t="str" cm="1">
        <f t="array" aca="1" ref="K135" ca="1">IF(INDIRECT(_xlfn.CONCAT("'",IF(ISNUMBER(FIND("'",$A135))=TRUE,_xlfn.CONCAT(LEFT($A135,FIND("'",$A135)-1),"''",RIGHT($A135,LEN($A135)-FIND("'",$A135))),$A135),"'!B4"))&gt;=K$2,"d",IF(INDIRECT(_xlfn.CONCAT("'",IF(ISNUMBER(FIND("'",$A135))=TRUE,_xlfn.CONCAT(LEFT($A135,FIND("'",$A135)-1),"''",RIGHT($A135,LEN($A135)-FIND("'",$A135))),$A135),"'!B5"))&gt;=K$2,"i",""))</f>
        <v>d</v>
      </c>
      <c r="L135" s="1" t="str" cm="1">
        <f t="array" aca="1" ref="L135" ca="1">IF(INDIRECT(_xlfn.CONCAT("'",IF(ISNUMBER(FIND("'",$A135))=TRUE,_xlfn.CONCAT(LEFT($A135,FIND("'",$A135)-1),"''",RIGHT($A135,LEN($A135)-FIND("'",$A135))),$A135),"'!B4"))&gt;=L$2,"d",IF(INDIRECT(_xlfn.CONCAT("'",IF(ISNUMBER(FIND("'",$A135))=TRUE,_xlfn.CONCAT(LEFT($A135,FIND("'",$A135)-1),"''",RIGHT($A135,LEN($A135)-FIND("'",$A135))),$A135),"'!B5"))&gt;=L$2,"i",""))</f>
        <v>d</v>
      </c>
      <c r="M135" s="4" t="str" cm="1">
        <f t="array" aca="1" ref="M135" ca="1">IF(INDIRECT(_xlfn.CONCAT("'",IF(ISNUMBER(FIND("'",$A135))=TRUE,_xlfn.CONCAT(LEFT($A135,FIND("'",$A135)-1),"''",RIGHT($A135,LEN($A135)-FIND("'",$A135))),$A135),"'!B4"))&gt;=M$2,"d",IF(INDIRECT(_xlfn.CONCAT("'",IF(ISNUMBER(FIND("'",$A135))=TRUE,_xlfn.CONCAT(LEFT($A135,FIND("'",$A135)-1),"''",RIGHT($A135,LEN($A135)-FIND("'",$A135))),$A135),"'!B5"))&gt;=M$2,"i",""))</f>
        <v>d</v>
      </c>
      <c r="N135" s="95"/>
      <c r="O135" s="14" t="str" cm="1">
        <f t="array" aca="1" ref="O135" ca="1">IF(INDIRECT(_xlfn.CONCAT("'",IF(ISNUMBER(FIND("'",$A135))=TRUE,_xlfn.CONCAT(LEFT($A135,FIND("'",$A135)-1),"''",RIGHT($A135,LEN($A135)-FIND("'",$A135))),$A135),"'!C10"))&gt;=O$2,"d",IF(INDIRECT(_xlfn.CONCAT("'",IF(ISNUMBER(FIND("'",$A135))=TRUE,_xlfn.CONCAT(LEFT($A135,FIND("'",$A135)-1),"''",RIGHT($A135,LEN($A135)-FIND("'",$A135))),$A135),"'!C11"))&gt;=O$2,"i",""))</f>
        <v>d</v>
      </c>
      <c r="P135" s="1" t="str" cm="1">
        <f t="array" aca="1" ref="P135" ca="1">IF(INDIRECT(_xlfn.CONCAT("'",IF(ISNUMBER(FIND("'",$A135))=TRUE,_xlfn.CONCAT(LEFT($A135,FIND("'",$A135)-1),"''",RIGHT($A135,LEN($A135)-FIND("'",$A135))),$A135),"'!C10"))&gt;=P$2,"d",IF(INDIRECT(_xlfn.CONCAT("'",IF(ISNUMBER(FIND("'",$A135))=TRUE,_xlfn.CONCAT(LEFT($A135,FIND("'",$A135)-1),"''",RIGHT($A135,LEN($A135)-FIND("'",$A135))),$A135),"'!C11"))&gt;=P$2,"i",""))</f>
        <v>d</v>
      </c>
      <c r="Q135" s="1" t="str" cm="1">
        <f t="array" aca="1" ref="Q135" ca="1">IF(INDIRECT(_xlfn.CONCAT("'",IF(ISNUMBER(FIND("'",$A135))=TRUE,_xlfn.CONCAT(LEFT($A135,FIND("'",$A135)-1),"''",RIGHT($A135,LEN($A135)-FIND("'",$A135))),$A135),"'!C10"))&gt;=Q$2,"d",IF(INDIRECT(_xlfn.CONCAT("'",IF(ISNUMBER(FIND("'",$A135))=TRUE,_xlfn.CONCAT(LEFT($A135,FIND("'",$A135)-1),"''",RIGHT($A135,LEN($A135)-FIND("'",$A135))),$A135),"'!C11"))&gt;=Q$2,"i",""))</f>
        <v>d</v>
      </c>
      <c r="R135" s="1" t="str" cm="1">
        <f t="array" aca="1" ref="R135" ca="1">IF(INDIRECT(_xlfn.CONCAT("'",IF(ISNUMBER(FIND("'",$A135))=TRUE,_xlfn.CONCAT(LEFT($A135,FIND("'",$A135)-1),"''",RIGHT($A135,LEN($A135)-FIND("'",$A135))),$A135),"'!C10"))&gt;=R$2,"d",IF(INDIRECT(_xlfn.CONCAT("'",IF(ISNUMBER(FIND("'",$A135))=TRUE,_xlfn.CONCAT(LEFT($A135,FIND("'",$A135)-1),"''",RIGHT($A135,LEN($A135)-FIND("'",$A135))),$A135),"'!C11"))&gt;=R$2,"i",""))</f>
        <v>d</v>
      </c>
      <c r="S135" s="1" t="str" cm="1">
        <f t="array" aca="1" ref="S135" ca="1">IF(INDIRECT(_xlfn.CONCAT("'",IF(ISNUMBER(FIND("'",$A135))=TRUE,_xlfn.CONCAT(LEFT($A135,FIND("'",$A135)-1),"''",RIGHT($A135,LEN($A135)-FIND("'",$A135))),$A135),"'!C10"))&gt;=S$2,"d",IF(INDIRECT(_xlfn.CONCAT("'",IF(ISNUMBER(FIND("'",$A135))=TRUE,_xlfn.CONCAT(LEFT($A135,FIND("'",$A135)-1),"''",RIGHT($A135,LEN($A135)-FIND("'",$A135))),$A135),"'!C11"))&gt;=S$2,"i",""))</f>
        <v>d</v>
      </c>
      <c r="T135" s="4" t="str" cm="1">
        <f t="array" aca="1" ref="T135" ca="1">IF(INDIRECT(_xlfn.CONCAT("'",IF(ISNUMBER(FIND("'",$A135))=TRUE,_xlfn.CONCAT(LEFT($A135,FIND("'",$A135)-1),"''",RIGHT($A135,LEN($A135)-FIND("'",$A135))),$A135),"'!C10"))&gt;=T$2,"d",IF(INDIRECT(_xlfn.CONCAT("'",IF(ISNUMBER(FIND("'",$A135))=TRUE,_xlfn.CONCAT(LEFT($A135,FIND("'",$A135)-1),"''",RIGHT($A135,LEN($A135)-FIND("'",$A135))),$A135),"'!C11"))&gt;=T$2,"i",""))</f>
        <v>d</v>
      </c>
    </row>
    <row r="136" spans="1:20" hidden="1" x14ac:dyDescent="0.25">
      <c r="A136" s="54" t="str">
        <v>Forest Regalia</v>
      </c>
      <c r="B136" s="14" cm="1">
        <f t="array" ref="B136">_xlfn.XLOOKUP(A136,INDEX(Weapon_List,,1),INDEX(Weapon_List,,3),,0,1)</f>
        <v>4</v>
      </c>
      <c r="C136" s="4" t="str" cm="1">
        <f t="array" ref="C136">_xlfn.XLOOKUP(A136,INDEX(Weapon_List,,1),INDEX(Weapon_List,,2),,0,1)</f>
        <v>Claymore</v>
      </c>
      <c r="D136" s="38" t="str" cm="1">
        <f t="array" ref="D136">_xlfn.XLOOKUP(A136,INDEX(Weapon_List,,1),INDEX(Weapon_List,,4),,0,1)</f>
        <v>Sumeru 1</v>
      </c>
      <c r="E136" s="38" t="str" cm="1">
        <f t="array" ref="E136">_xlfn.XLOOKUP(A136,INDEX(Weapon_List,,1),INDEX(Weapon_List,,5),,0,1)</f>
        <v>Eremite</v>
      </c>
      <c r="F136" s="38" t="str" cm="1">
        <f t="array" ref="F136">_xlfn.XLOOKUP(A136,INDEX(Weapon_List,,1),INDEX(Weapon_List,,6),,0,1)</f>
        <v>Ruin Machine 3</v>
      </c>
      <c r="G136" s="14" t="str" cm="1">
        <f t="array" aca="1" ref="G136" ca="1">IF(INDIRECT(_xlfn.CONCAT("'",IF(ISNUMBER(FIND("'",$A136))=TRUE,_xlfn.CONCAT(LEFT($A136,FIND("'",$A136)-1),"''",RIGHT($A136,LEN($A136)-FIND("'",$A136))),$A136),"'!B4"))&gt;=G$2,"d",IF(INDIRECT(_xlfn.CONCAT("'",IF(ISNUMBER(FIND("'",$A136))=TRUE,_xlfn.CONCAT(LEFT($A136,FIND("'",$A136)-1),"''",RIGHT($A136,LEN($A136)-FIND("'",$A136))),$A136),"'!B5"))&gt;=G$2,"i",""))</f>
        <v>d</v>
      </c>
      <c r="H136" s="1" t="str" cm="1">
        <f t="array" aca="1" ref="H136" ca="1">IF(INDIRECT(_xlfn.CONCAT("'",IF(ISNUMBER(FIND("'",$A136))=TRUE,_xlfn.CONCAT(LEFT($A136,FIND("'",$A136)-1),"''",RIGHT($A136,LEN($A136)-FIND("'",$A136))),$A136),"'!B4"))&gt;=H$2,"d",IF(INDIRECT(_xlfn.CONCAT("'",IF(ISNUMBER(FIND("'",$A136))=TRUE,_xlfn.CONCAT(LEFT($A136,FIND("'",$A136)-1),"''",RIGHT($A136,LEN($A136)-FIND("'",$A136))),$A136),"'!B5"))&gt;=H$2,"i",""))</f>
        <v>d</v>
      </c>
      <c r="I136" s="1" t="str" cm="1">
        <f t="array" aca="1" ref="I136" ca="1">IF(INDIRECT(_xlfn.CONCAT("'",IF(ISNUMBER(FIND("'",$A136))=TRUE,_xlfn.CONCAT(LEFT($A136,FIND("'",$A136)-1),"''",RIGHT($A136,LEN($A136)-FIND("'",$A136))),$A136),"'!B4"))&gt;=I$2,"d",IF(INDIRECT(_xlfn.CONCAT("'",IF(ISNUMBER(FIND("'",$A136))=TRUE,_xlfn.CONCAT(LEFT($A136,FIND("'",$A136)-1),"''",RIGHT($A136,LEN($A136)-FIND("'",$A136))),$A136),"'!B5"))&gt;=I$2,"i",""))</f>
        <v>d</v>
      </c>
      <c r="J136" s="1" t="str" cm="1">
        <f t="array" aca="1" ref="J136" ca="1">IF(INDIRECT(_xlfn.CONCAT("'",IF(ISNUMBER(FIND("'",$A136))=TRUE,_xlfn.CONCAT(LEFT($A136,FIND("'",$A136)-1),"''",RIGHT($A136,LEN($A136)-FIND("'",$A136))),$A136),"'!B4"))&gt;=J$2,"d",IF(INDIRECT(_xlfn.CONCAT("'",IF(ISNUMBER(FIND("'",$A136))=TRUE,_xlfn.CONCAT(LEFT($A136,FIND("'",$A136)-1),"''",RIGHT($A136,LEN($A136)-FIND("'",$A136))),$A136),"'!B5"))&gt;=J$2,"i",""))</f>
        <v>d</v>
      </c>
      <c r="K136" s="1" t="str" cm="1">
        <f t="array" aca="1" ref="K136" ca="1">IF(INDIRECT(_xlfn.CONCAT("'",IF(ISNUMBER(FIND("'",$A136))=TRUE,_xlfn.CONCAT(LEFT($A136,FIND("'",$A136)-1),"''",RIGHT($A136,LEN($A136)-FIND("'",$A136))),$A136),"'!B4"))&gt;=K$2,"d",IF(INDIRECT(_xlfn.CONCAT("'",IF(ISNUMBER(FIND("'",$A136))=TRUE,_xlfn.CONCAT(LEFT($A136,FIND("'",$A136)-1),"''",RIGHT($A136,LEN($A136)-FIND("'",$A136))),$A136),"'!B5"))&gt;=K$2,"i",""))</f>
        <v>d</v>
      </c>
      <c r="L136" s="1" t="str" cm="1">
        <f t="array" aca="1" ref="L136" ca="1">IF(INDIRECT(_xlfn.CONCAT("'",IF(ISNUMBER(FIND("'",$A136))=TRUE,_xlfn.CONCAT(LEFT($A136,FIND("'",$A136)-1),"''",RIGHT($A136,LEN($A136)-FIND("'",$A136))),$A136),"'!B4"))&gt;=L$2,"d",IF(INDIRECT(_xlfn.CONCAT("'",IF(ISNUMBER(FIND("'",$A136))=TRUE,_xlfn.CONCAT(LEFT($A136,FIND("'",$A136)-1),"''",RIGHT($A136,LEN($A136)-FIND("'",$A136))),$A136),"'!B5"))&gt;=L$2,"i",""))</f>
        <v>d</v>
      </c>
      <c r="M136" s="4" t="str" cm="1">
        <f t="array" aca="1" ref="M136" ca="1">IF(INDIRECT(_xlfn.CONCAT("'",IF(ISNUMBER(FIND("'",$A136))=TRUE,_xlfn.CONCAT(LEFT($A136,FIND("'",$A136)-1),"''",RIGHT($A136,LEN($A136)-FIND("'",$A136))),$A136),"'!B4"))&gt;=M$2,"d",IF(INDIRECT(_xlfn.CONCAT("'",IF(ISNUMBER(FIND("'",$A136))=TRUE,_xlfn.CONCAT(LEFT($A136,FIND("'",$A136)-1),"''",RIGHT($A136,LEN($A136)-FIND("'",$A136))),$A136),"'!B5"))&gt;=M$2,"i",""))</f>
        <v>d</v>
      </c>
      <c r="N136" s="95"/>
      <c r="O136" s="14" t="str" cm="1">
        <f t="array" aca="1" ref="O136" ca="1">IF(INDIRECT(_xlfn.CONCAT("'",IF(ISNUMBER(FIND("'",$A136))=TRUE,_xlfn.CONCAT(LEFT($A136,FIND("'",$A136)-1),"''",RIGHT($A136,LEN($A136)-FIND("'",$A136))),$A136),"'!C10"))&gt;=O$2,"d",IF(INDIRECT(_xlfn.CONCAT("'",IF(ISNUMBER(FIND("'",$A136))=TRUE,_xlfn.CONCAT(LEFT($A136,FIND("'",$A136)-1),"''",RIGHT($A136,LEN($A136)-FIND("'",$A136))),$A136),"'!C11"))&gt;=O$2,"i",""))</f>
        <v>d</v>
      </c>
      <c r="P136" s="1" t="str" cm="1">
        <f t="array" aca="1" ref="P136" ca="1">IF(INDIRECT(_xlfn.CONCAT("'",IF(ISNUMBER(FIND("'",$A136))=TRUE,_xlfn.CONCAT(LEFT($A136,FIND("'",$A136)-1),"''",RIGHT($A136,LEN($A136)-FIND("'",$A136))),$A136),"'!C10"))&gt;=P$2,"d",IF(INDIRECT(_xlfn.CONCAT("'",IF(ISNUMBER(FIND("'",$A136))=TRUE,_xlfn.CONCAT(LEFT($A136,FIND("'",$A136)-1),"''",RIGHT($A136,LEN($A136)-FIND("'",$A136))),$A136),"'!C11"))&gt;=P$2,"i",""))</f>
        <v>d</v>
      </c>
      <c r="Q136" s="1" t="str" cm="1">
        <f t="array" aca="1" ref="Q136" ca="1">IF(INDIRECT(_xlfn.CONCAT("'",IF(ISNUMBER(FIND("'",$A136))=TRUE,_xlfn.CONCAT(LEFT($A136,FIND("'",$A136)-1),"''",RIGHT($A136,LEN($A136)-FIND("'",$A136))),$A136),"'!C10"))&gt;=Q$2,"d",IF(INDIRECT(_xlfn.CONCAT("'",IF(ISNUMBER(FIND("'",$A136))=TRUE,_xlfn.CONCAT(LEFT($A136,FIND("'",$A136)-1),"''",RIGHT($A136,LEN($A136)-FIND("'",$A136))),$A136),"'!C11"))&gt;=Q$2,"i",""))</f>
        <v>d</v>
      </c>
      <c r="R136" s="1" t="str" cm="1">
        <f t="array" aca="1" ref="R136" ca="1">IF(INDIRECT(_xlfn.CONCAT("'",IF(ISNUMBER(FIND("'",$A136))=TRUE,_xlfn.CONCAT(LEFT($A136,FIND("'",$A136)-1),"''",RIGHT($A136,LEN($A136)-FIND("'",$A136))),$A136),"'!C10"))&gt;=R$2,"d",IF(INDIRECT(_xlfn.CONCAT("'",IF(ISNUMBER(FIND("'",$A136))=TRUE,_xlfn.CONCAT(LEFT($A136,FIND("'",$A136)-1),"''",RIGHT($A136,LEN($A136)-FIND("'",$A136))),$A136),"'!C11"))&gt;=R$2,"i",""))</f>
        <v>d</v>
      </c>
      <c r="S136" s="1" t="str" cm="1">
        <f t="array" aca="1" ref="S136" ca="1">IF(INDIRECT(_xlfn.CONCAT("'",IF(ISNUMBER(FIND("'",$A136))=TRUE,_xlfn.CONCAT(LEFT($A136,FIND("'",$A136)-1),"''",RIGHT($A136,LEN($A136)-FIND("'",$A136))),$A136),"'!C10"))&gt;=S$2,"d",IF(INDIRECT(_xlfn.CONCAT("'",IF(ISNUMBER(FIND("'",$A136))=TRUE,_xlfn.CONCAT(LEFT($A136,FIND("'",$A136)-1),"''",RIGHT($A136,LEN($A136)-FIND("'",$A136))),$A136),"'!C11"))&gt;=S$2,"i",""))</f>
        <v>d</v>
      </c>
      <c r="T136" s="4" t="str" cm="1">
        <f t="array" aca="1" ref="T136" ca="1">IF(INDIRECT(_xlfn.CONCAT("'",IF(ISNUMBER(FIND("'",$A136))=TRUE,_xlfn.CONCAT(LEFT($A136,FIND("'",$A136)-1),"''",RIGHT($A136,LEN($A136)-FIND("'",$A136))),$A136),"'!C10"))&gt;=T$2,"d",IF(INDIRECT(_xlfn.CONCAT("'",IF(ISNUMBER(FIND("'",$A136))=TRUE,_xlfn.CONCAT(LEFT($A136,FIND("'",$A136)-1),"''",RIGHT($A136,LEN($A136)-FIND("'",$A136))),$A136),"'!C11"))&gt;=T$2,"i",""))</f>
        <v>d</v>
      </c>
    </row>
    <row r="137" spans="1:20" hidden="1" x14ac:dyDescent="0.25">
      <c r="A137" s="54" t="str">
        <v>Moonpiercer</v>
      </c>
      <c r="B137" s="14" cm="1">
        <f t="array" ref="B137">_xlfn.XLOOKUP(A137,INDEX(Weapon_List,,1),INDEX(Weapon_List,,3),,0,1)</f>
        <v>4</v>
      </c>
      <c r="C137" s="4" t="str" cm="1">
        <f t="array" ref="C137">_xlfn.XLOOKUP(A137,INDEX(Weapon_List,,1),INDEX(Weapon_List,,2),,0,1)</f>
        <v>Polearm</v>
      </c>
      <c r="D137" s="38" t="str" cm="1">
        <f t="array" ref="D137">_xlfn.XLOOKUP(A137,INDEX(Weapon_List,,1),INDEX(Weapon_List,,4),,0,1)</f>
        <v>Sumeru 2</v>
      </c>
      <c r="E137" s="38" t="str" cm="1">
        <f t="array" ref="E137">_xlfn.XLOOKUP(A137,INDEX(Weapon_List,,1),INDEX(Weapon_List,,5),,0,1)</f>
        <v>Fatui</v>
      </c>
      <c r="F137" s="38" t="str" cm="1">
        <f t="array" ref="F137">_xlfn.XLOOKUP(A137,INDEX(Weapon_List,,1),INDEX(Weapon_List,,6),,0,1)</f>
        <v>Ruin Machine 3</v>
      </c>
      <c r="G137" s="14" t="str" cm="1">
        <f t="array" aca="1" ref="G137" ca="1">IF(INDIRECT(_xlfn.CONCAT("'",IF(ISNUMBER(FIND("'",$A137))=TRUE,_xlfn.CONCAT(LEFT($A137,FIND("'",$A137)-1),"''",RIGHT($A137,LEN($A137)-FIND("'",$A137))),$A137),"'!B4"))&gt;=G$2,"d",IF(INDIRECT(_xlfn.CONCAT("'",IF(ISNUMBER(FIND("'",$A137))=TRUE,_xlfn.CONCAT(LEFT($A137,FIND("'",$A137)-1),"''",RIGHT($A137,LEN($A137)-FIND("'",$A137))),$A137),"'!B5"))&gt;=G$2,"i",""))</f>
        <v>d</v>
      </c>
      <c r="H137" s="1" t="str" cm="1">
        <f t="array" aca="1" ref="H137" ca="1">IF(INDIRECT(_xlfn.CONCAT("'",IF(ISNUMBER(FIND("'",$A137))=TRUE,_xlfn.CONCAT(LEFT($A137,FIND("'",$A137)-1),"''",RIGHT($A137,LEN($A137)-FIND("'",$A137))),$A137),"'!B4"))&gt;=H$2,"d",IF(INDIRECT(_xlfn.CONCAT("'",IF(ISNUMBER(FIND("'",$A137))=TRUE,_xlfn.CONCAT(LEFT($A137,FIND("'",$A137)-1),"''",RIGHT($A137,LEN($A137)-FIND("'",$A137))),$A137),"'!B5"))&gt;=H$2,"i",""))</f>
        <v>d</v>
      </c>
      <c r="I137" s="1" t="str" cm="1">
        <f t="array" aca="1" ref="I137" ca="1">IF(INDIRECT(_xlfn.CONCAT("'",IF(ISNUMBER(FIND("'",$A137))=TRUE,_xlfn.CONCAT(LEFT($A137,FIND("'",$A137)-1),"''",RIGHT($A137,LEN($A137)-FIND("'",$A137))),$A137),"'!B4"))&gt;=I$2,"d",IF(INDIRECT(_xlfn.CONCAT("'",IF(ISNUMBER(FIND("'",$A137))=TRUE,_xlfn.CONCAT(LEFT($A137,FIND("'",$A137)-1),"''",RIGHT($A137,LEN($A137)-FIND("'",$A137))),$A137),"'!B5"))&gt;=I$2,"i",""))</f>
        <v>d</v>
      </c>
      <c r="J137" s="1" t="str" cm="1">
        <f t="array" aca="1" ref="J137" ca="1">IF(INDIRECT(_xlfn.CONCAT("'",IF(ISNUMBER(FIND("'",$A137))=TRUE,_xlfn.CONCAT(LEFT($A137,FIND("'",$A137)-1),"''",RIGHT($A137,LEN($A137)-FIND("'",$A137))),$A137),"'!B4"))&gt;=J$2,"d",IF(INDIRECT(_xlfn.CONCAT("'",IF(ISNUMBER(FIND("'",$A137))=TRUE,_xlfn.CONCAT(LEFT($A137,FIND("'",$A137)-1),"''",RIGHT($A137,LEN($A137)-FIND("'",$A137))),$A137),"'!B5"))&gt;=J$2,"i",""))</f>
        <v>d</v>
      </c>
      <c r="K137" s="1" t="str" cm="1">
        <f t="array" aca="1" ref="K137" ca="1">IF(INDIRECT(_xlfn.CONCAT("'",IF(ISNUMBER(FIND("'",$A137))=TRUE,_xlfn.CONCAT(LEFT($A137,FIND("'",$A137)-1),"''",RIGHT($A137,LEN($A137)-FIND("'",$A137))),$A137),"'!B4"))&gt;=K$2,"d",IF(INDIRECT(_xlfn.CONCAT("'",IF(ISNUMBER(FIND("'",$A137))=TRUE,_xlfn.CONCAT(LEFT($A137,FIND("'",$A137)-1),"''",RIGHT($A137,LEN($A137)-FIND("'",$A137))),$A137),"'!B5"))&gt;=K$2,"i",""))</f>
        <v>d</v>
      </c>
      <c r="L137" s="1" t="str" cm="1">
        <f t="array" aca="1" ref="L137" ca="1">IF(INDIRECT(_xlfn.CONCAT("'",IF(ISNUMBER(FIND("'",$A137))=TRUE,_xlfn.CONCAT(LEFT($A137,FIND("'",$A137)-1),"''",RIGHT($A137,LEN($A137)-FIND("'",$A137))),$A137),"'!B4"))&gt;=L$2,"d",IF(INDIRECT(_xlfn.CONCAT("'",IF(ISNUMBER(FIND("'",$A137))=TRUE,_xlfn.CONCAT(LEFT($A137,FIND("'",$A137)-1),"''",RIGHT($A137,LEN($A137)-FIND("'",$A137))),$A137),"'!B5"))&gt;=L$2,"i",""))</f>
        <v>d</v>
      </c>
      <c r="M137" s="4" t="str" cm="1">
        <f t="array" aca="1" ref="M137" ca="1">IF(INDIRECT(_xlfn.CONCAT("'",IF(ISNUMBER(FIND("'",$A137))=TRUE,_xlfn.CONCAT(LEFT($A137,FIND("'",$A137)-1),"''",RIGHT($A137,LEN($A137)-FIND("'",$A137))),$A137),"'!B4"))&gt;=M$2,"d",IF(INDIRECT(_xlfn.CONCAT("'",IF(ISNUMBER(FIND("'",$A137))=TRUE,_xlfn.CONCAT(LEFT($A137,FIND("'",$A137)-1),"''",RIGHT($A137,LEN($A137)-FIND("'",$A137))),$A137),"'!B5"))&gt;=M$2,"i",""))</f>
        <v>d</v>
      </c>
      <c r="N137" s="95"/>
      <c r="O137" s="14" t="str" cm="1">
        <f t="array" aca="1" ref="O137" ca="1">IF(INDIRECT(_xlfn.CONCAT("'",IF(ISNUMBER(FIND("'",$A137))=TRUE,_xlfn.CONCAT(LEFT($A137,FIND("'",$A137)-1),"''",RIGHT($A137,LEN($A137)-FIND("'",$A137))),$A137),"'!C10"))&gt;=O$2,"d",IF(INDIRECT(_xlfn.CONCAT("'",IF(ISNUMBER(FIND("'",$A137))=TRUE,_xlfn.CONCAT(LEFT($A137,FIND("'",$A137)-1),"''",RIGHT($A137,LEN($A137)-FIND("'",$A137))),$A137),"'!C11"))&gt;=O$2,"i",""))</f>
        <v>d</v>
      </c>
      <c r="P137" s="1" t="str" cm="1">
        <f t="array" aca="1" ref="P137" ca="1">IF(INDIRECT(_xlfn.CONCAT("'",IF(ISNUMBER(FIND("'",$A137))=TRUE,_xlfn.CONCAT(LEFT($A137,FIND("'",$A137)-1),"''",RIGHT($A137,LEN($A137)-FIND("'",$A137))),$A137),"'!C10"))&gt;=P$2,"d",IF(INDIRECT(_xlfn.CONCAT("'",IF(ISNUMBER(FIND("'",$A137))=TRUE,_xlfn.CONCAT(LEFT($A137,FIND("'",$A137)-1),"''",RIGHT($A137,LEN($A137)-FIND("'",$A137))),$A137),"'!C11"))&gt;=P$2,"i",""))</f>
        <v>d</v>
      </c>
      <c r="Q137" s="1" t="str" cm="1">
        <f t="array" aca="1" ref="Q137" ca="1">IF(INDIRECT(_xlfn.CONCAT("'",IF(ISNUMBER(FIND("'",$A137))=TRUE,_xlfn.CONCAT(LEFT($A137,FIND("'",$A137)-1),"''",RIGHT($A137,LEN($A137)-FIND("'",$A137))),$A137),"'!C10"))&gt;=Q$2,"d",IF(INDIRECT(_xlfn.CONCAT("'",IF(ISNUMBER(FIND("'",$A137))=TRUE,_xlfn.CONCAT(LEFT($A137,FIND("'",$A137)-1),"''",RIGHT($A137,LEN($A137)-FIND("'",$A137))),$A137),"'!C11"))&gt;=Q$2,"i",""))</f>
        <v>d</v>
      </c>
      <c r="R137" s="1" t="str" cm="1">
        <f t="array" aca="1" ref="R137" ca="1">IF(INDIRECT(_xlfn.CONCAT("'",IF(ISNUMBER(FIND("'",$A137))=TRUE,_xlfn.CONCAT(LEFT($A137,FIND("'",$A137)-1),"''",RIGHT($A137,LEN($A137)-FIND("'",$A137))),$A137),"'!C10"))&gt;=R$2,"d",IF(INDIRECT(_xlfn.CONCAT("'",IF(ISNUMBER(FIND("'",$A137))=TRUE,_xlfn.CONCAT(LEFT($A137,FIND("'",$A137)-1),"''",RIGHT($A137,LEN($A137)-FIND("'",$A137))),$A137),"'!C11"))&gt;=R$2,"i",""))</f>
        <v>d</v>
      </c>
      <c r="S137" s="1" t="str" cm="1">
        <f t="array" aca="1" ref="S137" ca="1">IF(INDIRECT(_xlfn.CONCAT("'",IF(ISNUMBER(FIND("'",$A137))=TRUE,_xlfn.CONCAT(LEFT($A137,FIND("'",$A137)-1),"''",RIGHT($A137,LEN($A137)-FIND("'",$A137))),$A137),"'!C10"))&gt;=S$2,"d",IF(INDIRECT(_xlfn.CONCAT("'",IF(ISNUMBER(FIND("'",$A137))=TRUE,_xlfn.CONCAT(LEFT($A137,FIND("'",$A137)-1),"''",RIGHT($A137,LEN($A137)-FIND("'",$A137))),$A137),"'!C11"))&gt;=S$2,"i",""))</f>
        <v>d</v>
      </c>
      <c r="T137" s="4" t="str" cm="1">
        <f t="array" aca="1" ref="T137" ca="1">IF(INDIRECT(_xlfn.CONCAT("'",IF(ISNUMBER(FIND("'",$A137))=TRUE,_xlfn.CONCAT(LEFT($A137,FIND("'",$A137)-1),"''",RIGHT($A137,LEN($A137)-FIND("'",$A137))),$A137),"'!C10"))&gt;=T$2,"d",IF(INDIRECT(_xlfn.CONCAT("'",IF(ISNUMBER(FIND("'",$A137))=TRUE,_xlfn.CONCAT(LEFT($A137,FIND("'",$A137)-1),"''",RIGHT($A137,LEN($A137)-FIND("'",$A137))),$A137),"'!C11"))&gt;=T$2,"i",""))</f>
        <v>d</v>
      </c>
    </row>
    <row r="138" spans="1:20" hidden="1" x14ac:dyDescent="0.25">
      <c r="A138" s="54" t="str">
        <v>Fruit of Fulfillment</v>
      </c>
      <c r="B138" s="14" cm="1">
        <f t="array" ref="B138">_xlfn.XLOOKUP(A138,INDEX(Weapon_List,,1),INDEX(Weapon_List,,3),,0,1)</f>
        <v>4</v>
      </c>
      <c r="C138" s="4" t="str" cm="1">
        <f t="array" ref="C138">_xlfn.XLOOKUP(A138,INDEX(Weapon_List,,1),INDEX(Weapon_List,,2),,0,1)</f>
        <v>Catalyst</v>
      </c>
      <c r="D138" s="38" t="str" cm="1">
        <f t="array" ref="D138">_xlfn.XLOOKUP(A138,INDEX(Weapon_List,,1),INDEX(Weapon_List,,4),,0,1)</f>
        <v>Sumeru 2</v>
      </c>
      <c r="E138" s="38" t="str" cm="1">
        <f t="array" ref="E138">_xlfn.XLOOKUP(A138,INDEX(Weapon_List,,1),INDEX(Weapon_List,,5),,0,1)</f>
        <v>Floating Fungi</v>
      </c>
      <c r="F138" s="38" t="str" cm="1">
        <f t="array" ref="F138">_xlfn.XLOOKUP(A138,INDEX(Weapon_List,,1),INDEX(Weapon_List,,6),,0,1)</f>
        <v>Shadowy Husk</v>
      </c>
      <c r="G138" s="14" t="str" cm="1">
        <f t="array" aca="1" ref="G138" ca="1">IF(INDIRECT(_xlfn.CONCAT("'",IF(ISNUMBER(FIND("'",$A138))=TRUE,_xlfn.CONCAT(LEFT($A138,FIND("'",$A138)-1),"''",RIGHT($A138,LEN($A138)-FIND("'",$A138))),$A138),"'!B4"))&gt;=G$2,"d",IF(INDIRECT(_xlfn.CONCAT("'",IF(ISNUMBER(FIND("'",$A138))=TRUE,_xlfn.CONCAT(LEFT($A138,FIND("'",$A138)-1),"''",RIGHT($A138,LEN($A138)-FIND("'",$A138))),$A138),"'!B5"))&gt;=G$2,"i",""))</f>
        <v>d</v>
      </c>
      <c r="H138" s="1" t="str" cm="1">
        <f t="array" aca="1" ref="H138" ca="1">IF(INDIRECT(_xlfn.CONCAT("'",IF(ISNUMBER(FIND("'",$A138))=TRUE,_xlfn.CONCAT(LEFT($A138,FIND("'",$A138)-1),"''",RIGHT($A138,LEN($A138)-FIND("'",$A138))),$A138),"'!B4"))&gt;=H$2,"d",IF(INDIRECT(_xlfn.CONCAT("'",IF(ISNUMBER(FIND("'",$A138))=TRUE,_xlfn.CONCAT(LEFT($A138,FIND("'",$A138)-1),"''",RIGHT($A138,LEN($A138)-FIND("'",$A138))),$A138),"'!B5"))&gt;=H$2,"i",""))</f>
        <v>d</v>
      </c>
      <c r="I138" s="1" t="str" cm="1">
        <f t="array" aca="1" ref="I138" ca="1">IF(INDIRECT(_xlfn.CONCAT("'",IF(ISNUMBER(FIND("'",$A138))=TRUE,_xlfn.CONCAT(LEFT($A138,FIND("'",$A138)-1),"''",RIGHT($A138,LEN($A138)-FIND("'",$A138))),$A138),"'!B4"))&gt;=I$2,"d",IF(INDIRECT(_xlfn.CONCAT("'",IF(ISNUMBER(FIND("'",$A138))=TRUE,_xlfn.CONCAT(LEFT($A138,FIND("'",$A138)-1),"''",RIGHT($A138,LEN($A138)-FIND("'",$A138))),$A138),"'!B5"))&gt;=I$2,"i",""))</f>
        <v>d</v>
      </c>
      <c r="J138" s="1" t="str" cm="1">
        <f t="array" aca="1" ref="J138" ca="1">IF(INDIRECT(_xlfn.CONCAT("'",IF(ISNUMBER(FIND("'",$A138))=TRUE,_xlfn.CONCAT(LEFT($A138,FIND("'",$A138)-1),"''",RIGHT($A138,LEN($A138)-FIND("'",$A138))),$A138),"'!B4"))&gt;=J$2,"d",IF(INDIRECT(_xlfn.CONCAT("'",IF(ISNUMBER(FIND("'",$A138))=TRUE,_xlfn.CONCAT(LEFT($A138,FIND("'",$A138)-1),"''",RIGHT($A138,LEN($A138)-FIND("'",$A138))),$A138),"'!B5"))&gt;=J$2,"i",""))</f>
        <v>d</v>
      </c>
      <c r="K138" s="1" t="str" cm="1">
        <f t="array" aca="1" ref="K138" ca="1">IF(INDIRECT(_xlfn.CONCAT("'",IF(ISNUMBER(FIND("'",$A138))=TRUE,_xlfn.CONCAT(LEFT($A138,FIND("'",$A138)-1),"''",RIGHT($A138,LEN($A138)-FIND("'",$A138))),$A138),"'!B4"))&gt;=K$2,"d",IF(INDIRECT(_xlfn.CONCAT("'",IF(ISNUMBER(FIND("'",$A138))=TRUE,_xlfn.CONCAT(LEFT($A138,FIND("'",$A138)-1),"''",RIGHT($A138,LEN($A138)-FIND("'",$A138))),$A138),"'!B5"))&gt;=K$2,"i",""))</f>
        <v>d</v>
      </c>
      <c r="L138" s="1" t="str" cm="1">
        <f t="array" aca="1" ref="L138" ca="1">IF(INDIRECT(_xlfn.CONCAT("'",IF(ISNUMBER(FIND("'",$A138))=TRUE,_xlfn.CONCAT(LEFT($A138,FIND("'",$A138)-1),"''",RIGHT($A138,LEN($A138)-FIND("'",$A138))),$A138),"'!B4"))&gt;=L$2,"d",IF(INDIRECT(_xlfn.CONCAT("'",IF(ISNUMBER(FIND("'",$A138))=TRUE,_xlfn.CONCAT(LEFT($A138,FIND("'",$A138)-1),"''",RIGHT($A138,LEN($A138)-FIND("'",$A138))),$A138),"'!B5"))&gt;=L$2,"i",""))</f>
        <v>d</v>
      </c>
      <c r="M138" s="4" t="str" cm="1">
        <f t="array" aca="1" ref="M138" ca="1">IF(INDIRECT(_xlfn.CONCAT("'",IF(ISNUMBER(FIND("'",$A138))=TRUE,_xlfn.CONCAT(LEFT($A138,FIND("'",$A138)-1),"''",RIGHT($A138,LEN($A138)-FIND("'",$A138))),$A138),"'!B4"))&gt;=M$2,"d",IF(INDIRECT(_xlfn.CONCAT("'",IF(ISNUMBER(FIND("'",$A138))=TRUE,_xlfn.CONCAT(LEFT($A138,FIND("'",$A138)-1),"''",RIGHT($A138,LEN($A138)-FIND("'",$A138))),$A138),"'!B5"))&gt;=M$2,"i",""))</f>
        <v>d</v>
      </c>
      <c r="N138" s="95"/>
      <c r="O138" s="14" t="str" cm="1">
        <f t="array" aca="1" ref="O138" ca="1">IF(INDIRECT(_xlfn.CONCAT("'",IF(ISNUMBER(FIND("'",$A138))=TRUE,_xlfn.CONCAT(LEFT($A138,FIND("'",$A138)-1),"''",RIGHT($A138,LEN($A138)-FIND("'",$A138))),$A138),"'!C10"))&gt;=O$2,"d",IF(INDIRECT(_xlfn.CONCAT("'",IF(ISNUMBER(FIND("'",$A138))=TRUE,_xlfn.CONCAT(LEFT($A138,FIND("'",$A138)-1),"''",RIGHT($A138,LEN($A138)-FIND("'",$A138))),$A138),"'!C11"))&gt;=O$2,"i",""))</f>
        <v>d</v>
      </c>
      <c r="P138" s="1" t="str" cm="1">
        <f t="array" aca="1" ref="P138" ca="1">IF(INDIRECT(_xlfn.CONCAT("'",IF(ISNUMBER(FIND("'",$A138))=TRUE,_xlfn.CONCAT(LEFT($A138,FIND("'",$A138)-1),"''",RIGHT($A138,LEN($A138)-FIND("'",$A138))),$A138),"'!C10"))&gt;=P$2,"d",IF(INDIRECT(_xlfn.CONCAT("'",IF(ISNUMBER(FIND("'",$A138))=TRUE,_xlfn.CONCAT(LEFT($A138,FIND("'",$A138)-1),"''",RIGHT($A138,LEN($A138)-FIND("'",$A138))),$A138),"'!C11"))&gt;=P$2,"i",""))</f>
        <v>d</v>
      </c>
      <c r="Q138" s="1" t="str" cm="1">
        <f t="array" aca="1" ref="Q138" ca="1">IF(INDIRECT(_xlfn.CONCAT("'",IF(ISNUMBER(FIND("'",$A138))=TRUE,_xlfn.CONCAT(LEFT($A138,FIND("'",$A138)-1),"''",RIGHT($A138,LEN($A138)-FIND("'",$A138))),$A138),"'!C10"))&gt;=Q$2,"d",IF(INDIRECT(_xlfn.CONCAT("'",IF(ISNUMBER(FIND("'",$A138))=TRUE,_xlfn.CONCAT(LEFT($A138,FIND("'",$A138)-1),"''",RIGHT($A138,LEN($A138)-FIND("'",$A138))),$A138),"'!C11"))&gt;=Q$2,"i",""))</f>
        <v>d</v>
      </c>
      <c r="R138" s="1" t="str" cm="1">
        <f t="array" aca="1" ref="R138" ca="1">IF(INDIRECT(_xlfn.CONCAT("'",IF(ISNUMBER(FIND("'",$A138))=TRUE,_xlfn.CONCAT(LEFT($A138,FIND("'",$A138)-1),"''",RIGHT($A138,LEN($A138)-FIND("'",$A138))),$A138),"'!C10"))&gt;=R$2,"d",IF(INDIRECT(_xlfn.CONCAT("'",IF(ISNUMBER(FIND("'",$A138))=TRUE,_xlfn.CONCAT(LEFT($A138,FIND("'",$A138)-1),"''",RIGHT($A138,LEN($A138)-FIND("'",$A138))),$A138),"'!C11"))&gt;=R$2,"i",""))</f>
        <v>d</v>
      </c>
      <c r="S138" s="1" t="str" cm="1">
        <f t="array" aca="1" ref="S138" ca="1">IF(INDIRECT(_xlfn.CONCAT("'",IF(ISNUMBER(FIND("'",$A138))=TRUE,_xlfn.CONCAT(LEFT($A138,FIND("'",$A138)-1),"''",RIGHT($A138,LEN($A138)-FIND("'",$A138))),$A138),"'!C10"))&gt;=S$2,"d",IF(INDIRECT(_xlfn.CONCAT("'",IF(ISNUMBER(FIND("'",$A138))=TRUE,_xlfn.CONCAT(LEFT($A138,FIND("'",$A138)-1),"''",RIGHT($A138,LEN($A138)-FIND("'",$A138))),$A138),"'!C11"))&gt;=S$2,"i",""))</f>
        <v>d</v>
      </c>
      <c r="T138" s="4" t="str" cm="1">
        <f t="array" aca="1" ref="T138" ca="1">IF(INDIRECT(_xlfn.CONCAT("'",IF(ISNUMBER(FIND("'",$A138))=TRUE,_xlfn.CONCAT(LEFT($A138,FIND("'",$A138)-1),"''",RIGHT($A138,LEN($A138)-FIND("'",$A138))),$A138),"'!C10"))&gt;=T$2,"d",IF(INDIRECT(_xlfn.CONCAT("'",IF(ISNUMBER(FIND("'",$A138))=TRUE,_xlfn.CONCAT(LEFT($A138,FIND("'",$A138)-1),"''",RIGHT($A138,LEN($A138)-FIND("'",$A138))),$A138),"'!C11"))&gt;=T$2,"i",""))</f>
        <v>d</v>
      </c>
    </row>
    <row r="139" spans="1:20" hidden="1" x14ac:dyDescent="0.25">
      <c r="A139" s="54" t="str">
        <v>King's Squire</v>
      </c>
      <c r="B139" s="14" cm="1">
        <f t="array" ref="B139">_xlfn.XLOOKUP(A139,INDEX(Weapon_List,,1),INDEX(Weapon_List,,3),,0,1)</f>
        <v>4</v>
      </c>
      <c r="C139" s="4" t="str" cm="1">
        <f t="array" ref="C139">_xlfn.XLOOKUP(A139,INDEX(Weapon_List,,1),INDEX(Weapon_List,,2),,0,1)</f>
        <v>Bow</v>
      </c>
      <c r="D139" s="38" t="str" cm="1">
        <f t="array" ref="D139">_xlfn.XLOOKUP(A139,INDEX(Weapon_List,,1),INDEX(Weapon_List,,4),,0,1)</f>
        <v>Sumeru 3</v>
      </c>
      <c r="E139" s="38" t="str" cm="1">
        <f t="array" ref="E139">_xlfn.XLOOKUP(A139,INDEX(Weapon_List,,1),INDEX(Weapon_List,,5),,0,1)</f>
        <v>Hilichurl Shooter</v>
      </c>
      <c r="F139" s="38" t="str" cm="1">
        <f t="array" ref="F139">_xlfn.XLOOKUP(A139,INDEX(Weapon_List,,1),INDEX(Weapon_List,,6),,0,1)</f>
        <v>Activated Fungi</v>
      </c>
      <c r="G139" s="14" t="str" cm="1">
        <f t="array" aca="1" ref="G139" ca="1">IF(INDIRECT(_xlfn.CONCAT("'",IF(ISNUMBER(FIND("'",$A139))=TRUE,_xlfn.CONCAT(LEFT($A139,FIND("'",$A139)-1),"''",RIGHT($A139,LEN($A139)-FIND("'",$A139))),$A139),"'!B4"))&gt;=G$2,"d",IF(INDIRECT(_xlfn.CONCAT("'",IF(ISNUMBER(FIND("'",$A139))=TRUE,_xlfn.CONCAT(LEFT($A139,FIND("'",$A139)-1),"''",RIGHT($A139,LEN($A139)-FIND("'",$A139))),$A139),"'!B5"))&gt;=G$2,"i",""))</f>
        <v>d</v>
      </c>
      <c r="H139" s="1" t="str" cm="1">
        <f t="array" aca="1" ref="H139" ca="1">IF(INDIRECT(_xlfn.CONCAT("'",IF(ISNUMBER(FIND("'",$A139))=TRUE,_xlfn.CONCAT(LEFT($A139,FIND("'",$A139)-1),"''",RIGHT($A139,LEN($A139)-FIND("'",$A139))),$A139),"'!B4"))&gt;=H$2,"d",IF(INDIRECT(_xlfn.CONCAT("'",IF(ISNUMBER(FIND("'",$A139))=TRUE,_xlfn.CONCAT(LEFT($A139,FIND("'",$A139)-1),"''",RIGHT($A139,LEN($A139)-FIND("'",$A139))),$A139),"'!B5"))&gt;=H$2,"i",""))</f>
        <v>d</v>
      </c>
      <c r="I139" s="1" t="str" cm="1">
        <f t="array" aca="1" ref="I139" ca="1">IF(INDIRECT(_xlfn.CONCAT("'",IF(ISNUMBER(FIND("'",$A139))=TRUE,_xlfn.CONCAT(LEFT($A139,FIND("'",$A139)-1),"''",RIGHT($A139,LEN($A139)-FIND("'",$A139))),$A139),"'!B4"))&gt;=I$2,"d",IF(INDIRECT(_xlfn.CONCAT("'",IF(ISNUMBER(FIND("'",$A139))=TRUE,_xlfn.CONCAT(LEFT($A139,FIND("'",$A139)-1),"''",RIGHT($A139,LEN($A139)-FIND("'",$A139))),$A139),"'!B5"))&gt;=I$2,"i",""))</f>
        <v>d</v>
      </c>
      <c r="J139" s="1" t="str" cm="1">
        <f t="array" aca="1" ref="J139" ca="1">IF(INDIRECT(_xlfn.CONCAT("'",IF(ISNUMBER(FIND("'",$A139))=TRUE,_xlfn.CONCAT(LEFT($A139,FIND("'",$A139)-1),"''",RIGHT($A139,LEN($A139)-FIND("'",$A139))),$A139),"'!B4"))&gt;=J$2,"d",IF(INDIRECT(_xlfn.CONCAT("'",IF(ISNUMBER(FIND("'",$A139))=TRUE,_xlfn.CONCAT(LEFT($A139,FIND("'",$A139)-1),"''",RIGHT($A139,LEN($A139)-FIND("'",$A139))),$A139),"'!B5"))&gt;=J$2,"i",""))</f>
        <v>d</v>
      </c>
      <c r="K139" s="1" t="str" cm="1">
        <f t="array" aca="1" ref="K139" ca="1">IF(INDIRECT(_xlfn.CONCAT("'",IF(ISNUMBER(FIND("'",$A139))=TRUE,_xlfn.CONCAT(LEFT($A139,FIND("'",$A139)-1),"''",RIGHT($A139,LEN($A139)-FIND("'",$A139))),$A139),"'!B4"))&gt;=K$2,"d",IF(INDIRECT(_xlfn.CONCAT("'",IF(ISNUMBER(FIND("'",$A139))=TRUE,_xlfn.CONCAT(LEFT($A139,FIND("'",$A139)-1),"''",RIGHT($A139,LEN($A139)-FIND("'",$A139))),$A139),"'!B5"))&gt;=K$2,"i",""))</f>
        <v>d</v>
      </c>
      <c r="L139" s="1" t="str" cm="1">
        <f t="array" aca="1" ref="L139" ca="1">IF(INDIRECT(_xlfn.CONCAT("'",IF(ISNUMBER(FIND("'",$A139))=TRUE,_xlfn.CONCAT(LEFT($A139,FIND("'",$A139)-1),"''",RIGHT($A139,LEN($A139)-FIND("'",$A139))),$A139),"'!B4"))&gt;=L$2,"d",IF(INDIRECT(_xlfn.CONCAT("'",IF(ISNUMBER(FIND("'",$A139))=TRUE,_xlfn.CONCAT(LEFT($A139,FIND("'",$A139)-1),"''",RIGHT($A139,LEN($A139)-FIND("'",$A139))),$A139),"'!B5"))&gt;=L$2,"i",""))</f>
        <v>d</v>
      </c>
      <c r="M139" s="4" t="str" cm="1">
        <f t="array" aca="1" ref="M139" ca="1">IF(INDIRECT(_xlfn.CONCAT("'",IF(ISNUMBER(FIND("'",$A139))=TRUE,_xlfn.CONCAT(LEFT($A139,FIND("'",$A139)-1),"''",RIGHT($A139,LEN($A139)-FIND("'",$A139))),$A139),"'!B4"))&gt;=M$2,"d",IF(INDIRECT(_xlfn.CONCAT("'",IF(ISNUMBER(FIND("'",$A139))=TRUE,_xlfn.CONCAT(LEFT($A139,FIND("'",$A139)-1),"''",RIGHT($A139,LEN($A139)-FIND("'",$A139))),$A139),"'!B5"))&gt;=M$2,"i",""))</f>
        <v>d</v>
      </c>
      <c r="N139" s="95"/>
      <c r="O139" s="14" t="str" cm="1">
        <f t="array" aca="1" ref="O139" ca="1">IF(INDIRECT(_xlfn.CONCAT("'",IF(ISNUMBER(FIND("'",$A139))=TRUE,_xlfn.CONCAT(LEFT($A139,FIND("'",$A139)-1),"''",RIGHT($A139,LEN($A139)-FIND("'",$A139))),$A139),"'!C10"))&gt;=O$2,"d",IF(INDIRECT(_xlfn.CONCAT("'",IF(ISNUMBER(FIND("'",$A139))=TRUE,_xlfn.CONCAT(LEFT($A139,FIND("'",$A139)-1),"''",RIGHT($A139,LEN($A139)-FIND("'",$A139))),$A139),"'!C11"))&gt;=O$2,"i",""))</f>
        <v>d</v>
      </c>
      <c r="P139" s="1" t="str" cm="1">
        <f t="array" aca="1" ref="P139" ca="1">IF(INDIRECT(_xlfn.CONCAT("'",IF(ISNUMBER(FIND("'",$A139))=TRUE,_xlfn.CONCAT(LEFT($A139,FIND("'",$A139)-1),"''",RIGHT($A139,LEN($A139)-FIND("'",$A139))),$A139),"'!C10"))&gt;=P$2,"d",IF(INDIRECT(_xlfn.CONCAT("'",IF(ISNUMBER(FIND("'",$A139))=TRUE,_xlfn.CONCAT(LEFT($A139,FIND("'",$A139)-1),"''",RIGHT($A139,LEN($A139)-FIND("'",$A139))),$A139),"'!C11"))&gt;=P$2,"i",""))</f>
        <v>d</v>
      </c>
      <c r="Q139" s="1" t="str" cm="1">
        <f t="array" aca="1" ref="Q139" ca="1">IF(INDIRECT(_xlfn.CONCAT("'",IF(ISNUMBER(FIND("'",$A139))=TRUE,_xlfn.CONCAT(LEFT($A139,FIND("'",$A139)-1),"''",RIGHT($A139,LEN($A139)-FIND("'",$A139))),$A139),"'!C10"))&gt;=Q$2,"d",IF(INDIRECT(_xlfn.CONCAT("'",IF(ISNUMBER(FIND("'",$A139))=TRUE,_xlfn.CONCAT(LEFT($A139,FIND("'",$A139)-1),"''",RIGHT($A139,LEN($A139)-FIND("'",$A139))),$A139),"'!C11"))&gt;=Q$2,"i",""))</f>
        <v>d</v>
      </c>
      <c r="R139" s="1" t="str" cm="1">
        <f t="array" aca="1" ref="R139" ca="1">IF(INDIRECT(_xlfn.CONCAT("'",IF(ISNUMBER(FIND("'",$A139))=TRUE,_xlfn.CONCAT(LEFT($A139,FIND("'",$A139)-1),"''",RIGHT($A139,LEN($A139)-FIND("'",$A139))),$A139),"'!C10"))&gt;=R$2,"d",IF(INDIRECT(_xlfn.CONCAT("'",IF(ISNUMBER(FIND("'",$A139))=TRUE,_xlfn.CONCAT(LEFT($A139,FIND("'",$A139)-1),"''",RIGHT($A139,LEN($A139)-FIND("'",$A139))),$A139),"'!C11"))&gt;=R$2,"i",""))</f>
        <v>d</v>
      </c>
      <c r="S139" s="1" t="str" cm="1">
        <f t="array" aca="1" ref="S139" ca="1">IF(INDIRECT(_xlfn.CONCAT("'",IF(ISNUMBER(FIND("'",$A139))=TRUE,_xlfn.CONCAT(LEFT($A139,FIND("'",$A139)-1),"''",RIGHT($A139,LEN($A139)-FIND("'",$A139))),$A139),"'!C10"))&gt;=S$2,"d",IF(INDIRECT(_xlfn.CONCAT("'",IF(ISNUMBER(FIND("'",$A139))=TRUE,_xlfn.CONCAT(LEFT($A139,FIND("'",$A139)-1),"''",RIGHT($A139,LEN($A139)-FIND("'",$A139))),$A139),"'!C11"))&gt;=S$2,"i",""))</f>
        <v>d</v>
      </c>
      <c r="T139" s="4" t="str" cm="1">
        <f t="array" aca="1" ref="T139" ca="1">IF(INDIRECT(_xlfn.CONCAT("'",IF(ISNUMBER(FIND("'",$A139))=TRUE,_xlfn.CONCAT(LEFT($A139,FIND("'",$A139)-1),"''",RIGHT($A139,LEN($A139)-FIND("'",$A139))),$A139),"'!C10"))&gt;=T$2,"d",IF(INDIRECT(_xlfn.CONCAT("'",IF(ISNUMBER(FIND("'",$A139))=TRUE,_xlfn.CONCAT(LEFT($A139,FIND("'",$A139)-1),"''",RIGHT($A139,LEN($A139)-FIND("'",$A139))),$A139),"'!C11"))&gt;=T$2,"i",""))</f>
        <v>d</v>
      </c>
    </row>
    <row r="140" spans="1:20" hidden="1" x14ac:dyDescent="0.25">
      <c r="A140" s="54" t="str">
        <v>Hunter's Path</v>
      </c>
      <c r="B140" s="14" cm="1">
        <f t="array" ref="B140">_xlfn.XLOOKUP(A140,INDEX(Weapon_List,,1),INDEX(Weapon_List,,3),,0,1)</f>
        <v>5</v>
      </c>
      <c r="C140" s="4" t="str" cm="1">
        <f t="array" ref="C140">_xlfn.XLOOKUP(A140,INDEX(Weapon_List,,1),INDEX(Weapon_List,,2),,0,1)</f>
        <v>Bow</v>
      </c>
      <c r="D140" s="38" t="str" cm="1">
        <f t="array" ref="D140">_xlfn.XLOOKUP(A140,INDEX(Weapon_List,,1),INDEX(Weapon_List,,4),,0,1)</f>
        <v>Sumeru 3</v>
      </c>
      <c r="E140" s="38" t="str" cm="1">
        <f t="array" ref="E140">_xlfn.XLOOKUP(A140,INDEX(Weapon_List,,1),INDEX(Weapon_List,,5),,0,1)</f>
        <v>Eremite</v>
      </c>
      <c r="F140" s="38" t="str" cm="1">
        <f t="array" ref="F140">_xlfn.XLOOKUP(A140,INDEX(Weapon_List,,1),INDEX(Weapon_List,,6),,0,1)</f>
        <v>Activated Fungi</v>
      </c>
      <c r="G140" s="14" t="str" cm="1">
        <f t="array" aca="1" ref="G140" ca="1">IF(INDIRECT(_xlfn.CONCAT("'",IF(ISNUMBER(FIND("'",$A140))=TRUE,_xlfn.CONCAT(LEFT($A140,FIND("'",$A140)-1),"''",RIGHT($A140,LEN($A140)-FIND("'",$A140))),$A140),"'!B4"))&gt;=G$2,"d",IF(INDIRECT(_xlfn.CONCAT("'",IF(ISNUMBER(FIND("'",$A140))=TRUE,_xlfn.CONCAT(LEFT($A140,FIND("'",$A140)-1),"''",RIGHT($A140,LEN($A140)-FIND("'",$A140))),$A140),"'!B5"))&gt;=G$2,"i",""))</f>
        <v>d</v>
      </c>
      <c r="H140" s="1" t="str" cm="1">
        <f t="array" aca="1" ref="H140" ca="1">IF(INDIRECT(_xlfn.CONCAT("'",IF(ISNUMBER(FIND("'",$A140))=TRUE,_xlfn.CONCAT(LEFT($A140,FIND("'",$A140)-1),"''",RIGHT($A140,LEN($A140)-FIND("'",$A140))),$A140),"'!B4"))&gt;=H$2,"d",IF(INDIRECT(_xlfn.CONCAT("'",IF(ISNUMBER(FIND("'",$A140))=TRUE,_xlfn.CONCAT(LEFT($A140,FIND("'",$A140)-1),"''",RIGHT($A140,LEN($A140)-FIND("'",$A140))),$A140),"'!B5"))&gt;=H$2,"i",""))</f>
        <v>d</v>
      </c>
      <c r="I140" s="1" t="str" cm="1">
        <f t="array" aca="1" ref="I140" ca="1">IF(INDIRECT(_xlfn.CONCAT("'",IF(ISNUMBER(FIND("'",$A140))=TRUE,_xlfn.CONCAT(LEFT($A140,FIND("'",$A140)-1),"''",RIGHT($A140,LEN($A140)-FIND("'",$A140))),$A140),"'!B4"))&gt;=I$2,"d",IF(INDIRECT(_xlfn.CONCAT("'",IF(ISNUMBER(FIND("'",$A140))=TRUE,_xlfn.CONCAT(LEFT($A140,FIND("'",$A140)-1),"''",RIGHT($A140,LEN($A140)-FIND("'",$A140))),$A140),"'!B5"))&gt;=I$2,"i",""))</f>
        <v>d</v>
      </c>
      <c r="J140" s="1" t="str" cm="1">
        <f t="array" aca="1" ref="J140" ca="1">IF(INDIRECT(_xlfn.CONCAT("'",IF(ISNUMBER(FIND("'",$A140))=TRUE,_xlfn.CONCAT(LEFT($A140,FIND("'",$A140)-1),"''",RIGHT($A140,LEN($A140)-FIND("'",$A140))),$A140),"'!B4"))&gt;=J$2,"d",IF(INDIRECT(_xlfn.CONCAT("'",IF(ISNUMBER(FIND("'",$A140))=TRUE,_xlfn.CONCAT(LEFT($A140,FIND("'",$A140)-1),"''",RIGHT($A140,LEN($A140)-FIND("'",$A140))),$A140),"'!B5"))&gt;=J$2,"i",""))</f>
        <v>d</v>
      </c>
      <c r="K140" s="1" t="str" cm="1">
        <f t="array" aca="1" ref="K140" ca="1">IF(INDIRECT(_xlfn.CONCAT("'",IF(ISNUMBER(FIND("'",$A140))=TRUE,_xlfn.CONCAT(LEFT($A140,FIND("'",$A140)-1),"''",RIGHT($A140,LEN($A140)-FIND("'",$A140))),$A140),"'!B4"))&gt;=K$2,"d",IF(INDIRECT(_xlfn.CONCAT("'",IF(ISNUMBER(FIND("'",$A140))=TRUE,_xlfn.CONCAT(LEFT($A140,FIND("'",$A140)-1),"''",RIGHT($A140,LEN($A140)-FIND("'",$A140))),$A140),"'!B5"))&gt;=K$2,"i",""))</f>
        <v>d</v>
      </c>
      <c r="L140" s="1" t="str" cm="1">
        <f t="array" aca="1" ref="L140" ca="1">IF(INDIRECT(_xlfn.CONCAT("'",IF(ISNUMBER(FIND("'",$A140))=TRUE,_xlfn.CONCAT(LEFT($A140,FIND("'",$A140)-1),"''",RIGHT($A140,LEN($A140)-FIND("'",$A140))),$A140),"'!B4"))&gt;=L$2,"d",IF(INDIRECT(_xlfn.CONCAT("'",IF(ISNUMBER(FIND("'",$A140))=TRUE,_xlfn.CONCAT(LEFT($A140,FIND("'",$A140)-1),"''",RIGHT($A140,LEN($A140)-FIND("'",$A140))),$A140),"'!B5"))&gt;=L$2,"i",""))</f>
        <v>d</v>
      </c>
      <c r="M140" s="4" t="str" cm="1">
        <f t="array" aca="1" ref="M140" ca="1">IF(INDIRECT(_xlfn.CONCAT("'",IF(ISNUMBER(FIND("'",$A140))=TRUE,_xlfn.CONCAT(LEFT($A140,FIND("'",$A140)-1),"''",RIGHT($A140,LEN($A140)-FIND("'",$A140))),$A140),"'!B4"))&gt;=M$2,"d",IF(INDIRECT(_xlfn.CONCAT("'",IF(ISNUMBER(FIND("'",$A140))=TRUE,_xlfn.CONCAT(LEFT($A140,FIND("'",$A140)-1),"''",RIGHT($A140,LEN($A140)-FIND("'",$A140))),$A140),"'!B5"))&gt;=M$2,"i",""))</f>
        <v>d</v>
      </c>
      <c r="N140" s="95"/>
      <c r="O140" s="14" t="str" cm="1">
        <f t="array" aca="1" ref="O140" ca="1">IF(INDIRECT(_xlfn.CONCAT("'",IF(ISNUMBER(FIND("'",$A140))=TRUE,_xlfn.CONCAT(LEFT($A140,FIND("'",$A140)-1),"''",RIGHT($A140,LEN($A140)-FIND("'",$A140))),$A140),"'!C10"))&gt;=O$2,"d",IF(INDIRECT(_xlfn.CONCAT("'",IF(ISNUMBER(FIND("'",$A140))=TRUE,_xlfn.CONCAT(LEFT($A140,FIND("'",$A140)-1),"''",RIGHT($A140,LEN($A140)-FIND("'",$A140))),$A140),"'!C11"))&gt;=O$2,"i",""))</f>
        <v>d</v>
      </c>
      <c r="P140" s="1" t="str" cm="1">
        <f t="array" aca="1" ref="P140" ca="1">IF(INDIRECT(_xlfn.CONCAT("'",IF(ISNUMBER(FIND("'",$A140))=TRUE,_xlfn.CONCAT(LEFT($A140,FIND("'",$A140)-1),"''",RIGHT($A140,LEN($A140)-FIND("'",$A140))),$A140),"'!C10"))&gt;=P$2,"d",IF(INDIRECT(_xlfn.CONCAT("'",IF(ISNUMBER(FIND("'",$A140))=TRUE,_xlfn.CONCAT(LEFT($A140,FIND("'",$A140)-1),"''",RIGHT($A140,LEN($A140)-FIND("'",$A140))),$A140),"'!C11"))&gt;=P$2,"i",""))</f>
        <v>d</v>
      </c>
      <c r="Q140" s="1" t="str" cm="1">
        <f t="array" aca="1" ref="Q140" ca="1">IF(INDIRECT(_xlfn.CONCAT("'",IF(ISNUMBER(FIND("'",$A140))=TRUE,_xlfn.CONCAT(LEFT($A140,FIND("'",$A140)-1),"''",RIGHT($A140,LEN($A140)-FIND("'",$A140))),$A140),"'!C10"))&gt;=Q$2,"d",IF(INDIRECT(_xlfn.CONCAT("'",IF(ISNUMBER(FIND("'",$A140))=TRUE,_xlfn.CONCAT(LEFT($A140,FIND("'",$A140)-1),"''",RIGHT($A140,LEN($A140)-FIND("'",$A140))),$A140),"'!C11"))&gt;=Q$2,"i",""))</f>
        <v>d</v>
      </c>
      <c r="R140" s="1" t="str" cm="1">
        <f t="array" aca="1" ref="R140" ca="1">IF(INDIRECT(_xlfn.CONCAT("'",IF(ISNUMBER(FIND("'",$A140))=TRUE,_xlfn.CONCAT(LEFT($A140,FIND("'",$A140)-1),"''",RIGHT($A140,LEN($A140)-FIND("'",$A140))),$A140),"'!C10"))&gt;=R$2,"d",IF(INDIRECT(_xlfn.CONCAT("'",IF(ISNUMBER(FIND("'",$A140))=TRUE,_xlfn.CONCAT(LEFT($A140,FIND("'",$A140)-1),"''",RIGHT($A140,LEN($A140)-FIND("'",$A140))),$A140),"'!C11"))&gt;=R$2,"i",""))</f>
        <v>d</v>
      </c>
      <c r="S140" s="1" t="str" cm="1">
        <f t="array" aca="1" ref="S140" ca="1">IF(INDIRECT(_xlfn.CONCAT("'",IF(ISNUMBER(FIND("'",$A140))=TRUE,_xlfn.CONCAT(LEFT($A140,FIND("'",$A140)-1),"''",RIGHT($A140,LEN($A140)-FIND("'",$A140))),$A140),"'!C10"))&gt;=S$2,"d",IF(INDIRECT(_xlfn.CONCAT("'",IF(ISNUMBER(FIND("'",$A140))=TRUE,_xlfn.CONCAT(LEFT($A140,FIND("'",$A140)-1),"''",RIGHT($A140,LEN($A140)-FIND("'",$A140))),$A140),"'!C11"))&gt;=S$2,"i",""))</f>
        <v>d</v>
      </c>
      <c r="T140" s="4" t="str" cm="1">
        <f t="array" aca="1" ref="T140" ca="1">IF(INDIRECT(_xlfn.CONCAT("'",IF(ISNUMBER(FIND("'",$A140))=TRUE,_xlfn.CONCAT(LEFT($A140,FIND("'",$A140)-1),"''",RIGHT($A140,LEN($A140)-FIND("'",$A140))),$A140),"'!C10"))&gt;=T$2,"d",IF(INDIRECT(_xlfn.CONCAT("'",IF(ISNUMBER(FIND("'",$A140))=TRUE,_xlfn.CONCAT(LEFT($A140,FIND("'",$A140)-1),"''",RIGHT($A140,LEN($A140)-FIND("'",$A140))),$A140),"'!C11"))&gt;=T$2,"i",""))</f>
        <v>d</v>
      </c>
    </row>
    <row r="141" spans="1:20" hidden="1" x14ac:dyDescent="0.25">
      <c r="A141" s="54" t="str">
        <v>End of the Line</v>
      </c>
      <c r="B141" s="14" cm="1">
        <f t="array" ref="B141">_xlfn.XLOOKUP(A141,INDEX(Weapon_List,,1),INDEX(Weapon_List,,3),,0,1)</f>
        <v>4</v>
      </c>
      <c r="C141" s="4" t="str" cm="1">
        <f t="array" ref="C141">_xlfn.XLOOKUP(A141,INDEX(Weapon_List,,1),INDEX(Weapon_List,,2),,0,1)</f>
        <v>Bow</v>
      </c>
      <c r="D141" s="38" t="str" cm="1">
        <f t="array" ref="D141">_xlfn.XLOOKUP(A141,INDEX(Weapon_List,,1),INDEX(Weapon_List,,4),,0,1)</f>
        <v>Sumeru 3</v>
      </c>
      <c r="E141" s="38" t="str" cm="1">
        <f t="array" ref="E141">_xlfn.XLOOKUP(A141,INDEX(Weapon_List,,1),INDEX(Weapon_List,,5),,0,1)</f>
        <v>Floating Fungi</v>
      </c>
      <c r="F141" s="38" t="str" cm="1">
        <f t="array" ref="F141">_xlfn.XLOOKUP(A141,INDEX(Weapon_List,,1),INDEX(Weapon_List,,6),,0,1)</f>
        <v>Activated Fungi</v>
      </c>
      <c r="G141" s="14" t="str" cm="1">
        <f t="array" aca="1" ref="G141" ca="1">IF(INDIRECT(_xlfn.CONCAT("'",IF(ISNUMBER(FIND("'",$A141))=TRUE,_xlfn.CONCAT(LEFT($A141,FIND("'",$A141)-1),"''",RIGHT($A141,LEN($A141)-FIND("'",$A141))),$A141),"'!B4"))&gt;=G$2,"d",IF(INDIRECT(_xlfn.CONCAT("'",IF(ISNUMBER(FIND("'",$A141))=TRUE,_xlfn.CONCAT(LEFT($A141,FIND("'",$A141)-1),"''",RIGHT($A141,LEN($A141)-FIND("'",$A141))),$A141),"'!B5"))&gt;=G$2,"i",""))</f>
        <v>d</v>
      </c>
      <c r="H141" s="1" t="str" cm="1">
        <f t="array" aca="1" ref="H141" ca="1">IF(INDIRECT(_xlfn.CONCAT("'",IF(ISNUMBER(FIND("'",$A141))=TRUE,_xlfn.CONCAT(LEFT($A141,FIND("'",$A141)-1),"''",RIGHT($A141,LEN($A141)-FIND("'",$A141))),$A141),"'!B4"))&gt;=H$2,"d",IF(INDIRECT(_xlfn.CONCAT("'",IF(ISNUMBER(FIND("'",$A141))=TRUE,_xlfn.CONCAT(LEFT($A141,FIND("'",$A141)-1),"''",RIGHT($A141,LEN($A141)-FIND("'",$A141))),$A141),"'!B5"))&gt;=H$2,"i",""))</f>
        <v>d</v>
      </c>
      <c r="I141" s="1" t="str" cm="1">
        <f t="array" aca="1" ref="I141" ca="1">IF(INDIRECT(_xlfn.CONCAT("'",IF(ISNUMBER(FIND("'",$A141))=TRUE,_xlfn.CONCAT(LEFT($A141,FIND("'",$A141)-1),"''",RIGHT($A141,LEN($A141)-FIND("'",$A141))),$A141),"'!B4"))&gt;=I$2,"d",IF(INDIRECT(_xlfn.CONCAT("'",IF(ISNUMBER(FIND("'",$A141))=TRUE,_xlfn.CONCAT(LEFT($A141,FIND("'",$A141)-1),"''",RIGHT($A141,LEN($A141)-FIND("'",$A141))),$A141),"'!B5"))&gt;=I$2,"i",""))</f>
        <v>d</v>
      </c>
      <c r="J141" s="1" t="str" cm="1">
        <f t="array" aca="1" ref="J141" ca="1">IF(INDIRECT(_xlfn.CONCAT("'",IF(ISNUMBER(FIND("'",$A141))=TRUE,_xlfn.CONCAT(LEFT($A141,FIND("'",$A141)-1),"''",RIGHT($A141,LEN($A141)-FIND("'",$A141))),$A141),"'!B4"))&gt;=J$2,"d",IF(INDIRECT(_xlfn.CONCAT("'",IF(ISNUMBER(FIND("'",$A141))=TRUE,_xlfn.CONCAT(LEFT($A141,FIND("'",$A141)-1),"''",RIGHT($A141,LEN($A141)-FIND("'",$A141))),$A141),"'!B5"))&gt;=J$2,"i",""))</f>
        <v>d</v>
      </c>
      <c r="K141" s="1" t="str" cm="1">
        <f t="array" aca="1" ref="K141" ca="1">IF(INDIRECT(_xlfn.CONCAT("'",IF(ISNUMBER(FIND("'",$A141))=TRUE,_xlfn.CONCAT(LEFT($A141,FIND("'",$A141)-1),"''",RIGHT($A141,LEN($A141)-FIND("'",$A141))),$A141),"'!B4"))&gt;=K$2,"d",IF(INDIRECT(_xlfn.CONCAT("'",IF(ISNUMBER(FIND("'",$A141))=TRUE,_xlfn.CONCAT(LEFT($A141,FIND("'",$A141)-1),"''",RIGHT($A141,LEN($A141)-FIND("'",$A141))),$A141),"'!B5"))&gt;=K$2,"i",""))</f>
        <v>d</v>
      </c>
      <c r="L141" s="1" t="str" cm="1">
        <f t="array" aca="1" ref="L141" ca="1">IF(INDIRECT(_xlfn.CONCAT("'",IF(ISNUMBER(FIND("'",$A141))=TRUE,_xlfn.CONCAT(LEFT($A141,FIND("'",$A141)-1),"''",RIGHT($A141,LEN($A141)-FIND("'",$A141))),$A141),"'!B4"))&gt;=L$2,"d",IF(INDIRECT(_xlfn.CONCAT("'",IF(ISNUMBER(FIND("'",$A141))=TRUE,_xlfn.CONCAT(LEFT($A141,FIND("'",$A141)-1),"''",RIGHT($A141,LEN($A141)-FIND("'",$A141))),$A141),"'!B5"))&gt;=L$2,"i",""))</f>
        <v>d</v>
      </c>
      <c r="M141" s="4" t="str" cm="1">
        <f t="array" aca="1" ref="M141" ca="1">IF(INDIRECT(_xlfn.CONCAT("'",IF(ISNUMBER(FIND("'",$A141))=TRUE,_xlfn.CONCAT(LEFT($A141,FIND("'",$A141)-1),"''",RIGHT($A141,LEN($A141)-FIND("'",$A141))),$A141),"'!B4"))&gt;=M$2,"d",IF(INDIRECT(_xlfn.CONCAT("'",IF(ISNUMBER(FIND("'",$A141))=TRUE,_xlfn.CONCAT(LEFT($A141,FIND("'",$A141)-1),"''",RIGHT($A141,LEN($A141)-FIND("'",$A141))),$A141),"'!B5"))&gt;=M$2,"i",""))</f>
        <v>d</v>
      </c>
      <c r="N141" s="95"/>
      <c r="O141" s="14" t="str" cm="1">
        <f t="array" aca="1" ref="O141" ca="1">IF(INDIRECT(_xlfn.CONCAT("'",IF(ISNUMBER(FIND("'",$A141))=TRUE,_xlfn.CONCAT(LEFT($A141,FIND("'",$A141)-1),"''",RIGHT($A141,LEN($A141)-FIND("'",$A141))),$A141),"'!C10"))&gt;=O$2,"d",IF(INDIRECT(_xlfn.CONCAT("'",IF(ISNUMBER(FIND("'",$A141))=TRUE,_xlfn.CONCAT(LEFT($A141,FIND("'",$A141)-1),"''",RIGHT($A141,LEN($A141)-FIND("'",$A141))),$A141),"'!C11"))&gt;=O$2,"i",""))</f>
        <v>d</v>
      </c>
      <c r="P141" s="1" t="str" cm="1">
        <f t="array" aca="1" ref="P141" ca="1">IF(INDIRECT(_xlfn.CONCAT("'",IF(ISNUMBER(FIND("'",$A141))=TRUE,_xlfn.CONCAT(LEFT($A141,FIND("'",$A141)-1),"''",RIGHT($A141,LEN($A141)-FIND("'",$A141))),$A141),"'!C10"))&gt;=P$2,"d",IF(INDIRECT(_xlfn.CONCAT("'",IF(ISNUMBER(FIND("'",$A141))=TRUE,_xlfn.CONCAT(LEFT($A141,FIND("'",$A141)-1),"''",RIGHT($A141,LEN($A141)-FIND("'",$A141))),$A141),"'!C11"))&gt;=P$2,"i",""))</f>
        <v>d</v>
      </c>
      <c r="Q141" s="1" t="str" cm="1">
        <f t="array" aca="1" ref="Q141" ca="1">IF(INDIRECT(_xlfn.CONCAT("'",IF(ISNUMBER(FIND("'",$A141))=TRUE,_xlfn.CONCAT(LEFT($A141,FIND("'",$A141)-1),"''",RIGHT($A141,LEN($A141)-FIND("'",$A141))),$A141),"'!C10"))&gt;=Q$2,"d",IF(INDIRECT(_xlfn.CONCAT("'",IF(ISNUMBER(FIND("'",$A141))=TRUE,_xlfn.CONCAT(LEFT($A141,FIND("'",$A141)-1),"''",RIGHT($A141,LEN($A141)-FIND("'",$A141))),$A141),"'!C11"))&gt;=Q$2,"i",""))</f>
        <v>d</v>
      </c>
      <c r="R141" s="1" t="str" cm="1">
        <f t="array" aca="1" ref="R141" ca="1">IF(INDIRECT(_xlfn.CONCAT("'",IF(ISNUMBER(FIND("'",$A141))=TRUE,_xlfn.CONCAT(LEFT($A141,FIND("'",$A141)-1),"''",RIGHT($A141,LEN($A141)-FIND("'",$A141))),$A141),"'!C10"))&gt;=R$2,"d",IF(INDIRECT(_xlfn.CONCAT("'",IF(ISNUMBER(FIND("'",$A141))=TRUE,_xlfn.CONCAT(LEFT($A141,FIND("'",$A141)-1),"''",RIGHT($A141,LEN($A141)-FIND("'",$A141))),$A141),"'!C11"))&gt;=R$2,"i",""))</f>
        <v>d</v>
      </c>
      <c r="S141" s="1" t="str" cm="1">
        <f t="array" aca="1" ref="S141" ca="1">IF(INDIRECT(_xlfn.CONCAT("'",IF(ISNUMBER(FIND("'",$A141))=TRUE,_xlfn.CONCAT(LEFT($A141,FIND("'",$A141)-1),"''",RIGHT($A141,LEN($A141)-FIND("'",$A141))),$A141),"'!C10"))&gt;=S$2,"d",IF(INDIRECT(_xlfn.CONCAT("'",IF(ISNUMBER(FIND("'",$A141))=TRUE,_xlfn.CONCAT(LEFT($A141,FIND("'",$A141)-1),"''",RIGHT($A141,LEN($A141)-FIND("'",$A141))),$A141),"'!C11"))&gt;=S$2,"i",""))</f>
        <v>d</v>
      </c>
      <c r="T141" s="4" t="str" cm="1">
        <f t="array" aca="1" ref="T141" ca="1">IF(INDIRECT(_xlfn.CONCAT("'",IF(ISNUMBER(FIND("'",$A141))=TRUE,_xlfn.CONCAT(LEFT($A141,FIND("'",$A141)-1),"''",RIGHT($A141,LEN($A141)-FIND("'",$A141))),$A141),"'!C10"))&gt;=T$2,"d",IF(INDIRECT(_xlfn.CONCAT("'",IF(ISNUMBER(FIND("'",$A141))=TRUE,_xlfn.CONCAT(LEFT($A141,FIND("'",$A141)-1),"''",RIGHT($A141,LEN($A141)-FIND("'",$A141))),$A141),"'!C11"))&gt;=T$2,"i",""))</f>
        <v>d</v>
      </c>
    </row>
    <row r="142" spans="1:20" hidden="1" x14ac:dyDescent="0.25">
      <c r="A142" s="54" t="str">
        <v>Missive Windspear</v>
      </c>
      <c r="B142" s="14" cm="1">
        <f t="array" ref="B142">_xlfn.XLOOKUP(A142,INDEX(Weapon_List,,1),INDEX(Weapon_List,,3),,0,1)</f>
        <v>4</v>
      </c>
      <c r="C142" s="4" t="str" cm="1">
        <f t="array" ref="C142">_xlfn.XLOOKUP(A142,INDEX(Weapon_List,,1),INDEX(Weapon_List,,2),,0,1)</f>
        <v>Polearm</v>
      </c>
      <c r="D142" s="38" t="str" cm="1">
        <f t="array" ref="D142">_xlfn.XLOOKUP(A142,INDEX(Weapon_List,,1),INDEX(Weapon_List,,4),,0,1)</f>
        <v>Mondstadt 2</v>
      </c>
      <c r="E142" s="38" t="str" cm="1">
        <f t="array" ref="E142">_xlfn.XLOOKUP(A142,INDEX(Weapon_List,,1),INDEX(Weapon_List,,5),,0,1)</f>
        <v>Slime</v>
      </c>
      <c r="F142" s="38" t="str" cm="1">
        <f t="array" ref="F142">_xlfn.XLOOKUP(A142,INDEX(Weapon_List,,1),INDEX(Weapon_List,,6),,0,1)</f>
        <v>Shadowy Husk</v>
      </c>
      <c r="G142" s="14" t="str" cm="1">
        <f t="array" aca="1" ref="G142" ca="1">IF(INDIRECT(_xlfn.CONCAT("'",IF(ISNUMBER(FIND("'",$A142))=TRUE,_xlfn.CONCAT(LEFT($A142,FIND("'",$A142)-1),"''",RIGHT($A142,LEN($A142)-FIND("'",$A142))),$A142),"'!B4"))&gt;=G$2,"d",IF(INDIRECT(_xlfn.CONCAT("'",IF(ISNUMBER(FIND("'",$A142))=TRUE,_xlfn.CONCAT(LEFT($A142,FIND("'",$A142)-1),"''",RIGHT($A142,LEN($A142)-FIND("'",$A142))),$A142),"'!B5"))&gt;=G$2,"i",""))</f>
        <v>d</v>
      </c>
      <c r="H142" s="1" t="str" cm="1">
        <f t="array" aca="1" ref="H142" ca="1">IF(INDIRECT(_xlfn.CONCAT("'",IF(ISNUMBER(FIND("'",$A142))=TRUE,_xlfn.CONCAT(LEFT($A142,FIND("'",$A142)-1),"''",RIGHT($A142,LEN($A142)-FIND("'",$A142))),$A142),"'!B4"))&gt;=H$2,"d",IF(INDIRECT(_xlfn.CONCAT("'",IF(ISNUMBER(FIND("'",$A142))=TRUE,_xlfn.CONCAT(LEFT($A142,FIND("'",$A142)-1),"''",RIGHT($A142,LEN($A142)-FIND("'",$A142))),$A142),"'!B5"))&gt;=H$2,"i",""))</f>
        <v>d</v>
      </c>
      <c r="I142" s="1" t="str" cm="1">
        <f t="array" aca="1" ref="I142" ca="1">IF(INDIRECT(_xlfn.CONCAT("'",IF(ISNUMBER(FIND("'",$A142))=TRUE,_xlfn.CONCAT(LEFT($A142,FIND("'",$A142)-1),"''",RIGHT($A142,LEN($A142)-FIND("'",$A142))),$A142),"'!B4"))&gt;=I$2,"d",IF(INDIRECT(_xlfn.CONCAT("'",IF(ISNUMBER(FIND("'",$A142))=TRUE,_xlfn.CONCAT(LEFT($A142,FIND("'",$A142)-1),"''",RIGHT($A142,LEN($A142)-FIND("'",$A142))),$A142),"'!B5"))&gt;=I$2,"i",""))</f>
        <v>d</v>
      </c>
      <c r="J142" s="1" t="str" cm="1">
        <f t="array" aca="1" ref="J142" ca="1">IF(INDIRECT(_xlfn.CONCAT("'",IF(ISNUMBER(FIND("'",$A142))=TRUE,_xlfn.CONCAT(LEFT($A142,FIND("'",$A142)-1),"''",RIGHT($A142,LEN($A142)-FIND("'",$A142))),$A142),"'!B4"))&gt;=J$2,"d",IF(INDIRECT(_xlfn.CONCAT("'",IF(ISNUMBER(FIND("'",$A142))=TRUE,_xlfn.CONCAT(LEFT($A142,FIND("'",$A142)-1),"''",RIGHT($A142,LEN($A142)-FIND("'",$A142))),$A142),"'!B5"))&gt;=J$2,"i",""))</f>
        <v>d</v>
      </c>
      <c r="K142" s="1" t="str" cm="1">
        <f t="array" aca="1" ref="K142" ca="1">IF(INDIRECT(_xlfn.CONCAT("'",IF(ISNUMBER(FIND("'",$A142))=TRUE,_xlfn.CONCAT(LEFT($A142,FIND("'",$A142)-1),"''",RIGHT($A142,LEN($A142)-FIND("'",$A142))),$A142),"'!B4"))&gt;=K$2,"d",IF(INDIRECT(_xlfn.CONCAT("'",IF(ISNUMBER(FIND("'",$A142))=TRUE,_xlfn.CONCAT(LEFT($A142,FIND("'",$A142)-1),"''",RIGHT($A142,LEN($A142)-FIND("'",$A142))),$A142),"'!B5"))&gt;=K$2,"i",""))</f>
        <v>d</v>
      </c>
      <c r="L142" s="1" t="str" cm="1">
        <f t="array" aca="1" ref="L142" ca="1">IF(INDIRECT(_xlfn.CONCAT("'",IF(ISNUMBER(FIND("'",$A142))=TRUE,_xlfn.CONCAT(LEFT($A142,FIND("'",$A142)-1),"''",RIGHT($A142,LEN($A142)-FIND("'",$A142))),$A142),"'!B4"))&gt;=L$2,"d",IF(INDIRECT(_xlfn.CONCAT("'",IF(ISNUMBER(FIND("'",$A142))=TRUE,_xlfn.CONCAT(LEFT($A142,FIND("'",$A142)-1),"''",RIGHT($A142,LEN($A142)-FIND("'",$A142))),$A142),"'!B5"))&gt;=L$2,"i",""))</f>
        <v>d</v>
      </c>
      <c r="M142" s="4" t="str" cm="1">
        <f t="array" aca="1" ref="M142" ca="1">IF(INDIRECT(_xlfn.CONCAT("'",IF(ISNUMBER(FIND("'",$A142))=TRUE,_xlfn.CONCAT(LEFT($A142,FIND("'",$A142)-1),"''",RIGHT($A142,LEN($A142)-FIND("'",$A142))),$A142),"'!B4"))&gt;=M$2,"d",IF(INDIRECT(_xlfn.CONCAT("'",IF(ISNUMBER(FIND("'",$A142))=TRUE,_xlfn.CONCAT(LEFT($A142,FIND("'",$A142)-1),"''",RIGHT($A142,LEN($A142)-FIND("'",$A142))),$A142),"'!B5"))&gt;=M$2,"i",""))</f>
        <v>d</v>
      </c>
      <c r="N142" s="95"/>
      <c r="O142" s="14" t="str" cm="1">
        <f t="array" aca="1" ref="O142" ca="1">IF(INDIRECT(_xlfn.CONCAT("'",IF(ISNUMBER(FIND("'",$A142))=TRUE,_xlfn.CONCAT(LEFT($A142,FIND("'",$A142)-1),"''",RIGHT($A142,LEN($A142)-FIND("'",$A142))),$A142),"'!C10"))&gt;=O$2,"d",IF(INDIRECT(_xlfn.CONCAT("'",IF(ISNUMBER(FIND("'",$A142))=TRUE,_xlfn.CONCAT(LEFT($A142,FIND("'",$A142)-1),"''",RIGHT($A142,LEN($A142)-FIND("'",$A142))),$A142),"'!C11"))&gt;=O$2,"i",""))</f>
        <v>d</v>
      </c>
      <c r="P142" s="1" t="str" cm="1">
        <f t="array" aca="1" ref="P142" ca="1">IF(INDIRECT(_xlfn.CONCAT("'",IF(ISNUMBER(FIND("'",$A142))=TRUE,_xlfn.CONCAT(LEFT($A142,FIND("'",$A142)-1),"''",RIGHT($A142,LEN($A142)-FIND("'",$A142))),$A142),"'!C10"))&gt;=P$2,"d",IF(INDIRECT(_xlfn.CONCAT("'",IF(ISNUMBER(FIND("'",$A142))=TRUE,_xlfn.CONCAT(LEFT($A142,FIND("'",$A142)-1),"''",RIGHT($A142,LEN($A142)-FIND("'",$A142))),$A142),"'!C11"))&gt;=P$2,"i",""))</f>
        <v>d</v>
      </c>
      <c r="Q142" s="1" t="str" cm="1">
        <f t="array" aca="1" ref="Q142" ca="1">IF(INDIRECT(_xlfn.CONCAT("'",IF(ISNUMBER(FIND("'",$A142))=TRUE,_xlfn.CONCAT(LEFT($A142,FIND("'",$A142)-1),"''",RIGHT($A142,LEN($A142)-FIND("'",$A142))),$A142),"'!C10"))&gt;=Q$2,"d",IF(INDIRECT(_xlfn.CONCAT("'",IF(ISNUMBER(FIND("'",$A142))=TRUE,_xlfn.CONCAT(LEFT($A142,FIND("'",$A142)-1),"''",RIGHT($A142,LEN($A142)-FIND("'",$A142))),$A142),"'!C11"))&gt;=Q$2,"i",""))</f>
        <v>d</v>
      </c>
      <c r="R142" s="1" t="str" cm="1">
        <f t="array" aca="1" ref="R142" ca="1">IF(INDIRECT(_xlfn.CONCAT("'",IF(ISNUMBER(FIND("'",$A142))=TRUE,_xlfn.CONCAT(LEFT($A142,FIND("'",$A142)-1),"''",RIGHT($A142,LEN($A142)-FIND("'",$A142))),$A142),"'!C10"))&gt;=R$2,"d",IF(INDIRECT(_xlfn.CONCAT("'",IF(ISNUMBER(FIND("'",$A142))=TRUE,_xlfn.CONCAT(LEFT($A142,FIND("'",$A142)-1),"''",RIGHT($A142,LEN($A142)-FIND("'",$A142))),$A142),"'!C11"))&gt;=R$2,"i",""))</f>
        <v>d</v>
      </c>
      <c r="S142" s="1" t="str" cm="1">
        <f t="array" aca="1" ref="S142" ca="1">IF(INDIRECT(_xlfn.CONCAT("'",IF(ISNUMBER(FIND("'",$A142))=TRUE,_xlfn.CONCAT(LEFT($A142,FIND("'",$A142)-1),"''",RIGHT($A142,LEN($A142)-FIND("'",$A142))),$A142),"'!C10"))&gt;=S$2,"d",IF(INDIRECT(_xlfn.CONCAT("'",IF(ISNUMBER(FIND("'",$A142))=TRUE,_xlfn.CONCAT(LEFT($A142,FIND("'",$A142)-1),"''",RIGHT($A142,LEN($A142)-FIND("'",$A142))),$A142),"'!C11"))&gt;=S$2,"i",""))</f>
        <v>d</v>
      </c>
      <c r="T142" s="4" t="str" cm="1">
        <f t="array" aca="1" ref="T142" ca="1">IF(INDIRECT(_xlfn.CONCAT("'",IF(ISNUMBER(FIND("'",$A142))=TRUE,_xlfn.CONCAT(LEFT($A142,FIND("'",$A142)-1),"''",RIGHT($A142,LEN($A142)-FIND("'",$A142))),$A142),"'!C10"))&gt;=T$2,"d",IF(INDIRECT(_xlfn.CONCAT("'",IF(ISNUMBER(FIND("'",$A142))=TRUE,_xlfn.CONCAT(LEFT($A142,FIND("'",$A142)-1),"''",RIGHT($A142,LEN($A142)-FIND("'",$A142))),$A142),"'!C11"))&gt;=T$2,"i",""))</f>
        <v>d</v>
      </c>
    </row>
    <row r="143" spans="1:20" hidden="1" x14ac:dyDescent="0.25">
      <c r="A143" s="54" t="str">
        <v>Staff of the Scarlet Sands</v>
      </c>
      <c r="B143" s="14" cm="1">
        <f t="array" ref="B143">_xlfn.XLOOKUP(A143,INDEX(Weapon_List,,1),INDEX(Weapon_List,,3),,0,1)</f>
        <v>5</v>
      </c>
      <c r="C143" s="4" t="str" cm="1">
        <f t="array" ref="C143">_xlfn.XLOOKUP(A143,INDEX(Weapon_List,,1),INDEX(Weapon_List,,2),,0,1)</f>
        <v>Polearm</v>
      </c>
      <c r="D143" s="38" t="str" cm="1">
        <f t="array" ref="D143">_xlfn.XLOOKUP(A143,INDEX(Weapon_List,,1),INDEX(Weapon_List,,4),,0,1)</f>
        <v>Sumeru 2</v>
      </c>
      <c r="E143" s="38" t="str" cm="1">
        <f t="array" ref="E143">_xlfn.XLOOKUP(A143,INDEX(Weapon_List,,1),INDEX(Weapon_List,,5),,0,1)</f>
        <v>Floating Fungi</v>
      </c>
      <c r="F143" s="38" t="str" cm="1">
        <f t="array" ref="F143">_xlfn.XLOOKUP(A143,INDEX(Weapon_List,,1),INDEX(Weapon_List,,6),,0,1)</f>
        <v>Ruin Machine 3</v>
      </c>
      <c r="G143" s="14" t="str" cm="1">
        <f t="array" aca="1" ref="G143" ca="1">IF(INDIRECT(_xlfn.CONCAT("'",IF(ISNUMBER(FIND("'",$A143))=TRUE,_xlfn.CONCAT(LEFT($A143,FIND("'",$A143)-1),"''",RIGHT($A143,LEN($A143)-FIND("'",$A143))),$A143),"'!B4"))&gt;=G$2,"d",IF(INDIRECT(_xlfn.CONCAT("'",IF(ISNUMBER(FIND("'",$A143))=TRUE,_xlfn.CONCAT(LEFT($A143,FIND("'",$A143)-1),"''",RIGHT($A143,LEN($A143)-FIND("'",$A143))),$A143),"'!B5"))&gt;=G$2,"i",""))</f>
        <v>d</v>
      </c>
      <c r="H143" s="1" t="str" cm="1">
        <f t="array" aca="1" ref="H143" ca="1">IF(INDIRECT(_xlfn.CONCAT("'",IF(ISNUMBER(FIND("'",$A143))=TRUE,_xlfn.CONCAT(LEFT($A143,FIND("'",$A143)-1),"''",RIGHT($A143,LEN($A143)-FIND("'",$A143))),$A143),"'!B4"))&gt;=H$2,"d",IF(INDIRECT(_xlfn.CONCAT("'",IF(ISNUMBER(FIND("'",$A143))=TRUE,_xlfn.CONCAT(LEFT($A143,FIND("'",$A143)-1),"''",RIGHT($A143,LEN($A143)-FIND("'",$A143))),$A143),"'!B5"))&gt;=H$2,"i",""))</f>
        <v>d</v>
      </c>
      <c r="I143" s="1" t="str" cm="1">
        <f t="array" aca="1" ref="I143" ca="1">IF(INDIRECT(_xlfn.CONCAT("'",IF(ISNUMBER(FIND("'",$A143))=TRUE,_xlfn.CONCAT(LEFT($A143,FIND("'",$A143)-1),"''",RIGHT($A143,LEN($A143)-FIND("'",$A143))),$A143),"'!B4"))&gt;=I$2,"d",IF(INDIRECT(_xlfn.CONCAT("'",IF(ISNUMBER(FIND("'",$A143))=TRUE,_xlfn.CONCAT(LEFT($A143,FIND("'",$A143)-1),"''",RIGHT($A143,LEN($A143)-FIND("'",$A143))),$A143),"'!B5"))&gt;=I$2,"i",""))</f>
        <v>d</v>
      </c>
      <c r="J143" s="1" t="str" cm="1">
        <f t="array" aca="1" ref="J143" ca="1">IF(INDIRECT(_xlfn.CONCAT("'",IF(ISNUMBER(FIND("'",$A143))=TRUE,_xlfn.CONCAT(LEFT($A143,FIND("'",$A143)-1),"''",RIGHT($A143,LEN($A143)-FIND("'",$A143))),$A143),"'!B4"))&gt;=J$2,"d",IF(INDIRECT(_xlfn.CONCAT("'",IF(ISNUMBER(FIND("'",$A143))=TRUE,_xlfn.CONCAT(LEFT($A143,FIND("'",$A143)-1),"''",RIGHT($A143,LEN($A143)-FIND("'",$A143))),$A143),"'!B5"))&gt;=J$2,"i",""))</f>
        <v>d</v>
      </c>
      <c r="K143" s="1" t="str" cm="1">
        <f t="array" aca="1" ref="K143" ca="1">IF(INDIRECT(_xlfn.CONCAT("'",IF(ISNUMBER(FIND("'",$A143))=TRUE,_xlfn.CONCAT(LEFT($A143,FIND("'",$A143)-1),"''",RIGHT($A143,LEN($A143)-FIND("'",$A143))),$A143),"'!B4"))&gt;=K$2,"d",IF(INDIRECT(_xlfn.CONCAT("'",IF(ISNUMBER(FIND("'",$A143))=TRUE,_xlfn.CONCAT(LEFT($A143,FIND("'",$A143)-1),"''",RIGHT($A143,LEN($A143)-FIND("'",$A143))),$A143),"'!B5"))&gt;=K$2,"i",""))</f>
        <v>d</v>
      </c>
      <c r="L143" s="1" t="str" cm="1">
        <f t="array" aca="1" ref="L143" ca="1">IF(INDIRECT(_xlfn.CONCAT("'",IF(ISNUMBER(FIND("'",$A143))=TRUE,_xlfn.CONCAT(LEFT($A143,FIND("'",$A143)-1),"''",RIGHT($A143,LEN($A143)-FIND("'",$A143))),$A143),"'!B4"))&gt;=L$2,"d",IF(INDIRECT(_xlfn.CONCAT("'",IF(ISNUMBER(FIND("'",$A143))=TRUE,_xlfn.CONCAT(LEFT($A143,FIND("'",$A143)-1),"''",RIGHT($A143,LEN($A143)-FIND("'",$A143))),$A143),"'!B5"))&gt;=L$2,"i",""))</f>
        <v>d</v>
      </c>
      <c r="M143" s="4" t="str" cm="1">
        <f t="array" aca="1" ref="M143" ca="1">IF(INDIRECT(_xlfn.CONCAT("'",IF(ISNUMBER(FIND("'",$A143))=TRUE,_xlfn.CONCAT(LEFT($A143,FIND("'",$A143)-1),"''",RIGHT($A143,LEN($A143)-FIND("'",$A143))),$A143),"'!B4"))&gt;=M$2,"d",IF(INDIRECT(_xlfn.CONCAT("'",IF(ISNUMBER(FIND("'",$A143))=TRUE,_xlfn.CONCAT(LEFT($A143,FIND("'",$A143)-1),"''",RIGHT($A143,LEN($A143)-FIND("'",$A143))),$A143),"'!B5"))&gt;=M$2,"i",""))</f>
        <v>d</v>
      </c>
      <c r="N143" s="95"/>
      <c r="O143" s="14" t="str" cm="1">
        <f t="array" aca="1" ref="O143" ca="1">IF(INDIRECT(_xlfn.CONCAT("'",IF(ISNUMBER(FIND("'",$A143))=TRUE,_xlfn.CONCAT(LEFT($A143,FIND("'",$A143)-1),"''",RIGHT($A143,LEN($A143)-FIND("'",$A143))),$A143),"'!C10"))&gt;=O$2,"d",IF(INDIRECT(_xlfn.CONCAT("'",IF(ISNUMBER(FIND("'",$A143))=TRUE,_xlfn.CONCAT(LEFT($A143,FIND("'",$A143)-1),"''",RIGHT($A143,LEN($A143)-FIND("'",$A143))),$A143),"'!C11"))&gt;=O$2,"i",""))</f>
        <v>d</v>
      </c>
      <c r="P143" s="1" t="str" cm="1">
        <f t="array" aca="1" ref="P143" ca="1">IF(INDIRECT(_xlfn.CONCAT("'",IF(ISNUMBER(FIND("'",$A143))=TRUE,_xlfn.CONCAT(LEFT($A143,FIND("'",$A143)-1),"''",RIGHT($A143,LEN($A143)-FIND("'",$A143))),$A143),"'!C10"))&gt;=P$2,"d",IF(INDIRECT(_xlfn.CONCAT("'",IF(ISNUMBER(FIND("'",$A143))=TRUE,_xlfn.CONCAT(LEFT($A143,FIND("'",$A143)-1),"''",RIGHT($A143,LEN($A143)-FIND("'",$A143))),$A143),"'!C11"))&gt;=P$2,"i",""))</f>
        <v>d</v>
      </c>
      <c r="Q143" s="1" t="str" cm="1">
        <f t="array" aca="1" ref="Q143" ca="1">IF(INDIRECT(_xlfn.CONCAT("'",IF(ISNUMBER(FIND("'",$A143))=TRUE,_xlfn.CONCAT(LEFT($A143,FIND("'",$A143)-1),"''",RIGHT($A143,LEN($A143)-FIND("'",$A143))),$A143),"'!C10"))&gt;=Q$2,"d",IF(INDIRECT(_xlfn.CONCAT("'",IF(ISNUMBER(FIND("'",$A143))=TRUE,_xlfn.CONCAT(LEFT($A143,FIND("'",$A143)-1),"''",RIGHT($A143,LEN($A143)-FIND("'",$A143))),$A143),"'!C11"))&gt;=Q$2,"i",""))</f>
        <v>d</v>
      </c>
      <c r="R143" s="1" t="str" cm="1">
        <f t="array" aca="1" ref="R143" ca="1">IF(INDIRECT(_xlfn.CONCAT("'",IF(ISNUMBER(FIND("'",$A143))=TRUE,_xlfn.CONCAT(LEFT($A143,FIND("'",$A143)-1),"''",RIGHT($A143,LEN($A143)-FIND("'",$A143))),$A143),"'!C10"))&gt;=R$2,"d",IF(INDIRECT(_xlfn.CONCAT("'",IF(ISNUMBER(FIND("'",$A143))=TRUE,_xlfn.CONCAT(LEFT($A143,FIND("'",$A143)-1),"''",RIGHT($A143,LEN($A143)-FIND("'",$A143))),$A143),"'!C11"))&gt;=R$2,"i",""))</f>
        <v>d</v>
      </c>
      <c r="S143" s="1" t="str" cm="1">
        <f t="array" aca="1" ref="S143" ca="1">IF(INDIRECT(_xlfn.CONCAT("'",IF(ISNUMBER(FIND("'",$A143))=TRUE,_xlfn.CONCAT(LEFT($A143,FIND("'",$A143)-1),"''",RIGHT($A143,LEN($A143)-FIND("'",$A143))),$A143),"'!C10"))&gt;=S$2,"d",IF(INDIRECT(_xlfn.CONCAT("'",IF(ISNUMBER(FIND("'",$A143))=TRUE,_xlfn.CONCAT(LEFT($A143,FIND("'",$A143)-1),"''",RIGHT($A143,LEN($A143)-FIND("'",$A143))),$A143),"'!C11"))&gt;=S$2,"i",""))</f>
        <v>d</v>
      </c>
      <c r="T143" s="4" t="str" cm="1">
        <f t="array" aca="1" ref="T143" ca="1">IF(INDIRECT(_xlfn.CONCAT("'",IF(ISNUMBER(FIND("'",$A143))=TRUE,_xlfn.CONCAT(LEFT($A143,FIND("'",$A143)-1),"''",RIGHT($A143,LEN($A143)-FIND("'",$A143))),$A143),"'!C10"))&gt;=T$2,"d",IF(INDIRECT(_xlfn.CONCAT("'",IF(ISNUMBER(FIND("'",$A143))=TRUE,_xlfn.CONCAT(LEFT($A143,FIND("'",$A143)-1),"''",RIGHT($A143,LEN($A143)-FIND("'",$A143))),$A143),"'!C11"))&gt;=T$2,"i",""))</f>
        <v>d</v>
      </c>
    </row>
    <row r="144" spans="1:20" hidden="1" x14ac:dyDescent="0.25">
      <c r="A144" s="54" t="str">
        <v>Makhaira Aquamarine</v>
      </c>
      <c r="B144" s="14" cm="1">
        <f t="array" ref="B144">_xlfn.XLOOKUP(A144,INDEX(Weapon_List,,1),INDEX(Weapon_List,,3),,0,1)</f>
        <v>4</v>
      </c>
      <c r="C144" s="4" t="str" cm="1">
        <f t="array" ref="C144">_xlfn.XLOOKUP(A144,INDEX(Weapon_List,,1),INDEX(Weapon_List,,2),,0,1)</f>
        <v>Claymore</v>
      </c>
      <c r="D144" s="38" t="str" cm="1">
        <f t="array" ref="D144">_xlfn.XLOOKUP(A144,INDEX(Weapon_List,,1),INDEX(Weapon_List,,4),,0,1)</f>
        <v>Sumeru 3</v>
      </c>
      <c r="E144" s="38" t="str" cm="1">
        <f t="array" ref="E144">_xlfn.XLOOKUP(A144,INDEX(Weapon_List,,1),INDEX(Weapon_List,,5),,0,1)</f>
        <v>Treasure Hoarder</v>
      </c>
      <c r="F144" s="38" t="str" cm="1">
        <f t="array" ref="F144">_xlfn.XLOOKUP(A144,INDEX(Weapon_List,,1),INDEX(Weapon_List,,6),,0,1)</f>
        <v>Ruin Machine 3</v>
      </c>
      <c r="G144" s="14" t="str" cm="1">
        <f t="array" aca="1" ref="G144" ca="1">IF(INDIRECT(_xlfn.CONCAT("'",IF(ISNUMBER(FIND("'",$A144))=TRUE,_xlfn.CONCAT(LEFT($A144,FIND("'",$A144)-1),"''",RIGHT($A144,LEN($A144)-FIND("'",$A144))),$A144),"'!B4"))&gt;=G$2,"d",IF(INDIRECT(_xlfn.CONCAT("'",IF(ISNUMBER(FIND("'",$A144))=TRUE,_xlfn.CONCAT(LEFT($A144,FIND("'",$A144)-1),"''",RIGHT($A144,LEN($A144)-FIND("'",$A144))),$A144),"'!B5"))&gt;=G$2,"i",""))</f>
        <v>d</v>
      </c>
      <c r="H144" s="1" t="str" cm="1">
        <f t="array" aca="1" ref="H144" ca="1">IF(INDIRECT(_xlfn.CONCAT("'",IF(ISNUMBER(FIND("'",$A144))=TRUE,_xlfn.CONCAT(LEFT($A144,FIND("'",$A144)-1),"''",RIGHT($A144,LEN($A144)-FIND("'",$A144))),$A144),"'!B4"))&gt;=H$2,"d",IF(INDIRECT(_xlfn.CONCAT("'",IF(ISNUMBER(FIND("'",$A144))=TRUE,_xlfn.CONCAT(LEFT($A144,FIND("'",$A144)-1),"''",RIGHT($A144,LEN($A144)-FIND("'",$A144))),$A144),"'!B5"))&gt;=H$2,"i",""))</f>
        <v>d</v>
      </c>
      <c r="I144" s="1" t="str" cm="1">
        <f t="array" aca="1" ref="I144" ca="1">IF(INDIRECT(_xlfn.CONCAT("'",IF(ISNUMBER(FIND("'",$A144))=TRUE,_xlfn.CONCAT(LEFT($A144,FIND("'",$A144)-1),"''",RIGHT($A144,LEN($A144)-FIND("'",$A144))),$A144),"'!B4"))&gt;=I$2,"d",IF(INDIRECT(_xlfn.CONCAT("'",IF(ISNUMBER(FIND("'",$A144))=TRUE,_xlfn.CONCAT(LEFT($A144,FIND("'",$A144)-1),"''",RIGHT($A144,LEN($A144)-FIND("'",$A144))),$A144),"'!B5"))&gt;=I$2,"i",""))</f>
        <v>d</v>
      </c>
      <c r="J144" s="1" t="str" cm="1">
        <f t="array" aca="1" ref="J144" ca="1">IF(INDIRECT(_xlfn.CONCAT("'",IF(ISNUMBER(FIND("'",$A144))=TRUE,_xlfn.CONCAT(LEFT($A144,FIND("'",$A144)-1),"''",RIGHT($A144,LEN($A144)-FIND("'",$A144))),$A144),"'!B4"))&gt;=J$2,"d",IF(INDIRECT(_xlfn.CONCAT("'",IF(ISNUMBER(FIND("'",$A144))=TRUE,_xlfn.CONCAT(LEFT($A144,FIND("'",$A144)-1),"''",RIGHT($A144,LEN($A144)-FIND("'",$A144))),$A144),"'!B5"))&gt;=J$2,"i",""))</f>
        <v>d</v>
      </c>
      <c r="K144" s="1" t="str" cm="1">
        <f t="array" aca="1" ref="K144" ca="1">IF(INDIRECT(_xlfn.CONCAT("'",IF(ISNUMBER(FIND("'",$A144))=TRUE,_xlfn.CONCAT(LEFT($A144,FIND("'",$A144)-1),"''",RIGHT($A144,LEN($A144)-FIND("'",$A144))),$A144),"'!B4"))&gt;=K$2,"d",IF(INDIRECT(_xlfn.CONCAT("'",IF(ISNUMBER(FIND("'",$A144))=TRUE,_xlfn.CONCAT(LEFT($A144,FIND("'",$A144)-1),"''",RIGHT($A144,LEN($A144)-FIND("'",$A144))),$A144),"'!B5"))&gt;=K$2,"i",""))</f>
        <v>d</v>
      </c>
      <c r="L144" s="1" t="str" cm="1">
        <f t="array" aca="1" ref="L144" ca="1">IF(INDIRECT(_xlfn.CONCAT("'",IF(ISNUMBER(FIND("'",$A144))=TRUE,_xlfn.CONCAT(LEFT($A144,FIND("'",$A144)-1),"''",RIGHT($A144,LEN($A144)-FIND("'",$A144))),$A144),"'!B4"))&gt;=L$2,"d",IF(INDIRECT(_xlfn.CONCAT("'",IF(ISNUMBER(FIND("'",$A144))=TRUE,_xlfn.CONCAT(LEFT($A144,FIND("'",$A144)-1),"''",RIGHT($A144,LEN($A144)-FIND("'",$A144))),$A144),"'!B5"))&gt;=L$2,"i",""))</f>
        <v>d</v>
      </c>
      <c r="M144" s="4" t="str" cm="1">
        <f t="array" aca="1" ref="M144" ca="1">IF(INDIRECT(_xlfn.CONCAT("'",IF(ISNUMBER(FIND("'",$A144))=TRUE,_xlfn.CONCAT(LEFT($A144,FIND("'",$A144)-1),"''",RIGHT($A144,LEN($A144)-FIND("'",$A144))),$A144),"'!B4"))&gt;=M$2,"d",IF(INDIRECT(_xlfn.CONCAT("'",IF(ISNUMBER(FIND("'",$A144))=TRUE,_xlfn.CONCAT(LEFT($A144,FIND("'",$A144)-1),"''",RIGHT($A144,LEN($A144)-FIND("'",$A144))),$A144),"'!B5"))&gt;=M$2,"i",""))</f>
        <v>d</v>
      </c>
      <c r="N144" s="95"/>
      <c r="O144" s="14" t="str" cm="1">
        <f t="array" aca="1" ref="O144" ca="1">IF(INDIRECT(_xlfn.CONCAT("'",IF(ISNUMBER(FIND("'",$A144))=TRUE,_xlfn.CONCAT(LEFT($A144,FIND("'",$A144)-1),"''",RIGHT($A144,LEN($A144)-FIND("'",$A144))),$A144),"'!C10"))&gt;=O$2,"d",IF(INDIRECT(_xlfn.CONCAT("'",IF(ISNUMBER(FIND("'",$A144))=TRUE,_xlfn.CONCAT(LEFT($A144,FIND("'",$A144)-1),"''",RIGHT($A144,LEN($A144)-FIND("'",$A144))),$A144),"'!C11"))&gt;=O$2,"i",""))</f>
        <v>d</v>
      </c>
      <c r="P144" s="1" t="str" cm="1">
        <f t="array" aca="1" ref="P144" ca="1">IF(INDIRECT(_xlfn.CONCAT("'",IF(ISNUMBER(FIND("'",$A144))=TRUE,_xlfn.CONCAT(LEFT($A144,FIND("'",$A144)-1),"''",RIGHT($A144,LEN($A144)-FIND("'",$A144))),$A144),"'!C10"))&gt;=P$2,"d",IF(INDIRECT(_xlfn.CONCAT("'",IF(ISNUMBER(FIND("'",$A144))=TRUE,_xlfn.CONCAT(LEFT($A144,FIND("'",$A144)-1),"''",RIGHT($A144,LEN($A144)-FIND("'",$A144))),$A144),"'!C11"))&gt;=P$2,"i",""))</f>
        <v>d</v>
      </c>
      <c r="Q144" s="1" t="str" cm="1">
        <f t="array" aca="1" ref="Q144" ca="1">IF(INDIRECT(_xlfn.CONCAT("'",IF(ISNUMBER(FIND("'",$A144))=TRUE,_xlfn.CONCAT(LEFT($A144,FIND("'",$A144)-1),"''",RIGHT($A144,LEN($A144)-FIND("'",$A144))),$A144),"'!C10"))&gt;=Q$2,"d",IF(INDIRECT(_xlfn.CONCAT("'",IF(ISNUMBER(FIND("'",$A144))=TRUE,_xlfn.CONCAT(LEFT($A144,FIND("'",$A144)-1),"''",RIGHT($A144,LEN($A144)-FIND("'",$A144))),$A144),"'!C11"))&gt;=Q$2,"i",""))</f>
        <v>d</v>
      </c>
      <c r="R144" s="1" t="str" cm="1">
        <f t="array" aca="1" ref="R144" ca="1">IF(INDIRECT(_xlfn.CONCAT("'",IF(ISNUMBER(FIND("'",$A144))=TRUE,_xlfn.CONCAT(LEFT($A144,FIND("'",$A144)-1),"''",RIGHT($A144,LEN($A144)-FIND("'",$A144))),$A144),"'!C10"))&gt;=R$2,"d",IF(INDIRECT(_xlfn.CONCAT("'",IF(ISNUMBER(FIND("'",$A144))=TRUE,_xlfn.CONCAT(LEFT($A144,FIND("'",$A144)-1),"''",RIGHT($A144,LEN($A144)-FIND("'",$A144))),$A144),"'!C11"))&gt;=R$2,"i",""))</f>
        <v>d</v>
      </c>
      <c r="S144" s="1" t="str" cm="1">
        <f t="array" aca="1" ref="S144" ca="1">IF(INDIRECT(_xlfn.CONCAT("'",IF(ISNUMBER(FIND("'",$A144))=TRUE,_xlfn.CONCAT(LEFT($A144,FIND("'",$A144)-1),"''",RIGHT($A144,LEN($A144)-FIND("'",$A144))),$A144),"'!C10"))&gt;=S$2,"d",IF(INDIRECT(_xlfn.CONCAT("'",IF(ISNUMBER(FIND("'",$A144))=TRUE,_xlfn.CONCAT(LEFT($A144,FIND("'",$A144)-1),"''",RIGHT($A144,LEN($A144)-FIND("'",$A144))),$A144),"'!C11"))&gt;=S$2,"i",""))</f>
        <v>d</v>
      </c>
      <c r="T144" s="4" t="str" cm="1">
        <f t="array" aca="1" ref="T144" ca="1">IF(INDIRECT(_xlfn.CONCAT("'",IF(ISNUMBER(FIND("'",$A144))=TRUE,_xlfn.CONCAT(LEFT($A144,FIND("'",$A144)-1),"''",RIGHT($A144,LEN($A144)-FIND("'",$A144))),$A144),"'!C10"))&gt;=T$2,"d",IF(INDIRECT(_xlfn.CONCAT("'",IF(ISNUMBER(FIND("'",$A144))=TRUE,_xlfn.CONCAT(LEFT($A144,FIND("'",$A144)-1),"''",RIGHT($A144,LEN($A144)-FIND("'",$A144))),$A144),"'!C11"))&gt;=T$2,"i",""))</f>
        <v>d</v>
      </c>
    </row>
    <row r="145" spans="1:20" hidden="1" x14ac:dyDescent="0.25">
      <c r="A145" s="54" t="str">
        <v>Key of Khaj-Nisat</v>
      </c>
      <c r="B145" s="14" cm="1">
        <f t="array" ref="B145">_xlfn.XLOOKUP(A145,INDEX(Weapon_List,,1),INDEX(Weapon_List,,3),,0,1)</f>
        <v>5</v>
      </c>
      <c r="C145" s="4" t="str" cm="1">
        <f t="array" ref="C145">_xlfn.XLOOKUP(A145,INDEX(Weapon_List,,1),INDEX(Weapon_List,,2),,0,1)</f>
        <v>Sword</v>
      </c>
      <c r="D145" s="38" t="str" cm="1">
        <f t="array" ref="D145">_xlfn.XLOOKUP(A145,INDEX(Weapon_List,,1),INDEX(Weapon_List,,4),,0,1)</f>
        <v>Sumeru 1</v>
      </c>
      <c r="E145" s="38" t="str" cm="1">
        <f t="array" ref="E145">_xlfn.XLOOKUP(A145,INDEX(Weapon_List,,1),INDEX(Weapon_List,,5),,0,1)</f>
        <v>Eremite</v>
      </c>
      <c r="F145" s="38" t="str" cm="1">
        <f t="array" ref="F145">_xlfn.XLOOKUP(A145,INDEX(Weapon_List,,1),INDEX(Weapon_List,,6),,0,1)</f>
        <v>Primal Construct</v>
      </c>
      <c r="G145" s="14" t="str" cm="1">
        <f t="array" aca="1" ref="G145" ca="1">IF(INDIRECT(_xlfn.CONCAT("'",IF(ISNUMBER(FIND("'",$A145))=TRUE,_xlfn.CONCAT(LEFT($A145,FIND("'",$A145)-1),"''",RIGHT($A145,LEN($A145)-FIND("'",$A145))),$A145),"'!B4"))&gt;=G$2,"d",IF(INDIRECT(_xlfn.CONCAT("'",IF(ISNUMBER(FIND("'",$A145))=TRUE,_xlfn.CONCAT(LEFT($A145,FIND("'",$A145)-1),"''",RIGHT($A145,LEN($A145)-FIND("'",$A145))),$A145),"'!B5"))&gt;=G$2,"i",""))</f>
        <v>d</v>
      </c>
      <c r="H145" s="1" t="str" cm="1">
        <f t="array" aca="1" ref="H145" ca="1">IF(INDIRECT(_xlfn.CONCAT("'",IF(ISNUMBER(FIND("'",$A145))=TRUE,_xlfn.CONCAT(LEFT($A145,FIND("'",$A145)-1),"''",RIGHT($A145,LEN($A145)-FIND("'",$A145))),$A145),"'!B4"))&gt;=H$2,"d",IF(INDIRECT(_xlfn.CONCAT("'",IF(ISNUMBER(FIND("'",$A145))=TRUE,_xlfn.CONCAT(LEFT($A145,FIND("'",$A145)-1),"''",RIGHT($A145,LEN($A145)-FIND("'",$A145))),$A145),"'!B5"))&gt;=H$2,"i",""))</f>
        <v>d</v>
      </c>
      <c r="I145" s="1" t="str" cm="1">
        <f t="array" aca="1" ref="I145" ca="1">IF(INDIRECT(_xlfn.CONCAT("'",IF(ISNUMBER(FIND("'",$A145))=TRUE,_xlfn.CONCAT(LEFT($A145,FIND("'",$A145)-1),"''",RIGHT($A145,LEN($A145)-FIND("'",$A145))),$A145),"'!B4"))&gt;=I$2,"d",IF(INDIRECT(_xlfn.CONCAT("'",IF(ISNUMBER(FIND("'",$A145))=TRUE,_xlfn.CONCAT(LEFT($A145,FIND("'",$A145)-1),"''",RIGHT($A145,LEN($A145)-FIND("'",$A145))),$A145),"'!B5"))&gt;=I$2,"i",""))</f>
        <v>d</v>
      </c>
      <c r="J145" s="1" t="str" cm="1">
        <f t="array" aca="1" ref="J145" ca="1">IF(INDIRECT(_xlfn.CONCAT("'",IF(ISNUMBER(FIND("'",$A145))=TRUE,_xlfn.CONCAT(LEFT($A145,FIND("'",$A145)-1),"''",RIGHT($A145,LEN($A145)-FIND("'",$A145))),$A145),"'!B4"))&gt;=J$2,"d",IF(INDIRECT(_xlfn.CONCAT("'",IF(ISNUMBER(FIND("'",$A145))=TRUE,_xlfn.CONCAT(LEFT($A145,FIND("'",$A145)-1),"''",RIGHT($A145,LEN($A145)-FIND("'",$A145))),$A145),"'!B5"))&gt;=J$2,"i",""))</f>
        <v>d</v>
      </c>
      <c r="K145" s="1" t="str" cm="1">
        <f t="array" aca="1" ref="K145" ca="1">IF(INDIRECT(_xlfn.CONCAT("'",IF(ISNUMBER(FIND("'",$A145))=TRUE,_xlfn.CONCAT(LEFT($A145,FIND("'",$A145)-1),"''",RIGHT($A145,LEN($A145)-FIND("'",$A145))),$A145),"'!B4"))&gt;=K$2,"d",IF(INDIRECT(_xlfn.CONCAT("'",IF(ISNUMBER(FIND("'",$A145))=TRUE,_xlfn.CONCAT(LEFT($A145,FIND("'",$A145)-1),"''",RIGHT($A145,LEN($A145)-FIND("'",$A145))),$A145),"'!B5"))&gt;=K$2,"i",""))</f>
        <v>d</v>
      </c>
      <c r="L145" s="1" t="str" cm="1">
        <f t="array" aca="1" ref="L145" ca="1">IF(INDIRECT(_xlfn.CONCAT("'",IF(ISNUMBER(FIND("'",$A145))=TRUE,_xlfn.CONCAT(LEFT($A145,FIND("'",$A145)-1),"''",RIGHT($A145,LEN($A145)-FIND("'",$A145))),$A145),"'!B4"))&gt;=L$2,"d",IF(INDIRECT(_xlfn.CONCAT("'",IF(ISNUMBER(FIND("'",$A145))=TRUE,_xlfn.CONCAT(LEFT($A145,FIND("'",$A145)-1),"''",RIGHT($A145,LEN($A145)-FIND("'",$A145))),$A145),"'!B5"))&gt;=L$2,"i",""))</f>
        <v>d</v>
      </c>
      <c r="M145" s="4" t="str" cm="1">
        <f t="array" aca="1" ref="M145" ca="1">IF(INDIRECT(_xlfn.CONCAT("'",IF(ISNUMBER(FIND("'",$A145))=TRUE,_xlfn.CONCAT(LEFT($A145,FIND("'",$A145)-1),"''",RIGHT($A145,LEN($A145)-FIND("'",$A145))),$A145),"'!B4"))&gt;=M$2,"d",IF(INDIRECT(_xlfn.CONCAT("'",IF(ISNUMBER(FIND("'",$A145))=TRUE,_xlfn.CONCAT(LEFT($A145,FIND("'",$A145)-1),"''",RIGHT($A145,LEN($A145)-FIND("'",$A145))),$A145),"'!B5"))&gt;=M$2,"i",""))</f>
        <v>d</v>
      </c>
      <c r="N145" s="95"/>
      <c r="O145" s="14" t="str" cm="1">
        <f t="array" aca="1" ref="O145" ca="1">IF(INDIRECT(_xlfn.CONCAT("'",IF(ISNUMBER(FIND("'",$A145))=TRUE,_xlfn.CONCAT(LEFT($A145,FIND("'",$A145)-1),"''",RIGHT($A145,LEN($A145)-FIND("'",$A145))),$A145),"'!C10"))&gt;=O$2,"d",IF(INDIRECT(_xlfn.CONCAT("'",IF(ISNUMBER(FIND("'",$A145))=TRUE,_xlfn.CONCAT(LEFT($A145,FIND("'",$A145)-1),"''",RIGHT($A145,LEN($A145)-FIND("'",$A145))),$A145),"'!C11"))&gt;=O$2,"i",""))</f>
        <v>d</v>
      </c>
      <c r="P145" s="1" t="str" cm="1">
        <f t="array" aca="1" ref="P145" ca="1">IF(INDIRECT(_xlfn.CONCAT("'",IF(ISNUMBER(FIND("'",$A145))=TRUE,_xlfn.CONCAT(LEFT($A145,FIND("'",$A145)-1),"''",RIGHT($A145,LEN($A145)-FIND("'",$A145))),$A145),"'!C10"))&gt;=P$2,"d",IF(INDIRECT(_xlfn.CONCAT("'",IF(ISNUMBER(FIND("'",$A145))=TRUE,_xlfn.CONCAT(LEFT($A145,FIND("'",$A145)-1),"''",RIGHT($A145,LEN($A145)-FIND("'",$A145))),$A145),"'!C11"))&gt;=P$2,"i",""))</f>
        <v>d</v>
      </c>
      <c r="Q145" s="1" t="str" cm="1">
        <f t="array" aca="1" ref="Q145" ca="1">IF(INDIRECT(_xlfn.CONCAT("'",IF(ISNUMBER(FIND("'",$A145))=TRUE,_xlfn.CONCAT(LEFT($A145,FIND("'",$A145)-1),"''",RIGHT($A145,LEN($A145)-FIND("'",$A145))),$A145),"'!C10"))&gt;=Q$2,"d",IF(INDIRECT(_xlfn.CONCAT("'",IF(ISNUMBER(FIND("'",$A145))=TRUE,_xlfn.CONCAT(LEFT($A145,FIND("'",$A145)-1),"''",RIGHT($A145,LEN($A145)-FIND("'",$A145))),$A145),"'!C11"))&gt;=Q$2,"i",""))</f>
        <v>d</v>
      </c>
      <c r="R145" s="1" t="str" cm="1">
        <f t="array" aca="1" ref="R145" ca="1">IF(INDIRECT(_xlfn.CONCAT("'",IF(ISNUMBER(FIND("'",$A145))=TRUE,_xlfn.CONCAT(LEFT($A145,FIND("'",$A145)-1),"''",RIGHT($A145,LEN($A145)-FIND("'",$A145))),$A145),"'!C10"))&gt;=R$2,"d",IF(INDIRECT(_xlfn.CONCAT("'",IF(ISNUMBER(FIND("'",$A145))=TRUE,_xlfn.CONCAT(LEFT($A145,FIND("'",$A145)-1),"''",RIGHT($A145,LEN($A145)-FIND("'",$A145))),$A145),"'!C11"))&gt;=R$2,"i",""))</f>
        <v>d</v>
      </c>
      <c r="S145" s="1" t="str" cm="1">
        <f t="array" aca="1" ref="S145" ca="1">IF(INDIRECT(_xlfn.CONCAT("'",IF(ISNUMBER(FIND("'",$A145))=TRUE,_xlfn.CONCAT(LEFT($A145,FIND("'",$A145)-1),"''",RIGHT($A145,LEN($A145)-FIND("'",$A145))),$A145),"'!C10"))&gt;=S$2,"d",IF(INDIRECT(_xlfn.CONCAT("'",IF(ISNUMBER(FIND("'",$A145))=TRUE,_xlfn.CONCAT(LEFT($A145,FIND("'",$A145)-1),"''",RIGHT($A145,LEN($A145)-FIND("'",$A145))),$A145),"'!C11"))&gt;=S$2,"i",""))</f>
        <v>d</v>
      </c>
      <c r="T145" s="4" t="str" cm="1">
        <f t="array" aca="1" ref="T145" ca="1">IF(INDIRECT(_xlfn.CONCAT("'",IF(ISNUMBER(FIND("'",$A145))=TRUE,_xlfn.CONCAT(LEFT($A145,FIND("'",$A145)-1),"''",RIGHT($A145,LEN($A145)-FIND("'",$A145))),$A145),"'!C10"))&gt;=T$2,"d",IF(INDIRECT(_xlfn.CONCAT("'",IF(ISNUMBER(FIND("'",$A145))=TRUE,_xlfn.CONCAT(LEFT($A145,FIND("'",$A145)-1),"''",RIGHT($A145,LEN($A145)-FIND("'",$A145))),$A145),"'!C11"))&gt;=T$2,"i",""))</f>
        <v>d</v>
      </c>
    </row>
    <row r="146" spans="1:20" hidden="1" x14ac:dyDescent="0.25">
      <c r="A146" s="54" t="str">
        <v>Xiphos’ Moonlight</v>
      </c>
      <c r="B146" s="14" cm="1">
        <f t="array" ref="B146">_xlfn.XLOOKUP(A146,INDEX(Weapon_List,,1),INDEX(Weapon_List,,3),,0,1)</f>
        <v>4</v>
      </c>
      <c r="C146" s="4" t="str" cm="1">
        <f t="array" ref="C146">_xlfn.XLOOKUP(A146,INDEX(Weapon_List,,1),INDEX(Weapon_List,,2),,0,1)</f>
        <v>Sword</v>
      </c>
      <c r="D146" s="38" t="str" cm="1">
        <f t="array" ref="D146">_xlfn.XLOOKUP(A146,INDEX(Weapon_List,,1),INDEX(Weapon_List,,4),,0,1)</f>
        <v>Sumeru 1</v>
      </c>
      <c r="E146" s="38" t="str" cm="1">
        <f t="array" ref="E146">_xlfn.XLOOKUP(A146,INDEX(Weapon_List,,1),INDEX(Weapon_List,,5),,0,1)</f>
        <v>Eremite</v>
      </c>
      <c r="F146" s="38" t="str" cm="1">
        <f t="array" ref="F146">_xlfn.XLOOKUP(A146,INDEX(Weapon_List,,1),INDEX(Weapon_List,,6),,0,1)</f>
        <v>Primal Construct</v>
      </c>
      <c r="G146" s="14" t="str" cm="1">
        <f t="array" aca="1" ref="G146" ca="1">IF(INDIRECT(_xlfn.CONCAT("'",IF(ISNUMBER(FIND("'",$A146))=TRUE,_xlfn.CONCAT(LEFT($A146,FIND("'",$A146)-1),"''",RIGHT($A146,LEN($A146)-FIND("'",$A146))),$A146),"'!B4"))&gt;=G$2,"d",IF(INDIRECT(_xlfn.CONCAT("'",IF(ISNUMBER(FIND("'",$A146))=TRUE,_xlfn.CONCAT(LEFT($A146,FIND("'",$A146)-1),"''",RIGHT($A146,LEN($A146)-FIND("'",$A146))),$A146),"'!B5"))&gt;=G$2,"i",""))</f>
        <v>d</v>
      </c>
      <c r="H146" s="1" t="str" cm="1">
        <f t="array" aca="1" ref="H146" ca="1">IF(INDIRECT(_xlfn.CONCAT("'",IF(ISNUMBER(FIND("'",$A146))=TRUE,_xlfn.CONCAT(LEFT($A146,FIND("'",$A146)-1),"''",RIGHT($A146,LEN($A146)-FIND("'",$A146))),$A146),"'!B4"))&gt;=H$2,"d",IF(INDIRECT(_xlfn.CONCAT("'",IF(ISNUMBER(FIND("'",$A146))=TRUE,_xlfn.CONCAT(LEFT($A146,FIND("'",$A146)-1),"''",RIGHT($A146,LEN($A146)-FIND("'",$A146))),$A146),"'!B5"))&gt;=H$2,"i",""))</f>
        <v>d</v>
      </c>
      <c r="I146" s="1" t="str" cm="1">
        <f t="array" aca="1" ref="I146" ca="1">IF(INDIRECT(_xlfn.CONCAT("'",IF(ISNUMBER(FIND("'",$A146))=TRUE,_xlfn.CONCAT(LEFT($A146,FIND("'",$A146)-1),"''",RIGHT($A146,LEN($A146)-FIND("'",$A146))),$A146),"'!B4"))&gt;=I$2,"d",IF(INDIRECT(_xlfn.CONCAT("'",IF(ISNUMBER(FIND("'",$A146))=TRUE,_xlfn.CONCAT(LEFT($A146,FIND("'",$A146)-1),"''",RIGHT($A146,LEN($A146)-FIND("'",$A146))),$A146),"'!B5"))&gt;=I$2,"i",""))</f>
        <v>d</v>
      </c>
      <c r="J146" s="1" t="str" cm="1">
        <f t="array" aca="1" ref="J146" ca="1">IF(INDIRECT(_xlfn.CONCAT("'",IF(ISNUMBER(FIND("'",$A146))=TRUE,_xlfn.CONCAT(LEFT($A146,FIND("'",$A146)-1),"''",RIGHT($A146,LEN($A146)-FIND("'",$A146))),$A146),"'!B4"))&gt;=J$2,"d",IF(INDIRECT(_xlfn.CONCAT("'",IF(ISNUMBER(FIND("'",$A146))=TRUE,_xlfn.CONCAT(LEFT($A146,FIND("'",$A146)-1),"''",RIGHT($A146,LEN($A146)-FIND("'",$A146))),$A146),"'!B5"))&gt;=J$2,"i",""))</f>
        <v>d</v>
      </c>
      <c r="K146" s="1" t="str" cm="1">
        <f t="array" aca="1" ref="K146" ca="1">IF(INDIRECT(_xlfn.CONCAT("'",IF(ISNUMBER(FIND("'",$A146))=TRUE,_xlfn.CONCAT(LEFT($A146,FIND("'",$A146)-1),"''",RIGHT($A146,LEN($A146)-FIND("'",$A146))),$A146),"'!B4"))&gt;=K$2,"d",IF(INDIRECT(_xlfn.CONCAT("'",IF(ISNUMBER(FIND("'",$A146))=TRUE,_xlfn.CONCAT(LEFT($A146,FIND("'",$A146)-1),"''",RIGHT($A146,LEN($A146)-FIND("'",$A146))),$A146),"'!B5"))&gt;=K$2,"i",""))</f>
        <v>d</v>
      </c>
      <c r="L146" s="1" t="str" cm="1">
        <f t="array" aca="1" ref="L146" ca="1">IF(INDIRECT(_xlfn.CONCAT("'",IF(ISNUMBER(FIND("'",$A146))=TRUE,_xlfn.CONCAT(LEFT($A146,FIND("'",$A146)-1),"''",RIGHT($A146,LEN($A146)-FIND("'",$A146))),$A146),"'!B4"))&gt;=L$2,"d",IF(INDIRECT(_xlfn.CONCAT("'",IF(ISNUMBER(FIND("'",$A146))=TRUE,_xlfn.CONCAT(LEFT($A146,FIND("'",$A146)-1),"''",RIGHT($A146,LEN($A146)-FIND("'",$A146))),$A146),"'!B5"))&gt;=L$2,"i",""))</f>
        <v>d</v>
      </c>
      <c r="M146" s="4" t="str" cm="1">
        <f t="array" aca="1" ref="M146" ca="1">IF(INDIRECT(_xlfn.CONCAT("'",IF(ISNUMBER(FIND("'",$A146))=TRUE,_xlfn.CONCAT(LEFT($A146,FIND("'",$A146)-1),"''",RIGHT($A146,LEN($A146)-FIND("'",$A146))),$A146),"'!B4"))&gt;=M$2,"d",IF(INDIRECT(_xlfn.CONCAT("'",IF(ISNUMBER(FIND("'",$A146))=TRUE,_xlfn.CONCAT(LEFT($A146,FIND("'",$A146)-1),"''",RIGHT($A146,LEN($A146)-FIND("'",$A146))),$A146),"'!B5"))&gt;=M$2,"i",""))</f>
        <v>d</v>
      </c>
      <c r="N146" s="95"/>
      <c r="O146" s="14" t="str" cm="1">
        <f t="array" aca="1" ref="O146" ca="1">IF(INDIRECT(_xlfn.CONCAT("'",IF(ISNUMBER(FIND("'",$A146))=TRUE,_xlfn.CONCAT(LEFT($A146,FIND("'",$A146)-1),"''",RIGHT($A146,LEN($A146)-FIND("'",$A146))),$A146),"'!C10"))&gt;=O$2,"d",IF(INDIRECT(_xlfn.CONCAT("'",IF(ISNUMBER(FIND("'",$A146))=TRUE,_xlfn.CONCAT(LEFT($A146,FIND("'",$A146)-1),"''",RIGHT($A146,LEN($A146)-FIND("'",$A146))),$A146),"'!C11"))&gt;=O$2,"i",""))</f>
        <v>d</v>
      </c>
      <c r="P146" s="1" t="str" cm="1">
        <f t="array" aca="1" ref="P146" ca="1">IF(INDIRECT(_xlfn.CONCAT("'",IF(ISNUMBER(FIND("'",$A146))=TRUE,_xlfn.CONCAT(LEFT($A146,FIND("'",$A146)-1),"''",RIGHT($A146,LEN($A146)-FIND("'",$A146))),$A146),"'!C10"))&gt;=P$2,"d",IF(INDIRECT(_xlfn.CONCAT("'",IF(ISNUMBER(FIND("'",$A146))=TRUE,_xlfn.CONCAT(LEFT($A146,FIND("'",$A146)-1),"''",RIGHT($A146,LEN($A146)-FIND("'",$A146))),$A146),"'!C11"))&gt;=P$2,"i",""))</f>
        <v>d</v>
      </c>
      <c r="Q146" s="1" t="str" cm="1">
        <f t="array" aca="1" ref="Q146" ca="1">IF(INDIRECT(_xlfn.CONCAT("'",IF(ISNUMBER(FIND("'",$A146))=TRUE,_xlfn.CONCAT(LEFT($A146,FIND("'",$A146)-1),"''",RIGHT($A146,LEN($A146)-FIND("'",$A146))),$A146),"'!C10"))&gt;=Q$2,"d",IF(INDIRECT(_xlfn.CONCAT("'",IF(ISNUMBER(FIND("'",$A146))=TRUE,_xlfn.CONCAT(LEFT($A146,FIND("'",$A146)-1),"''",RIGHT($A146,LEN($A146)-FIND("'",$A146))),$A146),"'!C11"))&gt;=Q$2,"i",""))</f>
        <v>d</v>
      </c>
      <c r="R146" s="1" t="str" cm="1">
        <f t="array" aca="1" ref="R146" ca="1">IF(INDIRECT(_xlfn.CONCAT("'",IF(ISNUMBER(FIND("'",$A146))=TRUE,_xlfn.CONCAT(LEFT($A146,FIND("'",$A146)-1),"''",RIGHT($A146,LEN($A146)-FIND("'",$A146))),$A146),"'!C10"))&gt;=R$2,"d",IF(INDIRECT(_xlfn.CONCAT("'",IF(ISNUMBER(FIND("'",$A146))=TRUE,_xlfn.CONCAT(LEFT($A146,FIND("'",$A146)-1),"''",RIGHT($A146,LEN($A146)-FIND("'",$A146))),$A146),"'!C11"))&gt;=R$2,"i",""))</f>
        <v>d</v>
      </c>
      <c r="S146" s="1" t="str" cm="1">
        <f t="array" aca="1" ref="S146" ca="1">IF(INDIRECT(_xlfn.CONCAT("'",IF(ISNUMBER(FIND("'",$A146))=TRUE,_xlfn.CONCAT(LEFT($A146,FIND("'",$A146)-1),"''",RIGHT($A146,LEN($A146)-FIND("'",$A146))),$A146),"'!C10"))&gt;=S$2,"d",IF(INDIRECT(_xlfn.CONCAT("'",IF(ISNUMBER(FIND("'",$A146))=TRUE,_xlfn.CONCAT(LEFT($A146,FIND("'",$A146)-1),"''",RIGHT($A146,LEN($A146)-FIND("'",$A146))),$A146),"'!C11"))&gt;=S$2,"i",""))</f>
        <v>d</v>
      </c>
      <c r="T146" s="4" t="str" cm="1">
        <f t="array" aca="1" ref="T146" ca="1">IF(INDIRECT(_xlfn.CONCAT("'",IF(ISNUMBER(FIND("'",$A146))=TRUE,_xlfn.CONCAT(LEFT($A146,FIND("'",$A146)-1),"''",RIGHT($A146,LEN($A146)-FIND("'",$A146))),$A146),"'!C10"))&gt;=T$2,"d",IF(INDIRECT(_xlfn.CONCAT("'",IF(ISNUMBER(FIND("'",$A146))=TRUE,_xlfn.CONCAT(LEFT($A146,FIND("'",$A146)-1),"''",RIGHT($A146,LEN($A146)-FIND("'",$A146))),$A146),"'!C11"))&gt;=T$2,"i",""))</f>
        <v>d</v>
      </c>
    </row>
    <row r="147" spans="1:20" hidden="1" x14ac:dyDescent="0.25">
      <c r="A147" s="54" t="str">
        <v>Wandering Evenstar</v>
      </c>
      <c r="B147" s="14" cm="1">
        <f t="array" ref="B147">_xlfn.XLOOKUP(A147,INDEX(Weapon_List,,1),INDEX(Weapon_List,,3),,0,1)</f>
        <v>4</v>
      </c>
      <c r="C147" s="4" t="str" cm="1">
        <f t="array" ref="C147">_xlfn.XLOOKUP(A147,INDEX(Weapon_List,,1),INDEX(Weapon_List,,2),,0,1)</f>
        <v>Catalyst</v>
      </c>
      <c r="D147" s="38" t="str" cm="1">
        <f t="array" ref="D147">_xlfn.XLOOKUP(A147,INDEX(Weapon_List,,1),INDEX(Weapon_List,,4),,0,1)</f>
        <v>Sumeru 2</v>
      </c>
      <c r="E147" s="38" t="str" cm="1">
        <f t="array" ref="E147">_xlfn.XLOOKUP(A147,INDEX(Weapon_List,,1),INDEX(Weapon_List,,5),,0,1)</f>
        <v>Floating Fungi</v>
      </c>
      <c r="F147" s="38" t="str" cm="1">
        <f t="array" ref="F147">_xlfn.XLOOKUP(A147,INDEX(Weapon_List,,1),INDEX(Weapon_List,,6),,0,1)</f>
        <v>Activated Fungi</v>
      </c>
      <c r="G147" s="14" t="str" cm="1">
        <f t="array" aca="1" ref="G147" ca="1">IF(INDIRECT(_xlfn.CONCAT("'",IF(ISNUMBER(FIND("'",$A147))=TRUE,_xlfn.CONCAT(LEFT($A147,FIND("'",$A147)-1),"''",RIGHT($A147,LEN($A147)-FIND("'",$A147))),$A147),"'!B4"))&gt;=G$2,"d",IF(INDIRECT(_xlfn.CONCAT("'",IF(ISNUMBER(FIND("'",$A147))=TRUE,_xlfn.CONCAT(LEFT($A147,FIND("'",$A147)-1),"''",RIGHT($A147,LEN($A147)-FIND("'",$A147))),$A147),"'!B5"))&gt;=G$2,"i",""))</f>
        <v>d</v>
      </c>
      <c r="H147" s="1" t="str" cm="1">
        <f t="array" aca="1" ref="H147" ca="1">IF(INDIRECT(_xlfn.CONCAT("'",IF(ISNUMBER(FIND("'",$A147))=TRUE,_xlfn.CONCAT(LEFT($A147,FIND("'",$A147)-1),"''",RIGHT($A147,LEN($A147)-FIND("'",$A147))),$A147),"'!B4"))&gt;=H$2,"d",IF(INDIRECT(_xlfn.CONCAT("'",IF(ISNUMBER(FIND("'",$A147))=TRUE,_xlfn.CONCAT(LEFT($A147,FIND("'",$A147)-1),"''",RIGHT($A147,LEN($A147)-FIND("'",$A147))),$A147),"'!B5"))&gt;=H$2,"i",""))</f>
        <v>d</v>
      </c>
      <c r="I147" s="1" t="str" cm="1">
        <f t="array" aca="1" ref="I147" ca="1">IF(INDIRECT(_xlfn.CONCAT("'",IF(ISNUMBER(FIND("'",$A147))=TRUE,_xlfn.CONCAT(LEFT($A147,FIND("'",$A147)-1),"''",RIGHT($A147,LEN($A147)-FIND("'",$A147))),$A147),"'!B4"))&gt;=I$2,"d",IF(INDIRECT(_xlfn.CONCAT("'",IF(ISNUMBER(FIND("'",$A147))=TRUE,_xlfn.CONCAT(LEFT($A147,FIND("'",$A147)-1),"''",RIGHT($A147,LEN($A147)-FIND("'",$A147))),$A147),"'!B5"))&gt;=I$2,"i",""))</f>
        <v>d</v>
      </c>
      <c r="J147" s="1" t="str" cm="1">
        <f t="array" aca="1" ref="J147" ca="1">IF(INDIRECT(_xlfn.CONCAT("'",IF(ISNUMBER(FIND("'",$A147))=TRUE,_xlfn.CONCAT(LEFT($A147,FIND("'",$A147)-1),"''",RIGHT($A147,LEN($A147)-FIND("'",$A147))),$A147),"'!B4"))&gt;=J$2,"d",IF(INDIRECT(_xlfn.CONCAT("'",IF(ISNUMBER(FIND("'",$A147))=TRUE,_xlfn.CONCAT(LEFT($A147,FIND("'",$A147)-1),"''",RIGHT($A147,LEN($A147)-FIND("'",$A147))),$A147),"'!B5"))&gt;=J$2,"i",""))</f>
        <v>d</v>
      </c>
      <c r="K147" s="1" t="str" cm="1">
        <f t="array" aca="1" ref="K147" ca="1">IF(INDIRECT(_xlfn.CONCAT("'",IF(ISNUMBER(FIND("'",$A147))=TRUE,_xlfn.CONCAT(LEFT($A147,FIND("'",$A147)-1),"''",RIGHT($A147,LEN($A147)-FIND("'",$A147))),$A147),"'!B4"))&gt;=K$2,"d",IF(INDIRECT(_xlfn.CONCAT("'",IF(ISNUMBER(FIND("'",$A147))=TRUE,_xlfn.CONCAT(LEFT($A147,FIND("'",$A147)-1),"''",RIGHT($A147,LEN($A147)-FIND("'",$A147))),$A147),"'!B5"))&gt;=K$2,"i",""))</f>
        <v>d</v>
      </c>
      <c r="L147" s="1" t="str" cm="1">
        <f t="array" aca="1" ref="L147" ca="1">IF(INDIRECT(_xlfn.CONCAT("'",IF(ISNUMBER(FIND("'",$A147))=TRUE,_xlfn.CONCAT(LEFT($A147,FIND("'",$A147)-1),"''",RIGHT($A147,LEN($A147)-FIND("'",$A147))),$A147),"'!B4"))&gt;=L$2,"d",IF(INDIRECT(_xlfn.CONCAT("'",IF(ISNUMBER(FIND("'",$A147))=TRUE,_xlfn.CONCAT(LEFT($A147,FIND("'",$A147)-1),"''",RIGHT($A147,LEN($A147)-FIND("'",$A147))),$A147),"'!B5"))&gt;=L$2,"i",""))</f>
        <v>d</v>
      </c>
      <c r="M147" s="4" t="str" cm="1">
        <f t="array" aca="1" ref="M147" ca="1">IF(INDIRECT(_xlfn.CONCAT("'",IF(ISNUMBER(FIND("'",$A147))=TRUE,_xlfn.CONCAT(LEFT($A147,FIND("'",$A147)-1),"''",RIGHT($A147,LEN($A147)-FIND("'",$A147))),$A147),"'!B4"))&gt;=M$2,"d",IF(INDIRECT(_xlfn.CONCAT("'",IF(ISNUMBER(FIND("'",$A147))=TRUE,_xlfn.CONCAT(LEFT($A147,FIND("'",$A147)-1),"''",RIGHT($A147,LEN($A147)-FIND("'",$A147))),$A147),"'!B5"))&gt;=M$2,"i",""))</f>
        <v>d</v>
      </c>
      <c r="N147" s="95"/>
      <c r="O147" s="14" t="str" cm="1">
        <f t="array" aca="1" ref="O147" ca="1">IF(INDIRECT(_xlfn.CONCAT("'",IF(ISNUMBER(FIND("'",$A147))=TRUE,_xlfn.CONCAT(LEFT($A147,FIND("'",$A147)-1),"''",RIGHT($A147,LEN($A147)-FIND("'",$A147))),$A147),"'!C10"))&gt;=O$2,"d",IF(INDIRECT(_xlfn.CONCAT("'",IF(ISNUMBER(FIND("'",$A147))=TRUE,_xlfn.CONCAT(LEFT($A147,FIND("'",$A147)-1),"''",RIGHT($A147,LEN($A147)-FIND("'",$A147))),$A147),"'!C11"))&gt;=O$2,"i",""))</f>
        <v>d</v>
      </c>
      <c r="P147" s="1" t="str" cm="1">
        <f t="array" aca="1" ref="P147" ca="1">IF(INDIRECT(_xlfn.CONCAT("'",IF(ISNUMBER(FIND("'",$A147))=TRUE,_xlfn.CONCAT(LEFT($A147,FIND("'",$A147)-1),"''",RIGHT($A147,LEN($A147)-FIND("'",$A147))),$A147),"'!C10"))&gt;=P$2,"d",IF(INDIRECT(_xlfn.CONCAT("'",IF(ISNUMBER(FIND("'",$A147))=TRUE,_xlfn.CONCAT(LEFT($A147,FIND("'",$A147)-1),"''",RIGHT($A147,LEN($A147)-FIND("'",$A147))),$A147),"'!C11"))&gt;=P$2,"i",""))</f>
        <v>d</v>
      </c>
      <c r="Q147" s="1" t="str" cm="1">
        <f t="array" aca="1" ref="Q147" ca="1">IF(INDIRECT(_xlfn.CONCAT("'",IF(ISNUMBER(FIND("'",$A147))=TRUE,_xlfn.CONCAT(LEFT($A147,FIND("'",$A147)-1),"''",RIGHT($A147,LEN($A147)-FIND("'",$A147))),$A147),"'!C10"))&gt;=Q$2,"d",IF(INDIRECT(_xlfn.CONCAT("'",IF(ISNUMBER(FIND("'",$A147))=TRUE,_xlfn.CONCAT(LEFT($A147,FIND("'",$A147)-1),"''",RIGHT($A147,LEN($A147)-FIND("'",$A147))),$A147),"'!C11"))&gt;=Q$2,"i",""))</f>
        <v>d</v>
      </c>
      <c r="R147" s="1" t="str" cm="1">
        <f t="array" aca="1" ref="R147" ca="1">IF(INDIRECT(_xlfn.CONCAT("'",IF(ISNUMBER(FIND("'",$A147))=TRUE,_xlfn.CONCAT(LEFT($A147,FIND("'",$A147)-1),"''",RIGHT($A147,LEN($A147)-FIND("'",$A147))),$A147),"'!C10"))&gt;=R$2,"d",IF(INDIRECT(_xlfn.CONCAT("'",IF(ISNUMBER(FIND("'",$A147))=TRUE,_xlfn.CONCAT(LEFT($A147,FIND("'",$A147)-1),"''",RIGHT($A147,LEN($A147)-FIND("'",$A147))),$A147),"'!C11"))&gt;=R$2,"i",""))</f>
        <v>d</v>
      </c>
      <c r="S147" s="1" t="str" cm="1">
        <f t="array" aca="1" ref="S147" ca="1">IF(INDIRECT(_xlfn.CONCAT("'",IF(ISNUMBER(FIND("'",$A147))=TRUE,_xlfn.CONCAT(LEFT($A147,FIND("'",$A147)-1),"''",RIGHT($A147,LEN($A147)-FIND("'",$A147))),$A147),"'!C10"))&gt;=S$2,"d",IF(INDIRECT(_xlfn.CONCAT("'",IF(ISNUMBER(FIND("'",$A147))=TRUE,_xlfn.CONCAT(LEFT($A147,FIND("'",$A147)-1),"''",RIGHT($A147,LEN($A147)-FIND("'",$A147))),$A147),"'!C11"))&gt;=S$2,"i",""))</f>
        <v>d</v>
      </c>
      <c r="T147" s="4" t="str" cm="1">
        <f t="array" aca="1" ref="T147" ca="1">IF(INDIRECT(_xlfn.CONCAT("'",IF(ISNUMBER(FIND("'",$A147))=TRUE,_xlfn.CONCAT(LEFT($A147,FIND("'",$A147)-1),"''",RIGHT($A147,LEN($A147)-FIND("'",$A147))),$A147),"'!C10"))&gt;=T$2,"d",IF(INDIRECT(_xlfn.CONCAT("'",IF(ISNUMBER(FIND("'",$A147))=TRUE,_xlfn.CONCAT(LEFT($A147,FIND("'",$A147)-1),"''",RIGHT($A147,LEN($A147)-FIND("'",$A147))),$A147),"'!C11"))&gt;=T$2,"i",""))</f>
        <v>d</v>
      </c>
    </row>
    <row r="148" spans="1:20" hidden="1" x14ac:dyDescent="0.25">
      <c r="A148" s="54" t="str">
        <v>A Thousand Floating Dreams</v>
      </c>
      <c r="B148" s="14" cm="1">
        <f t="array" ref="B148">_xlfn.XLOOKUP(A148,INDEX(Weapon_List,,1),INDEX(Weapon_List,,3),,0,1)</f>
        <v>5</v>
      </c>
      <c r="C148" s="4" t="str" cm="1">
        <f t="array" ref="C148">_xlfn.XLOOKUP(A148,INDEX(Weapon_List,,1),INDEX(Weapon_List,,2),,0,1)</f>
        <v>Catalyst</v>
      </c>
      <c r="D148" s="38" t="str" cm="1">
        <f t="array" ref="D148">_xlfn.XLOOKUP(A148,INDEX(Weapon_List,,1),INDEX(Weapon_List,,4),,0,1)</f>
        <v>Sumeru 2</v>
      </c>
      <c r="E148" s="38" t="str" cm="1">
        <f t="array" ref="E148">_xlfn.XLOOKUP(A148,INDEX(Weapon_List,,1),INDEX(Weapon_List,,5),,0,1)</f>
        <v>Floating Fungi</v>
      </c>
      <c r="F148" s="38" t="str" cm="1">
        <f t="array" ref="F148">_xlfn.XLOOKUP(A148,INDEX(Weapon_List,,1),INDEX(Weapon_List,,6),,0,1)</f>
        <v>Primal Construct</v>
      </c>
      <c r="G148" s="14" t="str" cm="1">
        <f t="array" aca="1" ref="G148" ca="1">IF(INDIRECT(_xlfn.CONCAT("'",IF(ISNUMBER(FIND("'",$A148))=TRUE,_xlfn.CONCAT(LEFT($A148,FIND("'",$A148)-1),"''",RIGHT($A148,LEN($A148)-FIND("'",$A148))),$A148),"'!B4"))&gt;=G$2,"d",IF(INDIRECT(_xlfn.CONCAT("'",IF(ISNUMBER(FIND("'",$A148))=TRUE,_xlfn.CONCAT(LEFT($A148,FIND("'",$A148)-1),"''",RIGHT($A148,LEN($A148)-FIND("'",$A148))),$A148),"'!B5"))&gt;=G$2,"i",""))</f>
        <v>d</v>
      </c>
      <c r="H148" s="1" t="str" cm="1">
        <f t="array" aca="1" ref="H148" ca="1">IF(INDIRECT(_xlfn.CONCAT("'",IF(ISNUMBER(FIND("'",$A148))=TRUE,_xlfn.CONCAT(LEFT($A148,FIND("'",$A148)-1),"''",RIGHT($A148,LEN($A148)-FIND("'",$A148))),$A148),"'!B4"))&gt;=H$2,"d",IF(INDIRECT(_xlfn.CONCAT("'",IF(ISNUMBER(FIND("'",$A148))=TRUE,_xlfn.CONCAT(LEFT($A148,FIND("'",$A148)-1),"''",RIGHT($A148,LEN($A148)-FIND("'",$A148))),$A148),"'!B5"))&gt;=H$2,"i",""))</f>
        <v>d</v>
      </c>
      <c r="I148" s="1" t="str" cm="1">
        <f t="array" aca="1" ref="I148" ca="1">IF(INDIRECT(_xlfn.CONCAT("'",IF(ISNUMBER(FIND("'",$A148))=TRUE,_xlfn.CONCAT(LEFT($A148,FIND("'",$A148)-1),"''",RIGHT($A148,LEN($A148)-FIND("'",$A148))),$A148),"'!B4"))&gt;=I$2,"d",IF(INDIRECT(_xlfn.CONCAT("'",IF(ISNUMBER(FIND("'",$A148))=TRUE,_xlfn.CONCAT(LEFT($A148,FIND("'",$A148)-1),"''",RIGHT($A148,LEN($A148)-FIND("'",$A148))),$A148),"'!B5"))&gt;=I$2,"i",""))</f>
        <v>d</v>
      </c>
      <c r="J148" s="1" t="str" cm="1">
        <f t="array" aca="1" ref="J148" ca="1">IF(INDIRECT(_xlfn.CONCAT("'",IF(ISNUMBER(FIND("'",$A148))=TRUE,_xlfn.CONCAT(LEFT($A148,FIND("'",$A148)-1),"''",RIGHT($A148,LEN($A148)-FIND("'",$A148))),$A148),"'!B4"))&gt;=J$2,"d",IF(INDIRECT(_xlfn.CONCAT("'",IF(ISNUMBER(FIND("'",$A148))=TRUE,_xlfn.CONCAT(LEFT($A148,FIND("'",$A148)-1),"''",RIGHT($A148,LEN($A148)-FIND("'",$A148))),$A148),"'!B5"))&gt;=J$2,"i",""))</f>
        <v>d</v>
      </c>
      <c r="K148" s="1" t="str" cm="1">
        <f t="array" aca="1" ref="K148" ca="1">IF(INDIRECT(_xlfn.CONCAT("'",IF(ISNUMBER(FIND("'",$A148))=TRUE,_xlfn.CONCAT(LEFT($A148,FIND("'",$A148)-1),"''",RIGHT($A148,LEN($A148)-FIND("'",$A148))),$A148),"'!B4"))&gt;=K$2,"d",IF(INDIRECT(_xlfn.CONCAT("'",IF(ISNUMBER(FIND("'",$A148))=TRUE,_xlfn.CONCAT(LEFT($A148,FIND("'",$A148)-1),"''",RIGHT($A148,LEN($A148)-FIND("'",$A148))),$A148),"'!B5"))&gt;=K$2,"i",""))</f>
        <v>d</v>
      </c>
      <c r="L148" s="1" t="str" cm="1">
        <f t="array" aca="1" ref="L148" ca="1">IF(INDIRECT(_xlfn.CONCAT("'",IF(ISNUMBER(FIND("'",$A148))=TRUE,_xlfn.CONCAT(LEFT($A148,FIND("'",$A148)-1),"''",RIGHT($A148,LEN($A148)-FIND("'",$A148))),$A148),"'!B4"))&gt;=L$2,"d",IF(INDIRECT(_xlfn.CONCAT("'",IF(ISNUMBER(FIND("'",$A148))=TRUE,_xlfn.CONCAT(LEFT($A148,FIND("'",$A148)-1),"''",RIGHT($A148,LEN($A148)-FIND("'",$A148))),$A148),"'!B5"))&gt;=L$2,"i",""))</f>
        <v>d</v>
      </c>
      <c r="M148" s="4" t="str" cm="1">
        <f t="array" aca="1" ref="M148" ca="1">IF(INDIRECT(_xlfn.CONCAT("'",IF(ISNUMBER(FIND("'",$A148))=TRUE,_xlfn.CONCAT(LEFT($A148,FIND("'",$A148)-1),"''",RIGHT($A148,LEN($A148)-FIND("'",$A148))),$A148),"'!B4"))&gt;=M$2,"d",IF(INDIRECT(_xlfn.CONCAT("'",IF(ISNUMBER(FIND("'",$A148))=TRUE,_xlfn.CONCAT(LEFT($A148,FIND("'",$A148)-1),"''",RIGHT($A148,LEN($A148)-FIND("'",$A148))),$A148),"'!B5"))&gt;=M$2,"i",""))</f>
        <v>d</v>
      </c>
      <c r="N148" s="95"/>
      <c r="O148" s="14" t="str" cm="1">
        <f t="array" aca="1" ref="O148" ca="1">IF(INDIRECT(_xlfn.CONCAT("'",IF(ISNUMBER(FIND("'",$A148))=TRUE,_xlfn.CONCAT(LEFT($A148,FIND("'",$A148)-1),"''",RIGHT($A148,LEN($A148)-FIND("'",$A148))),$A148),"'!C10"))&gt;=O$2,"d",IF(INDIRECT(_xlfn.CONCAT("'",IF(ISNUMBER(FIND("'",$A148))=TRUE,_xlfn.CONCAT(LEFT($A148,FIND("'",$A148)-1),"''",RIGHT($A148,LEN($A148)-FIND("'",$A148))),$A148),"'!C11"))&gt;=O$2,"i",""))</f>
        <v>d</v>
      </c>
      <c r="P148" s="1" t="str" cm="1">
        <f t="array" aca="1" ref="P148" ca="1">IF(INDIRECT(_xlfn.CONCAT("'",IF(ISNUMBER(FIND("'",$A148))=TRUE,_xlfn.CONCAT(LEFT($A148,FIND("'",$A148)-1),"''",RIGHT($A148,LEN($A148)-FIND("'",$A148))),$A148),"'!C10"))&gt;=P$2,"d",IF(INDIRECT(_xlfn.CONCAT("'",IF(ISNUMBER(FIND("'",$A148))=TRUE,_xlfn.CONCAT(LEFT($A148,FIND("'",$A148)-1),"''",RIGHT($A148,LEN($A148)-FIND("'",$A148))),$A148),"'!C11"))&gt;=P$2,"i",""))</f>
        <v>d</v>
      </c>
      <c r="Q148" s="1" t="str" cm="1">
        <f t="array" aca="1" ref="Q148" ca="1">IF(INDIRECT(_xlfn.CONCAT("'",IF(ISNUMBER(FIND("'",$A148))=TRUE,_xlfn.CONCAT(LEFT($A148,FIND("'",$A148)-1),"''",RIGHT($A148,LEN($A148)-FIND("'",$A148))),$A148),"'!C10"))&gt;=Q$2,"d",IF(INDIRECT(_xlfn.CONCAT("'",IF(ISNUMBER(FIND("'",$A148))=TRUE,_xlfn.CONCAT(LEFT($A148,FIND("'",$A148)-1),"''",RIGHT($A148,LEN($A148)-FIND("'",$A148))),$A148),"'!C11"))&gt;=Q$2,"i",""))</f>
        <v>d</v>
      </c>
      <c r="R148" s="1" t="str" cm="1">
        <f t="array" aca="1" ref="R148" ca="1">IF(INDIRECT(_xlfn.CONCAT("'",IF(ISNUMBER(FIND("'",$A148))=TRUE,_xlfn.CONCAT(LEFT($A148,FIND("'",$A148)-1),"''",RIGHT($A148,LEN($A148)-FIND("'",$A148))),$A148),"'!C10"))&gt;=R$2,"d",IF(INDIRECT(_xlfn.CONCAT("'",IF(ISNUMBER(FIND("'",$A148))=TRUE,_xlfn.CONCAT(LEFT($A148,FIND("'",$A148)-1),"''",RIGHT($A148,LEN($A148)-FIND("'",$A148))),$A148),"'!C11"))&gt;=R$2,"i",""))</f>
        <v>d</v>
      </c>
      <c r="S148" s="1" t="str" cm="1">
        <f t="array" aca="1" ref="S148" ca="1">IF(INDIRECT(_xlfn.CONCAT("'",IF(ISNUMBER(FIND("'",$A148))=TRUE,_xlfn.CONCAT(LEFT($A148,FIND("'",$A148)-1),"''",RIGHT($A148,LEN($A148)-FIND("'",$A148))),$A148),"'!C10"))&gt;=S$2,"d",IF(INDIRECT(_xlfn.CONCAT("'",IF(ISNUMBER(FIND("'",$A148))=TRUE,_xlfn.CONCAT(LEFT($A148,FIND("'",$A148)-1),"''",RIGHT($A148,LEN($A148)-FIND("'",$A148))),$A148),"'!C11"))&gt;=S$2,"i",""))</f>
        <v>d</v>
      </c>
      <c r="T148" s="4" t="str" cm="1">
        <f t="array" aca="1" ref="T148" ca="1">IF(INDIRECT(_xlfn.CONCAT("'",IF(ISNUMBER(FIND("'",$A148))=TRUE,_xlfn.CONCAT(LEFT($A148,FIND("'",$A148)-1),"''",RIGHT($A148,LEN($A148)-FIND("'",$A148))),$A148),"'!C10"))&gt;=T$2,"d",IF(INDIRECT(_xlfn.CONCAT("'",IF(ISNUMBER(FIND("'",$A148))=TRUE,_xlfn.CONCAT(LEFT($A148,FIND("'",$A148)-1),"''",RIGHT($A148,LEN($A148)-FIND("'",$A148))),$A148),"'!C11"))&gt;=T$2,"i",""))</f>
        <v>d</v>
      </c>
    </row>
    <row r="149" spans="1:20" hidden="1" x14ac:dyDescent="0.25">
      <c r="A149" s="54" t="str">
        <v>Tullaytullah's Remembrance</v>
      </c>
      <c r="B149" s="14" cm="1">
        <f t="array" ref="B149">_xlfn.XLOOKUP(A149,INDEX(Weapon_List,,1),INDEX(Weapon_List,,3),,0,1)</f>
        <v>5</v>
      </c>
      <c r="C149" s="4" t="str" cm="1">
        <f t="array" ref="C149">_xlfn.XLOOKUP(A149,INDEX(Weapon_List,,1),INDEX(Weapon_List,,2),,0,1)</f>
        <v>Catalyst</v>
      </c>
      <c r="D149" s="38" t="str" cm="1">
        <f t="array" ref="D149">_xlfn.XLOOKUP(A149,INDEX(Weapon_List,,1),INDEX(Weapon_List,,4),,0,1)</f>
        <v>Sumeru 3</v>
      </c>
      <c r="E149" s="38" t="str" cm="1">
        <f t="array" ref="E149">_xlfn.XLOOKUP(A149,INDEX(Weapon_List,,1),INDEX(Weapon_List,,5),,0,1)</f>
        <v>Floating Fungi</v>
      </c>
      <c r="F149" s="38" t="str" cm="1">
        <f t="array" ref="F149">_xlfn.XLOOKUP(A149,INDEX(Weapon_List,,1),INDEX(Weapon_List,,6),,0,1)</f>
        <v>Activated Fungi</v>
      </c>
      <c r="G149" s="14" t="str" cm="1">
        <f t="array" aca="1" ref="G149" ca="1">IF(INDIRECT(_xlfn.CONCAT("'",IF(ISNUMBER(FIND("'",$A149))=TRUE,_xlfn.CONCAT(LEFT($A149,FIND("'",$A149)-1),"''",RIGHT($A149,LEN($A149)-FIND("'",$A149))),$A149),"'!B4"))&gt;=G$2,"d",IF(INDIRECT(_xlfn.CONCAT("'",IF(ISNUMBER(FIND("'",$A149))=TRUE,_xlfn.CONCAT(LEFT($A149,FIND("'",$A149)-1),"''",RIGHT($A149,LEN($A149)-FIND("'",$A149))),$A149),"'!B5"))&gt;=G$2,"i",""))</f>
        <v>d</v>
      </c>
      <c r="H149" s="1" t="str" cm="1">
        <f t="array" aca="1" ref="H149" ca="1">IF(INDIRECT(_xlfn.CONCAT("'",IF(ISNUMBER(FIND("'",$A149))=TRUE,_xlfn.CONCAT(LEFT($A149,FIND("'",$A149)-1),"''",RIGHT($A149,LEN($A149)-FIND("'",$A149))),$A149),"'!B4"))&gt;=H$2,"d",IF(INDIRECT(_xlfn.CONCAT("'",IF(ISNUMBER(FIND("'",$A149))=TRUE,_xlfn.CONCAT(LEFT($A149,FIND("'",$A149)-1),"''",RIGHT($A149,LEN($A149)-FIND("'",$A149))),$A149),"'!B5"))&gt;=H$2,"i",""))</f>
        <v>d</v>
      </c>
      <c r="I149" s="1" t="str" cm="1">
        <f t="array" aca="1" ref="I149" ca="1">IF(INDIRECT(_xlfn.CONCAT("'",IF(ISNUMBER(FIND("'",$A149))=TRUE,_xlfn.CONCAT(LEFT($A149,FIND("'",$A149)-1),"''",RIGHT($A149,LEN($A149)-FIND("'",$A149))),$A149),"'!B4"))&gt;=I$2,"d",IF(INDIRECT(_xlfn.CONCAT("'",IF(ISNUMBER(FIND("'",$A149))=TRUE,_xlfn.CONCAT(LEFT($A149,FIND("'",$A149)-1),"''",RIGHT($A149,LEN($A149)-FIND("'",$A149))),$A149),"'!B5"))&gt;=I$2,"i",""))</f>
        <v>d</v>
      </c>
      <c r="J149" s="1" t="str" cm="1">
        <f t="array" aca="1" ref="J149" ca="1">IF(INDIRECT(_xlfn.CONCAT("'",IF(ISNUMBER(FIND("'",$A149))=TRUE,_xlfn.CONCAT(LEFT($A149,FIND("'",$A149)-1),"''",RIGHT($A149,LEN($A149)-FIND("'",$A149))),$A149),"'!B4"))&gt;=J$2,"d",IF(INDIRECT(_xlfn.CONCAT("'",IF(ISNUMBER(FIND("'",$A149))=TRUE,_xlfn.CONCAT(LEFT($A149,FIND("'",$A149)-1),"''",RIGHT($A149,LEN($A149)-FIND("'",$A149))),$A149),"'!B5"))&gt;=J$2,"i",""))</f>
        <v>d</v>
      </c>
      <c r="K149" s="1" t="str" cm="1">
        <f t="array" aca="1" ref="K149" ca="1">IF(INDIRECT(_xlfn.CONCAT("'",IF(ISNUMBER(FIND("'",$A149))=TRUE,_xlfn.CONCAT(LEFT($A149,FIND("'",$A149)-1),"''",RIGHT($A149,LEN($A149)-FIND("'",$A149))),$A149),"'!B4"))&gt;=K$2,"d",IF(INDIRECT(_xlfn.CONCAT("'",IF(ISNUMBER(FIND("'",$A149))=TRUE,_xlfn.CONCAT(LEFT($A149,FIND("'",$A149)-1),"''",RIGHT($A149,LEN($A149)-FIND("'",$A149))),$A149),"'!B5"))&gt;=K$2,"i",""))</f>
        <v>d</v>
      </c>
      <c r="L149" s="1" t="str" cm="1">
        <f t="array" aca="1" ref="L149" ca="1">IF(INDIRECT(_xlfn.CONCAT("'",IF(ISNUMBER(FIND("'",$A149))=TRUE,_xlfn.CONCAT(LEFT($A149,FIND("'",$A149)-1),"''",RIGHT($A149,LEN($A149)-FIND("'",$A149))),$A149),"'!B4"))&gt;=L$2,"d",IF(INDIRECT(_xlfn.CONCAT("'",IF(ISNUMBER(FIND("'",$A149))=TRUE,_xlfn.CONCAT(LEFT($A149,FIND("'",$A149)-1),"''",RIGHT($A149,LEN($A149)-FIND("'",$A149))),$A149),"'!B5"))&gt;=L$2,"i",""))</f>
        <v>d</v>
      </c>
      <c r="M149" s="4" t="str" cm="1">
        <f t="array" aca="1" ref="M149" ca="1">IF(INDIRECT(_xlfn.CONCAT("'",IF(ISNUMBER(FIND("'",$A149))=TRUE,_xlfn.CONCAT(LEFT($A149,FIND("'",$A149)-1),"''",RIGHT($A149,LEN($A149)-FIND("'",$A149))),$A149),"'!B4"))&gt;=M$2,"d",IF(INDIRECT(_xlfn.CONCAT("'",IF(ISNUMBER(FIND("'",$A149))=TRUE,_xlfn.CONCAT(LEFT($A149,FIND("'",$A149)-1),"''",RIGHT($A149,LEN($A149)-FIND("'",$A149))),$A149),"'!B5"))&gt;=M$2,"i",""))</f>
        <v>d</v>
      </c>
      <c r="N149" s="95"/>
      <c r="O149" s="14" t="str" cm="1">
        <f t="array" aca="1" ref="O149" ca="1">IF(INDIRECT(_xlfn.CONCAT("'",IF(ISNUMBER(FIND("'",$A149))=TRUE,_xlfn.CONCAT(LEFT($A149,FIND("'",$A149)-1),"''",RIGHT($A149,LEN($A149)-FIND("'",$A149))),$A149),"'!C10"))&gt;=O$2,"d",IF(INDIRECT(_xlfn.CONCAT("'",IF(ISNUMBER(FIND("'",$A149))=TRUE,_xlfn.CONCAT(LEFT($A149,FIND("'",$A149)-1),"''",RIGHT($A149,LEN($A149)-FIND("'",$A149))),$A149),"'!C11"))&gt;=O$2,"i",""))</f>
        <v>d</v>
      </c>
      <c r="P149" s="1" t="str" cm="1">
        <f t="array" aca="1" ref="P149" ca="1">IF(INDIRECT(_xlfn.CONCAT("'",IF(ISNUMBER(FIND("'",$A149))=TRUE,_xlfn.CONCAT(LEFT($A149,FIND("'",$A149)-1),"''",RIGHT($A149,LEN($A149)-FIND("'",$A149))),$A149),"'!C10"))&gt;=P$2,"d",IF(INDIRECT(_xlfn.CONCAT("'",IF(ISNUMBER(FIND("'",$A149))=TRUE,_xlfn.CONCAT(LEFT($A149,FIND("'",$A149)-1),"''",RIGHT($A149,LEN($A149)-FIND("'",$A149))),$A149),"'!C11"))&gt;=P$2,"i",""))</f>
        <v>d</v>
      </c>
      <c r="Q149" s="1" t="str" cm="1">
        <f t="array" aca="1" ref="Q149" ca="1">IF(INDIRECT(_xlfn.CONCAT("'",IF(ISNUMBER(FIND("'",$A149))=TRUE,_xlfn.CONCAT(LEFT($A149,FIND("'",$A149)-1),"''",RIGHT($A149,LEN($A149)-FIND("'",$A149))),$A149),"'!C10"))&gt;=Q$2,"d",IF(INDIRECT(_xlfn.CONCAT("'",IF(ISNUMBER(FIND("'",$A149))=TRUE,_xlfn.CONCAT(LEFT($A149,FIND("'",$A149)-1),"''",RIGHT($A149,LEN($A149)-FIND("'",$A149))),$A149),"'!C11"))&gt;=Q$2,"i",""))</f>
        <v>d</v>
      </c>
      <c r="R149" s="1" t="str" cm="1">
        <f t="array" aca="1" ref="R149" ca="1">IF(INDIRECT(_xlfn.CONCAT("'",IF(ISNUMBER(FIND("'",$A149))=TRUE,_xlfn.CONCAT(LEFT($A149,FIND("'",$A149)-1),"''",RIGHT($A149,LEN($A149)-FIND("'",$A149))),$A149),"'!C10"))&gt;=R$2,"d",IF(INDIRECT(_xlfn.CONCAT("'",IF(ISNUMBER(FIND("'",$A149))=TRUE,_xlfn.CONCAT(LEFT($A149,FIND("'",$A149)-1),"''",RIGHT($A149,LEN($A149)-FIND("'",$A149))),$A149),"'!C11"))&gt;=R$2,"i",""))</f>
        <v>d</v>
      </c>
      <c r="S149" s="1" t="str" cm="1">
        <f t="array" aca="1" ref="S149" ca="1">IF(INDIRECT(_xlfn.CONCAT("'",IF(ISNUMBER(FIND("'",$A149))=TRUE,_xlfn.CONCAT(LEFT($A149,FIND("'",$A149)-1),"''",RIGHT($A149,LEN($A149)-FIND("'",$A149))),$A149),"'!C10"))&gt;=S$2,"d",IF(INDIRECT(_xlfn.CONCAT("'",IF(ISNUMBER(FIND("'",$A149))=TRUE,_xlfn.CONCAT(LEFT($A149,FIND("'",$A149)-1),"''",RIGHT($A149,LEN($A149)-FIND("'",$A149))),$A149),"'!C11"))&gt;=S$2,"i",""))</f>
        <v>d</v>
      </c>
      <c r="T149" s="4" t="str" cm="1">
        <f t="array" aca="1" ref="T149" ca="1">IF(INDIRECT(_xlfn.CONCAT("'",IF(ISNUMBER(FIND("'",$A149))=TRUE,_xlfn.CONCAT(LEFT($A149,FIND("'",$A149)-1),"''",RIGHT($A149,LEN($A149)-FIND("'",$A149))),$A149),"'!C10"))&gt;=T$2,"d",IF(INDIRECT(_xlfn.CONCAT("'",IF(ISNUMBER(FIND("'",$A149))=TRUE,_xlfn.CONCAT(LEFT($A149,FIND("'",$A149)-1),"''",RIGHT($A149,LEN($A149)-FIND("'",$A149))),$A149),"'!C11"))&gt;=T$2,"i",""))</f>
        <v>d</v>
      </c>
    </row>
    <row r="150" spans="1:20" hidden="1" x14ac:dyDescent="0.25">
      <c r="A150" s="54" t="str">
        <v>Toukabou Shigure</v>
      </c>
      <c r="B150" s="14" cm="1">
        <f t="array" ref="B150">_xlfn.XLOOKUP(A150,INDEX(Weapon_List,,1),INDEX(Weapon_List,,3),,0,1)</f>
        <v>4</v>
      </c>
      <c r="C150" s="4" t="str" cm="1">
        <f t="array" ref="C150">_xlfn.XLOOKUP(A150,INDEX(Weapon_List,,1),INDEX(Weapon_List,,2),,0,1)</f>
        <v>Sword</v>
      </c>
      <c r="D150" s="38" t="str" cm="1">
        <f t="array" ref="D150">_xlfn.XLOOKUP(A150,INDEX(Weapon_List,,1),INDEX(Weapon_List,,4),,0,1)</f>
        <v>Inazuma 2</v>
      </c>
      <c r="E150" s="38" t="str" cm="1">
        <f t="array" ref="E150">_xlfn.XLOOKUP(A150,INDEX(Weapon_List,,1),INDEX(Weapon_List,,5),,0,1)</f>
        <v>Nobushi</v>
      </c>
      <c r="F150" s="38" t="str" cm="1">
        <f t="array" ref="F150">_xlfn.XLOOKUP(A150,INDEX(Weapon_List,,1),INDEX(Weapon_List,,6),,0,1)</f>
        <v>Primal Construct</v>
      </c>
      <c r="G150" s="14" t="str" cm="1">
        <f t="array" aca="1" ref="G150" ca="1">IF(INDIRECT(_xlfn.CONCAT("'",IF(ISNUMBER(FIND("'",$A150))=TRUE,_xlfn.CONCAT(LEFT($A150,FIND("'",$A150)-1),"''",RIGHT($A150,LEN($A150)-FIND("'",$A150))),$A150),"'!B4"))&gt;=G$2,"d",IF(INDIRECT(_xlfn.CONCAT("'",IF(ISNUMBER(FIND("'",$A150))=TRUE,_xlfn.CONCAT(LEFT($A150,FIND("'",$A150)-1),"''",RIGHT($A150,LEN($A150)-FIND("'",$A150))),$A150),"'!B5"))&gt;=G$2,"i",""))</f>
        <v>d</v>
      </c>
      <c r="H150" s="1" t="str" cm="1">
        <f t="array" aca="1" ref="H150" ca="1">IF(INDIRECT(_xlfn.CONCAT("'",IF(ISNUMBER(FIND("'",$A150))=TRUE,_xlfn.CONCAT(LEFT($A150,FIND("'",$A150)-1),"''",RIGHT($A150,LEN($A150)-FIND("'",$A150))),$A150),"'!B4"))&gt;=H$2,"d",IF(INDIRECT(_xlfn.CONCAT("'",IF(ISNUMBER(FIND("'",$A150))=TRUE,_xlfn.CONCAT(LEFT($A150,FIND("'",$A150)-1),"''",RIGHT($A150,LEN($A150)-FIND("'",$A150))),$A150),"'!B5"))&gt;=H$2,"i",""))</f>
        <v>d</v>
      </c>
      <c r="I150" s="1" t="str" cm="1">
        <f t="array" aca="1" ref="I150" ca="1">IF(INDIRECT(_xlfn.CONCAT("'",IF(ISNUMBER(FIND("'",$A150))=TRUE,_xlfn.CONCAT(LEFT($A150,FIND("'",$A150)-1),"''",RIGHT($A150,LEN($A150)-FIND("'",$A150))),$A150),"'!B4"))&gt;=I$2,"d",IF(INDIRECT(_xlfn.CONCAT("'",IF(ISNUMBER(FIND("'",$A150))=TRUE,_xlfn.CONCAT(LEFT($A150,FIND("'",$A150)-1),"''",RIGHT($A150,LEN($A150)-FIND("'",$A150))),$A150),"'!B5"))&gt;=I$2,"i",""))</f>
        <v>d</v>
      </c>
      <c r="J150" s="1" t="str" cm="1">
        <f t="array" aca="1" ref="J150" ca="1">IF(INDIRECT(_xlfn.CONCAT("'",IF(ISNUMBER(FIND("'",$A150))=TRUE,_xlfn.CONCAT(LEFT($A150,FIND("'",$A150)-1),"''",RIGHT($A150,LEN($A150)-FIND("'",$A150))),$A150),"'!B4"))&gt;=J$2,"d",IF(INDIRECT(_xlfn.CONCAT("'",IF(ISNUMBER(FIND("'",$A150))=TRUE,_xlfn.CONCAT(LEFT($A150,FIND("'",$A150)-1),"''",RIGHT($A150,LEN($A150)-FIND("'",$A150))),$A150),"'!B5"))&gt;=J$2,"i",""))</f>
        <v>d</v>
      </c>
      <c r="K150" s="1" t="str" cm="1">
        <f t="array" aca="1" ref="K150" ca="1">IF(INDIRECT(_xlfn.CONCAT("'",IF(ISNUMBER(FIND("'",$A150))=TRUE,_xlfn.CONCAT(LEFT($A150,FIND("'",$A150)-1),"''",RIGHT($A150,LEN($A150)-FIND("'",$A150))),$A150),"'!B4"))&gt;=K$2,"d",IF(INDIRECT(_xlfn.CONCAT("'",IF(ISNUMBER(FIND("'",$A150))=TRUE,_xlfn.CONCAT(LEFT($A150,FIND("'",$A150)-1),"''",RIGHT($A150,LEN($A150)-FIND("'",$A150))),$A150),"'!B5"))&gt;=K$2,"i",""))</f>
        <v>d</v>
      </c>
      <c r="L150" s="1" t="str" cm="1">
        <f t="array" aca="1" ref="L150" ca="1">IF(INDIRECT(_xlfn.CONCAT("'",IF(ISNUMBER(FIND("'",$A150))=TRUE,_xlfn.CONCAT(LEFT($A150,FIND("'",$A150)-1),"''",RIGHT($A150,LEN($A150)-FIND("'",$A150))),$A150),"'!B4"))&gt;=L$2,"d",IF(INDIRECT(_xlfn.CONCAT("'",IF(ISNUMBER(FIND("'",$A150))=TRUE,_xlfn.CONCAT(LEFT($A150,FIND("'",$A150)-1),"''",RIGHT($A150,LEN($A150)-FIND("'",$A150))),$A150),"'!B5"))&gt;=L$2,"i",""))</f>
        <v>d</v>
      </c>
      <c r="M150" s="4" t="str" cm="1">
        <f t="array" aca="1" ref="M150" ca="1">IF(INDIRECT(_xlfn.CONCAT("'",IF(ISNUMBER(FIND("'",$A150))=TRUE,_xlfn.CONCAT(LEFT($A150,FIND("'",$A150)-1),"''",RIGHT($A150,LEN($A150)-FIND("'",$A150))),$A150),"'!B4"))&gt;=M$2,"d",IF(INDIRECT(_xlfn.CONCAT("'",IF(ISNUMBER(FIND("'",$A150))=TRUE,_xlfn.CONCAT(LEFT($A150,FIND("'",$A150)-1),"''",RIGHT($A150,LEN($A150)-FIND("'",$A150))),$A150),"'!B5"))&gt;=M$2,"i",""))</f>
        <v>d</v>
      </c>
      <c r="N150" s="95"/>
      <c r="O150" s="14" t="str" cm="1">
        <f t="array" aca="1" ref="O150" ca="1">IF(INDIRECT(_xlfn.CONCAT("'",IF(ISNUMBER(FIND("'",$A150))=TRUE,_xlfn.CONCAT(LEFT($A150,FIND("'",$A150)-1),"''",RIGHT($A150,LEN($A150)-FIND("'",$A150))),$A150),"'!C10"))&gt;=O$2,"d",IF(INDIRECT(_xlfn.CONCAT("'",IF(ISNUMBER(FIND("'",$A150))=TRUE,_xlfn.CONCAT(LEFT($A150,FIND("'",$A150)-1),"''",RIGHT($A150,LEN($A150)-FIND("'",$A150))),$A150),"'!C11"))&gt;=O$2,"i",""))</f>
        <v>d</v>
      </c>
      <c r="P150" s="1" t="str" cm="1">
        <f t="array" aca="1" ref="P150" ca="1">IF(INDIRECT(_xlfn.CONCAT("'",IF(ISNUMBER(FIND("'",$A150))=TRUE,_xlfn.CONCAT(LEFT($A150,FIND("'",$A150)-1),"''",RIGHT($A150,LEN($A150)-FIND("'",$A150))),$A150),"'!C10"))&gt;=P$2,"d",IF(INDIRECT(_xlfn.CONCAT("'",IF(ISNUMBER(FIND("'",$A150))=TRUE,_xlfn.CONCAT(LEFT($A150,FIND("'",$A150)-1),"''",RIGHT($A150,LEN($A150)-FIND("'",$A150))),$A150),"'!C11"))&gt;=P$2,"i",""))</f>
        <v>d</v>
      </c>
      <c r="Q150" s="1" t="str" cm="1">
        <f t="array" aca="1" ref="Q150" ca="1">IF(INDIRECT(_xlfn.CONCAT("'",IF(ISNUMBER(FIND("'",$A150))=TRUE,_xlfn.CONCAT(LEFT($A150,FIND("'",$A150)-1),"''",RIGHT($A150,LEN($A150)-FIND("'",$A150))),$A150),"'!C10"))&gt;=Q$2,"d",IF(INDIRECT(_xlfn.CONCAT("'",IF(ISNUMBER(FIND("'",$A150))=TRUE,_xlfn.CONCAT(LEFT($A150,FIND("'",$A150)-1),"''",RIGHT($A150,LEN($A150)-FIND("'",$A150))),$A150),"'!C11"))&gt;=Q$2,"i",""))</f>
        <v>d</v>
      </c>
      <c r="R150" s="1" t="str" cm="1">
        <f t="array" aca="1" ref="R150" ca="1">IF(INDIRECT(_xlfn.CONCAT("'",IF(ISNUMBER(FIND("'",$A150))=TRUE,_xlfn.CONCAT(LEFT($A150,FIND("'",$A150)-1),"''",RIGHT($A150,LEN($A150)-FIND("'",$A150))),$A150),"'!C10"))&gt;=R$2,"d",IF(INDIRECT(_xlfn.CONCAT("'",IF(ISNUMBER(FIND("'",$A150))=TRUE,_xlfn.CONCAT(LEFT($A150,FIND("'",$A150)-1),"''",RIGHT($A150,LEN($A150)-FIND("'",$A150))),$A150),"'!C11"))&gt;=R$2,"i",""))</f>
        <v>d</v>
      </c>
      <c r="S150" s="1" t="str" cm="1">
        <f t="array" aca="1" ref="S150" ca="1">IF(INDIRECT(_xlfn.CONCAT("'",IF(ISNUMBER(FIND("'",$A150))=TRUE,_xlfn.CONCAT(LEFT($A150,FIND("'",$A150)-1),"''",RIGHT($A150,LEN($A150)-FIND("'",$A150))),$A150),"'!C10"))&gt;=S$2,"d",IF(INDIRECT(_xlfn.CONCAT("'",IF(ISNUMBER(FIND("'",$A150))=TRUE,_xlfn.CONCAT(LEFT($A150,FIND("'",$A150)-1),"''",RIGHT($A150,LEN($A150)-FIND("'",$A150))),$A150),"'!C11"))&gt;=S$2,"i",""))</f>
        <v>d</v>
      </c>
      <c r="T150" s="4" t="str" cm="1">
        <f t="array" aca="1" ref="T150" ca="1">IF(INDIRECT(_xlfn.CONCAT("'",IF(ISNUMBER(FIND("'",$A150))=TRUE,_xlfn.CONCAT(LEFT($A150,FIND("'",$A150)-1),"''",RIGHT($A150,LEN($A150)-FIND("'",$A150))),$A150),"'!C10"))&gt;=T$2,"d",IF(INDIRECT(_xlfn.CONCAT("'",IF(ISNUMBER(FIND("'",$A150))=TRUE,_xlfn.CONCAT(LEFT($A150,FIND("'",$A150)-1),"''",RIGHT($A150,LEN($A150)-FIND("'",$A150))),$A150),"'!C11"))&gt;=T$2,"i",""))</f>
        <v>d</v>
      </c>
    </row>
    <row r="151" spans="1:20" hidden="1" x14ac:dyDescent="0.25">
      <c r="A151" s="54" t="str">
        <v>Light of Foliar Incision</v>
      </c>
      <c r="B151" s="14" cm="1">
        <f t="array" ref="B151">_xlfn.XLOOKUP(A151,INDEX(Weapon_List,,1),INDEX(Weapon_List,,3),,0,1)</f>
        <v>5</v>
      </c>
      <c r="C151" s="4" t="str" cm="1">
        <f t="array" ref="C151">_xlfn.XLOOKUP(A151,INDEX(Weapon_List,,1),INDEX(Weapon_List,,2),,0,1)</f>
        <v>Sword</v>
      </c>
      <c r="D151" s="38" t="str" cm="1">
        <f t="array" ref="D151">_xlfn.XLOOKUP(A151,INDEX(Weapon_List,,1),INDEX(Weapon_List,,4),,0,1)</f>
        <v>Sumeru 1</v>
      </c>
      <c r="E151" s="38" t="str" cm="1">
        <f t="array" ref="E151">_xlfn.XLOOKUP(A151,INDEX(Weapon_List,,1),INDEX(Weapon_List,,5),,0,1)</f>
        <v>Eremite</v>
      </c>
      <c r="F151" s="38" t="str" cm="1">
        <f t="array" ref="F151">_xlfn.XLOOKUP(A151,INDEX(Weapon_List,,1),INDEX(Weapon_List,,6),,0,1)</f>
        <v>Consecrated Beast</v>
      </c>
      <c r="G151" s="14" t="str" cm="1">
        <f t="array" aca="1" ref="G151" ca="1">IF(INDIRECT(_xlfn.CONCAT("'",IF(ISNUMBER(FIND("'",$A151))=TRUE,_xlfn.CONCAT(LEFT($A151,FIND("'",$A151)-1),"''",RIGHT($A151,LEN($A151)-FIND("'",$A151))),$A151),"'!B4"))&gt;=G$2,"d",IF(INDIRECT(_xlfn.CONCAT("'",IF(ISNUMBER(FIND("'",$A151))=TRUE,_xlfn.CONCAT(LEFT($A151,FIND("'",$A151)-1),"''",RIGHT($A151,LEN($A151)-FIND("'",$A151))),$A151),"'!B5"))&gt;=G$2,"i",""))</f>
        <v>d</v>
      </c>
      <c r="H151" s="1" t="str" cm="1">
        <f t="array" aca="1" ref="H151" ca="1">IF(INDIRECT(_xlfn.CONCAT("'",IF(ISNUMBER(FIND("'",$A151))=TRUE,_xlfn.CONCAT(LEFT($A151,FIND("'",$A151)-1),"''",RIGHT($A151,LEN($A151)-FIND("'",$A151))),$A151),"'!B4"))&gt;=H$2,"d",IF(INDIRECT(_xlfn.CONCAT("'",IF(ISNUMBER(FIND("'",$A151))=TRUE,_xlfn.CONCAT(LEFT($A151,FIND("'",$A151)-1),"''",RIGHT($A151,LEN($A151)-FIND("'",$A151))),$A151),"'!B5"))&gt;=H$2,"i",""))</f>
        <v>d</v>
      </c>
      <c r="I151" s="1" t="str" cm="1">
        <f t="array" aca="1" ref="I151" ca="1">IF(INDIRECT(_xlfn.CONCAT("'",IF(ISNUMBER(FIND("'",$A151))=TRUE,_xlfn.CONCAT(LEFT($A151,FIND("'",$A151)-1),"''",RIGHT($A151,LEN($A151)-FIND("'",$A151))),$A151),"'!B4"))&gt;=I$2,"d",IF(INDIRECT(_xlfn.CONCAT("'",IF(ISNUMBER(FIND("'",$A151))=TRUE,_xlfn.CONCAT(LEFT($A151,FIND("'",$A151)-1),"''",RIGHT($A151,LEN($A151)-FIND("'",$A151))),$A151),"'!B5"))&gt;=I$2,"i",""))</f>
        <v>d</v>
      </c>
      <c r="J151" s="1" t="str" cm="1">
        <f t="array" aca="1" ref="J151" ca="1">IF(INDIRECT(_xlfn.CONCAT("'",IF(ISNUMBER(FIND("'",$A151))=TRUE,_xlfn.CONCAT(LEFT($A151,FIND("'",$A151)-1),"''",RIGHT($A151,LEN($A151)-FIND("'",$A151))),$A151),"'!B4"))&gt;=J$2,"d",IF(INDIRECT(_xlfn.CONCAT("'",IF(ISNUMBER(FIND("'",$A151))=TRUE,_xlfn.CONCAT(LEFT($A151,FIND("'",$A151)-1),"''",RIGHT($A151,LEN($A151)-FIND("'",$A151))),$A151),"'!B5"))&gt;=J$2,"i",""))</f>
        <v>d</v>
      </c>
      <c r="K151" s="1" t="str" cm="1">
        <f t="array" aca="1" ref="K151" ca="1">IF(INDIRECT(_xlfn.CONCAT("'",IF(ISNUMBER(FIND("'",$A151))=TRUE,_xlfn.CONCAT(LEFT($A151,FIND("'",$A151)-1),"''",RIGHT($A151,LEN($A151)-FIND("'",$A151))),$A151),"'!B4"))&gt;=K$2,"d",IF(INDIRECT(_xlfn.CONCAT("'",IF(ISNUMBER(FIND("'",$A151))=TRUE,_xlfn.CONCAT(LEFT($A151,FIND("'",$A151)-1),"''",RIGHT($A151,LEN($A151)-FIND("'",$A151))),$A151),"'!B5"))&gt;=K$2,"i",""))</f>
        <v>d</v>
      </c>
      <c r="L151" s="1" t="str" cm="1">
        <f t="array" aca="1" ref="L151" ca="1">IF(INDIRECT(_xlfn.CONCAT("'",IF(ISNUMBER(FIND("'",$A151))=TRUE,_xlfn.CONCAT(LEFT($A151,FIND("'",$A151)-1),"''",RIGHT($A151,LEN($A151)-FIND("'",$A151))),$A151),"'!B4"))&gt;=L$2,"d",IF(INDIRECT(_xlfn.CONCAT("'",IF(ISNUMBER(FIND("'",$A151))=TRUE,_xlfn.CONCAT(LEFT($A151,FIND("'",$A151)-1),"''",RIGHT($A151,LEN($A151)-FIND("'",$A151))),$A151),"'!B5"))&gt;=L$2,"i",""))</f>
        <v>d</v>
      </c>
      <c r="M151" s="4" t="str" cm="1">
        <f t="array" aca="1" ref="M151" ca="1">IF(INDIRECT(_xlfn.CONCAT("'",IF(ISNUMBER(FIND("'",$A151))=TRUE,_xlfn.CONCAT(LEFT($A151,FIND("'",$A151)-1),"''",RIGHT($A151,LEN($A151)-FIND("'",$A151))),$A151),"'!B4"))&gt;=M$2,"d",IF(INDIRECT(_xlfn.CONCAT("'",IF(ISNUMBER(FIND("'",$A151))=TRUE,_xlfn.CONCAT(LEFT($A151,FIND("'",$A151)-1),"''",RIGHT($A151,LEN($A151)-FIND("'",$A151))),$A151),"'!B5"))&gt;=M$2,"i",""))</f>
        <v>d</v>
      </c>
      <c r="N151" s="95"/>
      <c r="O151" s="14" t="str" cm="1">
        <f t="array" aca="1" ref="O151" ca="1">IF(INDIRECT(_xlfn.CONCAT("'",IF(ISNUMBER(FIND("'",$A151))=TRUE,_xlfn.CONCAT(LEFT($A151,FIND("'",$A151)-1),"''",RIGHT($A151,LEN($A151)-FIND("'",$A151))),$A151),"'!C10"))&gt;=O$2,"d",IF(INDIRECT(_xlfn.CONCAT("'",IF(ISNUMBER(FIND("'",$A151))=TRUE,_xlfn.CONCAT(LEFT($A151,FIND("'",$A151)-1),"''",RIGHT($A151,LEN($A151)-FIND("'",$A151))),$A151),"'!C11"))&gt;=O$2,"i",""))</f>
        <v>d</v>
      </c>
      <c r="P151" s="1" t="str" cm="1">
        <f t="array" aca="1" ref="P151" ca="1">IF(INDIRECT(_xlfn.CONCAT("'",IF(ISNUMBER(FIND("'",$A151))=TRUE,_xlfn.CONCAT(LEFT($A151,FIND("'",$A151)-1),"''",RIGHT($A151,LEN($A151)-FIND("'",$A151))),$A151),"'!C10"))&gt;=P$2,"d",IF(INDIRECT(_xlfn.CONCAT("'",IF(ISNUMBER(FIND("'",$A151))=TRUE,_xlfn.CONCAT(LEFT($A151,FIND("'",$A151)-1),"''",RIGHT($A151,LEN($A151)-FIND("'",$A151))),$A151),"'!C11"))&gt;=P$2,"i",""))</f>
        <v>d</v>
      </c>
      <c r="Q151" s="1" t="str" cm="1">
        <f t="array" aca="1" ref="Q151" ca="1">IF(INDIRECT(_xlfn.CONCAT("'",IF(ISNUMBER(FIND("'",$A151))=TRUE,_xlfn.CONCAT(LEFT($A151,FIND("'",$A151)-1),"''",RIGHT($A151,LEN($A151)-FIND("'",$A151))),$A151),"'!C10"))&gt;=Q$2,"d",IF(INDIRECT(_xlfn.CONCAT("'",IF(ISNUMBER(FIND("'",$A151))=TRUE,_xlfn.CONCAT(LEFT($A151,FIND("'",$A151)-1),"''",RIGHT($A151,LEN($A151)-FIND("'",$A151))),$A151),"'!C11"))&gt;=Q$2,"i",""))</f>
        <v>d</v>
      </c>
      <c r="R151" s="1" t="str" cm="1">
        <f t="array" aca="1" ref="R151" ca="1">IF(INDIRECT(_xlfn.CONCAT("'",IF(ISNUMBER(FIND("'",$A151))=TRUE,_xlfn.CONCAT(LEFT($A151,FIND("'",$A151)-1),"''",RIGHT($A151,LEN($A151)-FIND("'",$A151))),$A151),"'!C10"))&gt;=R$2,"d",IF(INDIRECT(_xlfn.CONCAT("'",IF(ISNUMBER(FIND("'",$A151))=TRUE,_xlfn.CONCAT(LEFT($A151,FIND("'",$A151)-1),"''",RIGHT($A151,LEN($A151)-FIND("'",$A151))),$A151),"'!C11"))&gt;=R$2,"i",""))</f>
        <v>d</v>
      </c>
      <c r="S151" s="1" t="str" cm="1">
        <f t="array" aca="1" ref="S151" ca="1">IF(INDIRECT(_xlfn.CONCAT("'",IF(ISNUMBER(FIND("'",$A151))=TRUE,_xlfn.CONCAT(LEFT($A151,FIND("'",$A151)-1),"''",RIGHT($A151,LEN($A151)-FIND("'",$A151))),$A151),"'!C10"))&gt;=S$2,"d",IF(INDIRECT(_xlfn.CONCAT("'",IF(ISNUMBER(FIND("'",$A151))=TRUE,_xlfn.CONCAT(LEFT($A151,FIND("'",$A151)-1),"''",RIGHT($A151,LEN($A151)-FIND("'",$A151))),$A151),"'!C11"))&gt;=S$2,"i",""))</f>
        <v>d</v>
      </c>
      <c r="T151" s="4" t="str" cm="1">
        <f t="array" aca="1" ref="T151" ca="1">IF(INDIRECT(_xlfn.CONCAT("'",IF(ISNUMBER(FIND("'",$A151))=TRUE,_xlfn.CONCAT(LEFT($A151,FIND("'",$A151)-1),"''",RIGHT($A151,LEN($A151)-FIND("'",$A151))),$A151),"'!C10"))&gt;=T$2,"d",IF(INDIRECT(_xlfn.CONCAT("'",IF(ISNUMBER(FIND("'",$A151))=TRUE,_xlfn.CONCAT(LEFT($A151,FIND("'",$A151)-1),"''",RIGHT($A151,LEN($A151)-FIND("'",$A151))),$A151),"'!C11"))&gt;=T$2,"i",""))</f>
        <v>d</v>
      </c>
    </row>
    <row r="152" spans="1:20" hidden="1" x14ac:dyDescent="0.25">
      <c r="A152" s="54" t="str">
        <v>Beacon of the Reed Sea</v>
      </c>
      <c r="B152" s="14" cm="1">
        <f t="array" ref="B152">_xlfn.XLOOKUP(A152,INDEX(Weapon_List,,1),INDEX(Weapon_List,,3),,0,1)</f>
        <v>5</v>
      </c>
      <c r="C152" s="4" t="str" cm="1">
        <f t="array" ref="C152">_xlfn.XLOOKUP(A152,INDEX(Weapon_List,,1),INDEX(Weapon_List,,2),,0,1)</f>
        <v>Claymore</v>
      </c>
      <c r="D152" s="38" t="str" cm="1">
        <f t="array" ref="D152">_xlfn.XLOOKUP(A152,INDEX(Weapon_List,,1),INDEX(Weapon_List,,4),,0,1)</f>
        <v>Sumeru 3</v>
      </c>
      <c r="E152" s="38" t="str" cm="1">
        <f t="array" ref="E152">_xlfn.XLOOKUP(A152,INDEX(Weapon_List,,1),INDEX(Weapon_List,,5),,0,1)</f>
        <v>Eremite</v>
      </c>
      <c r="F152" s="38" t="str" cm="1">
        <f t="array" ref="F152">_xlfn.XLOOKUP(A152,INDEX(Weapon_List,,1),INDEX(Weapon_List,,6),,0,1)</f>
        <v>Consecrated Beast</v>
      </c>
      <c r="G152" s="14" t="str" cm="1">
        <f t="array" aca="1" ref="G152" ca="1">IF(INDIRECT(_xlfn.CONCAT("'",IF(ISNUMBER(FIND("'",$A152))=TRUE,_xlfn.CONCAT(LEFT($A152,FIND("'",$A152)-1),"''",RIGHT($A152,LEN($A152)-FIND("'",$A152))),$A152),"'!B4"))&gt;=G$2,"d",IF(INDIRECT(_xlfn.CONCAT("'",IF(ISNUMBER(FIND("'",$A152))=TRUE,_xlfn.CONCAT(LEFT($A152,FIND("'",$A152)-1),"''",RIGHT($A152,LEN($A152)-FIND("'",$A152))),$A152),"'!B5"))&gt;=G$2,"i",""))</f>
        <v>d</v>
      </c>
      <c r="H152" s="1" t="str" cm="1">
        <f t="array" aca="1" ref="H152" ca="1">IF(INDIRECT(_xlfn.CONCAT("'",IF(ISNUMBER(FIND("'",$A152))=TRUE,_xlfn.CONCAT(LEFT($A152,FIND("'",$A152)-1),"''",RIGHT($A152,LEN($A152)-FIND("'",$A152))),$A152),"'!B4"))&gt;=H$2,"d",IF(INDIRECT(_xlfn.CONCAT("'",IF(ISNUMBER(FIND("'",$A152))=TRUE,_xlfn.CONCAT(LEFT($A152,FIND("'",$A152)-1),"''",RIGHT($A152,LEN($A152)-FIND("'",$A152))),$A152),"'!B5"))&gt;=H$2,"i",""))</f>
        <v>d</v>
      </c>
      <c r="I152" s="1" t="str" cm="1">
        <f t="array" aca="1" ref="I152" ca="1">IF(INDIRECT(_xlfn.CONCAT("'",IF(ISNUMBER(FIND("'",$A152))=TRUE,_xlfn.CONCAT(LEFT($A152,FIND("'",$A152)-1),"''",RIGHT($A152,LEN($A152)-FIND("'",$A152))),$A152),"'!B4"))&gt;=I$2,"d",IF(INDIRECT(_xlfn.CONCAT("'",IF(ISNUMBER(FIND("'",$A152))=TRUE,_xlfn.CONCAT(LEFT($A152,FIND("'",$A152)-1),"''",RIGHT($A152,LEN($A152)-FIND("'",$A152))),$A152),"'!B5"))&gt;=I$2,"i",""))</f>
        <v>d</v>
      </c>
      <c r="J152" s="1" t="str" cm="1">
        <f t="array" aca="1" ref="J152" ca="1">IF(INDIRECT(_xlfn.CONCAT("'",IF(ISNUMBER(FIND("'",$A152))=TRUE,_xlfn.CONCAT(LEFT($A152,FIND("'",$A152)-1),"''",RIGHT($A152,LEN($A152)-FIND("'",$A152))),$A152),"'!B4"))&gt;=J$2,"d",IF(INDIRECT(_xlfn.CONCAT("'",IF(ISNUMBER(FIND("'",$A152))=TRUE,_xlfn.CONCAT(LEFT($A152,FIND("'",$A152)-1),"''",RIGHT($A152,LEN($A152)-FIND("'",$A152))),$A152),"'!B5"))&gt;=J$2,"i",""))</f>
        <v>d</v>
      </c>
      <c r="K152" s="1" t="str" cm="1">
        <f t="array" aca="1" ref="K152" ca="1">IF(INDIRECT(_xlfn.CONCAT("'",IF(ISNUMBER(FIND("'",$A152))=TRUE,_xlfn.CONCAT(LEFT($A152,FIND("'",$A152)-1),"''",RIGHT($A152,LEN($A152)-FIND("'",$A152))),$A152),"'!B4"))&gt;=K$2,"d",IF(INDIRECT(_xlfn.CONCAT("'",IF(ISNUMBER(FIND("'",$A152))=TRUE,_xlfn.CONCAT(LEFT($A152,FIND("'",$A152)-1),"''",RIGHT($A152,LEN($A152)-FIND("'",$A152))),$A152),"'!B5"))&gt;=K$2,"i",""))</f>
        <v>d</v>
      </c>
      <c r="L152" s="1" t="str" cm="1">
        <f t="array" aca="1" ref="L152" ca="1">IF(INDIRECT(_xlfn.CONCAT("'",IF(ISNUMBER(FIND("'",$A152))=TRUE,_xlfn.CONCAT(LEFT($A152,FIND("'",$A152)-1),"''",RIGHT($A152,LEN($A152)-FIND("'",$A152))),$A152),"'!B4"))&gt;=L$2,"d",IF(INDIRECT(_xlfn.CONCAT("'",IF(ISNUMBER(FIND("'",$A152))=TRUE,_xlfn.CONCAT(LEFT($A152,FIND("'",$A152)-1),"''",RIGHT($A152,LEN($A152)-FIND("'",$A152))),$A152),"'!B5"))&gt;=L$2,"i",""))</f>
        <v>d</v>
      </c>
      <c r="M152" s="4" t="str" cm="1">
        <f t="array" aca="1" ref="M152" ca="1">IF(INDIRECT(_xlfn.CONCAT("'",IF(ISNUMBER(FIND("'",$A152))=TRUE,_xlfn.CONCAT(LEFT($A152,FIND("'",$A152)-1),"''",RIGHT($A152,LEN($A152)-FIND("'",$A152))),$A152),"'!B4"))&gt;=M$2,"d",IF(INDIRECT(_xlfn.CONCAT("'",IF(ISNUMBER(FIND("'",$A152))=TRUE,_xlfn.CONCAT(LEFT($A152,FIND("'",$A152)-1),"''",RIGHT($A152,LEN($A152)-FIND("'",$A152))),$A152),"'!B5"))&gt;=M$2,"i",""))</f>
        <v>d</v>
      </c>
      <c r="N152" s="95"/>
      <c r="O152" s="14" t="str" cm="1">
        <f t="array" aca="1" ref="O152" ca="1">IF(INDIRECT(_xlfn.CONCAT("'",IF(ISNUMBER(FIND("'",$A152))=TRUE,_xlfn.CONCAT(LEFT($A152,FIND("'",$A152)-1),"''",RIGHT($A152,LEN($A152)-FIND("'",$A152))),$A152),"'!C10"))&gt;=O$2,"d",IF(INDIRECT(_xlfn.CONCAT("'",IF(ISNUMBER(FIND("'",$A152))=TRUE,_xlfn.CONCAT(LEFT($A152,FIND("'",$A152)-1),"''",RIGHT($A152,LEN($A152)-FIND("'",$A152))),$A152),"'!C11"))&gt;=O$2,"i",""))</f>
        <v>d</v>
      </c>
      <c r="P152" s="1" t="str" cm="1">
        <f t="array" aca="1" ref="P152" ca="1">IF(INDIRECT(_xlfn.CONCAT("'",IF(ISNUMBER(FIND("'",$A152))=TRUE,_xlfn.CONCAT(LEFT($A152,FIND("'",$A152)-1),"''",RIGHT($A152,LEN($A152)-FIND("'",$A152))),$A152),"'!C10"))&gt;=P$2,"d",IF(INDIRECT(_xlfn.CONCAT("'",IF(ISNUMBER(FIND("'",$A152))=TRUE,_xlfn.CONCAT(LEFT($A152,FIND("'",$A152)-1),"''",RIGHT($A152,LEN($A152)-FIND("'",$A152))),$A152),"'!C11"))&gt;=P$2,"i",""))</f>
        <v>d</v>
      </c>
      <c r="Q152" s="1" t="str" cm="1">
        <f t="array" aca="1" ref="Q152" ca="1">IF(INDIRECT(_xlfn.CONCAT("'",IF(ISNUMBER(FIND("'",$A152))=TRUE,_xlfn.CONCAT(LEFT($A152,FIND("'",$A152)-1),"''",RIGHT($A152,LEN($A152)-FIND("'",$A152))),$A152),"'!C10"))&gt;=Q$2,"d",IF(INDIRECT(_xlfn.CONCAT("'",IF(ISNUMBER(FIND("'",$A152))=TRUE,_xlfn.CONCAT(LEFT($A152,FIND("'",$A152)-1),"''",RIGHT($A152,LEN($A152)-FIND("'",$A152))),$A152),"'!C11"))&gt;=Q$2,"i",""))</f>
        <v>d</v>
      </c>
      <c r="R152" s="1" t="str" cm="1">
        <f t="array" aca="1" ref="R152" ca="1">IF(INDIRECT(_xlfn.CONCAT("'",IF(ISNUMBER(FIND("'",$A152))=TRUE,_xlfn.CONCAT(LEFT($A152,FIND("'",$A152)-1),"''",RIGHT($A152,LEN($A152)-FIND("'",$A152))),$A152),"'!C10"))&gt;=R$2,"d",IF(INDIRECT(_xlfn.CONCAT("'",IF(ISNUMBER(FIND("'",$A152))=TRUE,_xlfn.CONCAT(LEFT($A152,FIND("'",$A152)-1),"''",RIGHT($A152,LEN($A152)-FIND("'",$A152))),$A152),"'!C11"))&gt;=R$2,"i",""))</f>
        <v>d</v>
      </c>
      <c r="S152" s="1" t="str" cm="1">
        <f t="array" aca="1" ref="S152" ca="1">IF(INDIRECT(_xlfn.CONCAT("'",IF(ISNUMBER(FIND("'",$A152))=TRUE,_xlfn.CONCAT(LEFT($A152,FIND("'",$A152)-1),"''",RIGHT($A152,LEN($A152)-FIND("'",$A152))),$A152),"'!C10"))&gt;=S$2,"d",IF(INDIRECT(_xlfn.CONCAT("'",IF(ISNUMBER(FIND("'",$A152))=TRUE,_xlfn.CONCAT(LEFT($A152,FIND("'",$A152)-1),"''",RIGHT($A152,LEN($A152)-FIND("'",$A152))),$A152),"'!C11"))&gt;=S$2,"i",""))</f>
        <v>d</v>
      </c>
      <c r="T152" s="4" t="str" cm="1">
        <f t="array" aca="1" ref="T152" ca="1">IF(INDIRECT(_xlfn.CONCAT("'",IF(ISNUMBER(FIND("'",$A152))=TRUE,_xlfn.CONCAT(LEFT($A152,FIND("'",$A152)-1),"''",RIGHT($A152,LEN($A152)-FIND("'",$A152))),$A152),"'!C10"))&gt;=T$2,"d",IF(INDIRECT(_xlfn.CONCAT("'",IF(ISNUMBER(FIND("'",$A152))=TRUE,_xlfn.CONCAT(LEFT($A152,FIND("'",$A152)-1),"''",RIGHT($A152,LEN($A152)-FIND("'",$A152))),$A152),"'!C11"))&gt;=T$2,"i",""))</f>
        <v>d</v>
      </c>
    </row>
    <row r="153" spans="1:20" hidden="1" x14ac:dyDescent="0.25">
      <c r="A153" s="135" t="str">
        <v>Mailed Flower</v>
      </c>
      <c r="B153" s="14" cm="1">
        <f t="array" ref="B153">_xlfn.XLOOKUP(A153,INDEX(Weapon_List,,1),INDEX(Weapon_List,,3),,0,1)</f>
        <v>4</v>
      </c>
      <c r="C153" s="4" t="str" cm="1">
        <f t="array" ref="C153">_xlfn.XLOOKUP(A153,INDEX(Weapon_List,,1),INDEX(Weapon_List,,2),,0,1)</f>
        <v>Claymore</v>
      </c>
      <c r="D153" s="38" t="str" cm="1">
        <f t="array" ref="D153">_xlfn.XLOOKUP(A153,INDEX(Weapon_List,,1),INDEX(Weapon_List,,4),,0,1)</f>
        <v>Mondstadt 3</v>
      </c>
      <c r="E153" s="38" t="str" cm="1">
        <f t="array" ref="E153">_xlfn.XLOOKUP(A153,INDEX(Weapon_List,,1),INDEX(Weapon_List,,5),,0,1)</f>
        <v>Specter</v>
      </c>
      <c r="F153" s="38" t="str" cm="1">
        <f t="array" ref="F153">_xlfn.XLOOKUP(A153,INDEX(Weapon_List,,1),INDEX(Weapon_List,,6),,0,1)</f>
        <v>Consecrated Beast</v>
      </c>
      <c r="G153" s="14" t="str" cm="1">
        <f t="array" aca="1" ref="G153" ca="1">IF(INDIRECT(_xlfn.CONCAT("'",IF(ISNUMBER(FIND("'",$A153))=TRUE,_xlfn.CONCAT(LEFT($A153,FIND("'",$A153)-1),"''",RIGHT($A153,LEN($A153)-FIND("'",$A153))),$A153),"'!B4"))&gt;=G$2,"d",IF(INDIRECT(_xlfn.CONCAT("'",IF(ISNUMBER(FIND("'",$A153))=TRUE,_xlfn.CONCAT(LEFT($A153,FIND("'",$A153)-1),"''",RIGHT($A153,LEN($A153)-FIND("'",$A153))),$A153),"'!B5"))&gt;=G$2,"i",""))</f>
        <v>d</v>
      </c>
      <c r="H153" s="1" t="str" cm="1">
        <f t="array" aca="1" ref="H153" ca="1">IF(INDIRECT(_xlfn.CONCAT("'",IF(ISNUMBER(FIND("'",$A153))=TRUE,_xlfn.CONCAT(LEFT($A153,FIND("'",$A153)-1),"''",RIGHT($A153,LEN($A153)-FIND("'",$A153))),$A153),"'!B4"))&gt;=H$2,"d",IF(INDIRECT(_xlfn.CONCAT("'",IF(ISNUMBER(FIND("'",$A153))=TRUE,_xlfn.CONCAT(LEFT($A153,FIND("'",$A153)-1),"''",RIGHT($A153,LEN($A153)-FIND("'",$A153))),$A153),"'!B5"))&gt;=H$2,"i",""))</f>
        <v>d</v>
      </c>
      <c r="I153" s="1" t="str" cm="1">
        <f t="array" aca="1" ref="I153" ca="1">IF(INDIRECT(_xlfn.CONCAT("'",IF(ISNUMBER(FIND("'",$A153))=TRUE,_xlfn.CONCAT(LEFT($A153,FIND("'",$A153)-1),"''",RIGHT($A153,LEN($A153)-FIND("'",$A153))),$A153),"'!B4"))&gt;=I$2,"d",IF(INDIRECT(_xlfn.CONCAT("'",IF(ISNUMBER(FIND("'",$A153))=TRUE,_xlfn.CONCAT(LEFT($A153,FIND("'",$A153)-1),"''",RIGHT($A153,LEN($A153)-FIND("'",$A153))),$A153),"'!B5"))&gt;=I$2,"i",""))</f>
        <v>d</v>
      </c>
      <c r="J153" s="1" t="str" cm="1">
        <f t="array" aca="1" ref="J153" ca="1">IF(INDIRECT(_xlfn.CONCAT("'",IF(ISNUMBER(FIND("'",$A153))=TRUE,_xlfn.CONCAT(LEFT($A153,FIND("'",$A153)-1),"''",RIGHT($A153,LEN($A153)-FIND("'",$A153))),$A153),"'!B4"))&gt;=J$2,"d",IF(INDIRECT(_xlfn.CONCAT("'",IF(ISNUMBER(FIND("'",$A153))=TRUE,_xlfn.CONCAT(LEFT($A153,FIND("'",$A153)-1),"''",RIGHT($A153,LEN($A153)-FIND("'",$A153))),$A153),"'!B5"))&gt;=J$2,"i",""))</f>
        <v>d</v>
      </c>
      <c r="K153" s="1" t="str" cm="1">
        <f t="array" aca="1" ref="K153" ca="1">IF(INDIRECT(_xlfn.CONCAT("'",IF(ISNUMBER(FIND("'",$A153))=TRUE,_xlfn.CONCAT(LEFT($A153,FIND("'",$A153)-1),"''",RIGHT($A153,LEN($A153)-FIND("'",$A153))),$A153),"'!B4"))&gt;=K$2,"d",IF(INDIRECT(_xlfn.CONCAT("'",IF(ISNUMBER(FIND("'",$A153))=TRUE,_xlfn.CONCAT(LEFT($A153,FIND("'",$A153)-1),"''",RIGHT($A153,LEN($A153)-FIND("'",$A153))),$A153),"'!B5"))&gt;=K$2,"i",""))</f>
        <v>d</v>
      </c>
      <c r="L153" s="1" t="str" cm="1">
        <f t="array" aca="1" ref="L153" ca="1">IF(INDIRECT(_xlfn.CONCAT("'",IF(ISNUMBER(FIND("'",$A153))=TRUE,_xlfn.CONCAT(LEFT($A153,FIND("'",$A153)-1),"''",RIGHT($A153,LEN($A153)-FIND("'",$A153))),$A153),"'!B4"))&gt;=L$2,"d",IF(INDIRECT(_xlfn.CONCAT("'",IF(ISNUMBER(FIND("'",$A153))=TRUE,_xlfn.CONCAT(LEFT($A153,FIND("'",$A153)-1),"''",RIGHT($A153,LEN($A153)-FIND("'",$A153))),$A153),"'!B5"))&gt;=L$2,"i",""))</f>
        <v>d</v>
      </c>
      <c r="M153" s="4" t="str" cm="1">
        <f t="array" aca="1" ref="M153" ca="1">IF(INDIRECT(_xlfn.CONCAT("'",IF(ISNUMBER(FIND("'",$A153))=TRUE,_xlfn.CONCAT(LEFT($A153,FIND("'",$A153)-1),"''",RIGHT($A153,LEN($A153)-FIND("'",$A153))),$A153),"'!B4"))&gt;=M$2,"d",IF(INDIRECT(_xlfn.CONCAT("'",IF(ISNUMBER(FIND("'",$A153))=TRUE,_xlfn.CONCAT(LEFT($A153,FIND("'",$A153)-1),"''",RIGHT($A153,LEN($A153)-FIND("'",$A153))),$A153),"'!B5"))&gt;=M$2,"i",""))</f>
        <v>d</v>
      </c>
      <c r="N153" s="95"/>
      <c r="O153" s="14" t="str" cm="1">
        <f t="array" aca="1" ref="O153" ca="1">IF(INDIRECT(_xlfn.CONCAT("'",IF(ISNUMBER(FIND("'",$A153))=TRUE,_xlfn.CONCAT(LEFT($A153,FIND("'",$A153)-1),"''",RIGHT($A153,LEN($A153)-FIND("'",$A153))),$A153),"'!C10"))&gt;=O$2,"d",IF(INDIRECT(_xlfn.CONCAT("'",IF(ISNUMBER(FIND("'",$A153))=TRUE,_xlfn.CONCAT(LEFT($A153,FIND("'",$A153)-1),"''",RIGHT($A153,LEN($A153)-FIND("'",$A153))),$A153),"'!C11"))&gt;=O$2,"i",""))</f>
        <v>d</v>
      </c>
      <c r="P153" s="1" t="str" cm="1">
        <f t="array" aca="1" ref="P153" ca="1">IF(INDIRECT(_xlfn.CONCAT("'",IF(ISNUMBER(FIND("'",$A153))=TRUE,_xlfn.CONCAT(LEFT($A153,FIND("'",$A153)-1),"''",RIGHT($A153,LEN($A153)-FIND("'",$A153))),$A153),"'!C10"))&gt;=P$2,"d",IF(INDIRECT(_xlfn.CONCAT("'",IF(ISNUMBER(FIND("'",$A153))=TRUE,_xlfn.CONCAT(LEFT($A153,FIND("'",$A153)-1),"''",RIGHT($A153,LEN($A153)-FIND("'",$A153))),$A153),"'!C11"))&gt;=P$2,"i",""))</f>
        <v>d</v>
      </c>
      <c r="Q153" s="1" t="str" cm="1">
        <f t="array" aca="1" ref="Q153" ca="1">IF(INDIRECT(_xlfn.CONCAT("'",IF(ISNUMBER(FIND("'",$A153))=TRUE,_xlfn.CONCAT(LEFT($A153,FIND("'",$A153)-1),"''",RIGHT($A153,LEN($A153)-FIND("'",$A153))),$A153),"'!C10"))&gt;=Q$2,"d",IF(INDIRECT(_xlfn.CONCAT("'",IF(ISNUMBER(FIND("'",$A153))=TRUE,_xlfn.CONCAT(LEFT($A153,FIND("'",$A153)-1),"''",RIGHT($A153,LEN($A153)-FIND("'",$A153))),$A153),"'!C11"))&gt;=Q$2,"i",""))</f>
        <v>d</v>
      </c>
      <c r="R153" s="1" t="str" cm="1">
        <f t="array" aca="1" ref="R153" ca="1">IF(INDIRECT(_xlfn.CONCAT("'",IF(ISNUMBER(FIND("'",$A153))=TRUE,_xlfn.CONCAT(LEFT($A153,FIND("'",$A153)-1),"''",RIGHT($A153,LEN($A153)-FIND("'",$A153))),$A153),"'!C10"))&gt;=R$2,"d",IF(INDIRECT(_xlfn.CONCAT("'",IF(ISNUMBER(FIND("'",$A153))=TRUE,_xlfn.CONCAT(LEFT($A153,FIND("'",$A153)-1),"''",RIGHT($A153,LEN($A153)-FIND("'",$A153))),$A153),"'!C11"))&gt;=R$2,"i",""))</f>
        <v>d</v>
      </c>
      <c r="S153" s="1" t="str" cm="1">
        <f t="array" aca="1" ref="S153" ca="1">IF(INDIRECT(_xlfn.CONCAT("'",IF(ISNUMBER(FIND("'",$A153))=TRUE,_xlfn.CONCAT(LEFT($A153,FIND("'",$A153)-1),"''",RIGHT($A153,LEN($A153)-FIND("'",$A153))),$A153),"'!C10"))&gt;=S$2,"d",IF(INDIRECT(_xlfn.CONCAT("'",IF(ISNUMBER(FIND("'",$A153))=TRUE,_xlfn.CONCAT(LEFT($A153,FIND("'",$A153)-1),"''",RIGHT($A153,LEN($A153)-FIND("'",$A153))),$A153),"'!C11"))&gt;=S$2,"i",""))</f>
        <v>d</v>
      </c>
      <c r="T153" s="4" t="str" cm="1">
        <f t="array" aca="1" ref="T153" ca="1">IF(INDIRECT(_xlfn.CONCAT("'",IF(ISNUMBER(FIND("'",$A153))=TRUE,_xlfn.CONCAT(LEFT($A153,FIND("'",$A153)-1),"''",RIGHT($A153,LEN($A153)-FIND("'",$A153))),$A153),"'!C10"))&gt;=T$2,"d",IF(INDIRECT(_xlfn.CONCAT("'",IF(ISNUMBER(FIND("'",$A153))=TRUE,_xlfn.CONCAT(LEFT($A153,FIND("'",$A153)-1),"''",RIGHT($A153,LEN($A153)-FIND("'",$A153))),$A153),"'!C11"))&gt;=T$2,"i",""))</f>
        <v>d</v>
      </c>
    </row>
    <row r="154" spans="1:20" hidden="1" x14ac:dyDescent="0.25">
      <c r="A154" s="135" t="str">
        <v>Jadefall's Splendor</v>
      </c>
      <c r="B154" s="14" cm="1">
        <f t="array" ref="B154">_xlfn.XLOOKUP(A154,INDEX(Weapon_List,,1),INDEX(Weapon_List,,3),,0,1)</f>
        <v>5</v>
      </c>
      <c r="C154" s="4" t="str" cm="1">
        <f t="array" ref="C154">_xlfn.XLOOKUP(A154,INDEX(Weapon_List,,1),INDEX(Weapon_List,,2),,0,1)</f>
        <v>Catalyst</v>
      </c>
      <c r="D154" s="38" t="str" cm="1">
        <f t="array" ref="D154">_xlfn.XLOOKUP(A154,INDEX(Weapon_List,,1),INDEX(Weapon_List,,4),,0,1)</f>
        <v>Liyue 1</v>
      </c>
      <c r="E154" s="38" t="str" cm="1">
        <f t="array" ref="E154">_xlfn.XLOOKUP(A154,INDEX(Weapon_List,,1),INDEX(Weapon_List,,5),,0,1)</f>
        <v>Floating Fungi</v>
      </c>
      <c r="F154" s="38" t="str" cm="1">
        <f t="array" ref="F154">_xlfn.XLOOKUP(A154,INDEX(Weapon_List,,1),INDEX(Weapon_List,,6),,0,1)</f>
        <v>Hilichurl Rogue</v>
      </c>
      <c r="G154" s="14" t="str" cm="1">
        <f t="array" aca="1" ref="G154" ca="1">IF(INDIRECT(_xlfn.CONCAT("'",IF(ISNUMBER(FIND("'",$A154))=TRUE,_xlfn.CONCAT(LEFT($A154,FIND("'",$A154)-1),"''",RIGHT($A154,LEN($A154)-FIND("'",$A154))),$A154),"'!B4"))&gt;=G$2,"d",IF(INDIRECT(_xlfn.CONCAT("'",IF(ISNUMBER(FIND("'",$A154))=TRUE,_xlfn.CONCAT(LEFT($A154,FIND("'",$A154)-1),"''",RIGHT($A154,LEN($A154)-FIND("'",$A154))),$A154),"'!B5"))&gt;=G$2,"i",""))</f>
        <v>d</v>
      </c>
      <c r="H154" s="1" t="str" cm="1">
        <f t="array" aca="1" ref="H154" ca="1">IF(INDIRECT(_xlfn.CONCAT("'",IF(ISNUMBER(FIND("'",$A154))=TRUE,_xlfn.CONCAT(LEFT($A154,FIND("'",$A154)-1),"''",RIGHT($A154,LEN($A154)-FIND("'",$A154))),$A154),"'!B4"))&gt;=H$2,"d",IF(INDIRECT(_xlfn.CONCAT("'",IF(ISNUMBER(FIND("'",$A154))=TRUE,_xlfn.CONCAT(LEFT($A154,FIND("'",$A154)-1),"''",RIGHT($A154,LEN($A154)-FIND("'",$A154))),$A154),"'!B5"))&gt;=H$2,"i",""))</f>
        <v>d</v>
      </c>
      <c r="I154" s="1" t="str" cm="1">
        <f t="array" aca="1" ref="I154" ca="1">IF(INDIRECT(_xlfn.CONCAT("'",IF(ISNUMBER(FIND("'",$A154))=TRUE,_xlfn.CONCAT(LEFT($A154,FIND("'",$A154)-1),"''",RIGHT($A154,LEN($A154)-FIND("'",$A154))),$A154),"'!B4"))&gt;=I$2,"d",IF(INDIRECT(_xlfn.CONCAT("'",IF(ISNUMBER(FIND("'",$A154))=TRUE,_xlfn.CONCAT(LEFT($A154,FIND("'",$A154)-1),"''",RIGHT($A154,LEN($A154)-FIND("'",$A154))),$A154),"'!B5"))&gt;=I$2,"i",""))</f>
        <v>d</v>
      </c>
      <c r="J154" s="1" t="str" cm="1">
        <f t="array" aca="1" ref="J154" ca="1">IF(INDIRECT(_xlfn.CONCAT("'",IF(ISNUMBER(FIND("'",$A154))=TRUE,_xlfn.CONCAT(LEFT($A154,FIND("'",$A154)-1),"''",RIGHT($A154,LEN($A154)-FIND("'",$A154))),$A154),"'!B4"))&gt;=J$2,"d",IF(INDIRECT(_xlfn.CONCAT("'",IF(ISNUMBER(FIND("'",$A154))=TRUE,_xlfn.CONCAT(LEFT($A154,FIND("'",$A154)-1),"''",RIGHT($A154,LEN($A154)-FIND("'",$A154))),$A154),"'!B5"))&gt;=J$2,"i",""))</f>
        <v>d</v>
      </c>
      <c r="K154" s="1" t="str" cm="1">
        <f t="array" aca="1" ref="K154" ca="1">IF(INDIRECT(_xlfn.CONCAT("'",IF(ISNUMBER(FIND("'",$A154))=TRUE,_xlfn.CONCAT(LEFT($A154,FIND("'",$A154)-1),"''",RIGHT($A154,LEN($A154)-FIND("'",$A154))),$A154),"'!B4"))&gt;=K$2,"d",IF(INDIRECT(_xlfn.CONCAT("'",IF(ISNUMBER(FIND("'",$A154))=TRUE,_xlfn.CONCAT(LEFT($A154,FIND("'",$A154)-1),"''",RIGHT($A154,LEN($A154)-FIND("'",$A154))),$A154),"'!B5"))&gt;=K$2,"i",""))</f>
        <v>d</v>
      </c>
      <c r="L154" s="1" t="str" cm="1">
        <f t="array" aca="1" ref="L154" ca="1">IF(INDIRECT(_xlfn.CONCAT("'",IF(ISNUMBER(FIND("'",$A154))=TRUE,_xlfn.CONCAT(LEFT($A154,FIND("'",$A154)-1),"''",RIGHT($A154,LEN($A154)-FIND("'",$A154))),$A154),"'!B4"))&gt;=L$2,"d",IF(INDIRECT(_xlfn.CONCAT("'",IF(ISNUMBER(FIND("'",$A154))=TRUE,_xlfn.CONCAT(LEFT($A154,FIND("'",$A154)-1),"''",RIGHT($A154,LEN($A154)-FIND("'",$A154))),$A154),"'!B5"))&gt;=L$2,"i",""))</f>
        <v>d</v>
      </c>
      <c r="M154" s="4" t="str" cm="1">
        <f t="array" aca="1" ref="M154" ca="1">IF(INDIRECT(_xlfn.CONCAT("'",IF(ISNUMBER(FIND("'",$A154))=TRUE,_xlfn.CONCAT(LEFT($A154,FIND("'",$A154)-1),"''",RIGHT($A154,LEN($A154)-FIND("'",$A154))),$A154),"'!B4"))&gt;=M$2,"d",IF(INDIRECT(_xlfn.CONCAT("'",IF(ISNUMBER(FIND("'",$A154))=TRUE,_xlfn.CONCAT(LEFT($A154,FIND("'",$A154)-1),"''",RIGHT($A154,LEN($A154)-FIND("'",$A154))),$A154),"'!B5"))&gt;=M$2,"i",""))</f>
        <v>d</v>
      </c>
      <c r="N154" s="95"/>
      <c r="O154" s="14" t="str" cm="1">
        <f t="array" aca="1" ref="O154" ca="1">IF(INDIRECT(_xlfn.CONCAT("'",IF(ISNUMBER(FIND("'",$A154))=TRUE,_xlfn.CONCAT(LEFT($A154,FIND("'",$A154)-1),"''",RIGHT($A154,LEN($A154)-FIND("'",$A154))),$A154),"'!C10"))&gt;=O$2,"d",IF(INDIRECT(_xlfn.CONCAT("'",IF(ISNUMBER(FIND("'",$A154))=TRUE,_xlfn.CONCAT(LEFT($A154,FIND("'",$A154)-1),"''",RIGHT($A154,LEN($A154)-FIND("'",$A154))),$A154),"'!C11"))&gt;=O$2,"i",""))</f>
        <v>d</v>
      </c>
      <c r="P154" s="1" t="str" cm="1">
        <f t="array" aca="1" ref="P154" ca="1">IF(INDIRECT(_xlfn.CONCAT("'",IF(ISNUMBER(FIND("'",$A154))=TRUE,_xlfn.CONCAT(LEFT($A154,FIND("'",$A154)-1),"''",RIGHT($A154,LEN($A154)-FIND("'",$A154))),$A154),"'!C10"))&gt;=P$2,"d",IF(INDIRECT(_xlfn.CONCAT("'",IF(ISNUMBER(FIND("'",$A154))=TRUE,_xlfn.CONCAT(LEFT($A154,FIND("'",$A154)-1),"''",RIGHT($A154,LEN($A154)-FIND("'",$A154))),$A154),"'!C11"))&gt;=P$2,"i",""))</f>
        <v>d</v>
      </c>
      <c r="Q154" s="1" t="str" cm="1">
        <f t="array" aca="1" ref="Q154" ca="1">IF(INDIRECT(_xlfn.CONCAT("'",IF(ISNUMBER(FIND("'",$A154))=TRUE,_xlfn.CONCAT(LEFT($A154,FIND("'",$A154)-1),"''",RIGHT($A154,LEN($A154)-FIND("'",$A154))),$A154),"'!C10"))&gt;=Q$2,"d",IF(INDIRECT(_xlfn.CONCAT("'",IF(ISNUMBER(FIND("'",$A154))=TRUE,_xlfn.CONCAT(LEFT($A154,FIND("'",$A154)-1),"''",RIGHT($A154,LEN($A154)-FIND("'",$A154))),$A154),"'!C11"))&gt;=Q$2,"i",""))</f>
        <v>d</v>
      </c>
      <c r="R154" s="1" t="str" cm="1">
        <f t="array" aca="1" ref="R154" ca="1">IF(INDIRECT(_xlfn.CONCAT("'",IF(ISNUMBER(FIND("'",$A154))=TRUE,_xlfn.CONCAT(LEFT($A154,FIND("'",$A154)-1),"''",RIGHT($A154,LEN($A154)-FIND("'",$A154))),$A154),"'!C10"))&gt;=R$2,"d",IF(INDIRECT(_xlfn.CONCAT("'",IF(ISNUMBER(FIND("'",$A154))=TRUE,_xlfn.CONCAT(LEFT($A154,FIND("'",$A154)-1),"''",RIGHT($A154,LEN($A154)-FIND("'",$A154))),$A154),"'!C11"))&gt;=R$2,"i",""))</f>
        <v>d</v>
      </c>
      <c r="S154" s="1" t="str" cm="1">
        <f t="array" aca="1" ref="S154" ca="1">IF(INDIRECT(_xlfn.CONCAT("'",IF(ISNUMBER(FIND("'",$A154))=TRUE,_xlfn.CONCAT(LEFT($A154,FIND("'",$A154)-1),"''",RIGHT($A154,LEN($A154)-FIND("'",$A154))),$A154),"'!C10"))&gt;=S$2,"d",IF(INDIRECT(_xlfn.CONCAT("'",IF(ISNUMBER(FIND("'",$A154))=TRUE,_xlfn.CONCAT(LEFT($A154,FIND("'",$A154)-1),"''",RIGHT($A154,LEN($A154)-FIND("'",$A154))),$A154),"'!C11"))&gt;=S$2,"i",""))</f>
        <v>d</v>
      </c>
      <c r="T154" s="4" t="str" cm="1">
        <f t="array" aca="1" ref="T154" ca="1">IF(INDIRECT(_xlfn.CONCAT("'",IF(ISNUMBER(FIND("'",$A154))=TRUE,_xlfn.CONCAT(LEFT($A154,FIND("'",$A154)-1),"''",RIGHT($A154,LEN($A154)-FIND("'",$A154))),$A154),"'!C10"))&gt;=T$2,"d",IF(INDIRECT(_xlfn.CONCAT("'",IF(ISNUMBER(FIND("'",$A154))=TRUE,_xlfn.CONCAT(LEFT($A154,FIND("'",$A154)-1),"''",RIGHT($A154,LEN($A154)-FIND("'",$A154))),$A154),"'!C11"))&gt;=T$2,"i",""))</f>
        <v>d</v>
      </c>
    </row>
    <row r="155" spans="1:20" hidden="1" x14ac:dyDescent="0.25">
      <c r="A155" s="54" t="str">
        <v>Ibis Piercer</v>
      </c>
      <c r="B155" s="14" cm="1">
        <f t="array" ref="B155">_xlfn.XLOOKUP(A155,INDEX(Weapon_List,,1),INDEX(Weapon_List,,3),,0,1)</f>
        <v>4</v>
      </c>
      <c r="C155" s="4" t="str" cm="1">
        <f t="array" ref="C155">_xlfn.XLOOKUP(A155,INDEX(Weapon_List,,1),INDEX(Weapon_List,,2),,0,1)</f>
        <v>Bow</v>
      </c>
      <c r="D155" s="38" t="str" cm="1">
        <f t="array" ref="D155">_xlfn.XLOOKUP(A155,INDEX(Weapon_List,,1),INDEX(Weapon_List,,4),,0,1)</f>
        <v>Sumeru 1</v>
      </c>
      <c r="E155" s="38" t="str" cm="1">
        <f t="array" ref="E155">_xlfn.XLOOKUP(A155,INDEX(Weapon_List,,1),INDEX(Weapon_List,,5),,0,1)</f>
        <v>Eremite</v>
      </c>
      <c r="F155" s="38" t="str" cm="1">
        <f t="array" ref="F155">_xlfn.XLOOKUP(A155,INDEX(Weapon_List,,1),INDEX(Weapon_List,,6),,0,1)</f>
        <v>Hilichurl Rogue</v>
      </c>
      <c r="G155" s="14" t="str" cm="1">
        <f t="array" aca="1" ref="G155" ca="1">IF(INDIRECT(_xlfn.CONCAT("'",IF(ISNUMBER(FIND("'",$A155))=TRUE,_xlfn.CONCAT(LEFT($A155,FIND("'",$A155)-1),"''",RIGHT($A155,LEN($A155)-FIND("'",$A155))),$A155),"'!B4"))&gt;=G$2,"d",IF(INDIRECT(_xlfn.CONCAT("'",IF(ISNUMBER(FIND("'",$A155))=TRUE,_xlfn.CONCAT(LEFT($A155,FIND("'",$A155)-1),"''",RIGHT($A155,LEN($A155)-FIND("'",$A155))),$A155),"'!B5"))&gt;=G$2,"i",""))</f>
        <v>d</v>
      </c>
      <c r="H155" s="1" t="str" cm="1">
        <f t="array" aca="1" ref="H155" ca="1">IF(INDIRECT(_xlfn.CONCAT("'",IF(ISNUMBER(FIND("'",$A155))=TRUE,_xlfn.CONCAT(LEFT($A155,FIND("'",$A155)-1),"''",RIGHT($A155,LEN($A155)-FIND("'",$A155))),$A155),"'!B4"))&gt;=H$2,"d",IF(INDIRECT(_xlfn.CONCAT("'",IF(ISNUMBER(FIND("'",$A155))=TRUE,_xlfn.CONCAT(LEFT($A155,FIND("'",$A155)-1),"''",RIGHT($A155,LEN($A155)-FIND("'",$A155))),$A155),"'!B5"))&gt;=H$2,"i",""))</f>
        <v>d</v>
      </c>
      <c r="I155" s="1" t="str" cm="1">
        <f t="array" aca="1" ref="I155" ca="1">IF(INDIRECT(_xlfn.CONCAT("'",IF(ISNUMBER(FIND("'",$A155))=TRUE,_xlfn.CONCAT(LEFT($A155,FIND("'",$A155)-1),"''",RIGHT($A155,LEN($A155)-FIND("'",$A155))),$A155),"'!B4"))&gt;=I$2,"d",IF(INDIRECT(_xlfn.CONCAT("'",IF(ISNUMBER(FIND("'",$A155))=TRUE,_xlfn.CONCAT(LEFT($A155,FIND("'",$A155)-1),"''",RIGHT($A155,LEN($A155)-FIND("'",$A155))),$A155),"'!B5"))&gt;=I$2,"i",""))</f>
        <v>d</v>
      </c>
      <c r="J155" s="1" t="str" cm="1">
        <f t="array" aca="1" ref="J155" ca="1">IF(INDIRECT(_xlfn.CONCAT("'",IF(ISNUMBER(FIND("'",$A155))=TRUE,_xlfn.CONCAT(LEFT($A155,FIND("'",$A155)-1),"''",RIGHT($A155,LEN($A155)-FIND("'",$A155))),$A155),"'!B4"))&gt;=J$2,"d",IF(INDIRECT(_xlfn.CONCAT("'",IF(ISNUMBER(FIND("'",$A155))=TRUE,_xlfn.CONCAT(LEFT($A155,FIND("'",$A155)-1),"''",RIGHT($A155,LEN($A155)-FIND("'",$A155))),$A155),"'!B5"))&gt;=J$2,"i",""))</f>
        <v>d</v>
      </c>
      <c r="K155" s="1" t="str" cm="1">
        <f t="array" aca="1" ref="K155" ca="1">IF(INDIRECT(_xlfn.CONCAT("'",IF(ISNUMBER(FIND("'",$A155))=TRUE,_xlfn.CONCAT(LEFT($A155,FIND("'",$A155)-1),"''",RIGHT($A155,LEN($A155)-FIND("'",$A155))),$A155),"'!B4"))&gt;=K$2,"d",IF(INDIRECT(_xlfn.CONCAT("'",IF(ISNUMBER(FIND("'",$A155))=TRUE,_xlfn.CONCAT(LEFT($A155,FIND("'",$A155)-1),"''",RIGHT($A155,LEN($A155)-FIND("'",$A155))),$A155),"'!B5"))&gt;=K$2,"i",""))</f>
        <v>d</v>
      </c>
      <c r="L155" s="1" t="str" cm="1">
        <f t="array" aca="1" ref="L155" ca="1">IF(INDIRECT(_xlfn.CONCAT("'",IF(ISNUMBER(FIND("'",$A155))=TRUE,_xlfn.CONCAT(LEFT($A155,FIND("'",$A155)-1),"''",RIGHT($A155,LEN($A155)-FIND("'",$A155))),$A155),"'!B4"))&gt;=L$2,"d",IF(INDIRECT(_xlfn.CONCAT("'",IF(ISNUMBER(FIND("'",$A155))=TRUE,_xlfn.CONCAT(LEFT($A155,FIND("'",$A155)-1),"''",RIGHT($A155,LEN($A155)-FIND("'",$A155))),$A155),"'!B5"))&gt;=L$2,"i",""))</f>
        <v>d</v>
      </c>
      <c r="M155" s="4" t="str" cm="1">
        <f t="array" aca="1" ref="M155" ca="1">IF(INDIRECT(_xlfn.CONCAT("'",IF(ISNUMBER(FIND("'",$A155))=TRUE,_xlfn.CONCAT(LEFT($A155,FIND("'",$A155)-1),"''",RIGHT($A155,LEN($A155)-FIND("'",$A155))),$A155),"'!B4"))&gt;=M$2,"d",IF(INDIRECT(_xlfn.CONCAT("'",IF(ISNUMBER(FIND("'",$A155))=TRUE,_xlfn.CONCAT(LEFT($A155,FIND("'",$A155)-1),"''",RIGHT($A155,LEN($A155)-FIND("'",$A155))),$A155),"'!B5"))&gt;=M$2,"i",""))</f>
        <v>d</v>
      </c>
      <c r="N155" s="95"/>
      <c r="O155" s="14" t="str" cm="1">
        <f t="array" aca="1" ref="O155" ca="1">IF(INDIRECT(_xlfn.CONCAT("'",IF(ISNUMBER(FIND("'",$A155))=TRUE,_xlfn.CONCAT(LEFT($A155,FIND("'",$A155)-1),"''",RIGHT($A155,LEN($A155)-FIND("'",$A155))),$A155),"'!C10"))&gt;=O$2,"d",IF(INDIRECT(_xlfn.CONCAT("'",IF(ISNUMBER(FIND("'",$A155))=TRUE,_xlfn.CONCAT(LEFT($A155,FIND("'",$A155)-1),"''",RIGHT($A155,LEN($A155)-FIND("'",$A155))),$A155),"'!C11"))&gt;=O$2,"i",""))</f>
        <v>d</v>
      </c>
      <c r="P155" s="1" t="str" cm="1">
        <f t="array" aca="1" ref="P155" ca="1">IF(INDIRECT(_xlfn.CONCAT("'",IF(ISNUMBER(FIND("'",$A155))=TRUE,_xlfn.CONCAT(LEFT($A155,FIND("'",$A155)-1),"''",RIGHT($A155,LEN($A155)-FIND("'",$A155))),$A155),"'!C10"))&gt;=P$2,"d",IF(INDIRECT(_xlfn.CONCAT("'",IF(ISNUMBER(FIND("'",$A155))=TRUE,_xlfn.CONCAT(LEFT($A155,FIND("'",$A155)-1),"''",RIGHT($A155,LEN($A155)-FIND("'",$A155))),$A155),"'!C11"))&gt;=P$2,"i",""))</f>
        <v>d</v>
      </c>
      <c r="Q155" s="1" t="str" cm="1">
        <f t="array" aca="1" ref="Q155" ca="1">IF(INDIRECT(_xlfn.CONCAT("'",IF(ISNUMBER(FIND("'",$A155))=TRUE,_xlfn.CONCAT(LEFT($A155,FIND("'",$A155)-1),"''",RIGHT($A155,LEN($A155)-FIND("'",$A155))),$A155),"'!C10"))&gt;=Q$2,"d",IF(INDIRECT(_xlfn.CONCAT("'",IF(ISNUMBER(FIND("'",$A155))=TRUE,_xlfn.CONCAT(LEFT($A155,FIND("'",$A155)-1),"''",RIGHT($A155,LEN($A155)-FIND("'",$A155))),$A155),"'!C11"))&gt;=Q$2,"i",""))</f>
        <v>d</v>
      </c>
      <c r="R155" s="1" t="str" cm="1">
        <f t="array" aca="1" ref="R155" ca="1">IF(INDIRECT(_xlfn.CONCAT("'",IF(ISNUMBER(FIND("'",$A155))=TRUE,_xlfn.CONCAT(LEFT($A155,FIND("'",$A155)-1),"''",RIGHT($A155,LEN($A155)-FIND("'",$A155))),$A155),"'!C10"))&gt;=R$2,"d",IF(INDIRECT(_xlfn.CONCAT("'",IF(ISNUMBER(FIND("'",$A155))=TRUE,_xlfn.CONCAT(LEFT($A155,FIND("'",$A155)-1),"''",RIGHT($A155,LEN($A155)-FIND("'",$A155))),$A155),"'!C11"))&gt;=R$2,"i",""))</f>
        <v>d</v>
      </c>
      <c r="S155" s="1" t="str" cm="1">
        <f t="array" aca="1" ref="S155" ca="1">IF(INDIRECT(_xlfn.CONCAT("'",IF(ISNUMBER(FIND("'",$A155))=TRUE,_xlfn.CONCAT(LEFT($A155,FIND("'",$A155)-1),"''",RIGHT($A155,LEN($A155)-FIND("'",$A155))),$A155),"'!C10"))&gt;=S$2,"d",IF(INDIRECT(_xlfn.CONCAT("'",IF(ISNUMBER(FIND("'",$A155))=TRUE,_xlfn.CONCAT(LEFT($A155,FIND("'",$A155)-1),"''",RIGHT($A155,LEN($A155)-FIND("'",$A155))),$A155),"'!C11"))&gt;=S$2,"i",""))</f>
        <v>d</v>
      </c>
      <c r="T155" s="4" t="str" cm="1">
        <f t="array" aca="1" ref="T155" ca="1">IF(INDIRECT(_xlfn.CONCAT("'",IF(ISNUMBER(FIND("'",$A155))=TRUE,_xlfn.CONCAT(LEFT($A155,FIND("'",$A155)-1),"''",RIGHT($A155,LEN($A155)-FIND("'",$A155))),$A155),"'!C10"))&gt;=T$2,"d",IF(INDIRECT(_xlfn.CONCAT("'",IF(ISNUMBER(FIND("'",$A155))=TRUE,_xlfn.CONCAT(LEFT($A155,FIND("'",$A155)-1),"''",RIGHT($A155,LEN($A155)-FIND("'",$A155))),$A155),"'!C11"))&gt;=T$2,"i",""))</f>
        <v>d</v>
      </c>
    </row>
    <row r="156" spans="1:20" hidden="1" x14ac:dyDescent="0.25">
      <c r="A156" s="135" t="str">
        <v>Wolf-Fang</v>
      </c>
      <c r="B156" s="19" cm="1">
        <f t="array" ref="B156">_xlfn.XLOOKUP(A156,INDEX(Weapon_List,,1),INDEX(Weapon_List,,3),,0,1)</f>
        <v>4</v>
      </c>
      <c r="C156" s="45" t="str" cm="1">
        <f t="array" ref="C156">_xlfn.XLOOKUP(A156,INDEX(Weapon_List,,1),INDEX(Weapon_List,,2),,0,1)</f>
        <v>Sword</v>
      </c>
      <c r="D156" s="38" t="str" cm="1">
        <f t="array" ref="D156">_xlfn.XLOOKUP(A156,INDEX(Weapon_List,,1),INDEX(Weapon_List,,4),,0,1)</f>
        <v>Mondstadt 1</v>
      </c>
      <c r="E156" s="38" t="str" cm="1">
        <f t="array" ref="E156">_xlfn.XLOOKUP(A156,INDEX(Weapon_List,,1),INDEX(Weapon_List,,5),,0,1)</f>
        <v>Hilichurl</v>
      </c>
      <c r="F156" s="38" t="str" cm="1">
        <f t="array" ref="F156">_xlfn.XLOOKUP(A156,INDEX(Weapon_List,,1),INDEX(Weapon_List,,6),,0,1)</f>
        <v>Ruin Machine 1</v>
      </c>
      <c r="G156" s="19" t="str" cm="1">
        <f t="array" aca="1" ref="G156" ca="1">IF(INDIRECT(_xlfn.CONCAT("'",IF(ISNUMBER(FIND("'",$A156))=TRUE,_xlfn.CONCAT(LEFT($A156,FIND("'",$A156)-1),"''",RIGHT($A156,LEN($A156)-FIND("'",$A156))),$A156),"'!B4"))&gt;=G$2,"d",IF(INDIRECT(_xlfn.CONCAT("'",IF(ISNUMBER(FIND("'",$A156))=TRUE,_xlfn.CONCAT(LEFT($A156,FIND("'",$A156)-1),"''",RIGHT($A156,LEN($A156)-FIND("'",$A156))),$A156),"'!B5"))&gt;=G$2,"i",""))</f>
        <v>d</v>
      </c>
      <c r="H156" s="44" t="str" cm="1">
        <f t="array" aca="1" ref="H156" ca="1">IF(INDIRECT(_xlfn.CONCAT("'",IF(ISNUMBER(FIND("'",$A156))=TRUE,_xlfn.CONCAT(LEFT($A156,FIND("'",$A156)-1),"''",RIGHT($A156,LEN($A156)-FIND("'",$A156))),$A156),"'!B4"))&gt;=H$2,"d",IF(INDIRECT(_xlfn.CONCAT("'",IF(ISNUMBER(FIND("'",$A156))=TRUE,_xlfn.CONCAT(LEFT($A156,FIND("'",$A156)-1),"''",RIGHT($A156,LEN($A156)-FIND("'",$A156))),$A156),"'!B5"))&gt;=H$2,"i",""))</f>
        <v>d</v>
      </c>
      <c r="I156" s="44" t="str" cm="1">
        <f t="array" aca="1" ref="I156" ca="1">IF(INDIRECT(_xlfn.CONCAT("'",IF(ISNUMBER(FIND("'",$A156))=TRUE,_xlfn.CONCAT(LEFT($A156,FIND("'",$A156)-1),"''",RIGHT($A156,LEN($A156)-FIND("'",$A156))),$A156),"'!B4"))&gt;=I$2,"d",IF(INDIRECT(_xlfn.CONCAT("'",IF(ISNUMBER(FIND("'",$A156))=TRUE,_xlfn.CONCAT(LEFT($A156,FIND("'",$A156)-1),"''",RIGHT($A156,LEN($A156)-FIND("'",$A156))),$A156),"'!B5"))&gt;=I$2,"i",""))</f>
        <v>d</v>
      </c>
      <c r="J156" s="44" t="str" cm="1">
        <f t="array" aca="1" ref="J156" ca="1">IF(INDIRECT(_xlfn.CONCAT("'",IF(ISNUMBER(FIND("'",$A156))=TRUE,_xlfn.CONCAT(LEFT($A156,FIND("'",$A156)-1),"''",RIGHT($A156,LEN($A156)-FIND("'",$A156))),$A156),"'!B4"))&gt;=J$2,"d",IF(INDIRECT(_xlfn.CONCAT("'",IF(ISNUMBER(FIND("'",$A156))=TRUE,_xlfn.CONCAT(LEFT($A156,FIND("'",$A156)-1),"''",RIGHT($A156,LEN($A156)-FIND("'",$A156))),$A156),"'!B5"))&gt;=J$2,"i",""))</f>
        <v>d</v>
      </c>
      <c r="K156" s="44" t="str" cm="1">
        <f t="array" aca="1" ref="K156" ca="1">IF(INDIRECT(_xlfn.CONCAT("'",IF(ISNUMBER(FIND("'",$A156))=TRUE,_xlfn.CONCAT(LEFT($A156,FIND("'",$A156)-1),"''",RIGHT($A156,LEN($A156)-FIND("'",$A156))),$A156),"'!B4"))&gt;=K$2,"d",IF(INDIRECT(_xlfn.CONCAT("'",IF(ISNUMBER(FIND("'",$A156))=TRUE,_xlfn.CONCAT(LEFT($A156,FIND("'",$A156)-1),"''",RIGHT($A156,LEN($A156)-FIND("'",$A156))),$A156),"'!B5"))&gt;=K$2,"i",""))</f>
        <v>d</v>
      </c>
      <c r="L156" s="44" t="str" cm="1">
        <f t="array" aca="1" ref="L156" ca="1">IF(INDIRECT(_xlfn.CONCAT("'",IF(ISNUMBER(FIND("'",$A156))=TRUE,_xlfn.CONCAT(LEFT($A156,FIND("'",$A156)-1),"''",RIGHT($A156,LEN($A156)-FIND("'",$A156))),$A156),"'!B4"))&gt;=L$2,"d",IF(INDIRECT(_xlfn.CONCAT("'",IF(ISNUMBER(FIND("'",$A156))=TRUE,_xlfn.CONCAT(LEFT($A156,FIND("'",$A156)-1),"''",RIGHT($A156,LEN($A156)-FIND("'",$A156))),$A156),"'!B5"))&gt;=L$2,"i",""))</f>
        <v>d</v>
      </c>
      <c r="M156" s="45" t="str" cm="1">
        <f t="array" aca="1" ref="M156" ca="1">IF(INDIRECT(_xlfn.CONCAT("'",IF(ISNUMBER(FIND("'",$A156))=TRUE,_xlfn.CONCAT(LEFT($A156,FIND("'",$A156)-1),"''",RIGHT($A156,LEN($A156)-FIND("'",$A156))),$A156),"'!B4"))&gt;=M$2,"d",IF(INDIRECT(_xlfn.CONCAT("'",IF(ISNUMBER(FIND("'",$A156))=TRUE,_xlfn.CONCAT(LEFT($A156,FIND("'",$A156)-1),"''",RIGHT($A156,LEN($A156)-FIND("'",$A156))),$A156),"'!B5"))&gt;=M$2,"i",""))</f>
        <v>d</v>
      </c>
      <c r="N156" s="157"/>
      <c r="O156" s="19" t="str" cm="1">
        <f t="array" aca="1" ref="O156" ca="1">IF(INDIRECT(_xlfn.CONCAT("'",IF(ISNUMBER(FIND("'",$A156))=TRUE,_xlfn.CONCAT(LEFT($A156,FIND("'",$A156)-1),"''",RIGHT($A156,LEN($A156)-FIND("'",$A156))),$A156),"'!C10"))&gt;=O$2,"d",IF(INDIRECT(_xlfn.CONCAT("'",IF(ISNUMBER(FIND("'",$A156))=TRUE,_xlfn.CONCAT(LEFT($A156,FIND("'",$A156)-1),"''",RIGHT($A156,LEN($A156)-FIND("'",$A156))),$A156),"'!C11"))&gt;=O$2,"i",""))</f>
        <v>d</v>
      </c>
      <c r="P156" s="44" t="str" cm="1">
        <f t="array" aca="1" ref="P156" ca="1">IF(INDIRECT(_xlfn.CONCAT("'",IF(ISNUMBER(FIND("'",$A156))=TRUE,_xlfn.CONCAT(LEFT($A156,FIND("'",$A156)-1),"''",RIGHT($A156,LEN($A156)-FIND("'",$A156))),$A156),"'!C10"))&gt;=P$2,"d",IF(INDIRECT(_xlfn.CONCAT("'",IF(ISNUMBER(FIND("'",$A156))=TRUE,_xlfn.CONCAT(LEFT($A156,FIND("'",$A156)-1),"''",RIGHT($A156,LEN($A156)-FIND("'",$A156))),$A156),"'!C11"))&gt;=P$2,"i",""))</f>
        <v>d</v>
      </c>
      <c r="Q156" s="44" t="str" cm="1">
        <f t="array" aca="1" ref="Q156" ca="1">IF(INDIRECT(_xlfn.CONCAT("'",IF(ISNUMBER(FIND("'",$A156))=TRUE,_xlfn.CONCAT(LEFT($A156,FIND("'",$A156)-1),"''",RIGHT($A156,LEN($A156)-FIND("'",$A156))),$A156),"'!C10"))&gt;=Q$2,"d",IF(INDIRECT(_xlfn.CONCAT("'",IF(ISNUMBER(FIND("'",$A156))=TRUE,_xlfn.CONCAT(LEFT($A156,FIND("'",$A156)-1),"''",RIGHT($A156,LEN($A156)-FIND("'",$A156))),$A156),"'!C11"))&gt;=Q$2,"i",""))</f>
        <v>d</v>
      </c>
      <c r="R156" s="44" t="str" cm="1">
        <f t="array" aca="1" ref="R156" ca="1">IF(INDIRECT(_xlfn.CONCAT("'",IF(ISNUMBER(FIND("'",$A156))=TRUE,_xlfn.CONCAT(LEFT($A156,FIND("'",$A156)-1),"''",RIGHT($A156,LEN($A156)-FIND("'",$A156))),$A156),"'!C10"))&gt;=R$2,"d",IF(INDIRECT(_xlfn.CONCAT("'",IF(ISNUMBER(FIND("'",$A156))=TRUE,_xlfn.CONCAT(LEFT($A156,FIND("'",$A156)-1),"''",RIGHT($A156,LEN($A156)-FIND("'",$A156))),$A156),"'!C11"))&gt;=R$2,"i",""))</f>
        <v>d</v>
      </c>
      <c r="S156" s="44" t="str" cm="1">
        <f t="array" aca="1" ref="S156" ca="1">IF(INDIRECT(_xlfn.CONCAT("'",IF(ISNUMBER(FIND("'",$A156))=TRUE,_xlfn.CONCAT(LEFT($A156,FIND("'",$A156)-1),"''",RIGHT($A156,LEN($A156)-FIND("'",$A156))),$A156),"'!C10"))&gt;=S$2,"d",IF(INDIRECT(_xlfn.CONCAT("'",IF(ISNUMBER(FIND("'",$A156))=TRUE,_xlfn.CONCAT(LEFT($A156,FIND("'",$A156)-1),"''",RIGHT($A156,LEN($A156)-FIND("'",$A156))),$A156),"'!C11"))&gt;=S$2,"i",""))</f>
        <v>d</v>
      </c>
      <c r="T156" s="45" t="str" cm="1">
        <f t="array" aca="1" ref="T156" ca="1">IF(INDIRECT(_xlfn.CONCAT("'",IF(ISNUMBER(FIND("'",$A156))=TRUE,_xlfn.CONCAT(LEFT($A156,FIND("'",$A156)-1),"''",RIGHT($A156,LEN($A156)-FIND("'",$A156))),$A156),"'!C10"))&gt;=T$2,"d",IF(INDIRECT(_xlfn.CONCAT("'",IF(ISNUMBER(FIND("'",$A156))=TRUE,_xlfn.CONCAT(LEFT($A156,FIND("'",$A156)-1),"''",RIGHT($A156,LEN($A156)-FIND("'",$A156))),$A156),"'!C11"))&gt;=T$2,"i",""))</f>
        <v>d</v>
      </c>
    </row>
    <row r="157" spans="1:20" hidden="1" x14ac:dyDescent="0.25">
      <c r="A157" s="135" t="str">
        <v>Talking Stick</v>
      </c>
      <c r="B157" s="19" cm="1">
        <f t="array" ref="B157">_xlfn.XLOOKUP(A157,INDEX(Weapon_List,,1),INDEX(Weapon_List,,3),,0,1)</f>
        <v>4</v>
      </c>
      <c r="C157" s="45" t="str" cm="1">
        <f t="array" ref="C157">_xlfn.XLOOKUP(A157,INDEX(Weapon_List,,1),INDEX(Weapon_List,,2),,0,1)</f>
        <v>Claymore</v>
      </c>
      <c r="D157" s="38" t="str" cm="1">
        <f t="array" ref="D157">_xlfn.XLOOKUP(A157,INDEX(Weapon_List,,1),INDEX(Weapon_List,,4),,0,1)</f>
        <v>Sumeru 2</v>
      </c>
      <c r="E157" s="38" t="str" cm="1">
        <f t="array" ref="E157">_xlfn.XLOOKUP(A157,INDEX(Weapon_List,,1),INDEX(Weapon_List,,5),,0,1)</f>
        <v>Slime</v>
      </c>
      <c r="F157" s="38" t="str" cm="1">
        <f t="array" ref="F157">_xlfn.XLOOKUP(A157,INDEX(Weapon_List,,1),INDEX(Weapon_List,,6),,0,1)</f>
        <v>Consecrated Beast</v>
      </c>
      <c r="G157" s="19" t="str" cm="1">
        <f t="array" aca="1" ref="G157" ca="1">IF(INDIRECT(_xlfn.CONCAT("'",IF(ISNUMBER(FIND("'",$A157))=TRUE,_xlfn.CONCAT(LEFT($A157,FIND("'",$A157)-1),"''",RIGHT($A157,LEN($A157)-FIND("'",$A157))),$A157),"'!B4"))&gt;=G$2,"d",IF(INDIRECT(_xlfn.CONCAT("'",IF(ISNUMBER(FIND("'",$A157))=TRUE,_xlfn.CONCAT(LEFT($A157,FIND("'",$A157)-1),"''",RIGHT($A157,LEN($A157)-FIND("'",$A157))),$A157),"'!B5"))&gt;=G$2,"i",""))</f>
        <v>d</v>
      </c>
      <c r="H157" s="44" t="str" cm="1">
        <f t="array" aca="1" ref="H157" ca="1">IF(INDIRECT(_xlfn.CONCAT("'",IF(ISNUMBER(FIND("'",$A157))=TRUE,_xlfn.CONCAT(LEFT($A157,FIND("'",$A157)-1),"''",RIGHT($A157,LEN($A157)-FIND("'",$A157))),$A157),"'!B4"))&gt;=H$2,"d",IF(INDIRECT(_xlfn.CONCAT("'",IF(ISNUMBER(FIND("'",$A157))=TRUE,_xlfn.CONCAT(LEFT($A157,FIND("'",$A157)-1),"''",RIGHT($A157,LEN($A157)-FIND("'",$A157))),$A157),"'!B5"))&gt;=H$2,"i",""))</f>
        <v>d</v>
      </c>
      <c r="I157" s="44" t="str" cm="1">
        <f t="array" aca="1" ref="I157" ca="1">IF(INDIRECT(_xlfn.CONCAT("'",IF(ISNUMBER(FIND("'",$A157))=TRUE,_xlfn.CONCAT(LEFT($A157,FIND("'",$A157)-1),"''",RIGHT($A157,LEN($A157)-FIND("'",$A157))),$A157),"'!B4"))&gt;=I$2,"d",IF(INDIRECT(_xlfn.CONCAT("'",IF(ISNUMBER(FIND("'",$A157))=TRUE,_xlfn.CONCAT(LEFT($A157,FIND("'",$A157)-1),"''",RIGHT($A157,LEN($A157)-FIND("'",$A157))),$A157),"'!B5"))&gt;=I$2,"i",""))</f>
        <v>d</v>
      </c>
      <c r="J157" s="44" t="str" cm="1">
        <f t="array" aca="1" ref="J157" ca="1">IF(INDIRECT(_xlfn.CONCAT("'",IF(ISNUMBER(FIND("'",$A157))=TRUE,_xlfn.CONCAT(LEFT($A157,FIND("'",$A157)-1),"''",RIGHT($A157,LEN($A157)-FIND("'",$A157))),$A157),"'!B4"))&gt;=J$2,"d",IF(INDIRECT(_xlfn.CONCAT("'",IF(ISNUMBER(FIND("'",$A157))=TRUE,_xlfn.CONCAT(LEFT($A157,FIND("'",$A157)-1),"''",RIGHT($A157,LEN($A157)-FIND("'",$A157))),$A157),"'!B5"))&gt;=J$2,"i",""))</f>
        <v>d</v>
      </c>
      <c r="K157" s="44" t="str" cm="1">
        <f t="array" aca="1" ref="K157" ca="1">IF(INDIRECT(_xlfn.CONCAT("'",IF(ISNUMBER(FIND("'",$A157))=TRUE,_xlfn.CONCAT(LEFT($A157,FIND("'",$A157)-1),"''",RIGHT($A157,LEN($A157)-FIND("'",$A157))),$A157),"'!B4"))&gt;=K$2,"d",IF(INDIRECT(_xlfn.CONCAT("'",IF(ISNUMBER(FIND("'",$A157))=TRUE,_xlfn.CONCAT(LEFT($A157,FIND("'",$A157)-1),"''",RIGHT($A157,LEN($A157)-FIND("'",$A157))),$A157),"'!B5"))&gt;=K$2,"i",""))</f>
        <v>d</v>
      </c>
      <c r="L157" s="44" t="str" cm="1">
        <f t="array" aca="1" ref="L157" ca="1">IF(INDIRECT(_xlfn.CONCAT("'",IF(ISNUMBER(FIND("'",$A157))=TRUE,_xlfn.CONCAT(LEFT($A157,FIND("'",$A157)-1),"''",RIGHT($A157,LEN($A157)-FIND("'",$A157))),$A157),"'!B4"))&gt;=L$2,"d",IF(INDIRECT(_xlfn.CONCAT("'",IF(ISNUMBER(FIND("'",$A157))=TRUE,_xlfn.CONCAT(LEFT($A157,FIND("'",$A157)-1),"''",RIGHT($A157,LEN($A157)-FIND("'",$A157))),$A157),"'!B5"))&gt;=L$2,"i",""))</f>
        <v>d</v>
      </c>
      <c r="M157" s="45" t="str" cm="1">
        <f t="array" aca="1" ref="M157" ca="1">IF(INDIRECT(_xlfn.CONCAT("'",IF(ISNUMBER(FIND("'",$A157))=TRUE,_xlfn.CONCAT(LEFT($A157,FIND("'",$A157)-1),"''",RIGHT($A157,LEN($A157)-FIND("'",$A157))),$A157),"'!B4"))&gt;=M$2,"d",IF(INDIRECT(_xlfn.CONCAT("'",IF(ISNUMBER(FIND("'",$A157))=TRUE,_xlfn.CONCAT(LEFT($A157,FIND("'",$A157)-1),"''",RIGHT($A157,LEN($A157)-FIND("'",$A157))),$A157),"'!B5"))&gt;=M$2,"i",""))</f>
        <v>d</v>
      </c>
      <c r="N157" s="157"/>
      <c r="O157" s="19" t="str" cm="1">
        <f t="array" aca="1" ref="O157" ca="1">IF(INDIRECT(_xlfn.CONCAT("'",IF(ISNUMBER(FIND("'",$A157))=TRUE,_xlfn.CONCAT(LEFT($A157,FIND("'",$A157)-1),"''",RIGHT($A157,LEN($A157)-FIND("'",$A157))),$A157),"'!C10"))&gt;=O$2,"d",IF(INDIRECT(_xlfn.CONCAT("'",IF(ISNUMBER(FIND("'",$A157))=TRUE,_xlfn.CONCAT(LEFT($A157,FIND("'",$A157)-1),"''",RIGHT($A157,LEN($A157)-FIND("'",$A157))),$A157),"'!C11"))&gt;=O$2,"i",""))</f>
        <v>d</v>
      </c>
      <c r="P157" s="44" t="str" cm="1">
        <f t="array" aca="1" ref="P157" ca="1">IF(INDIRECT(_xlfn.CONCAT("'",IF(ISNUMBER(FIND("'",$A157))=TRUE,_xlfn.CONCAT(LEFT($A157,FIND("'",$A157)-1),"''",RIGHT($A157,LEN($A157)-FIND("'",$A157))),$A157),"'!C10"))&gt;=P$2,"d",IF(INDIRECT(_xlfn.CONCAT("'",IF(ISNUMBER(FIND("'",$A157))=TRUE,_xlfn.CONCAT(LEFT($A157,FIND("'",$A157)-1),"''",RIGHT($A157,LEN($A157)-FIND("'",$A157))),$A157),"'!C11"))&gt;=P$2,"i",""))</f>
        <v>d</v>
      </c>
      <c r="Q157" s="44" t="str" cm="1">
        <f t="array" aca="1" ref="Q157" ca="1">IF(INDIRECT(_xlfn.CONCAT("'",IF(ISNUMBER(FIND("'",$A157))=TRUE,_xlfn.CONCAT(LEFT($A157,FIND("'",$A157)-1),"''",RIGHT($A157,LEN($A157)-FIND("'",$A157))),$A157),"'!C10"))&gt;=Q$2,"d",IF(INDIRECT(_xlfn.CONCAT("'",IF(ISNUMBER(FIND("'",$A157))=TRUE,_xlfn.CONCAT(LEFT($A157,FIND("'",$A157)-1),"''",RIGHT($A157,LEN($A157)-FIND("'",$A157))),$A157),"'!C11"))&gt;=Q$2,"i",""))</f>
        <v>d</v>
      </c>
      <c r="R157" s="44" t="str" cm="1">
        <f t="array" aca="1" ref="R157" ca="1">IF(INDIRECT(_xlfn.CONCAT("'",IF(ISNUMBER(FIND("'",$A157))=TRUE,_xlfn.CONCAT(LEFT($A157,FIND("'",$A157)-1),"''",RIGHT($A157,LEN($A157)-FIND("'",$A157))),$A157),"'!C10"))&gt;=R$2,"d",IF(INDIRECT(_xlfn.CONCAT("'",IF(ISNUMBER(FIND("'",$A157))=TRUE,_xlfn.CONCAT(LEFT($A157,FIND("'",$A157)-1),"''",RIGHT($A157,LEN($A157)-FIND("'",$A157))),$A157),"'!C11"))&gt;=R$2,"i",""))</f>
        <v>d</v>
      </c>
      <c r="S157" s="44" t="str" cm="1">
        <f t="array" aca="1" ref="S157" ca="1">IF(INDIRECT(_xlfn.CONCAT("'",IF(ISNUMBER(FIND("'",$A157))=TRUE,_xlfn.CONCAT(LEFT($A157,FIND("'",$A157)-1),"''",RIGHT($A157,LEN($A157)-FIND("'",$A157))),$A157),"'!C10"))&gt;=S$2,"d",IF(INDIRECT(_xlfn.CONCAT("'",IF(ISNUMBER(FIND("'",$A157))=TRUE,_xlfn.CONCAT(LEFT($A157,FIND("'",$A157)-1),"''",RIGHT($A157,LEN($A157)-FIND("'",$A157))),$A157),"'!C11"))&gt;=S$2,"i",""))</f>
        <v>d</v>
      </c>
      <c r="T157" s="45" t="str" cm="1">
        <f t="array" aca="1" ref="T157" ca="1">IF(INDIRECT(_xlfn.CONCAT("'",IF(ISNUMBER(FIND("'",$A157))=TRUE,_xlfn.CONCAT(LEFT($A157,FIND("'",$A157)-1),"''",RIGHT($A157,LEN($A157)-FIND("'",$A157))),$A157),"'!C10"))&gt;=T$2,"d",IF(INDIRECT(_xlfn.CONCAT("'",IF(ISNUMBER(FIND("'",$A157))=TRUE,_xlfn.CONCAT(LEFT($A157,FIND("'",$A157)-1),"''",RIGHT($A157,LEN($A157)-FIND("'",$A157))),$A157),"'!C11"))&gt;=T$2,"i",""))</f>
        <v>d</v>
      </c>
    </row>
    <row r="158" spans="1:20" hidden="1" x14ac:dyDescent="0.25">
      <c r="A158" s="135" t="str">
        <v>Ballad of the Fjords</v>
      </c>
      <c r="B158" s="19" cm="1">
        <f t="array" ref="B158">_xlfn.XLOOKUP(A158,INDEX(Weapon_List,,1),INDEX(Weapon_List,,3),,0,1)</f>
        <v>4</v>
      </c>
      <c r="C158" s="45" t="str" cm="1">
        <f t="array" ref="C158">_xlfn.XLOOKUP(A158,INDEX(Weapon_List,,1),INDEX(Weapon_List,,2),,0,1)</f>
        <v>Polearm</v>
      </c>
      <c r="D158" s="38" t="str" cm="1">
        <f t="array" ref="D158">_xlfn.XLOOKUP(A158,INDEX(Weapon_List,,1),INDEX(Weapon_List,,4),,0,1)</f>
        <v>Fontaine 3</v>
      </c>
      <c r="E158" s="38" t="str" cm="1">
        <f t="array" ref="E158">_xlfn.XLOOKUP(A158,INDEX(Weapon_List,,1),INDEX(Weapon_List,,5),,0,1)</f>
        <v>Whopperflower</v>
      </c>
      <c r="F158" s="38" t="str" cm="1">
        <f t="array" ref="F158">_xlfn.XLOOKUP(A158,INDEX(Weapon_List,,1),INDEX(Weapon_List,,6),,0,1)</f>
        <v>Hilichurl Rogue</v>
      </c>
      <c r="G158" s="19" t="str" cm="1">
        <f t="array" aca="1" ref="G158" ca="1">IF(INDIRECT(_xlfn.CONCAT("'",IF(ISNUMBER(FIND("'",$A158))=TRUE,_xlfn.CONCAT(LEFT($A158,FIND("'",$A158)-1),"''",RIGHT($A158,LEN($A158)-FIND("'",$A158))),$A158),"'!B4"))&gt;=G$2,"d",IF(INDIRECT(_xlfn.CONCAT("'",IF(ISNUMBER(FIND("'",$A158))=TRUE,_xlfn.CONCAT(LEFT($A158,FIND("'",$A158)-1),"''",RIGHT($A158,LEN($A158)-FIND("'",$A158))),$A158),"'!B5"))&gt;=G$2,"i",""))</f>
        <v>d</v>
      </c>
      <c r="H158" s="44" t="str" cm="1">
        <f t="array" aca="1" ref="H158" ca="1">IF(INDIRECT(_xlfn.CONCAT("'",IF(ISNUMBER(FIND("'",$A158))=TRUE,_xlfn.CONCAT(LEFT($A158,FIND("'",$A158)-1),"''",RIGHT($A158,LEN($A158)-FIND("'",$A158))),$A158),"'!B4"))&gt;=H$2,"d",IF(INDIRECT(_xlfn.CONCAT("'",IF(ISNUMBER(FIND("'",$A158))=TRUE,_xlfn.CONCAT(LEFT($A158,FIND("'",$A158)-1),"''",RIGHT($A158,LEN($A158)-FIND("'",$A158))),$A158),"'!B5"))&gt;=H$2,"i",""))</f>
        <v>d</v>
      </c>
      <c r="I158" s="44" t="str" cm="1">
        <f t="array" aca="1" ref="I158" ca="1">IF(INDIRECT(_xlfn.CONCAT("'",IF(ISNUMBER(FIND("'",$A158))=TRUE,_xlfn.CONCAT(LEFT($A158,FIND("'",$A158)-1),"''",RIGHT($A158,LEN($A158)-FIND("'",$A158))),$A158),"'!B4"))&gt;=I$2,"d",IF(INDIRECT(_xlfn.CONCAT("'",IF(ISNUMBER(FIND("'",$A158))=TRUE,_xlfn.CONCAT(LEFT($A158,FIND("'",$A158)-1),"''",RIGHT($A158,LEN($A158)-FIND("'",$A158))),$A158),"'!B5"))&gt;=I$2,"i",""))</f>
        <v>d</v>
      </c>
      <c r="J158" s="44" t="str" cm="1">
        <f t="array" aca="1" ref="J158" ca="1">IF(INDIRECT(_xlfn.CONCAT("'",IF(ISNUMBER(FIND("'",$A158))=TRUE,_xlfn.CONCAT(LEFT($A158,FIND("'",$A158)-1),"''",RIGHT($A158,LEN($A158)-FIND("'",$A158))),$A158),"'!B4"))&gt;=J$2,"d",IF(INDIRECT(_xlfn.CONCAT("'",IF(ISNUMBER(FIND("'",$A158))=TRUE,_xlfn.CONCAT(LEFT($A158,FIND("'",$A158)-1),"''",RIGHT($A158,LEN($A158)-FIND("'",$A158))),$A158),"'!B5"))&gt;=J$2,"i",""))</f>
        <v>d</v>
      </c>
      <c r="K158" s="44" t="str" cm="1">
        <f t="array" aca="1" ref="K158" ca="1">IF(INDIRECT(_xlfn.CONCAT("'",IF(ISNUMBER(FIND("'",$A158))=TRUE,_xlfn.CONCAT(LEFT($A158,FIND("'",$A158)-1),"''",RIGHT($A158,LEN($A158)-FIND("'",$A158))),$A158),"'!B4"))&gt;=K$2,"d",IF(INDIRECT(_xlfn.CONCAT("'",IF(ISNUMBER(FIND("'",$A158))=TRUE,_xlfn.CONCAT(LEFT($A158,FIND("'",$A158)-1),"''",RIGHT($A158,LEN($A158)-FIND("'",$A158))),$A158),"'!B5"))&gt;=K$2,"i",""))</f>
        <v>d</v>
      </c>
      <c r="L158" s="44" t="str" cm="1">
        <f t="array" aca="1" ref="L158" ca="1">IF(INDIRECT(_xlfn.CONCAT("'",IF(ISNUMBER(FIND("'",$A158))=TRUE,_xlfn.CONCAT(LEFT($A158,FIND("'",$A158)-1),"''",RIGHT($A158,LEN($A158)-FIND("'",$A158))),$A158),"'!B4"))&gt;=L$2,"d",IF(INDIRECT(_xlfn.CONCAT("'",IF(ISNUMBER(FIND("'",$A158))=TRUE,_xlfn.CONCAT(LEFT($A158,FIND("'",$A158)-1),"''",RIGHT($A158,LEN($A158)-FIND("'",$A158))),$A158),"'!B5"))&gt;=L$2,"i",""))</f>
        <v>d</v>
      </c>
      <c r="M158" s="45" t="str" cm="1">
        <f t="array" aca="1" ref="M158" ca="1">IF(INDIRECT(_xlfn.CONCAT("'",IF(ISNUMBER(FIND("'",$A158))=TRUE,_xlfn.CONCAT(LEFT($A158,FIND("'",$A158)-1),"''",RIGHT($A158,LEN($A158)-FIND("'",$A158))),$A158),"'!B4"))&gt;=M$2,"d",IF(INDIRECT(_xlfn.CONCAT("'",IF(ISNUMBER(FIND("'",$A158))=TRUE,_xlfn.CONCAT(LEFT($A158,FIND("'",$A158)-1),"''",RIGHT($A158,LEN($A158)-FIND("'",$A158))),$A158),"'!B5"))&gt;=M$2,"i",""))</f>
        <v>d</v>
      </c>
      <c r="N158" s="157"/>
      <c r="O158" s="19" t="str" cm="1">
        <f t="array" aca="1" ref="O158" ca="1">IF(INDIRECT(_xlfn.CONCAT("'",IF(ISNUMBER(FIND("'",$A158))=TRUE,_xlfn.CONCAT(LEFT($A158,FIND("'",$A158)-1),"''",RIGHT($A158,LEN($A158)-FIND("'",$A158))),$A158),"'!C10"))&gt;=O$2,"d",IF(INDIRECT(_xlfn.CONCAT("'",IF(ISNUMBER(FIND("'",$A158))=TRUE,_xlfn.CONCAT(LEFT($A158,FIND("'",$A158)-1),"''",RIGHT($A158,LEN($A158)-FIND("'",$A158))),$A158),"'!C11"))&gt;=O$2,"i",""))</f>
        <v>d</v>
      </c>
      <c r="P158" s="44" t="str" cm="1">
        <f t="array" aca="1" ref="P158" ca="1">IF(INDIRECT(_xlfn.CONCAT("'",IF(ISNUMBER(FIND("'",$A158))=TRUE,_xlfn.CONCAT(LEFT($A158,FIND("'",$A158)-1),"''",RIGHT($A158,LEN($A158)-FIND("'",$A158))),$A158),"'!C10"))&gt;=P$2,"d",IF(INDIRECT(_xlfn.CONCAT("'",IF(ISNUMBER(FIND("'",$A158))=TRUE,_xlfn.CONCAT(LEFT($A158,FIND("'",$A158)-1),"''",RIGHT($A158,LEN($A158)-FIND("'",$A158))),$A158),"'!C11"))&gt;=P$2,"i",""))</f>
        <v>d</v>
      </c>
      <c r="Q158" s="44" t="str" cm="1">
        <f t="array" aca="1" ref="Q158" ca="1">IF(INDIRECT(_xlfn.CONCAT("'",IF(ISNUMBER(FIND("'",$A158))=TRUE,_xlfn.CONCAT(LEFT($A158,FIND("'",$A158)-1),"''",RIGHT($A158,LEN($A158)-FIND("'",$A158))),$A158),"'!C10"))&gt;=Q$2,"d",IF(INDIRECT(_xlfn.CONCAT("'",IF(ISNUMBER(FIND("'",$A158))=TRUE,_xlfn.CONCAT(LEFT($A158,FIND("'",$A158)-1),"''",RIGHT($A158,LEN($A158)-FIND("'",$A158))),$A158),"'!C11"))&gt;=Q$2,"i",""))</f>
        <v>d</v>
      </c>
      <c r="R158" s="44" t="str" cm="1">
        <f t="array" aca="1" ref="R158" ca="1">IF(INDIRECT(_xlfn.CONCAT("'",IF(ISNUMBER(FIND("'",$A158))=TRUE,_xlfn.CONCAT(LEFT($A158,FIND("'",$A158)-1),"''",RIGHT($A158,LEN($A158)-FIND("'",$A158))),$A158),"'!C10"))&gt;=R$2,"d",IF(INDIRECT(_xlfn.CONCAT("'",IF(ISNUMBER(FIND("'",$A158))=TRUE,_xlfn.CONCAT(LEFT($A158,FIND("'",$A158)-1),"''",RIGHT($A158,LEN($A158)-FIND("'",$A158))),$A158),"'!C11"))&gt;=R$2,"i",""))</f>
        <v>d</v>
      </c>
      <c r="S158" s="44" t="str" cm="1">
        <f t="array" aca="1" ref="S158" ca="1">IF(INDIRECT(_xlfn.CONCAT("'",IF(ISNUMBER(FIND("'",$A158))=TRUE,_xlfn.CONCAT(LEFT($A158,FIND("'",$A158)-1),"''",RIGHT($A158,LEN($A158)-FIND("'",$A158))),$A158),"'!C10"))&gt;=S$2,"d",IF(INDIRECT(_xlfn.CONCAT("'",IF(ISNUMBER(FIND("'",$A158))=TRUE,_xlfn.CONCAT(LEFT($A158,FIND("'",$A158)-1),"''",RIGHT($A158,LEN($A158)-FIND("'",$A158))),$A158),"'!C11"))&gt;=S$2,"i",""))</f>
        <v>d</v>
      </c>
      <c r="T158" s="45" t="str" cm="1">
        <f t="array" aca="1" ref="T158" ca="1">IF(INDIRECT(_xlfn.CONCAT("'",IF(ISNUMBER(FIND("'",$A158))=TRUE,_xlfn.CONCAT(LEFT($A158,FIND("'",$A158)-1),"''",RIGHT($A158,LEN($A158)-FIND("'",$A158))),$A158),"'!C10"))&gt;=T$2,"d",IF(INDIRECT(_xlfn.CONCAT("'",IF(ISNUMBER(FIND("'",$A158))=TRUE,_xlfn.CONCAT(LEFT($A158,FIND("'",$A158)-1),"''",RIGHT($A158,LEN($A158)-FIND("'",$A158))),$A158),"'!C11"))&gt;=T$2,"i",""))</f>
        <v>d</v>
      </c>
    </row>
    <row r="159" spans="1:20" hidden="1" x14ac:dyDescent="0.25">
      <c r="A159" s="135" t="str">
        <v>Sacrificial Jade</v>
      </c>
      <c r="B159" s="19" cm="1">
        <f t="array" ref="B159">_xlfn.XLOOKUP(A159,INDEX(Weapon_List,,1),INDEX(Weapon_List,,3),,0,1)</f>
        <v>4</v>
      </c>
      <c r="C159" s="45" t="str" cm="1">
        <f t="array" ref="C159">_xlfn.XLOOKUP(A159,INDEX(Weapon_List,,1),INDEX(Weapon_List,,2),,0,1)</f>
        <v>Catalyst</v>
      </c>
      <c r="D159" s="38" t="str" cm="1">
        <f t="array" ref="D159">_xlfn.XLOOKUP(A159,INDEX(Weapon_List,,1),INDEX(Weapon_List,,4),,0,1)</f>
        <v>Liyue 1</v>
      </c>
      <c r="E159" s="38" t="str" cm="1">
        <f t="array" ref="E159">_xlfn.XLOOKUP(A159,INDEX(Weapon_List,,1),INDEX(Weapon_List,,5),,0,1)</f>
        <v>Samachurl</v>
      </c>
      <c r="F159" s="38" t="str" cm="1">
        <f t="array" ref="F159">_xlfn.XLOOKUP(A159,INDEX(Weapon_List,,1),INDEX(Weapon_List,,6),,0,1)</f>
        <v>Fatui Cicin Mage</v>
      </c>
      <c r="G159" s="19" t="str" cm="1">
        <f t="array" aca="1" ref="G159" ca="1">IF(INDIRECT(_xlfn.CONCAT("'",IF(ISNUMBER(FIND("'",$A159))=TRUE,_xlfn.CONCAT(LEFT($A159,FIND("'",$A159)-1),"''",RIGHT($A159,LEN($A159)-FIND("'",$A159))),$A159),"'!B4"))&gt;=G$2,"d",IF(INDIRECT(_xlfn.CONCAT("'",IF(ISNUMBER(FIND("'",$A159))=TRUE,_xlfn.CONCAT(LEFT($A159,FIND("'",$A159)-1),"''",RIGHT($A159,LEN($A159)-FIND("'",$A159))),$A159),"'!B5"))&gt;=G$2,"i",""))</f>
        <v>d</v>
      </c>
      <c r="H159" s="44" t="str" cm="1">
        <f t="array" aca="1" ref="H159" ca="1">IF(INDIRECT(_xlfn.CONCAT("'",IF(ISNUMBER(FIND("'",$A159))=TRUE,_xlfn.CONCAT(LEFT($A159,FIND("'",$A159)-1),"''",RIGHT($A159,LEN($A159)-FIND("'",$A159))),$A159),"'!B4"))&gt;=H$2,"d",IF(INDIRECT(_xlfn.CONCAT("'",IF(ISNUMBER(FIND("'",$A159))=TRUE,_xlfn.CONCAT(LEFT($A159,FIND("'",$A159)-1),"''",RIGHT($A159,LEN($A159)-FIND("'",$A159))),$A159),"'!B5"))&gt;=H$2,"i",""))</f>
        <v>d</v>
      </c>
      <c r="I159" s="44" t="str" cm="1">
        <f t="array" aca="1" ref="I159" ca="1">IF(INDIRECT(_xlfn.CONCAT("'",IF(ISNUMBER(FIND("'",$A159))=TRUE,_xlfn.CONCAT(LEFT($A159,FIND("'",$A159)-1),"''",RIGHT($A159,LEN($A159)-FIND("'",$A159))),$A159),"'!B4"))&gt;=I$2,"d",IF(INDIRECT(_xlfn.CONCAT("'",IF(ISNUMBER(FIND("'",$A159))=TRUE,_xlfn.CONCAT(LEFT($A159,FIND("'",$A159)-1),"''",RIGHT($A159,LEN($A159)-FIND("'",$A159))),$A159),"'!B5"))&gt;=I$2,"i",""))</f>
        <v>d</v>
      </c>
      <c r="J159" s="44" t="str" cm="1">
        <f t="array" aca="1" ref="J159" ca="1">IF(INDIRECT(_xlfn.CONCAT("'",IF(ISNUMBER(FIND("'",$A159))=TRUE,_xlfn.CONCAT(LEFT($A159,FIND("'",$A159)-1),"''",RIGHT($A159,LEN($A159)-FIND("'",$A159))),$A159),"'!B4"))&gt;=J$2,"d",IF(INDIRECT(_xlfn.CONCAT("'",IF(ISNUMBER(FIND("'",$A159))=TRUE,_xlfn.CONCAT(LEFT($A159,FIND("'",$A159)-1),"''",RIGHT($A159,LEN($A159)-FIND("'",$A159))),$A159),"'!B5"))&gt;=J$2,"i",""))</f>
        <v>d</v>
      </c>
      <c r="K159" s="44" t="str" cm="1">
        <f t="array" aca="1" ref="K159" ca="1">IF(INDIRECT(_xlfn.CONCAT("'",IF(ISNUMBER(FIND("'",$A159))=TRUE,_xlfn.CONCAT(LEFT($A159,FIND("'",$A159)-1),"''",RIGHT($A159,LEN($A159)-FIND("'",$A159))),$A159),"'!B4"))&gt;=K$2,"d",IF(INDIRECT(_xlfn.CONCAT("'",IF(ISNUMBER(FIND("'",$A159))=TRUE,_xlfn.CONCAT(LEFT($A159,FIND("'",$A159)-1),"''",RIGHT($A159,LEN($A159)-FIND("'",$A159))),$A159),"'!B5"))&gt;=K$2,"i",""))</f>
        <v>d</v>
      </c>
      <c r="L159" s="44" t="str" cm="1">
        <f t="array" aca="1" ref="L159" ca="1">IF(INDIRECT(_xlfn.CONCAT("'",IF(ISNUMBER(FIND("'",$A159))=TRUE,_xlfn.CONCAT(LEFT($A159,FIND("'",$A159)-1),"''",RIGHT($A159,LEN($A159)-FIND("'",$A159))),$A159),"'!B4"))&gt;=L$2,"d",IF(INDIRECT(_xlfn.CONCAT("'",IF(ISNUMBER(FIND("'",$A159))=TRUE,_xlfn.CONCAT(LEFT($A159,FIND("'",$A159)-1),"''",RIGHT($A159,LEN($A159)-FIND("'",$A159))),$A159),"'!B5"))&gt;=L$2,"i",""))</f>
        <v>d</v>
      </c>
      <c r="M159" s="45" t="str" cm="1">
        <f t="array" aca="1" ref="M159" ca="1">IF(INDIRECT(_xlfn.CONCAT("'",IF(ISNUMBER(FIND("'",$A159))=TRUE,_xlfn.CONCAT(LEFT($A159,FIND("'",$A159)-1),"''",RIGHT($A159,LEN($A159)-FIND("'",$A159))),$A159),"'!B4"))&gt;=M$2,"d",IF(INDIRECT(_xlfn.CONCAT("'",IF(ISNUMBER(FIND("'",$A159))=TRUE,_xlfn.CONCAT(LEFT($A159,FIND("'",$A159)-1),"''",RIGHT($A159,LEN($A159)-FIND("'",$A159))),$A159),"'!B5"))&gt;=M$2,"i",""))</f>
        <v>d</v>
      </c>
      <c r="N159" s="157"/>
      <c r="O159" s="19" t="str" cm="1">
        <f t="array" aca="1" ref="O159" ca="1">IF(INDIRECT(_xlfn.CONCAT("'",IF(ISNUMBER(FIND("'",$A159))=TRUE,_xlfn.CONCAT(LEFT($A159,FIND("'",$A159)-1),"''",RIGHT($A159,LEN($A159)-FIND("'",$A159))),$A159),"'!C10"))&gt;=O$2,"d",IF(INDIRECT(_xlfn.CONCAT("'",IF(ISNUMBER(FIND("'",$A159))=TRUE,_xlfn.CONCAT(LEFT($A159,FIND("'",$A159)-1),"''",RIGHT($A159,LEN($A159)-FIND("'",$A159))),$A159),"'!C11"))&gt;=O$2,"i",""))</f>
        <v>d</v>
      </c>
      <c r="P159" s="44" t="str" cm="1">
        <f t="array" aca="1" ref="P159" ca="1">IF(INDIRECT(_xlfn.CONCAT("'",IF(ISNUMBER(FIND("'",$A159))=TRUE,_xlfn.CONCAT(LEFT($A159,FIND("'",$A159)-1),"''",RIGHT($A159,LEN($A159)-FIND("'",$A159))),$A159),"'!C10"))&gt;=P$2,"d",IF(INDIRECT(_xlfn.CONCAT("'",IF(ISNUMBER(FIND("'",$A159))=TRUE,_xlfn.CONCAT(LEFT($A159,FIND("'",$A159)-1),"''",RIGHT($A159,LEN($A159)-FIND("'",$A159))),$A159),"'!C11"))&gt;=P$2,"i",""))</f>
        <v>d</v>
      </c>
      <c r="Q159" s="44" t="str" cm="1">
        <f t="array" aca="1" ref="Q159" ca="1">IF(INDIRECT(_xlfn.CONCAT("'",IF(ISNUMBER(FIND("'",$A159))=TRUE,_xlfn.CONCAT(LEFT($A159,FIND("'",$A159)-1),"''",RIGHT($A159,LEN($A159)-FIND("'",$A159))),$A159),"'!C10"))&gt;=Q$2,"d",IF(INDIRECT(_xlfn.CONCAT("'",IF(ISNUMBER(FIND("'",$A159))=TRUE,_xlfn.CONCAT(LEFT($A159,FIND("'",$A159)-1),"''",RIGHT($A159,LEN($A159)-FIND("'",$A159))),$A159),"'!C11"))&gt;=Q$2,"i",""))</f>
        <v>d</v>
      </c>
      <c r="R159" s="44" t="str" cm="1">
        <f t="array" aca="1" ref="R159" ca="1">IF(INDIRECT(_xlfn.CONCAT("'",IF(ISNUMBER(FIND("'",$A159))=TRUE,_xlfn.CONCAT(LEFT($A159,FIND("'",$A159)-1),"''",RIGHT($A159,LEN($A159)-FIND("'",$A159))),$A159),"'!C10"))&gt;=R$2,"d",IF(INDIRECT(_xlfn.CONCAT("'",IF(ISNUMBER(FIND("'",$A159))=TRUE,_xlfn.CONCAT(LEFT($A159,FIND("'",$A159)-1),"''",RIGHT($A159,LEN($A159)-FIND("'",$A159))),$A159),"'!C11"))&gt;=R$2,"i",""))</f>
        <v>d</v>
      </c>
      <c r="S159" s="44" t="str" cm="1">
        <f t="array" aca="1" ref="S159" ca="1">IF(INDIRECT(_xlfn.CONCAT("'",IF(ISNUMBER(FIND("'",$A159))=TRUE,_xlfn.CONCAT(LEFT($A159,FIND("'",$A159)-1),"''",RIGHT($A159,LEN($A159)-FIND("'",$A159))),$A159),"'!C10"))&gt;=S$2,"d",IF(INDIRECT(_xlfn.CONCAT("'",IF(ISNUMBER(FIND("'",$A159))=TRUE,_xlfn.CONCAT(LEFT($A159,FIND("'",$A159)-1),"''",RIGHT($A159,LEN($A159)-FIND("'",$A159))),$A159),"'!C11"))&gt;=S$2,"i",""))</f>
        <v>d</v>
      </c>
      <c r="T159" s="45" t="str" cm="1">
        <f t="array" aca="1" ref="T159" ca="1">IF(INDIRECT(_xlfn.CONCAT("'",IF(ISNUMBER(FIND("'",$A159))=TRUE,_xlfn.CONCAT(LEFT($A159,FIND("'",$A159)-1),"''",RIGHT($A159,LEN($A159)-FIND("'",$A159))),$A159),"'!C10"))&gt;=T$2,"d",IF(INDIRECT(_xlfn.CONCAT("'",IF(ISNUMBER(FIND("'",$A159))=TRUE,_xlfn.CONCAT(LEFT($A159,FIND("'",$A159)-1),"''",RIGHT($A159,LEN($A159)-FIND("'",$A159))),$A159),"'!C11"))&gt;=T$2,"i",""))</f>
        <v>d</v>
      </c>
    </row>
    <row r="160" spans="1:20" hidden="1" x14ac:dyDescent="0.25">
      <c r="A160" s="135" t="str">
        <v>Scion of the Blazing Sun</v>
      </c>
      <c r="B160" s="19" cm="1">
        <f t="array" ref="B160">_xlfn.XLOOKUP(A160,INDEX(Weapon_List,,1),INDEX(Weapon_List,,3),,0,1)</f>
        <v>4</v>
      </c>
      <c r="C160" s="45" t="str" cm="1">
        <f t="array" ref="C160">_xlfn.XLOOKUP(A160,INDEX(Weapon_List,,1),INDEX(Weapon_List,,2),,0,1)</f>
        <v>Bow</v>
      </c>
      <c r="D160" s="38" t="str" cm="1">
        <f t="array" ref="D160">_xlfn.XLOOKUP(A160,INDEX(Weapon_List,,1),INDEX(Weapon_List,,4),,0,1)</f>
        <v>Sumeru 3</v>
      </c>
      <c r="E160" s="38" t="str" cm="1">
        <f t="array" ref="E160">_xlfn.XLOOKUP(A160,INDEX(Weapon_List,,1),INDEX(Weapon_List,,5),,0,1)</f>
        <v>Floating Fungi</v>
      </c>
      <c r="F160" s="38" t="str" cm="1">
        <f t="array" ref="F160">_xlfn.XLOOKUP(A160,INDEX(Weapon_List,,1),INDEX(Weapon_List,,6),,0,1)</f>
        <v>Hilichurl Rogue</v>
      </c>
      <c r="G160" s="19" t="str" cm="1">
        <f t="array" aca="1" ref="G160" ca="1">IF(INDIRECT(_xlfn.CONCAT("'",IF(ISNUMBER(FIND("'",$A160))=TRUE,_xlfn.CONCAT(LEFT($A160,FIND("'",$A160)-1),"''",RIGHT($A160,LEN($A160)-FIND("'",$A160))),$A160),"'!B4"))&gt;=G$2,"d",IF(INDIRECT(_xlfn.CONCAT("'",IF(ISNUMBER(FIND("'",$A160))=TRUE,_xlfn.CONCAT(LEFT($A160,FIND("'",$A160)-1),"''",RIGHT($A160,LEN($A160)-FIND("'",$A160))),$A160),"'!B5"))&gt;=G$2,"i",""))</f>
        <v>d</v>
      </c>
      <c r="H160" s="44" t="str" cm="1">
        <f t="array" aca="1" ref="H160" ca="1">IF(INDIRECT(_xlfn.CONCAT("'",IF(ISNUMBER(FIND("'",$A160))=TRUE,_xlfn.CONCAT(LEFT($A160,FIND("'",$A160)-1),"''",RIGHT($A160,LEN($A160)-FIND("'",$A160))),$A160),"'!B4"))&gt;=H$2,"d",IF(INDIRECT(_xlfn.CONCAT("'",IF(ISNUMBER(FIND("'",$A160))=TRUE,_xlfn.CONCAT(LEFT($A160,FIND("'",$A160)-1),"''",RIGHT($A160,LEN($A160)-FIND("'",$A160))),$A160),"'!B5"))&gt;=H$2,"i",""))</f>
        <v>d</v>
      </c>
      <c r="I160" s="44" t="str" cm="1">
        <f t="array" aca="1" ref="I160" ca="1">IF(INDIRECT(_xlfn.CONCAT("'",IF(ISNUMBER(FIND("'",$A160))=TRUE,_xlfn.CONCAT(LEFT($A160,FIND("'",$A160)-1),"''",RIGHT($A160,LEN($A160)-FIND("'",$A160))),$A160),"'!B4"))&gt;=I$2,"d",IF(INDIRECT(_xlfn.CONCAT("'",IF(ISNUMBER(FIND("'",$A160))=TRUE,_xlfn.CONCAT(LEFT($A160,FIND("'",$A160)-1),"''",RIGHT($A160,LEN($A160)-FIND("'",$A160))),$A160),"'!B5"))&gt;=I$2,"i",""))</f>
        <v>d</v>
      </c>
      <c r="J160" s="44" t="str" cm="1">
        <f t="array" aca="1" ref="J160" ca="1">IF(INDIRECT(_xlfn.CONCAT("'",IF(ISNUMBER(FIND("'",$A160))=TRUE,_xlfn.CONCAT(LEFT($A160,FIND("'",$A160)-1),"''",RIGHT($A160,LEN($A160)-FIND("'",$A160))),$A160),"'!B4"))&gt;=J$2,"d",IF(INDIRECT(_xlfn.CONCAT("'",IF(ISNUMBER(FIND("'",$A160))=TRUE,_xlfn.CONCAT(LEFT($A160,FIND("'",$A160)-1),"''",RIGHT($A160,LEN($A160)-FIND("'",$A160))),$A160),"'!B5"))&gt;=J$2,"i",""))</f>
        <v>d</v>
      </c>
      <c r="K160" s="44" t="str" cm="1">
        <f t="array" aca="1" ref="K160" ca="1">IF(INDIRECT(_xlfn.CONCAT("'",IF(ISNUMBER(FIND("'",$A160))=TRUE,_xlfn.CONCAT(LEFT($A160,FIND("'",$A160)-1),"''",RIGHT($A160,LEN($A160)-FIND("'",$A160))),$A160),"'!B4"))&gt;=K$2,"d",IF(INDIRECT(_xlfn.CONCAT("'",IF(ISNUMBER(FIND("'",$A160))=TRUE,_xlfn.CONCAT(LEFT($A160,FIND("'",$A160)-1),"''",RIGHT($A160,LEN($A160)-FIND("'",$A160))),$A160),"'!B5"))&gt;=K$2,"i",""))</f>
        <v>d</v>
      </c>
      <c r="L160" s="44" t="str" cm="1">
        <f t="array" aca="1" ref="L160" ca="1">IF(INDIRECT(_xlfn.CONCAT("'",IF(ISNUMBER(FIND("'",$A160))=TRUE,_xlfn.CONCAT(LEFT($A160,FIND("'",$A160)-1),"''",RIGHT($A160,LEN($A160)-FIND("'",$A160))),$A160),"'!B4"))&gt;=L$2,"d",IF(INDIRECT(_xlfn.CONCAT("'",IF(ISNUMBER(FIND("'",$A160))=TRUE,_xlfn.CONCAT(LEFT($A160,FIND("'",$A160)-1),"''",RIGHT($A160,LEN($A160)-FIND("'",$A160))),$A160),"'!B5"))&gt;=L$2,"i",""))</f>
        <v>d</v>
      </c>
      <c r="M160" s="45" t="str" cm="1">
        <f t="array" aca="1" ref="M160" ca="1">IF(INDIRECT(_xlfn.CONCAT("'",IF(ISNUMBER(FIND("'",$A160))=TRUE,_xlfn.CONCAT(LEFT($A160,FIND("'",$A160)-1),"''",RIGHT($A160,LEN($A160)-FIND("'",$A160))),$A160),"'!B4"))&gt;=M$2,"d",IF(INDIRECT(_xlfn.CONCAT("'",IF(ISNUMBER(FIND("'",$A160))=TRUE,_xlfn.CONCAT(LEFT($A160,FIND("'",$A160)-1),"''",RIGHT($A160,LEN($A160)-FIND("'",$A160))),$A160),"'!B5"))&gt;=M$2,"i",""))</f>
        <v>d</v>
      </c>
      <c r="N160" s="157"/>
      <c r="O160" s="19" t="str" cm="1">
        <f t="array" aca="1" ref="O160" ca="1">IF(INDIRECT(_xlfn.CONCAT("'",IF(ISNUMBER(FIND("'",$A160))=TRUE,_xlfn.CONCAT(LEFT($A160,FIND("'",$A160)-1),"''",RIGHT($A160,LEN($A160)-FIND("'",$A160))),$A160),"'!C10"))&gt;=O$2,"d",IF(INDIRECT(_xlfn.CONCAT("'",IF(ISNUMBER(FIND("'",$A160))=TRUE,_xlfn.CONCAT(LEFT($A160,FIND("'",$A160)-1),"''",RIGHT($A160,LEN($A160)-FIND("'",$A160))),$A160),"'!C11"))&gt;=O$2,"i",""))</f>
        <v>d</v>
      </c>
      <c r="P160" s="44" t="str" cm="1">
        <f t="array" aca="1" ref="P160" ca="1">IF(INDIRECT(_xlfn.CONCAT("'",IF(ISNUMBER(FIND("'",$A160))=TRUE,_xlfn.CONCAT(LEFT($A160,FIND("'",$A160)-1),"''",RIGHT($A160,LEN($A160)-FIND("'",$A160))),$A160),"'!C10"))&gt;=P$2,"d",IF(INDIRECT(_xlfn.CONCAT("'",IF(ISNUMBER(FIND("'",$A160))=TRUE,_xlfn.CONCAT(LEFT($A160,FIND("'",$A160)-1),"''",RIGHT($A160,LEN($A160)-FIND("'",$A160))),$A160),"'!C11"))&gt;=P$2,"i",""))</f>
        <v>d</v>
      </c>
      <c r="Q160" s="44" t="str" cm="1">
        <f t="array" aca="1" ref="Q160" ca="1">IF(INDIRECT(_xlfn.CONCAT("'",IF(ISNUMBER(FIND("'",$A160))=TRUE,_xlfn.CONCAT(LEFT($A160,FIND("'",$A160)-1),"''",RIGHT($A160,LEN($A160)-FIND("'",$A160))),$A160),"'!C10"))&gt;=Q$2,"d",IF(INDIRECT(_xlfn.CONCAT("'",IF(ISNUMBER(FIND("'",$A160))=TRUE,_xlfn.CONCAT(LEFT($A160,FIND("'",$A160)-1),"''",RIGHT($A160,LEN($A160)-FIND("'",$A160))),$A160),"'!C11"))&gt;=Q$2,"i",""))</f>
        <v>d</v>
      </c>
      <c r="R160" s="44" t="str" cm="1">
        <f t="array" aca="1" ref="R160" ca="1">IF(INDIRECT(_xlfn.CONCAT("'",IF(ISNUMBER(FIND("'",$A160))=TRUE,_xlfn.CONCAT(LEFT($A160,FIND("'",$A160)-1),"''",RIGHT($A160,LEN($A160)-FIND("'",$A160))),$A160),"'!C10"))&gt;=R$2,"d",IF(INDIRECT(_xlfn.CONCAT("'",IF(ISNUMBER(FIND("'",$A160))=TRUE,_xlfn.CONCAT(LEFT($A160,FIND("'",$A160)-1),"''",RIGHT($A160,LEN($A160)-FIND("'",$A160))),$A160),"'!C11"))&gt;=R$2,"i",""))</f>
        <v>d</v>
      </c>
      <c r="S160" s="44" t="str" cm="1">
        <f t="array" aca="1" ref="S160" ca="1">IF(INDIRECT(_xlfn.CONCAT("'",IF(ISNUMBER(FIND("'",$A160))=TRUE,_xlfn.CONCAT(LEFT($A160,FIND("'",$A160)-1),"''",RIGHT($A160,LEN($A160)-FIND("'",$A160))),$A160),"'!C10"))&gt;=S$2,"d",IF(INDIRECT(_xlfn.CONCAT("'",IF(ISNUMBER(FIND("'",$A160))=TRUE,_xlfn.CONCAT(LEFT($A160,FIND("'",$A160)-1),"''",RIGHT($A160,LEN($A160)-FIND("'",$A160))),$A160),"'!C11"))&gt;=S$2,"i",""))</f>
        <v>d</v>
      </c>
      <c r="T160" s="45" t="str" cm="1">
        <f t="array" aca="1" ref="T160" ca="1">IF(INDIRECT(_xlfn.CONCAT("'",IF(ISNUMBER(FIND("'",$A160))=TRUE,_xlfn.CONCAT(LEFT($A160,FIND("'",$A160)-1),"''",RIGHT($A160,LEN($A160)-FIND("'",$A160))),$A160),"'!C10"))&gt;=T$2,"d",IF(INDIRECT(_xlfn.CONCAT("'",IF(ISNUMBER(FIND("'",$A160))=TRUE,_xlfn.CONCAT(LEFT($A160,FIND("'",$A160)-1),"''",RIGHT($A160,LEN($A160)-FIND("'",$A160))),$A160),"'!C11"))&gt;=T$2,"i",""))</f>
        <v>d</v>
      </c>
    </row>
    <row r="161" spans="1:20" hidden="1" x14ac:dyDescent="0.25">
      <c r="A161" s="135" t="str">
        <v>Finale of the Deep</v>
      </c>
      <c r="B161" s="19" cm="1">
        <f t="array" ref="B161">_xlfn.XLOOKUP(A161,INDEX(Weapon_List,,1),INDEX(Weapon_List,,3),,0,1)</f>
        <v>4</v>
      </c>
      <c r="C161" s="45" t="str" cm="1">
        <f t="array" ref="C161">_xlfn.XLOOKUP(A161,INDEX(Weapon_List,,1),INDEX(Weapon_List,,2),,0,1)</f>
        <v>Sword</v>
      </c>
      <c r="D161" s="38" t="str" cm="1">
        <f t="array" ref="D161">_xlfn.XLOOKUP(A161,INDEX(Weapon_List,,1),INDEX(Weapon_List,,4),,0,1)</f>
        <v>Fontaine 2</v>
      </c>
      <c r="E161" s="38" t="str" cm="1">
        <f t="array" ref="E161">_xlfn.XLOOKUP(A161,INDEX(Weapon_List,,1),INDEX(Weapon_List,,5),,0,1)</f>
        <v>Nobushi</v>
      </c>
      <c r="F161" s="38" t="str" cm="1">
        <f t="array" ref="F161">_xlfn.XLOOKUP(A161,INDEX(Weapon_List,,1),INDEX(Weapon_List,,6),,0,1)</f>
        <v>Tainted Hydro Phantasm</v>
      </c>
      <c r="G161" s="19" t="str" cm="1">
        <f t="array" aca="1" ref="G161" ca="1">IF(INDIRECT(_xlfn.CONCAT("'",IF(ISNUMBER(FIND("'",$A161))=TRUE,_xlfn.CONCAT(LEFT($A161,FIND("'",$A161)-1),"''",RIGHT($A161,LEN($A161)-FIND("'",$A161))),$A161),"'!B4"))&gt;=G$2,"d",IF(INDIRECT(_xlfn.CONCAT("'",IF(ISNUMBER(FIND("'",$A161))=TRUE,_xlfn.CONCAT(LEFT($A161,FIND("'",$A161)-1),"''",RIGHT($A161,LEN($A161)-FIND("'",$A161))),$A161),"'!B5"))&gt;=G$2,"i",""))</f>
        <v>d</v>
      </c>
      <c r="H161" s="44" t="str" cm="1">
        <f t="array" aca="1" ref="H161" ca="1">IF(INDIRECT(_xlfn.CONCAT("'",IF(ISNUMBER(FIND("'",$A161))=TRUE,_xlfn.CONCAT(LEFT($A161,FIND("'",$A161)-1),"''",RIGHT($A161,LEN($A161)-FIND("'",$A161))),$A161),"'!B4"))&gt;=H$2,"d",IF(INDIRECT(_xlfn.CONCAT("'",IF(ISNUMBER(FIND("'",$A161))=TRUE,_xlfn.CONCAT(LEFT($A161,FIND("'",$A161)-1),"''",RIGHT($A161,LEN($A161)-FIND("'",$A161))),$A161),"'!B5"))&gt;=H$2,"i",""))</f>
        <v>d</v>
      </c>
      <c r="I161" s="44" t="str" cm="1">
        <f t="array" aca="1" ref="I161" ca="1">IF(INDIRECT(_xlfn.CONCAT("'",IF(ISNUMBER(FIND("'",$A161))=TRUE,_xlfn.CONCAT(LEFT($A161,FIND("'",$A161)-1),"''",RIGHT($A161,LEN($A161)-FIND("'",$A161))),$A161),"'!B4"))&gt;=I$2,"d",IF(INDIRECT(_xlfn.CONCAT("'",IF(ISNUMBER(FIND("'",$A161))=TRUE,_xlfn.CONCAT(LEFT($A161,FIND("'",$A161)-1),"''",RIGHT($A161,LEN($A161)-FIND("'",$A161))),$A161),"'!B5"))&gt;=I$2,"i",""))</f>
        <v>d</v>
      </c>
      <c r="J161" s="44" t="str" cm="1">
        <f t="array" aca="1" ref="J161" ca="1">IF(INDIRECT(_xlfn.CONCAT("'",IF(ISNUMBER(FIND("'",$A161))=TRUE,_xlfn.CONCAT(LEFT($A161,FIND("'",$A161)-1),"''",RIGHT($A161,LEN($A161)-FIND("'",$A161))),$A161),"'!B4"))&gt;=J$2,"d",IF(INDIRECT(_xlfn.CONCAT("'",IF(ISNUMBER(FIND("'",$A161))=TRUE,_xlfn.CONCAT(LEFT($A161,FIND("'",$A161)-1),"''",RIGHT($A161,LEN($A161)-FIND("'",$A161))),$A161),"'!B5"))&gt;=J$2,"i",""))</f>
        <v>d</v>
      </c>
      <c r="K161" s="44" t="str" cm="1">
        <f t="array" aca="1" ref="K161" ca="1">IF(INDIRECT(_xlfn.CONCAT("'",IF(ISNUMBER(FIND("'",$A161))=TRUE,_xlfn.CONCAT(LEFT($A161,FIND("'",$A161)-1),"''",RIGHT($A161,LEN($A161)-FIND("'",$A161))),$A161),"'!B4"))&gt;=K$2,"d",IF(INDIRECT(_xlfn.CONCAT("'",IF(ISNUMBER(FIND("'",$A161))=TRUE,_xlfn.CONCAT(LEFT($A161,FIND("'",$A161)-1),"''",RIGHT($A161,LEN($A161)-FIND("'",$A161))),$A161),"'!B5"))&gt;=K$2,"i",""))</f>
        <v>d</v>
      </c>
      <c r="L161" s="44" t="str" cm="1">
        <f t="array" aca="1" ref="L161" ca="1">IF(INDIRECT(_xlfn.CONCAT("'",IF(ISNUMBER(FIND("'",$A161))=TRUE,_xlfn.CONCAT(LEFT($A161,FIND("'",$A161)-1),"''",RIGHT($A161,LEN($A161)-FIND("'",$A161))),$A161),"'!B4"))&gt;=L$2,"d",IF(INDIRECT(_xlfn.CONCAT("'",IF(ISNUMBER(FIND("'",$A161))=TRUE,_xlfn.CONCAT(LEFT($A161,FIND("'",$A161)-1),"''",RIGHT($A161,LEN($A161)-FIND("'",$A161))),$A161),"'!B5"))&gt;=L$2,"i",""))</f>
        <v>d</v>
      </c>
      <c r="M161" s="45" t="str" cm="1">
        <f t="array" aca="1" ref="M161" ca="1">IF(INDIRECT(_xlfn.CONCAT("'",IF(ISNUMBER(FIND("'",$A161))=TRUE,_xlfn.CONCAT(LEFT($A161,FIND("'",$A161)-1),"''",RIGHT($A161,LEN($A161)-FIND("'",$A161))),$A161),"'!B4"))&gt;=M$2,"d",IF(INDIRECT(_xlfn.CONCAT("'",IF(ISNUMBER(FIND("'",$A161))=TRUE,_xlfn.CONCAT(LEFT($A161,FIND("'",$A161)-1),"''",RIGHT($A161,LEN($A161)-FIND("'",$A161))),$A161),"'!B5"))&gt;=M$2,"i",""))</f>
        <v>d</v>
      </c>
      <c r="N161" s="157"/>
      <c r="O161" s="19" t="str" cm="1">
        <f t="array" aca="1" ref="O161" ca="1">IF(INDIRECT(_xlfn.CONCAT("'",IF(ISNUMBER(FIND("'",$A161))=TRUE,_xlfn.CONCAT(LEFT($A161,FIND("'",$A161)-1),"''",RIGHT($A161,LEN($A161)-FIND("'",$A161))),$A161),"'!C10"))&gt;=O$2,"d",IF(INDIRECT(_xlfn.CONCAT("'",IF(ISNUMBER(FIND("'",$A161))=TRUE,_xlfn.CONCAT(LEFT($A161,FIND("'",$A161)-1),"''",RIGHT($A161,LEN($A161)-FIND("'",$A161))),$A161),"'!C11"))&gt;=O$2,"i",""))</f>
        <v>d</v>
      </c>
      <c r="P161" s="44" t="str" cm="1">
        <f t="array" aca="1" ref="P161" ca="1">IF(INDIRECT(_xlfn.CONCAT("'",IF(ISNUMBER(FIND("'",$A161))=TRUE,_xlfn.CONCAT(LEFT($A161,FIND("'",$A161)-1),"''",RIGHT($A161,LEN($A161)-FIND("'",$A161))),$A161),"'!C10"))&gt;=P$2,"d",IF(INDIRECT(_xlfn.CONCAT("'",IF(ISNUMBER(FIND("'",$A161))=TRUE,_xlfn.CONCAT(LEFT($A161,FIND("'",$A161)-1),"''",RIGHT($A161,LEN($A161)-FIND("'",$A161))),$A161),"'!C11"))&gt;=P$2,"i",""))</f>
        <v>d</v>
      </c>
      <c r="Q161" s="44" t="str" cm="1">
        <f t="array" aca="1" ref="Q161" ca="1">IF(INDIRECT(_xlfn.CONCAT("'",IF(ISNUMBER(FIND("'",$A161))=TRUE,_xlfn.CONCAT(LEFT($A161,FIND("'",$A161)-1),"''",RIGHT($A161,LEN($A161)-FIND("'",$A161))),$A161),"'!C10"))&gt;=Q$2,"d",IF(INDIRECT(_xlfn.CONCAT("'",IF(ISNUMBER(FIND("'",$A161))=TRUE,_xlfn.CONCAT(LEFT($A161,FIND("'",$A161)-1),"''",RIGHT($A161,LEN($A161)-FIND("'",$A161))),$A161),"'!C11"))&gt;=Q$2,"i",""))</f>
        <v>d</v>
      </c>
      <c r="R161" s="44" t="str" cm="1">
        <f t="array" aca="1" ref="R161" ca="1">IF(INDIRECT(_xlfn.CONCAT("'",IF(ISNUMBER(FIND("'",$A161))=TRUE,_xlfn.CONCAT(LEFT($A161,FIND("'",$A161)-1),"''",RIGHT($A161,LEN($A161)-FIND("'",$A161))),$A161),"'!C10"))&gt;=R$2,"d",IF(INDIRECT(_xlfn.CONCAT("'",IF(ISNUMBER(FIND("'",$A161))=TRUE,_xlfn.CONCAT(LEFT($A161,FIND("'",$A161)-1),"''",RIGHT($A161,LEN($A161)-FIND("'",$A161))),$A161),"'!C11"))&gt;=R$2,"i",""))</f>
        <v>d</v>
      </c>
      <c r="S161" s="44" t="str" cm="1">
        <f t="array" aca="1" ref="S161" ca="1">IF(INDIRECT(_xlfn.CONCAT("'",IF(ISNUMBER(FIND("'",$A161))=TRUE,_xlfn.CONCAT(LEFT($A161,FIND("'",$A161)-1),"''",RIGHT($A161,LEN($A161)-FIND("'",$A161))),$A161),"'!C10"))&gt;=S$2,"d",IF(INDIRECT(_xlfn.CONCAT("'",IF(ISNUMBER(FIND("'",$A161))=TRUE,_xlfn.CONCAT(LEFT($A161,FIND("'",$A161)-1),"''",RIGHT($A161,LEN($A161)-FIND("'",$A161))),$A161),"'!C11"))&gt;=S$2,"i",""))</f>
        <v>d</v>
      </c>
      <c r="T161" s="45" t="str" cm="1">
        <f t="array" aca="1" ref="T161" ca="1">IF(INDIRECT(_xlfn.CONCAT("'",IF(ISNUMBER(FIND("'",$A161))=TRUE,_xlfn.CONCAT(LEFT($A161,FIND("'",$A161)-1),"''",RIGHT($A161,LEN($A161)-FIND("'",$A161))),$A161),"'!C10"))&gt;=T$2,"d",IF(INDIRECT(_xlfn.CONCAT("'",IF(ISNUMBER(FIND("'",$A161))=TRUE,_xlfn.CONCAT(LEFT($A161,FIND("'",$A161)-1),"''",RIGHT($A161,LEN($A161)-FIND("'",$A161))),$A161),"'!C11"))&gt;=T$2,"i",""))</f>
        <v>d</v>
      </c>
    </row>
    <row r="162" spans="1:20" hidden="1" x14ac:dyDescent="0.25">
      <c r="A162" s="135" t="str">
        <v>Tidal Shadow</v>
      </c>
      <c r="B162" s="19" cm="1">
        <f t="array" ref="B162">_xlfn.XLOOKUP(A162,INDEX(Weapon_List,,1),INDEX(Weapon_List,,3),,0,1)</f>
        <v>4</v>
      </c>
      <c r="C162" s="45" t="str" cm="1">
        <f t="array" ref="C162">_xlfn.XLOOKUP(A162,INDEX(Weapon_List,,1),INDEX(Weapon_List,,2),,0,1)</f>
        <v>Claymore</v>
      </c>
      <c r="D162" s="38" t="str" cm="1">
        <f t="array" ref="D162">_xlfn.XLOOKUP(A162,INDEX(Weapon_List,,1),INDEX(Weapon_List,,4),,0,1)</f>
        <v>Fontaine 3</v>
      </c>
      <c r="E162" s="38" t="str" cm="1">
        <f t="array" ref="E162">_xlfn.XLOOKUP(A162,INDEX(Weapon_List,,1),INDEX(Weapon_List,,5),,0,1)</f>
        <v>Clockwork Meka</v>
      </c>
      <c r="F162" s="38" t="str" cm="1">
        <f t="array" ref="F162">_xlfn.XLOOKUP(A162,INDEX(Weapon_List,,1),INDEX(Weapon_List,,6),,0,1)</f>
        <v>Breacher Primus</v>
      </c>
      <c r="G162" s="19" t="str" cm="1">
        <f t="array" aca="1" ref="G162" ca="1">IF(INDIRECT(_xlfn.CONCAT("'",IF(ISNUMBER(FIND("'",$A162))=TRUE,_xlfn.CONCAT(LEFT($A162,FIND("'",$A162)-1),"''",RIGHT($A162,LEN($A162)-FIND("'",$A162))),$A162),"'!B4"))&gt;=G$2,"d",IF(INDIRECT(_xlfn.CONCAT("'",IF(ISNUMBER(FIND("'",$A162))=TRUE,_xlfn.CONCAT(LEFT($A162,FIND("'",$A162)-1),"''",RIGHT($A162,LEN($A162)-FIND("'",$A162))),$A162),"'!B5"))&gt;=G$2,"i",""))</f>
        <v>d</v>
      </c>
      <c r="H162" s="44" t="str" cm="1">
        <f t="array" aca="1" ref="H162" ca="1">IF(INDIRECT(_xlfn.CONCAT("'",IF(ISNUMBER(FIND("'",$A162))=TRUE,_xlfn.CONCAT(LEFT($A162,FIND("'",$A162)-1),"''",RIGHT($A162,LEN($A162)-FIND("'",$A162))),$A162),"'!B4"))&gt;=H$2,"d",IF(INDIRECT(_xlfn.CONCAT("'",IF(ISNUMBER(FIND("'",$A162))=TRUE,_xlfn.CONCAT(LEFT($A162,FIND("'",$A162)-1),"''",RIGHT($A162,LEN($A162)-FIND("'",$A162))),$A162),"'!B5"))&gt;=H$2,"i",""))</f>
        <v>d</v>
      </c>
      <c r="I162" s="44" t="str" cm="1">
        <f t="array" aca="1" ref="I162" ca="1">IF(INDIRECT(_xlfn.CONCAT("'",IF(ISNUMBER(FIND("'",$A162))=TRUE,_xlfn.CONCAT(LEFT($A162,FIND("'",$A162)-1),"''",RIGHT($A162,LEN($A162)-FIND("'",$A162))),$A162),"'!B4"))&gt;=I$2,"d",IF(INDIRECT(_xlfn.CONCAT("'",IF(ISNUMBER(FIND("'",$A162))=TRUE,_xlfn.CONCAT(LEFT($A162,FIND("'",$A162)-1),"''",RIGHT($A162,LEN($A162)-FIND("'",$A162))),$A162),"'!B5"))&gt;=I$2,"i",""))</f>
        <v>d</v>
      </c>
      <c r="J162" s="44" t="str" cm="1">
        <f t="array" aca="1" ref="J162" ca="1">IF(INDIRECT(_xlfn.CONCAT("'",IF(ISNUMBER(FIND("'",$A162))=TRUE,_xlfn.CONCAT(LEFT($A162,FIND("'",$A162)-1),"''",RIGHT($A162,LEN($A162)-FIND("'",$A162))),$A162),"'!B4"))&gt;=J$2,"d",IF(INDIRECT(_xlfn.CONCAT("'",IF(ISNUMBER(FIND("'",$A162))=TRUE,_xlfn.CONCAT(LEFT($A162,FIND("'",$A162)-1),"''",RIGHT($A162,LEN($A162)-FIND("'",$A162))),$A162),"'!B5"))&gt;=J$2,"i",""))</f>
        <v>d</v>
      </c>
      <c r="K162" s="44" t="str" cm="1">
        <f t="array" aca="1" ref="K162" ca="1">IF(INDIRECT(_xlfn.CONCAT("'",IF(ISNUMBER(FIND("'",$A162))=TRUE,_xlfn.CONCAT(LEFT($A162,FIND("'",$A162)-1),"''",RIGHT($A162,LEN($A162)-FIND("'",$A162))),$A162),"'!B4"))&gt;=K$2,"d",IF(INDIRECT(_xlfn.CONCAT("'",IF(ISNUMBER(FIND("'",$A162))=TRUE,_xlfn.CONCAT(LEFT($A162,FIND("'",$A162)-1),"''",RIGHT($A162,LEN($A162)-FIND("'",$A162))),$A162),"'!B5"))&gt;=K$2,"i",""))</f>
        <v>d</v>
      </c>
      <c r="L162" s="44" t="str" cm="1">
        <f t="array" aca="1" ref="L162" ca="1">IF(INDIRECT(_xlfn.CONCAT("'",IF(ISNUMBER(FIND("'",$A162))=TRUE,_xlfn.CONCAT(LEFT($A162,FIND("'",$A162)-1),"''",RIGHT($A162,LEN($A162)-FIND("'",$A162))),$A162),"'!B4"))&gt;=L$2,"d",IF(INDIRECT(_xlfn.CONCAT("'",IF(ISNUMBER(FIND("'",$A162))=TRUE,_xlfn.CONCAT(LEFT($A162,FIND("'",$A162)-1),"''",RIGHT($A162,LEN($A162)-FIND("'",$A162))),$A162),"'!B5"))&gt;=L$2,"i",""))</f>
        <v>d</v>
      </c>
      <c r="M162" s="45" t="str" cm="1">
        <f t="array" aca="1" ref="M162" ca="1">IF(INDIRECT(_xlfn.CONCAT("'",IF(ISNUMBER(FIND("'",$A162))=TRUE,_xlfn.CONCAT(LEFT($A162,FIND("'",$A162)-1),"''",RIGHT($A162,LEN($A162)-FIND("'",$A162))),$A162),"'!B4"))&gt;=M$2,"d",IF(INDIRECT(_xlfn.CONCAT("'",IF(ISNUMBER(FIND("'",$A162))=TRUE,_xlfn.CONCAT(LEFT($A162,FIND("'",$A162)-1),"''",RIGHT($A162,LEN($A162)-FIND("'",$A162))),$A162),"'!B5"))&gt;=M$2,"i",""))</f>
        <v>d</v>
      </c>
      <c r="N162" s="157"/>
      <c r="O162" s="19" t="str" cm="1">
        <f t="array" aca="1" ref="O162" ca="1">IF(INDIRECT(_xlfn.CONCAT("'",IF(ISNUMBER(FIND("'",$A162))=TRUE,_xlfn.CONCAT(LEFT($A162,FIND("'",$A162)-1),"''",RIGHT($A162,LEN($A162)-FIND("'",$A162))),$A162),"'!C10"))&gt;=O$2,"d",IF(INDIRECT(_xlfn.CONCAT("'",IF(ISNUMBER(FIND("'",$A162))=TRUE,_xlfn.CONCAT(LEFT($A162,FIND("'",$A162)-1),"''",RIGHT($A162,LEN($A162)-FIND("'",$A162))),$A162),"'!C11"))&gt;=O$2,"i",""))</f>
        <v>d</v>
      </c>
      <c r="P162" s="44" t="str" cm="1">
        <f t="array" aca="1" ref="P162" ca="1">IF(INDIRECT(_xlfn.CONCAT("'",IF(ISNUMBER(FIND("'",$A162))=TRUE,_xlfn.CONCAT(LEFT($A162,FIND("'",$A162)-1),"''",RIGHT($A162,LEN($A162)-FIND("'",$A162))),$A162),"'!C10"))&gt;=P$2,"d",IF(INDIRECT(_xlfn.CONCAT("'",IF(ISNUMBER(FIND("'",$A162))=TRUE,_xlfn.CONCAT(LEFT($A162,FIND("'",$A162)-1),"''",RIGHT($A162,LEN($A162)-FIND("'",$A162))),$A162),"'!C11"))&gt;=P$2,"i",""))</f>
        <v>d</v>
      </c>
      <c r="Q162" s="44" t="str" cm="1">
        <f t="array" aca="1" ref="Q162" ca="1">IF(INDIRECT(_xlfn.CONCAT("'",IF(ISNUMBER(FIND("'",$A162))=TRUE,_xlfn.CONCAT(LEFT($A162,FIND("'",$A162)-1),"''",RIGHT($A162,LEN($A162)-FIND("'",$A162))),$A162),"'!C10"))&gt;=Q$2,"d",IF(INDIRECT(_xlfn.CONCAT("'",IF(ISNUMBER(FIND("'",$A162))=TRUE,_xlfn.CONCAT(LEFT($A162,FIND("'",$A162)-1),"''",RIGHT($A162,LEN($A162)-FIND("'",$A162))),$A162),"'!C11"))&gt;=Q$2,"i",""))</f>
        <v>d</v>
      </c>
      <c r="R162" s="44" t="str" cm="1">
        <f t="array" aca="1" ref="R162" ca="1">IF(INDIRECT(_xlfn.CONCAT("'",IF(ISNUMBER(FIND("'",$A162))=TRUE,_xlfn.CONCAT(LEFT($A162,FIND("'",$A162)-1),"''",RIGHT($A162,LEN($A162)-FIND("'",$A162))),$A162),"'!C10"))&gt;=R$2,"d",IF(INDIRECT(_xlfn.CONCAT("'",IF(ISNUMBER(FIND("'",$A162))=TRUE,_xlfn.CONCAT(LEFT($A162,FIND("'",$A162)-1),"''",RIGHT($A162,LEN($A162)-FIND("'",$A162))),$A162),"'!C11"))&gt;=R$2,"i",""))</f>
        <v>d</v>
      </c>
      <c r="S162" s="44" t="str" cm="1">
        <f t="array" aca="1" ref="S162" ca="1">IF(INDIRECT(_xlfn.CONCAT("'",IF(ISNUMBER(FIND("'",$A162))=TRUE,_xlfn.CONCAT(LEFT($A162,FIND("'",$A162)-1),"''",RIGHT($A162,LEN($A162)-FIND("'",$A162))),$A162),"'!C10"))&gt;=S$2,"d",IF(INDIRECT(_xlfn.CONCAT("'",IF(ISNUMBER(FIND("'",$A162))=TRUE,_xlfn.CONCAT(LEFT($A162,FIND("'",$A162)-1),"''",RIGHT($A162,LEN($A162)-FIND("'",$A162))),$A162),"'!C11"))&gt;=S$2,"i",""))</f>
        <v>d</v>
      </c>
      <c r="T162" s="45" t="str" cm="1">
        <f t="array" aca="1" ref="T162" ca="1">IF(INDIRECT(_xlfn.CONCAT("'",IF(ISNUMBER(FIND("'",$A162))=TRUE,_xlfn.CONCAT(LEFT($A162,FIND("'",$A162)-1),"''",RIGHT($A162,LEN($A162)-FIND("'",$A162))),$A162),"'!C10"))&gt;=T$2,"d",IF(INDIRECT(_xlfn.CONCAT("'",IF(ISNUMBER(FIND("'",$A162))=TRUE,_xlfn.CONCAT(LEFT($A162,FIND("'",$A162)-1),"''",RIGHT($A162,LEN($A162)-FIND("'",$A162))),$A162),"'!C11"))&gt;=T$2,"i",""))</f>
        <v>d</v>
      </c>
    </row>
    <row r="163" spans="1:20" hidden="1" x14ac:dyDescent="0.25">
      <c r="A163" s="135" t="str">
        <v>Rightful Reward</v>
      </c>
      <c r="B163" s="19" cm="1">
        <f t="array" ref="B163">_xlfn.XLOOKUP(A163,INDEX(Weapon_List,,1),INDEX(Weapon_List,,3),,0,1)</f>
        <v>4</v>
      </c>
      <c r="C163" s="45" t="str" cm="1">
        <f t="array" ref="C163">_xlfn.XLOOKUP(A163,INDEX(Weapon_List,,1),INDEX(Weapon_List,,2),,0,1)</f>
        <v>Polearm</v>
      </c>
      <c r="D163" s="38" t="str" cm="1">
        <f t="array" ref="D163">_xlfn.XLOOKUP(A163,INDEX(Weapon_List,,1),INDEX(Weapon_List,,4),,0,1)</f>
        <v>Fontaine 3</v>
      </c>
      <c r="E163" s="38" t="str" cm="1">
        <f t="array" ref="E163">_xlfn.XLOOKUP(A163,INDEX(Weapon_List,,1),INDEX(Weapon_List,,5),,0,1)</f>
        <v>Clockwork Meka</v>
      </c>
      <c r="F163" s="38" t="str" cm="1">
        <f t="array" ref="F163">_xlfn.XLOOKUP(A163,INDEX(Weapon_List,,1),INDEX(Weapon_List,,6),,0,1)</f>
        <v>Breacher Primus</v>
      </c>
      <c r="G163" s="19" t="str" cm="1">
        <f t="array" aca="1" ref="G163" ca="1">IF(INDIRECT(_xlfn.CONCAT("'",IF(ISNUMBER(FIND("'",$A163))=TRUE,_xlfn.CONCAT(LEFT($A163,FIND("'",$A163)-1),"''",RIGHT($A163,LEN($A163)-FIND("'",$A163))),$A163),"'!B4"))&gt;=G$2,"d",IF(INDIRECT(_xlfn.CONCAT("'",IF(ISNUMBER(FIND("'",$A163))=TRUE,_xlfn.CONCAT(LEFT($A163,FIND("'",$A163)-1),"''",RIGHT($A163,LEN($A163)-FIND("'",$A163))),$A163),"'!B5"))&gt;=G$2,"i",""))</f>
        <v>d</v>
      </c>
      <c r="H163" s="44" t="str" cm="1">
        <f t="array" aca="1" ref="H163" ca="1">IF(INDIRECT(_xlfn.CONCAT("'",IF(ISNUMBER(FIND("'",$A163))=TRUE,_xlfn.CONCAT(LEFT($A163,FIND("'",$A163)-1),"''",RIGHT($A163,LEN($A163)-FIND("'",$A163))),$A163),"'!B4"))&gt;=H$2,"d",IF(INDIRECT(_xlfn.CONCAT("'",IF(ISNUMBER(FIND("'",$A163))=TRUE,_xlfn.CONCAT(LEFT($A163,FIND("'",$A163)-1),"''",RIGHT($A163,LEN($A163)-FIND("'",$A163))),$A163),"'!B5"))&gt;=H$2,"i",""))</f>
        <v>d</v>
      </c>
      <c r="I163" s="44" t="str" cm="1">
        <f t="array" aca="1" ref="I163" ca="1">IF(INDIRECT(_xlfn.CONCAT("'",IF(ISNUMBER(FIND("'",$A163))=TRUE,_xlfn.CONCAT(LEFT($A163,FIND("'",$A163)-1),"''",RIGHT($A163,LEN($A163)-FIND("'",$A163))),$A163),"'!B4"))&gt;=I$2,"d",IF(INDIRECT(_xlfn.CONCAT("'",IF(ISNUMBER(FIND("'",$A163))=TRUE,_xlfn.CONCAT(LEFT($A163,FIND("'",$A163)-1),"''",RIGHT($A163,LEN($A163)-FIND("'",$A163))),$A163),"'!B5"))&gt;=I$2,"i",""))</f>
        <v>d</v>
      </c>
      <c r="J163" s="44" t="str" cm="1">
        <f t="array" aca="1" ref="J163" ca="1">IF(INDIRECT(_xlfn.CONCAT("'",IF(ISNUMBER(FIND("'",$A163))=TRUE,_xlfn.CONCAT(LEFT($A163,FIND("'",$A163)-1),"''",RIGHT($A163,LEN($A163)-FIND("'",$A163))),$A163),"'!B4"))&gt;=J$2,"d",IF(INDIRECT(_xlfn.CONCAT("'",IF(ISNUMBER(FIND("'",$A163))=TRUE,_xlfn.CONCAT(LEFT($A163,FIND("'",$A163)-1),"''",RIGHT($A163,LEN($A163)-FIND("'",$A163))),$A163),"'!B5"))&gt;=J$2,"i",""))</f>
        <v>d</v>
      </c>
      <c r="K163" s="44" t="str" cm="1">
        <f t="array" aca="1" ref="K163" ca="1">IF(INDIRECT(_xlfn.CONCAT("'",IF(ISNUMBER(FIND("'",$A163))=TRUE,_xlfn.CONCAT(LEFT($A163,FIND("'",$A163)-1),"''",RIGHT($A163,LEN($A163)-FIND("'",$A163))),$A163),"'!B4"))&gt;=K$2,"d",IF(INDIRECT(_xlfn.CONCAT("'",IF(ISNUMBER(FIND("'",$A163))=TRUE,_xlfn.CONCAT(LEFT($A163,FIND("'",$A163)-1),"''",RIGHT($A163,LEN($A163)-FIND("'",$A163))),$A163),"'!B5"))&gt;=K$2,"i",""))</f>
        <v>d</v>
      </c>
      <c r="L163" s="44" t="str" cm="1">
        <f t="array" aca="1" ref="L163" ca="1">IF(INDIRECT(_xlfn.CONCAT("'",IF(ISNUMBER(FIND("'",$A163))=TRUE,_xlfn.CONCAT(LEFT($A163,FIND("'",$A163)-1),"''",RIGHT($A163,LEN($A163)-FIND("'",$A163))),$A163),"'!B4"))&gt;=L$2,"d",IF(INDIRECT(_xlfn.CONCAT("'",IF(ISNUMBER(FIND("'",$A163))=TRUE,_xlfn.CONCAT(LEFT($A163,FIND("'",$A163)-1),"''",RIGHT($A163,LEN($A163)-FIND("'",$A163))),$A163),"'!B5"))&gt;=L$2,"i",""))</f>
        <v>d</v>
      </c>
      <c r="M163" s="45" t="str" cm="1">
        <f t="array" aca="1" ref="M163" ca="1">IF(INDIRECT(_xlfn.CONCAT("'",IF(ISNUMBER(FIND("'",$A163))=TRUE,_xlfn.CONCAT(LEFT($A163,FIND("'",$A163)-1),"''",RIGHT($A163,LEN($A163)-FIND("'",$A163))),$A163),"'!B4"))&gt;=M$2,"d",IF(INDIRECT(_xlfn.CONCAT("'",IF(ISNUMBER(FIND("'",$A163))=TRUE,_xlfn.CONCAT(LEFT($A163,FIND("'",$A163)-1),"''",RIGHT($A163,LEN($A163)-FIND("'",$A163))),$A163),"'!B5"))&gt;=M$2,"i",""))</f>
        <v>d</v>
      </c>
      <c r="N163" s="157"/>
      <c r="O163" s="19" t="str" cm="1">
        <f t="array" aca="1" ref="O163" ca="1">IF(INDIRECT(_xlfn.CONCAT("'",IF(ISNUMBER(FIND("'",$A163))=TRUE,_xlfn.CONCAT(LEFT($A163,FIND("'",$A163)-1),"''",RIGHT($A163,LEN($A163)-FIND("'",$A163))),$A163),"'!C10"))&gt;=O$2,"d",IF(INDIRECT(_xlfn.CONCAT("'",IF(ISNUMBER(FIND("'",$A163))=TRUE,_xlfn.CONCAT(LEFT($A163,FIND("'",$A163)-1),"''",RIGHT($A163,LEN($A163)-FIND("'",$A163))),$A163),"'!C11"))&gt;=O$2,"i",""))</f>
        <v>d</v>
      </c>
      <c r="P163" s="44" t="str" cm="1">
        <f t="array" aca="1" ref="P163" ca="1">IF(INDIRECT(_xlfn.CONCAT("'",IF(ISNUMBER(FIND("'",$A163))=TRUE,_xlfn.CONCAT(LEFT($A163,FIND("'",$A163)-1),"''",RIGHT($A163,LEN($A163)-FIND("'",$A163))),$A163),"'!C10"))&gt;=P$2,"d",IF(INDIRECT(_xlfn.CONCAT("'",IF(ISNUMBER(FIND("'",$A163))=TRUE,_xlfn.CONCAT(LEFT($A163,FIND("'",$A163)-1),"''",RIGHT($A163,LEN($A163)-FIND("'",$A163))),$A163),"'!C11"))&gt;=P$2,"i",""))</f>
        <v>d</v>
      </c>
      <c r="Q163" s="44" t="str" cm="1">
        <f t="array" aca="1" ref="Q163" ca="1">IF(INDIRECT(_xlfn.CONCAT("'",IF(ISNUMBER(FIND("'",$A163))=TRUE,_xlfn.CONCAT(LEFT($A163,FIND("'",$A163)-1),"''",RIGHT($A163,LEN($A163)-FIND("'",$A163))),$A163),"'!C10"))&gt;=Q$2,"d",IF(INDIRECT(_xlfn.CONCAT("'",IF(ISNUMBER(FIND("'",$A163))=TRUE,_xlfn.CONCAT(LEFT($A163,FIND("'",$A163)-1),"''",RIGHT($A163,LEN($A163)-FIND("'",$A163))),$A163),"'!C11"))&gt;=Q$2,"i",""))</f>
        <v>d</v>
      </c>
      <c r="R163" s="44" t="str" cm="1">
        <f t="array" aca="1" ref="R163" ca="1">IF(INDIRECT(_xlfn.CONCAT("'",IF(ISNUMBER(FIND("'",$A163))=TRUE,_xlfn.CONCAT(LEFT($A163,FIND("'",$A163)-1),"''",RIGHT($A163,LEN($A163)-FIND("'",$A163))),$A163),"'!C10"))&gt;=R$2,"d",IF(INDIRECT(_xlfn.CONCAT("'",IF(ISNUMBER(FIND("'",$A163))=TRUE,_xlfn.CONCAT(LEFT($A163,FIND("'",$A163)-1),"''",RIGHT($A163,LEN($A163)-FIND("'",$A163))),$A163),"'!C11"))&gt;=R$2,"i",""))</f>
        <v>d</v>
      </c>
      <c r="S163" s="44" t="str" cm="1">
        <f t="array" aca="1" ref="S163" ca="1">IF(INDIRECT(_xlfn.CONCAT("'",IF(ISNUMBER(FIND("'",$A163))=TRUE,_xlfn.CONCAT(LEFT($A163,FIND("'",$A163)-1),"''",RIGHT($A163,LEN($A163)-FIND("'",$A163))),$A163),"'!C10"))&gt;=S$2,"d",IF(INDIRECT(_xlfn.CONCAT("'",IF(ISNUMBER(FIND("'",$A163))=TRUE,_xlfn.CONCAT(LEFT($A163,FIND("'",$A163)-1),"''",RIGHT($A163,LEN($A163)-FIND("'",$A163))),$A163),"'!C11"))&gt;=S$2,"i",""))</f>
        <v>d</v>
      </c>
      <c r="T163" s="45" t="str" cm="1">
        <f t="array" aca="1" ref="T163" ca="1">IF(INDIRECT(_xlfn.CONCAT("'",IF(ISNUMBER(FIND("'",$A163))=TRUE,_xlfn.CONCAT(LEFT($A163,FIND("'",$A163)-1),"''",RIGHT($A163,LEN($A163)-FIND("'",$A163))),$A163),"'!C10"))&gt;=T$2,"d",IF(INDIRECT(_xlfn.CONCAT("'",IF(ISNUMBER(FIND("'",$A163))=TRUE,_xlfn.CONCAT(LEFT($A163,FIND("'",$A163)-1),"''",RIGHT($A163,LEN($A163)-FIND("'",$A163))),$A163),"'!C11"))&gt;=T$2,"i",""))</f>
        <v>d</v>
      </c>
    </row>
    <row r="164" spans="1:20" hidden="1" x14ac:dyDescent="0.25">
      <c r="A164" s="135" t="str">
        <v>Flowing Purity</v>
      </c>
      <c r="B164" s="19" cm="1">
        <f t="array" ref="B164">_xlfn.XLOOKUP(A164,INDEX(Weapon_List,,1),INDEX(Weapon_List,,3),,0,1)</f>
        <v>4</v>
      </c>
      <c r="C164" s="45" t="str" cm="1">
        <f t="array" ref="C164">_xlfn.XLOOKUP(A164,INDEX(Weapon_List,,1),INDEX(Weapon_List,,2),,0,1)</f>
        <v>Catalyst</v>
      </c>
      <c r="D164" s="38" t="str" cm="1">
        <f t="array" ref="D164">_xlfn.XLOOKUP(A164,INDEX(Weapon_List,,1),INDEX(Weapon_List,,4),,0,1)</f>
        <v>Fontaine 2</v>
      </c>
      <c r="E164" s="38" t="str" cm="1">
        <f t="array" ref="E164">_xlfn.XLOOKUP(A164,INDEX(Weapon_List,,1),INDEX(Weapon_List,,5),,0,1)</f>
        <v>Fontemer Aberrant</v>
      </c>
      <c r="F164" s="38" t="str" cm="1">
        <f t="array" ref="F164">_xlfn.XLOOKUP(A164,INDEX(Weapon_List,,1),INDEX(Weapon_List,,6),,0,1)</f>
        <v>Breacher Primus</v>
      </c>
      <c r="G164" s="19" t="str" cm="1">
        <f t="array" aca="1" ref="G164" ca="1">IF(INDIRECT(_xlfn.CONCAT("'",IF(ISNUMBER(FIND("'",$A164))=TRUE,_xlfn.CONCAT(LEFT($A164,FIND("'",$A164)-1),"''",RIGHT($A164,LEN($A164)-FIND("'",$A164))),$A164),"'!B4"))&gt;=G$2,"d",IF(INDIRECT(_xlfn.CONCAT("'",IF(ISNUMBER(FIND("'",$A164))=TRUE,_xlfn.CONCAT(LEFT($A164,FIND("'",$A164)-1),"''",RIGHT($A164,LEN($A164)-FIND("'",$A164))),$A164),"'!B5"))&gt;=G$2,"i",""))</f>
        <v>d</v>
      </c>
      <c r="H164" s="44" t="str" cm="1">
        <f t="array" aca="1" ref="H164" ca="1">IF(INDIRECT(_xlfn.CONCAT("'",IF(ISNUMBER(FIND("'",$A164))=TRUE,_xlfn.CONCAT(LEFT($A164,FIND("'",$A164)-1),"''",RIGHT($A164,LEN($A164)-FIND("'",$A164))),$A164),"'!B4"))&gt;=H$2,"d",IF(INDIRECT(_xlfn.CONCAT("'",IF(ISNUMBER(FIND("'",$A164))=TRUE,_xlfn.CONCAT(LEFT($A164,FIND("'",$A164)-1),"''",RIGHT($A164,LEN($A164)-FIND("'",$A164))),$A164),"'!B5"))&gt;=H$2,"i",""))</f>
        <v>d</v>
      </c>
      <c r="I164" s="44" t="str" cm="1">
        <f t="array" aca="1" ref="I164" ca="1">IF(INDIRECT(_xlfn.CONCAT("'",IF(ISNUMBER(FIND("'",$A164))=TRUE,_xlfn.CONCAT(LEFT($A164,FIND("'",$A164)-1),"''",RIGHT($A164,LEN($A164)-FIND("'",$A164))),$A164),"'!B4"))&gt;=I$2,"d",IF(INDIRECT(_xlfn.CONCAT("'",IF(ISNUMBER(FIND("'",$A164))=TRUE,_xlfn.CONCAT(LEFT($A164,FIND("'",$A164)-1),"''",RIGHT($A164,LEN($A164)-FIND("'",$A164))),$A164),"'!B5"))&gt;=I$2,"i",""))</f>
        <v>d</v>
      </c>
      <c r="J164" s="44" t="str" cm="1">
        <f t="array" aca="1" ref="J164" ca="1">IF(INDIRECT(_xlfn.CONCAT("'",IF(ISNUMBER(FIND("'",$A164))=TRUE,_xlfn.CONCAT(LEFT($A164,FIND("'",$A164)-1),"''",RIGHT($A164,LEN($A164)-FIND("'",$A164))),$A164),"'!B4"))&gt;=J$2,"d",IF(INDIRECT(_xlfn.CONCAT("'",IF(ISNUMBER(FIND("'",$A164))=TRUE,_xlfn.CONCAT(LEFT($A164,FIND("'",$A164)-1),"''",RIGHT($A164,LEN($A164)-FIND("'",$A164))),$A164),"'!B5"))&gt;=J$2,"i",""))</f>
        <v>d</v>
      </c>
      <c r="K164" s="44" t="str" cm="1">
        <f t="array" aca="1" ref="K164" ca="1">IF(INDIRECT(_xlfn.CONCAT("'",IF(ISNUMBER(FIND("'",$A164))=TRUE,_xlfn.CONCAT(LEFT($A164,FIND("'",$A164)-1),"''",RIGHT($A164,LEN($A164)-FIND("'",$A164))),$A164),"'!B4"))&gt;=K$2,"d",IF(INDIRECT(_xlfn.CONCAT("'",IF(ISNUMBER(FIND("'",$A164))=TRUE,_xlfn.CONCAT(LEFT($A164,FIND("'",$A164)-1),"''",RIGHT($A164,LEN($A164)-FIND("'",$A164))),$A164),"'!B5"))&gt;=K$2,"i",""))</f>
        <v>d</v>
      </c>
      <c r="L164" s="44" t="str" cm="1">
        <f t="array" aca="1" ref="L164" ca="1">IF(INDIRECT(_xlfn.CONCAT("'",IF(ISNUMBER(FIND("'",$A164))=TRUE,_xlfn.CONCAT(LEFT($A164,FIND("'",$A164)-1),"''",RIGHT($A164,LEN($A164)-FIND("'",$A164))),$A164),"'!B4"))&gt;=L$2,"d",IF(INDIRECT(_xlfn.CONCAT("'",IF(ISNUMBER(FIND("'",$A164))=TRUE,_xlfn.CONCAT(LEFT($A164,FIND("'",$A164)-1),"''",RIGHT($A164,LEN($A164)-FIND("'",$A164))),$A164),"'!B5"))&gt;=L$2,"i",""))</f>
        <v>d</v>
      </c>
      <c r="M164" s="45" t="str" cm="1">
        <f t="array" aca="1" ref="M164" ca="1">IF(INDIRECT(_xlfn.CONCAT("'",IF(ISNUMBER(FIND("'",$A164))=TRUE,_xlfn.CONCAT(LEFT($A164,FIND("'",$A164)-1),"''",RIGHT($A164,LEN($A164)-FIND("'",$A164))),$A164),"'!B4"))&gt;=M$2,"d",IF(INDIRECT(_xlfn.CONCAT("'",IF(ISNUMBER(FIND("'",$A164))=TRUE,_xlfn.CONCAT(LEFT($A164,FIND("'",$A164)-1),"''",RIGHT($A164,LEN($A164)-FIND("'",$A164))),$A164),"'!B5"))&gt;=M$2,"i",""))</f>
        <v>d</v>
      </c>
      <c r="N164" s="157"/>
      <c r="O164" s="19" t="str" cm="1">
        <f t="array" aca="1" ref="O164" ca="1">IF(INDIRECT(_xlfn.CONCAT("'",IF(ISNUMBER(FIND("'",$A164))=TRUE,_xlfn.CONCAT(LEFT($A164,FIND("'",$A164)-1),"''",RIGHT($A164,LEN($A164)-FIND("'",$A164))),$A164),"'!C10"))&gt;=O$2,"d",IF(INDIRECT(_xlfn.CONCAT("'",IF(ISNUMBER(FIND("'",$A164))=TRUE,_xlfn.CONCAT(LEFT($A164,FIND("'",$A164)-1),"''",RIGHT($A164,LEN($A164)-FIND("'",$A164))),$A164),"'!C11"))&gt;=O$2,"i",""))</f>
        <v>d</v>
      </c>
      <c r="P164" s="44" t="str" cm="1">
        <f t="array" aca="1" ref="P164" ca="1">IF(INDIRECT(_xlfn.CONCAT("'",IF(ISNUMBER(FIND("'",$A164))=TRUE,_xlfn.CONCAT(LEFT($A164,FIND("'",$A164)-1),"''",RIGHT($A164,LEN($A164)-FIND("'",$A164))),$A164),"'!C10"))&gt;=P$2,"d",IF(INDIRECT(_xlfn.CONCAT("'",IF(ISNUMBER(FIND("'",$A164))=TRUE,_xlfn.CONCAT(LEFT($A164,FIND("'",$A164)-1),"''",RIGHT($A164,LEN($A164)-FIND("'",$A164))),$A164),"'!C11"))&gt;=P$2,"i",""))</f>
        <v>d</v>
      </c>
      <c r="Q164" s="44" t="str" cm="1">
        <f t="array" aca="1" ref="Q164" ca="1">IF(INDIRECT(_xlfn.CONCAT("'",IF(ISNUMBER(FIND("'",$A164))=TRUE,_xlfn.CONCAT(LEFT($A164,FIND("'",$A164)-1),"''",RIGHT($A164,LEN($A164)-FIND("'",$A164))),$A164),"'!C10"))&gt;=Q$2,"d",IF(INDIRECT(_xlfn.CONCAT("'",IF(ISNUMBER(FIND("'",$A164))=TRUE,_xlfn.CONCAT(LEFT($A164,FIND("'",$A164)-1),"''",RIGHT($A164,LEN($A164)-FIND("'",$A164))),$A164),"'!C11"))&gt;=Q$2,"i",""))</f>
        <v>d</v>
      </c>
      <c r="R164" s="44" t="str" cm="1">
        <f t="array" aca="1" ref="R164" ca="1">IF(INDIRECT(_xlfn.CONCAT("'",IF(ISNUMBER(FIND("'",$A164))=TRUE,_xlfn.CONCAT(LEFT($A164,FIND("'",$A164)-1),"''",RIGHT($A164,LEN($A164)-FIND("'",$A164))),$A164),"'!C10"))&gt;=R$2,"d",IF(INDIRECT(_xlfn.CONCAT("'",IF(ISNUMBER(FIND("'",$A164))=TRUE,_xlfn.CONCAT(LEFT($A164,FIND("'",$A164)-1),"''",RIGHT($A164,LEN($A164)-FIND("'",$A164))),$A164),"'!C11"))&gt;=R$2,"i",""))</f>
        <v>d</v>
      </c>
      <c r="S164" s="44" t="str" cm="1">
        <f t="array" aca="1" ref="S164" ca="1">IF(INDIRECT(_xlfn.CONCAT("'",IF(ISNUMBER(FIND("'",$A164))=TRUE,_xlfn.CONCAT(LEFT($A164,FIND("'",$A164)-1),"''",RIGHT($A164,LEN($A164)-FIND("'",$A164))),$A164),"'!C10"))&gt;=S$2,"d",IF(INDIRECT(_xlfn.CONCAT("'",IF(ISNUMBER(FIND("'",$A164))=TRUE,_xlfn.CONCAT(LEFT($A164,FIND("'",$A164)-1),"''",RIGHT($A164,LEN($A164)-FIND("'",$A164))),$A164),"'!C11"))&gt;=S$2,"i",""))</f>
        <v>d</v>
      </c>
      <c r="T164" s="45" t="str" cm="1">
        <f t="array" aca="1" ref="T164" ca="1">IF(INDIRECT(_xlfn.CONCAT("'",IF(ISNUMBER(FIND("'",$A164))=TRUE,_xlfn.CONCAT(LEFT($A164,FIND("'",$A164)-1),"''",RIGHT($A164,LEN($A164)-FIND("'",$A164))),$A164),"'!C10"))&gt;=T$2,"d",IF(INDIRECT(_xlfn.CONCAT("'",IF(ISNUMBER(FIND("'",$A164))=TRUE,_xlfn.CONCAT(LEFT($A164,FIND("'",$A164)-1),"''",RIGHT($A164,LEN($A164)-FIND("'",$A164))),$A164),"'!C11"))&gt;=T$2,"i",""))</f>
        <v>d</v>
      </c>
    </row>
    <row r="165" spans="1:20" hidden="1" x14ac:dyDescent="0.25">
      <c r="A165" s="135" t="str">
        <v>Song of Stillness</v>
      </c>
      <c r="B165" s="19" cm="1">
        <f t="array" ref="B165">_xlfn.XLOOKUP(A165,INDEX(Weapon_List,,1),INDEX(Weapon_List,,3),,0,1)</f>
        <v>4</v>
      </c>
      <c r="C165" s="45" t="str" cm="1">
        <f t="array" ref="C165">_xlfn.XLOOKUP(A165,INDEX(Weapon_List,,1),INDEX(Weapon_List,,2),,0,1)</f>
        <v>Bow</v>
      </c>
      <c r="D165" s="38" t="str" cm="1">
        <f t="array" ref="D165">_xlfn.XLOOKUP(A165,INDEX(Weapon_List,,1),INDEX(Weapon_List,,4),,0,1)</f>
        <v>Fontaine 1</v>
      </c>
      <c r="E165" s="38" t="str" cm="1">
        <f t="array" ref="E165">_xlfn.XLOOKUP(A165,INDEX(Weapon_List,,1),INDEX(Weapon_List,,5),,0,1)</f>
        <v>Hilichurl Shooter</v>
      </c>
      <c r="F165" s="38" t="str" cm="1">
        <f t="array" ref="F165">_xlfn.XLOOKUP(A165,INDEX(Weapon_List,,1),INDEX(Weapon_List,,6),,0,1)</f>
        <v>Tainted Hydro Phantasm</v>
      </c>
      <c r="G165" s="19" t="str" cm="1">
        <f t="array" aca="1" ref="G165" ca="1">IF(INDIRECT(_xlfn.CONCAT("'",IF(ISNUMBER(FIND("'",$A165))=TRUE,_xlfn.CONCAT(LEFT($A165,FIND("'",$A165)-1),"''",RIGHT($A165,LEN($A165)-FIND("'",$A165))),$A165),"'!B4"))&gt;=G$2,"d",IF(INDIRECT(_xlfn.CONCAT("'",IF(ISNUMBER(FIND("'",$A165))=TRUE,_xlfn.CONCAT(LEFT($A165,FIND("'",$A165)-1),"''",RIGHT($A165,LEN($A165)-FIND("'",$A165))),$A165),"'!B5"))&gt;=G$2,"i",""))</f>
        <v>d</v>
      </c>
      <c r="H165" s="44" t="str" cm="1">
        <f t="array" aca="1" ref="H165" ca="1">IF(INDIRECT(_xlfn.CONCAT("'",IF(ISNUMBER(FIND("'",$A165))=TRUE,_xlfn.CONCAT(LEFT($A165,FIND("'",$A165)-1),"''",RIGHT($A165,LEN($A165)-FIND("'",$A165))),$A165),"'!B4"))&gt;=H$2,"d",IF(INDIRECT(_xlfn.CONCAT("'",IF(ISNUMBER(FIND("'",$A165))=TRUE,_xlfn.CONCAT(LEFT($A165,FIND("'",$A165)-1),"''",RIGHT($A165,LEN($A165)-FIND("'",$A165))),$A165),"'!B5"))&gt;=H$2,"i",""))</f>
        <v>d</v>
      </c>
      <c r="I165" s="44" t="str" cm="1">
        <f t="array" aca="1" ref="I165" ca="1">IF(INDIRECT(_xlfn.CONCAT("'",IF(ISNUMBER(FIND("'",$A165))=TRUE,_xlfn.CONCAT(LEFT($A165,FIND("'",$A165)-1),"''",RIGHT($A165,LEN($A165)-FIND("'",$A165))),$A165),"'!B4"))&gt;=I$2,"d",IF(INDIRECT(_xlfn.CONCAT("'",IF(ISNUMBER(FIND("'",$A165))=TRUE,_xlfn.CONCAT(LEFT($A165,FIND("'",$A165)-1),"''",RIGHT($A165,LEN($A165)-FIND("'",$A165))),$A165),"'!B5"))&gt;=I$2,"i",""))</f>
        <v>d</v>
      </c>
      <c r="J165" s="44" t="str" cm="1">
        <f t="array" aca="1" ref="J165" ca="1">IF(INDIRECT(_xlfn.CONCAT("'",IF(ISNUMBER(FIND("'",$A165))=TRUE,_xlfn.CONCAT(LEFT($A165,FIND("'",$A165)-1),"''",RIGHT($A165,LEN($A165)-FIND("'",$A165))),$A165),"'!B4"))&gt;=J$2,"d",IF(INDIRECT(_xlfn.CONCAT("'",IF(ISNUMBER(FIND("'",$A165))=TRUE,_xlfn.CONCAT(LEFT($A165,FIND("'",$A165)-1),"''",RIGHT($A165,LEN($A165)-FIND("'",$A165))),$A165),"'!B5"))&gt;=J$2,"i",""))</f>
        <v>d</v>
      </c>
      <c r="K165" s="44" t="str" cm="1">
        <f t="array" aca="1" ref="K165" ca="1">IF(INDIRECT(_xlfn.CONCAT("'",IF(ISNUMBER(FIND("'",$A165))=TRUE,_xlfn.CONCAT(LEFT($A165,FIND("'",$A165)-1),"''",RIGHT($A165,LEN($A165)-FIND("'",$A165))),$A165),"'!B4"))&gt;=K$2,"d",IF(INDIRECT(_xlfn.CONCAT("'",IF(ISNUMBER(FIND("'",$A165))=TRUE,_xlfn.CONCAT(LEFT($A165,FIND("'",$A165)-1),"''",RIGHT($A165,LEN($A165)-FIND("'",$A165))),$A165),"'!B5"))&gt;=K$2,"i",""))</f>
        <v>d</v>
      </c>
      <c r="L165" s="44" t="str" cm="1">
        <f t="array" aca="1" ref="L165" ca="1">IF(INDIRECT(_xlfn.CONCAT("'",IF(ISNUMBER(FIND("'",$A165))=TRUE,_xlfn.CONCAT(LEFT($A165,FIND("'",$A165)-1),"''",RIGHT($A165,LEN($A165)-FIND("'",$A165))),$A165),"'!B4"))&gt;=L$2,"d",IF(INDIRECT(_xlfn.CONCAT("'",IF(ISNUMBER(FIND("'",$A165))=TRUE,_xlfn.CONCAT(LEFT($A165,FIND("'",$A165)-1),"''",RIGHT($A165,LEN($A165)-FIND("'",$A165))),$A165),"'!B5"))&gt;=L$2,"i",""))</f>
        <v>d</v>
      </c>
      <c r="M165" s="45" t="str" cm="1">
        <f t="array" aca="1" ref="M165" ca="1">IF(INDIRECT(_xlfn.CONCAT("'",IF(ISNUMBER(FIND("'",$A165))=TRUE,_xlfn.CONCAT(LEFT($A165,FIND("'",$A165)-1),"''",RIGHT($A165,LEN($A165)-FIND("'",$A165))),$A165),"'!B4"))&gt;=M$2,"d",IF(INDIRECT(_xlfn.CONCAT("'",IF(ISNUMBER(FIND("'",$A165))=TRUE,_xlfn.CONCAT(LEFT($A165,FIND("'",$A165)-1),"''",RIGHT($A165,LEN($A165)-FIND("'",$A165))),$A165),"'!B5"))&gt;=M$2,"i",""))</f>
        <v>d</v>
      </c>
      <c r="N165" s="157"/>
      <c r="O165" s="19" t="str" cm="1">
        <f t="array" aca="1" ref="O165" ca="1">IF(INDIRECT(_xlfn.CONCAT("'",IF(ISNUMBER(FIND("'",$A165))=TRUE,_xlfn.CONCAT(LEFT($A165,FIND("'",$A165)-1),"''",RIGHT($A165,LEN($A165)-FIND("'",$A165))),$A165),"'!C10"))&gt;=O$2,"d",IF(INDIRECT(_xlfn.CONCAT("'",IF(ISNUMBER(FIND("'",$A165))=TRUE,_xlfn.CONCAT(LEFT($A165,FIND("'",$A165)-1),"''",RIGHT($A165,LEN($A165)-FIND("'",$A165))),$A165),"'!C11"))&gt;=O$2,"i",""))</f>
        <v>d</v>
      </c>
      <c r="P165" s="44" t="str" cm="1">
        <f t="array" aca="1" ref="P165" ca="1">IF(INDIRECT(_xlfn.CONCAT("'",IF(ISNUMBER(FIND("'",$A165))=TRUE,_xlfn.CONCAT(LEFT($A165,FIND("'",$A165)-1),"''",RIGHT($A165,LEN($A165)-FIND("'",$A165))),$A165),"'!C10"))&gt;=P$2,"d",IF(INDIRECT(_xlfn.CONCAT("'",IF(ISNUMBER(FIND("'",$A165))=TRUE,_xlfn.CONCAT(LEFT($A165,FIND("'",$A165)-1),"''",RIGHT($A165,LEN($A165)-FIND("'",$A165))),$A165),"'!C11"))&gt;=P$2,"i",""))</f>
        <v>d</v>
      </c>
      <c r="Q165" s="44" t="str" cm="1">
        <f t="array" aca="1" ref="Q165" ca="1">IF(INDIRECT(_xlfn.CONCAT("'",IF(ISNUMBER(FIND("'",$A165))=TRUE,_xlfn.CONCAT(LEFT($A165,FIND("'",$A165)-1),"''",RIGHT($A165,LEN($A165)-FIND("'",$A165))),$A165),"'!C10"))&gt;=Q$2,"d",IF(INDIRECT(_xlfn.CONCAT("'",IF(ISNUMBER(FIND("'",$A165))=TRUE,_xlfn.CONCAT(LEFT($A165,FIND("'",$A165)-1),"''",RIGHT($A165,LEN($A165)-FIND("'",$A165))),$A165),"'!C11"))&gt;=Q$2,"i",""))</f>
        <v>d</v>
      </c>
      <c r="R165" s="44" t="str" cm="1">
        <f t="array" aca="1" ref="R165" ca="1">IF(INDIRECT(_xlfn.CONCAT("'",IF(ISNUMBER(FIND("'",$A165))=TRUE,_xlfn.CONCAT(LEFT($A165,FIND("'",$A165)-1),"''",RIGHT($A165,LEN($A165)-FIND("'",$A165))),$A165),"'!C10"))&gt;=R$2,"d",IF(INDIRECT(_xlfn.CONCAT("'",IF(ISNUMBER(FIND("'",$A165))=TRUE,_xlfn.CONCAT(LEFT($A165,FIND("'",$A165)-1),"''",RIGHT($A165,LEN($A165)-FIND("'",$A165))),$A165),"'!C11"))&gt;=R$2,"i",""))</f>
        <v>d</v>
      </c>
      <c r="S165" s="44" t="str" cm="1">
        <f t="array" aca="1" ref="S165" ca="1">IF(INDIRECT(_xlfn.CONCAT("'",IF(ISNUMBER(FIND("'",$A165))=TRUE,_xlfn.CONCAT(LEFT($A165,FIND("'",$A165)-1),"''",RIGHT($A165,LEN($A165)-FIND("'",$A165))),$A165),"'!C10"))&gt;=S$2,"d",IF(INDIRECT(_xlfn.CONCAT("'",IF(ISNUMBER(FIND("'",$A165))=TRUE,_xlfn.CONCAT(LEFT($A165,FIND("'",$A165)-1),"''",RIGHT($A165,LEN($A165)-FIND("'",$A165))),$A165),"'!C11"))&gt;=S$2,"i",""))</f>
        <v>d</v>
      </c>
      <c r="T165" s="45" t="str" cm="1">
        <f t="array" aca="1" ref="T165" ca="1">IF(INDIRECT(_xlfn.CONCAT("'",IF(ISNUMBER(FIND("'",$A165))=TRUE,_xlfn.CONCAT(LEFT($A165,FIND("'",$A165)-1),"''",RIGHT($A165,LEN($A165)-FIND("'",$A165))),$A165),"'!C10"))&gt;=T$2,"d",IF(INDIRECT(_xlfn.CONCAT("'",IF(ISNUMBER(FIND("'",$A165))=TRUE,_xlfn.CONCAT(LEFT($A165,FIND("'",$A165)-1),"''",RIGHT($A165,LEN($A165)-FIND("'",$A165))),$A165),"'!C11"))&gt;=T$2,"i",""))</f>
        <v>d</v>
      </c>
    </row>
    <row r="166" spans="1:20" hidden="1" x14ac:dyDescent="0.25">
      <c r="A166" s="135" t="str">
        <v>The First Great Magic</v>
      </c>
      <c r="B166" s="19" cm="1">
        <f t="array" ref="B166">_xlfn.XLOOKUP(A166,INDEX(Weapon_List,,1),INDEX(Weapon_List,,3),,0,1)</f>
        <v>5</v>
      </c>
      <c r="C166" s="45" t="str" cm="1">
        <f t="array" ref="C166">_xlfn.XLOOKUP(A166,INDEX(Weapon_List,,1),INDEX(Weapon_List,,2),,0,1)</f>
        <v>Bow</v>
      </c>
      <c r="D166" s="38" t="str" cm="1">
        <f t="array" ref="D166">_xlfn.XLOOKUP(A166,INDEX(Weapon_List,,1),INDEX(Weapon_List,,4),,0,1)</f>
        <v>Fontaine 1</v>
      </c>
      <c r="E166" s="38" t="str" cm="1">
        <f t="array" ref="E166">_xlfn.XLOOKUP(A166,INDEX(Weapon_List,,1),INDEX(Weapon_List,,5),,0,1)</f>
        <v>Fontemer Aberrant</v>
      </c>
      <c r="F166" s="38" t="str" cm="1">
        <f t="array" ref="F166">_xlfn.XLOOKUP(A166,INDEX(Weapon_List,,1),INDEX(Weapon_List,,6),,0,1)</f>
        <v>Tainted Hydro Phantasm</v>
      </c>
      <c r="G166" s="19" t="str" cm="1">
        <f t="array" aca="1" ref="G166" ca="1">IF(INDIRECT(_xlfn.CONCAT("'",IF(ISNUMBER(FIND("'",$A166))=TRUE,_xlfn.CONCAT(LEFT($A166,FIND("'",$A166)-1),"''",RIGHT($A166,LEN($A166)-FIND("'",$A166))),$A166),"'!B4"))&gt;=G$2,"d",IF(INDIRECT(_xlfn.CONCAT("'",IF(ISNUMBER(FIND("'",$A166))=TRUE,_xlfn.CONCAT(LEFT($A166,FIND("'",$A166)-1),"''",RIGHT($A166,LEN($A166)-FIND("'",$A166))),$A166),"'!B5"))&gt;=G$2,"i",""))</f>
        <v>d</v>
      </c>
      <c r="H166" s="44" t="str" cm="1">
        <f t="array" aca="1" ref="H166" ca="1">IF(INDIRECT(_xlfn.CONCAT("'",IF(ISNUMBER(FIND("'",$A166))=TRUE,_xlfn.CONCAT(LEFT($A166,FIND("'",$A166)-1),"''",RIGHT($A166,LEN($A166)-FIND("'",$A166))),$A166),"'!B4"))&gt;=H$2,"d",IF(INDIRECT(_xlfn.CONCAT("'",IF(ISNUMBER(FIND("'",$A166))=TRUE,_xlfn.CONCAT(LEFT($A166,FIND("'",$A166)-1),"''",RIGHT($A166,LEN($A166)-FIND("'",$A166))),$A166),"'!B5"))&gt;=H$2,"i",""))</f>
        <v>d</v>
      </c>
      <c r="I166" s="44" t="str" cm="1">
        <f t="array" aca="1" ref="I166" ca="1">IF(INDIRECT(_xlfn.CONCAT("'",IF(ISNUMBER(FIND("'",$A166))=TRUE,_xlfn.CONCAT(LEFT($A166,FIND("'",$A166)-1),"''",RIGHT($A166,LEN($A166)-FIND("'",$A166))),$A166),"'!B4"))&gt;=I$2,"d",IF(INDIRECT(_xlfn.CONCAT("'",IF(ISNUMBER(FIND("'",$A166))=TRUE,_xlfn.CONCAT(LEFT($A166,FIND("'",$A166)-1),"''",RIGHT($A166,LEN($A166)-FIND("'",$A166))),$A166),"'!B5"))&gt;=I$2,"i",""))</f>
        <v>d</v>
      </c>
      <c r="J166" s="44" t="str" cm="1">
        <f t="array" aca="1" ref="J166" ca="1">IF(INDIRECT(_xlfn.CONCAT("'",IF(ISNUMBER(FIND("'",$A166))=TRUE,_xlfn.CONCAT(LEFT($A166,FIND("'",$A166)-1),"''",RIGHT($A166,LEN($A166)-FIND("'",$A166))),$A166),"'!B4"))&gt;=J$2,"d",IF(INDIRECT(_xlfn.CONCAT("'",IF(ISNUMBER(FIND("'",$A166))=TRUE,_xlfn.CONCAT(LEFT($A166,FIND("'",$A166)-1),"''",RIGHT($A166,LEN($A166)-FIND("'",$A166))),$A166),"'!B5"))&gt;=J$2,"i",""))</f>
        <v>d</v>
      </c>
      <c r="K166" s="44" t="str" cm="1">
        <f t="array" aca="1" ref="K166" ca="1">IF(INDIRECT(_xlfn.CONCAT("'",IF(ISNUMBER(FIND("'",$A166))=TRUE,_xlfn.CONCAT(LEFT($A166,FIND("'",$A166)-1),"''",RIGHT($A166,LEN($A166)-FIND("'",$A166))),$A166),"'!B4"))&gt;=K$2,"d",IF(INDIRECT(_xlfn.CONCAT("'",IF(ISNUMBER(FIND("'",$A166))=TRUE,_xlfn.CONCAT(LEFT($A166,FIND("'",$A166)-1),"''",RIGHT($A166,LEN($A166)-FIND("'",$A166))),$A166),"'!B5"))&gt;=K$2,"i",""))</f>
        <v>d</v>
      </c>
      <c r="L166" s="44" t="str" cm="1">
        <f t="array" aca="1" ref="L166" ca="1">IF(INDIRECT(_xlfn.CONCAT("'",IF(ISNUMBER(FIND("'",$A166))=TRUE,_xlfn.CONCAT(LEFT($A166,FIND("'",$A166)-1),"''",RIGHT($A166,LEN($A166)-FIND("'",$A166))),$A166),"'!B4"))&gt;=L$2,"d",IF(INDIRECT(_xlfn.CONCAT("'",IF(ISNUMBER(FIND("'",$A166))=TRUE,_xlfn.CONCAT(LEFT($A166,FIND("'",$A166)-1),"''",RIGHT($A166,LEN($A166)-FIND("'",$A166))),$A166),"'!B5"))&gt;=L$2,"i",""))</f>
        <v>d</v>
      </c>
      <c r="M166" s="45" t="str" cm="1">
        <f t="array" aca="1" ref="M166" ca="1">IF(INDIRECT(_xlfn.CONCAT("'",IF(ISNUMBER(FIND("'",$A166))=TRUE,_xlfn.CONCAT(LEFT($A166,FIND("'",$A166)-1),"''",RIGHT($A166,LEN($A166)-FIND("'",$A166))),$A166),"'!B4"))&gt;=M$2,"d",IF(INDIRECT(_xlfn.CONCAT("'",IF(ISNUMBER(FIND("'",$A166))=TRUE,_xlfn.CONCAT(LEFT($A166,FIND("'",$A166)-1),"''",RIGHT($A166,LEN($A166)-FIND("'",$A166))),$A166),"'!B5"))&gt;=M$2,"i",""))</f>
        <v>d</v>
      </c>
      <c r="N166" s="157"/>
      <c r="O166" s="19" t="str" cm="1">
        <f t="array" aca="1" ref="O166" ca="1">IF(INDIRECT(_xlfn.CONCAT("'",IF(ISNUMBER(FIND("'",$A166))=TRUE,_xlfn.CONCAT(LEFT($A166,FIND("'",$A166)-1),"''",RIGHT($A166,LEN($A166)-FIND("'",$A166))),$A166),"'!C10"))&gt;=O$2,"d",IF(INDIRECT(_xlfn.CONCAT("'",IF(ISNUMBER(FIND("'",$A166))=TRUE,_xlfn.CONCAT(LEFT($A166,FIND("'",$A166)-1),"''",RIGHT($A166,LEN($A166)-FIND("'",$A166))),$A166),"'!C11"))&gt;=O$2,"i",""))</f>
        <v>d</v>
      </c>
      <c r="P166" s="44" t="str" cm="1">
        <f t="array" aca="1" ref="P166" ca="1">IF(INDIRECT(_xlfn.CONCAT("'",IF(ISNUMBER(FIND("'",$A166))=TRUE,_xlfn.CONCAT(LEFT($A166,FIND("'",$A166)-1),"''",RIGHT($A166,LEN($A166)-FIND("'",$A166))),$A166),"'!C10"))&gt;=P$2,"d",IF(INDIRECT(_xlfn.CONCAT("'",IF(ISNUMBER(FIND("'",$A166))=TRUE,_xlfn.CONCAT(LEFT($A166,FIND("'",$A166)-1),"''",RIGHT($A166,LEN($A166)-FIND("'",$A166))),$A166),"'!C11"))&gt;=P$2,"i",""))</f>
        <v>d</v>
      </c>
      <c r="Q166" s="44" t="str" cm="1">
        <f t="array" aca="1" ref="Q166" ca="1">IF(INDIRECT(_xlfn.CONCAT("'",IF(ISNUMBER(FIND("'",$A166))=TRUE,_xlfn.CONCAT(LEFT($A166,FIND("'",$A166)-1),"''",RIGHT($A166,LEN($A166)-FIND("'",$A166))),$A166),"'!C10"))&gt;=Q$2,"d",IF(INDIRECT(_xlfn.CONCAT("'",IF(ISNUMBER(FIND("'",$A166))=TRUE,_xlfn.CONCAT(LEFT($A166,FIND("'",$A166)-1),"''",RIGHT($A166,LEN($A166)-FIND("'",$A166))),$A166),"'!C11"))&gt;=Q$2,"i",""))</f>
        <v>d</v>
      </c>
      <c r="R166" s="44" t="str" cm="1">
        <f t="array" aca="1" ref="R166" ca="1">IF(INDIRECT(_xlfn.CONCAT("'",IF(ISNUMBER(FIND("'",$A166))=TRUE,_xlfn.CONCAT(LEFT($A166,FIND("'",$A166)-1),"''",RIGHT($A166,LEN($A166)-FIND("'",$A166))),$A166),"'!C10"))&gt;=R$2,"d",IF(INDIRECT(_xlfn.CONCAT("'",IF(ISNUMBER(FIND("'",$A166))=TRUE,_xlfn.CONCAT(LEFT($A166,FIND("'",$A166)-1),"''",RIGHT($A166,LEN($A166)-FIND("'",$A166))),$A166),"'!C11"))&gt;=R$2,"i",""))</f>
        <v>d</v>
      </c>
      <c r="S166" s="44" t="str" cm="1">
        <f t="array" aca="1" ref="S166" ca="1">IF(INDIRECT(_xlfn.CONCAT("'",IF(ISNUMBER(FIND("'",$A166))=TRUE,_xlfn.CONCAT(LEFT($A166,FIND("'",$A166)-1),"''",RIGHT($A166,LEN($A166)-FIND("'",$A166))),$A166),"'!C10"))&gt;=S$2,"d",IF(INDIRECT(_xlfn.CONCAT("'",IF(ISNUMBER(FIND("'",$A166))=TRUE,_xlfn.CONCAT(LEFT($A166,FIND("'",$A166)-1),"''",RIGHT($A166,LEN($A166)-FIND("'",$A166))),$A166),"'!C11"))&gt;=S$2,"i",""))</f>
        <v>d</v>
      </c>
      <c r="T166" s="45" t="str" cm="1">
        <f t="array" aca="1" ref="T166" ca="1">IF(INDIRECT(_xlfn.CONCAT("'",IF(ISNUMBER(FIND("'",$A166))=TRUE,_xlfn.CONCAT(LEFT($A166,FIND("'",$A166)-1),"''",RIGHT($A166,LEN($A166)-FIND("'",$A166))),$A166),"'!C10"))&gt;=T$2,"d",IF(INDIRECT(_xlfn.CONCAT("'",IF(ISNUMBER(FIND("'",$A166))=TRUE,_xlfn.CONCAT(LEFT($A166,FIND("'",$A166)-1),"''",RIGHT($A166,LEN($A166)-FIND("'",$A166))),$A166),"'!C11"))&gt;=T$2,"i",""))</f>
        <v>d</v>
      </c>
    </row>
    <row r="167" spans="1:20" hidden="1" x14ac:dyDescent="0.25">
      <c r="A167" s="135" t="str">
        <v>Crossing of Fleuve Cendre</v>
      </c>
      <c r="B167" s="19" cm="1">
        <f t="array" ref="B167">_xlfn.XLOOKUP(A167,INDEX(Weapon_List,,1),INDEX(Weapon_List,,3),,0,1)</f>
        <v>4</v>
      </c>
      <c r="C167" s="45" t="str" cm="1">
        <f t="array" ref="C167">_xlfn.XLOOKUP(A167,INDEX(Weapon_List,,1),INDEX(Weapon_List,,2),,0,1)</f>
        <v>Sword</v>
      </c>
      <c r="D167" s="38" t="str" cm="1">
        <f t="array" ref="D167">_xlfn.XLOOKUP(A167,INDEX(Weapon_List,,1),INDEX(Weapon_List,,4),,0,1)</f>
        <v>Fontaine 1</v>
      </c>
      <c r="E167" s="38" t="str" cm="1">
        <f t="array" ref="E167">_xlfn.XLOOKUP(A167,INDEX(Weapon_List,,1),INDEX(Weapon_List,,5),,0,1)</f>
        <v>Fontemer Aberrant</v>
      </c>
      <c r="F167" s="38" t="str" cm="1">
        <f t="array" ref="F167">_xlfn.XLOOKUP(A167,INDEX(Weapon_List,,1),INDEX(Weapon_List,,6),,0,1)</f>
        <v>Tainted Hydro Phantasm</v>
      </c>
      <c r="G167" s="19" t="str" cm="1">
        <f t="array" aca="1" ref="G167" ca="1">IF(INDIRECT(_xlfn.CONCAT("'",IF(ISNUMBER(FIND("'",$A167))=TRUE,_xlfn.CONCAT(LEFT($A167,FIND("'",$A167)-1),"''",RIGHT($A167,LEN($A167)-FIND("'",$A167))),$A167),"'!B4"))&gt;=G$2,"d",IF(INDIRECT(_xlfn.CONCAT("'",IF(ISNUMBER(FIND("'",$A167))=TRUE,_xlfn.CONCAT(LEFT($A167,FIND("'",$A167)-1),"''",RIGHT($A167,LEN($A167)-FIND("'",$A167))),$A167),"'!B5"))&gt;=G$2,"i",""))</f>
        <v>d</v>
      </c>
      <c r="H167" s="44" t="str" cm="1">
        <f t="array" aca="1" ref="H167" ca="1">IF(INDIRECT(_xlfn.CONCAT("'",IF(ISNUMBER(FIND("'",$A167))=TRUE,_xlfn.CONCAT(LEFT($A167,FIND("'",$A167)-1),"''",RIGHT($A167,LEN($A167)-FIND("'",$A167))),$A167),"'!B4"))&gt;=H$2,"d",IF(INDIRECT(_xlfn.CONCAT("'",IF(ISNUMBER(FIND("'",$A167))=TRUE,_xlfn.CONCAT(LEFT($A167,FIND("'",$A167)-1),"''",RIGHT($A167,LEN($A167)-FIND("'",$A167))),$A167),"'!B5"))&gt;=H$2,"i",""))</f>
        <v>d</v>
      </c>
      <c r="I167" s="44" t="str" cm="1">
        <f t="array" aca="1" ref="I167" ca="1">IF(INDIRECT(_xlfn.CONCAT("'",IF(ISNUMBER(FIND("'",$A167))=TRUE,_xlfn.CONCAT(LEFT($A167,FIND("'",$A167)-1),"''",RIGHT($A167,LEN($A167)-FIND("'",$A167))),$A167),"'!B4"))&gt;=I$2,"d",IF(INDIRECT(_xlfn.CONCAT("'",IF(ISNUMBER(FIND("'",$A167))=TRUE,_xlfn.CONCAT(LEFT($A167,FIND("'",$A167)-1),"''",RIGHT($A167,LEN($A167)-FIND("'",$A167))),$A167),"'!B5"))&gt;=I$2,"i",""))</f>
        <v>d</v>
      </c>
      <c r="J167" s="44" t="str" cm="1">
        <f t="array" aca="1" ref="J167" ca="1">IF(INDIRECT(_xlfn.CONCAT("'",IF(ISNUMBER(FIND("'",$A167))=TRUE,_xlfn.CONCAT(LEFT($A167,FIND("'",$A167)-1),"''",RIGHT($A167,LEN($A167)-FIND("'",$A167))),$A167),"'!B4"))&gt;=J$2,"d",IF(INDIRECT(_xlfn.CONCAT("'",IF(ISNUMBER(FIND("'",$A167))=TRUE,_xlfn.CONCAT(LEFT($A167,FIND("'",$A167)-1),"''",RIGHT($A167,LEN($A167)-FIND("'",$A167))),$A167),"'!B5"))&gt;=J$2,"i",""))</f>
        <v>d</v>
      </c>
      <c r="K167" s="44" t="str" cm="1">
        <f t="array" aca="1" ref="K167" ca="1">IF(INDIRECT(_xlfn.CONCAT("'",IF(ISNUMBER(FIND("'",$A167))=TRUE,_xlfn.CONCAT(LEFT($A167,FIND("'",$A167)-1),"''",RIGHT($A167,LEN($A167)-FIND("'",$A167))),$A167),"'!B4"))&gt;=K$2,"d",IF(INDIRECT(_xlfn.CONCAT("'",IF(ISNUMBER(FIND("'",$A167))=TRUE,_xlfn.CONCAT(LEFT($A167,FIND("'",$A167)-1),"''",RIGHT($A167,LEN($A167)-FIND("'",$A167))),$A167),"'!B5"))&gt;=K$2,"i",""))</f>
        <v>d</v>
      </c>
      <c r="L167" s="44" t="str" cm="1">
        <f t="array" aca="1" ref="L167" ca="1">IF(INDIRECT(_xlfn.CONCAT("'",IF(ISNUMBER(FIND("'",$A167))=TRUE,_xlfn.CONCAT(LEFT($A167,FIND("'",$A167)-1),"''",RIGHT($A167,LEN($A167)-FIND("'",$A167))),$A167),"'!B4"))&gt;=L$2,"d",IF(INDIRECT(_xlfn.CONCAT("'",IF(ISNUMBER(FIND("'",$A167))=TRUE,_xlfn.CONCAT(LEFT($A167,FIND("'",$A167)-1),"''",RIGHT($A167,LEN($A167)-FIND("'",$A167))),$A167),"'!B5"))&gt;=L$2,"i",""))</f>
        <v>d</v>
      </c>
      <c r="M167" s="45" t="str" cm="1">
        <f t="array" aca="1" ref="M167" ca="1">IF(INDIRECT(_xlfn.CONCAT("'",IF(ISNUMBER(FIND("'",$A167))=TRUE,_xlfn.CONCAT(LEFT($A167,FIND("'",$A167)-1),"''",RIGHT($A167,LEN($A167)-FIND("'",$A167))),$A167),"'!B4"))&gt;=M$2,"d",IF(INDIRECT(_xlfn.CONCAT("'",IF(ISNUMBER(FIND("'",$A167))=TRUE,_xlfn.CONCAT(LEFT($A167,FIND("'",$A167)-1),"''",RIGHT($A167,LEN($A167)-FIND("'",$A167))),$A167),"'!B5"))&gt;=M$2,"i",""))</f>
        <v>d</v>
      </c>
      <c r="N167" s="157"/>
      <c r="O167" s="19" t="str" cm="1">
        <f t="array" aca="1" ref="O167" ca="1">IF(INDIRECT(_xlfn.CONCAT("'",IF(ISNUMBER(FIND("'",$A167))=TRUE,_xlfn.CONCAT(LEFT($A167,FIND("'",$A167)-1),"''",RIGHT($A167,LEN($A167)-FIND("'",$A167))),$A167),"'!C10"))&gt;=O$2,"d",IF(INDIRECT(_xlfn.CONCAT("'",IF(ISNUMBER(FIND("'",$A167))=TRUE,_xlfn.CONCAT(LEFT($A167,FIND("'",$A167)-1),"''",RIGHT($A167,LEN($A167)-FIND("'",$A167))),$A167),"'!C11"))&gt;=O$2,"i",""))</f>
        <v>d</v>
      </c>
      <c r="P167" s="44" t="str" cm="1">
        <f t="array" aca="1" ref="P167" ca="1">IF(INDIRECT(_xlfn.CONCAT("'",IF(ISNUMBER(FIND("'",$A167))=TRUE,_xlfn.CONCAT(LEFT($A167,FIND("'",$A167)-1),"''",RIGHT($A167,LEN($A167)-FIND("'",$A167))),$A167),"'!C10"))&gt;=P$2,"d",IF(INDIRECT(_xlfn.CONCAT("'",IF(ISNUMBER(FIND("'",$A167))=TRUE,_xlfn.CONCAT(LEFT($A167,FIND("'",$A167)-1),"''",RIGHT($A167,LEN($A167)-FIND("'",$A167))),$A167),"'!C11"))&gt;=P$2,"i",""))</f>
        <v>d</v>
      </c>
      <c r="Q167" s="44" t="str" cm="1">
        <f t="array" aca="1" ref="Q167" ca="1">IF(INDIRECT(_xlfn.CONCAT("'",IF(ISNUMBER(FIND("'",$A167))=TRUE,_xlfn.CONCAT(LEFT($A167,FIND("'",$A167)-1),"''",RIGHT($A167,LEN($A167)-FIND("'",$A167))),$A167),"'!C10"))&gt;=Q$2,"d",IF(INDIRECT(_xlfn.CONCAT("'",IF(ISNUMBER(FIND("'",$A167))=TRUE,_xlfn.CONCAT(LEFT($A167,FIND("'",$A167)-1),"''",RIGHT($A167,LEN($A167)-FIND("'",$A167))),$A167),"'!C11"))&gt;=Q$2,"i",""))</f>
        <v>d</v>
      </c>
      <c r="R167" s="44" t="str" cm="1">
        <f t="array" aca="1" ref="R167" ca="1">IF(INDIRECT(_xlfn.CONCAT("'",IF(ISNUMBER(FIND("'",$A167))=TRUE,_xlfn.CONCAT(LEFT($A167,FIND("'",$A167)-1),"''",RIGHT($A167,LEN($A167)-FIND("'",$A167))),$A167),"'!C10"))&gt;=R$2,"d",IF(INDIRECT(_xlfn.CONCAT("'",IF(ISNUMBER(FIND("'",$A167))=TRUE,_xlfn.CONCAT(LEFT($A167,FIND("'",$A167)-1),"''",RIGHT($A167,LEN($A167)-FIND("'",$A167))),$A167),"'!C11"))&gt;=R$2,"i",""))</f>
        <v>d</v>
      </c>
      <c r="S167" s="44" t="str" cm="1">
        <f t="array" aca="1" ref="S167" ca="1">IF(INDIRECT(_xlfn.CONCAT("'",IF(ISNUMBER(FIND("'",$A167))=TRUE,_xlfn.CONCAT(LEFT($A167,FIND("'",$A167)-1),"''",RIGHT($A167,LEN($A167)-FIND("'",$A167))),$A167),"'!C10"))&gt;=S$2,"d",IF(INDIRECT(_xlfn.CONCAT("'",IF(ISNUMBER(FIND("'",$A167))=TRUE,_xlfn.CONCAT(LEFT($A167,FIND("'",$A167)-1),"''",RIGHT($A167,LEN($A167)-FIND("'",$A167))),$A167),"'!C11"))&gt;=S$2,"i",""))</f>
        <v>d</v>
      </c>
      <c r="T167" s="45" t="str" cm="1">
        <f t="array" aca="1" ref="T167" ca="1">IF(INDIRECT(_xlfn.CONCAT("'",IF(ISNUMBER(FIND("'",$A167))=TRUE,_xlfn.CONCAT(LEFT($A167,FIND("'",$A167)-1),"''",RIGHT($A167,LEN($A167)-FIND("'",$A167))),$A167),"'!C10"))&gt;=T$2,"d",IF(INDIRECT(_xlfn.CONCAT("'",IF(ISNUMBER(FIND("'",$A167))=TRUE,_xlfn.CONCAT(LEFT($A167,FIND("'",$A167)-1),"''",RIGHT($A167,LEN($A167)-FIND("'",$A167))),$A167),"'!C11"))&gt;=T$2,"i",""))</f>
        <v>d</v>
      </c>
    </row>
    <row r="168" spans="1:20" hidden="1" x14ac:dyDescent="0.25">
      <c r="A168" s="135" t="str">
        <v>Tome of the Eternal Flow</v>
      </c>
      <c r="B168" s="19" cm="1">
        <f t="array" ref="B168">_xlfn.XLOOKUP(A168,INDEX(Weapon_List,,1),INDEX(Weapon_List,,3),,0,1)</f>
        <v>5</v>
      </c>
      <c r="C168" s="45" t="str" cm="1">
        <f t="array" ref="C168">_xlfn.XLOOKUP(A168,INDEX(Weapon_List,,1),INDEX(Weapon_List,,2),,0,1)</f>
        <v>Catalyst</v>
      </c>
      <c r="D168" s="38" t="str" cm="1">
        <f t="array" ref="D168">_xlfn.XLOOKUP(A168,INDEX(Weapon_List,,1),INDEX(Weapon_List,,4),,0,1)</f>
        <v>Fontaine 2</v>
      </c>
      <c r="E168" s="38" t="str" cm="1">
        <f t="array" ref="E168">_xlfn.XLOOKUP(A168,INDEX(Weapon_List,,1),INDEX(Weapon_List,,5),,0,1)</f>
        <v>Clockwork Meka</v>
      </c>
      <c r="F168" s="38" t="str" cm="1">
        <f t="array" ref="F168">_xlfn.XLOOKUP(A168,INDEX(Weapon_List,,1),INDEX(Weapon_List,,6),,0,1)</f>
        <v>Breacher Primus</v>
      </c>
      <c r="G168" s="19" t="str" cm="1">
        <f t="array" aca="1" ref="G168" ca="1">IF(INDIRECT(_xlfn.CONCAT("'",IF(ISNUMBER(FIND("'",$A168))=TRUE,_xlfn.CONCAT(LEFT($A168,FIND("'",$A168)-1),"''",RIGHT($A168,LEN($A168)-FIND("'",$A168))),$A168),"'!B4"))&gt;=G$2,"d",IF(INDIRECT(_xlfn.CONCAT("'",IF(ISNUMBER(FIND("'",$A168))=TRUE,_xlfn.CONCAT(LEFT($A168,FIND("'",$A168)-1),"''",RIGHT($A168,LEN($A168)-FIND("'",$A168))),$A168),"'!B5"))&gt;=G$2,"i",""))</f>
        <v>d</v>
      </c>
      <c r="H168" s="44" t="str" cm="1">
        <f t="array" aca="1" ref="H168" ca="1">IF(INDIRECT(_xlfn.CONCAT("'",IF(ISNUMBER(FIND("'",$A168))=TRUE,_xlfn.CONCAT(LEFT($A168,FIND("'",$A168)-1),"''",RIGHT($A168,LEN($A168)-FIND("'",$A168))),$A168),"'!B4"))&gt;=H$2,"d",IF(INDIRECT(_xlfn.CONCAT("'",IF(ISNUMBER(FIND("'",$A168))=TRUE,_xlfn.CONCAT(LEFT($A168,FIND("'",$A168)-1),"''",RIGHT($A168,LEN($A168)-FIND("'",$A168))),$A168),"'!B5"))&gt;=H$2,"i",""))</f>
        <v>d</v>
      </c>
      <c r="I168" s="44" t="str" cm="1">
        <f t="array" aca="1" ref="I168" ca="1">IF(INDIRECT(_xlfn.CONCAT("'",IF(ISNUMBER(FIND("'",$A168))=TRUE,_xlfn.CONCAT(LEFT($A168,FIND("'",$A168)-1),"''",RIGHT($A168,LEN($A168)-FIND("'",$A168))),$A168),"'!B4"))&gt;=I$2,"d",IF(INDIRECT(_xlfn.CONCAT("'",IF(ISNUMBER(FIND("'",$A168))=TRUE,_xlfn.CONCAT(LEFT($A168,FIND("'",$A168)-1),"''",RIGHT($A168,LEN($A168)-FIND("'",$A168))),$A168),"'!B5"))&gt;=I$2,"i",""))</f>
        <v>d</v>
      </c>
      <c r="J168" s="44" t="str" cm="1">
        <f t="array" aca="1" ref="J168" ca="1">IF(INDIRECT(_xlfn.CONCAT("'",IF(ISNUMBER(FIND("'",$A168))=TRUE,_xlfn.CONCAT(LEFT($A168,FIND("'",$A168)-1),"''",RIGHT($A168,LEN($A168)-FIND("'",$A168))),$A168),"'!B4"))&gt;=J$2,"d",IF(INDIRECT(_xlfn.CONCAT("'",IF(ISNUMBER(FIND("'",$A168))=TRUE,_xlfn.CONCAT(LEFT($A168,FIND("'",$A168)-1),"''",RIGHT($A168,LEN($A168)-FIND("'",$A168))),$A168),"'!B5"))&gt;=J$2,"i",""))</f>
        <v>d</v>
      </c>
      <c r="K168" s="44" t="str" cm="1">
        <f t="array" aca="1" ref="K168" ca="1">IF(INDIRECT(_xlfn.CONCAT("'",IF(ISNUMBER(FIND("'",$A168))=TRUE,_xlfn.CONCAT(LEFT($A168,FIND("'",$A168)-1),"''",RIGHT($A168,LEN($A168)-FIND("'",$A168))),$A168),"'!B4"))&gt;=K$2,"d",IF(INDIRECT(_xlfn.CONCAT("'",IF(ISNUMBER(FIND("'",$A168))=TRUE,_xlfn.CONCAT(LEFT($A168,FIND("'",$A168)-1),"''",RIGHT($A168,LEN($A168)-FIND("'",$A168))),$A168),"'!B5"))&gt;=K$2,"i",""))</f>
        <v>d</v>
      </c>
      <c r="L168" s="44" t="str" cm="1">
        <f t="array" aca="1" ref="L168" ca="1">IF(INDIRECT(_xlfn.CONCAT("'",IF(ISNUMBER(FIND("'",$A168))=TRUE,_xlfn.CONCAT(LEFT($A168,FIND("'",$A168)-1),"''",RIGHT($A168,LEN($A168)-FIND("'",$A168))),$A168),"'!B4"))&gt;=L$2,"d",IF(INDIRECT(_xlfn.CONCAT("'",IF(ISNUMBER(FIND("'",$A168))=TRUE,_xlfn.CONCAT(LEFT($A168,FIND("'",$A168)-1),"''",RIGHT($A168,LEN($A168)-FIND("'",$A168))),$A168),"'!B5"))&gt;=L$2,"i",""))</f>
        <v>d</v>
      </c>
      <c r="M168" s="45" t="str" cm="1">
        <f t="array" aca="1" ref="M168" ca="1">IF(INDIRECT(_xlfn.CONCAT("'",IF(ISNUMBER(FIND("'",$A168))=TRUE,_xlfn.CONCAT(LEFT($A168,FIND("'",$A168)-1),"''",RIGHT($A168,LEN($A168)-FIND("'",$A168))),$A168),"'!B4"))&gt;=M$2,"d",IF(INDIRECT(_xlfn.CONCAT("'",IF(ISNUMBER(FIND("'",$A168))=TRUE,_xlfn.CONCAT(LEFT($A168,FIND("'",$A168)-1),"''",RIGHT($A168,LEN($A168)-FIND("'",$A168))),$A168),"'!B5"))&gt;=M$2,"i",""))</f>
        <v>d</v>
      </c>
      <c r="N168" s="157"/>
      <c r="O168" s="19" t="str" cm="1">
        <f t="array" aca="1" ref="O168" ca="1">IF(INDIRECT(_xlfn.CONCAT("'",IF(ISNUMBER(FIND("'",$A168))=TRUE,_xlfn.CONCAT(LEFT($A168,FIND("'",$A168)-1),"''",RIGHT($A168,LEN($A168)-FIND("'",$A168))),$A168),"'!C10"))&gt;=O$2,"d",IF(INDIRECT(_xlfn.CONCAT("'",IF(ISNUMBER(FIND("'",$A168))=TRUE,_xlfn.CONCAT(LEFT($A168,FIND("'",$A168)-1),"''",RIGHT($A168,LEN($A168)-FIND("'",$A168))),$A168),"'!C11"))&gt;=O$2,"i",""))</f>
        <v>d</v>
      </c>
      <c r="P168" s="44" t="str" cm="1">
        <f t="array" aca="1" ref="P168" ca="1">IF(INDIRECT(_xlfn.CONCAT("'",IF(ISNUMBER(FIND("'",$A168))=TRUE,_xlfn.CONCAT(LEFT($A168,FIND("'",$A168)-1),"''",RIGHT($A168,LEN($A168)-FIND("'",$A168))),$A168),"'!C10"))&gt;=P$2,"d",IF(INDIRECT(_xlfn.CONCAT("'",IF(ISNUMBER(FIND("'",$A168))=TRUE,_xlfn.CONCAT(LEFT($A168,FIND("'",$A168)-1),"''",RIGHT($A168,LEN($A168)-FIND("'",$A168))),$A168),"'!C11"))&gt;=P$2,"i",""))</f>
        <v>d</v>
      </c>
      <c r="Q168" s="44" t="str" cm="1">
        <f t="array" aca="1" ref="Q168" ca="1">IF(INDIRECT(_xlfn.CONCAT("'",IF(ISNUMBER(FIND("'",$A168))=TRUE,_xlfn.CONCAT(LEFT($A168,FIND("'",$A168)-1),"''",RIGHT($A168,LEN($A168)-FIND("'",$A168))),$A168),"'!C10"))&gt;=Q$2,"d",IF(INDIRECT(_xlfn.CONCAT("'",IF(ISNUMBER(FIND("'",$A168))=TRUE,_xlfn.CONCAT(LEFT($A168,FIND("'",$A168)-1),"''",RIGHT($A168,LEN($A168)-FIND("'",$A168))),$A168),"'!C11"))&gt;=Q$2,"i",""))</f>
        <v>d</v>
      </c>
      <c r="R168" s="44" t="str" cm="1">
        <f t="array" aca="1" ref="R168" ca="1">IF(INDIRECT(_xlfn.CONCAT("'",IF(ISNUMBER(FIND("'",$A168))=TRUE,_xlfn.CONCAT(LEFT($A168,FIND("'",$A168)-1),"''",RIGHT($A168,LEN($A168)-FIND("'",$A168))),$A168),"'!C10"))&gt;=R$2,"d",IF(INDIRECT(_xlfn.CONCAT("'",IF(ISNUMBER(FIND("'",$A168))=TRUE,_xlfn.CONCAT(LEFT($A168,FIND("'",$A168)-1),"''",RIGHT($A168,LEN($A168)-FIND("'",$A168))),$A168),"'!C11"))&gt;=R$2,"i",""))</f>
        <v>d</v>
      </c>
      <c r="S168" s="44" t="str" cm="1">
        <f t="array" aca="1" ref="S168" ca="1">IF(INDIRECT(_xlfn.CONCAT("'",IF(ISNUMBER(FIND("'",$A168))=TRUE,_xlfn.CONCAT(LEFT($A168,FIND("'",$A168)-1),"''",RIGHT($A168,LEN($A168)-FIND("'",$A168))),$A168),"'!C10"))&gt;=S$2,"d",IF(INDIRECT(_xlfn.CONCAT("'",IF(ISNUMBER(FIND("'",$A168))=TRUE,_xlfn.CONCAT(LEFT($A168,FIND("'",$A168)-1),"''",RIGHT($A168,LEN($A168)-FIND("'",$A168))),$A168),"'!C11"))&gt;=S$2,"i",""))</f>
        <v>d</v>
      </c>
      <c r="T168" s="45" t="str" cm="1">
        <f t="array" aca="1" ref="T168" ca="1">IF(INDIRECT(_xlfn.CONCAT("'",IF(ISNUMBER(FIND("'",$A168))=TRUE,_xlfn.CONCAT(LEFT($A168,FIND("'",$A168)-1),"''",RIGHT($A168,LEN($A168)-FIND("'",$A168))),$A168),"'!C10"))&gt;=T$2,"d",IF(INDIRECT(_xlfn.CONCAT("'",IF(ISNUMBER(FIND("'",$A168))=TRUE,_xlfn.CONCAT(LEFT($A168,FIND("'",$A168)-1),"''",RIGHT($A168,LEN($A168)-FIND("'",$A168))),$A168),"'!C11"))&gt;=T$2,"i",""))</f>
        <v>d</v>
      </c>
    </row>
    <row r="169" spans="1:20" hidden="1" x14ac:dyDescent="0.25">
      <c r="A169" s="135" t="str">
        <v>The Dockhand's Assistant</v>
      </c>
      <c r="B169" s="19" cm="1">
        <f t="array" ref="B169">_xlfn.XLOOKUP(A169,INDEX(Weapon_List,,1),INDEX(Weapon_List,,3),,0,1)</f>
        <v>4</v>
      </c>
      <c r="C169" s="45" t="str" cm="1">
        <f t="array" ref="C169">_xlfn.XLOOKUP(A169,INDEX(Weapon_List,,1),INDEX(Weapon_List,,2),,0,1)</f>
        <v>Sword</v>
      </c>
      <c r="D169" s="38" t="str" cm="1">
        <f t="array" ref="D169">_xlfn.XLOOKUP(A169,INDEX(Weapon_List,,1),INDEX(Weapon_List,,4),,0,1)</f>
        <v>Fontaine 2</v>
      </c>
      <c r="E169" s="38" t="str" cm="1">
        <f t="array" ref="E169">_xlfn.XLOOKUP(A169,INDEX(Weapon_List,,1),INDEX(Weapon_List,,5),,0,1)</f>
        <v>Fontemer Aberrant</v>
      </c>
      <c r="F169" s="38" t="str" cm="1">
        <f t="array" ref="F169">_xlfn.XLOOKUP(A169,INDEX(Weapon_List,,1),INDEX(Weapon_List,,6),,0,1)</f>
        <v>Fatui Operative</v>
      </c>
      <c r="G169" s="19" t="str" cm="1">
        <f t="array" aca="1" ref="G169" ca="1">IF(INDIRECT(_xlfn.CONCAT("'",IF(ISNUMBER(FIND("'",$A169))=TRUE,_xlfn.CONCAT(LEFT($A169,FIND("'",$A169)-1),"''",RIGHT($A169,LEN($A169)-FIND("'",$A169))),$A169),"'!B4"))&gt;=G$2,"d",IF(INDIRECT(_xlfn.CONCAT("'",IF(ISNUMBER(FIND("'",$A169))=TRUE,_xlfn.CONCAT(LEFT($A169,FIND("'",$A169)-1),"''",RIGHT($A169,LEN($A169)-FIND("'",$A169))),$A169),"'!B5"))&gt;=G$2,"i",""))</f>
        <v>d</v>
      </c>
      <c r="H169" s="44" t="str" cm="1">
        <f t="array" aca="1" ref="H169" ca="1">IF(INDIRECT(_xlfn.CONCAT("'",IF(ISNUMBER(FIND("'",$A169))=TRUE,_xlfn.CONCAT(LEFT($A169,FIND("'",$A169)-1),"''",RIGHT($A169,LEN($A169)-FIND("'",$A169))),$A169),"'!B4"))&gt;=H$2,"d",IF(INDIRECT(_xlfn.CONCAT("'",IF(ISNUMBER(FIND("'",$A169))=TRUE,_xlfn.CONCAT(LEFT($A169,FIND("'",$A169)-1),"''",RIGHT($A169,LEN($A169)-FIND("'",$A169))),$A169),"'!B5"))&gt;=H$2,"i",""))</f>
        <v>d</v>
      </c>
      <c r="I169" s="44" t="str" cm="1">
        <f t="array" aca="1" ref="I169" ca="1">IF(INDIRECT(_xlfn.CONCAT("'",IF(ISNUMBER(FIND("'",$A169))=TRUE,_xlfn.CONCAT(LEFT($A169,FIND("'",$A169)-1),"''",RIGHT($A169,LEN($A169)-FIND("'",$A169))),$A169),"'!B4"))&gt;=I$2,"d",IF(INDIRECT(_xlfn.CONCAT("'",IF(ISNUMBER(FIND("'",$A169))=TRUE,_xlfn.CONCAT(LEFT($A169,FIND("'",$A169)-1),"''",RIGHT($A169,LEN($A169)-FIND("'",$A169))),$A169),"'!B5"))&gt;=I$2,"i",""))</f>
        <v>d</v>
      </c>
      <c r="J169" s="44" t="str" cm="1">
        <f t="array" aca="1" ref="J169" ca="1">IF(INDIRECT(_xlfn.CONCAT("'",IF(ISNUMBER(FIND("'",$A169))=TRUE,_xlfn.CONCAT(LEFT($A169,FIND("'",$A169)-1),"''",RIGHT($A169,LEN($A169)-FIND("'",$A169))),$A169),"'!B4"))&gt;=J$2,"d",IF(INDIRECT(_xlfn.CONCAT("'",IF(ISNUMBER(FIND("'",$A169))=TRUE,_xlfn.CONCAT(LEFT($A169,FIND("'",$A169)-1),"''",RIGHT($A169,LEN($A169)-FIND("'",$A169))),$A169),"'!B5"))&gt;=J$2,"i",""))</f>
        <v>d</v>
      </c>
      <c r="K169" s="44" t="str" cm="1">
        <f t="array" aca="1" ref="K169" ca="1">IF(INDIRECT(_xlfn.CONCAT("'",IF(ISNUMBER(FIND("'",$A169))=TRUE,_xlfn.CONCAT(LEFT($A169,FIND("'",$A169)-1),"''",RIGHT($A169,LEN($A169)-FIND("'",$A169))),$A169),"'!B4"))&gt;=K$2,"d",IF(INDIRECT(_xlfn.CONCAT("'",IF(ISNUMBER(FIND("'",$A169))=TRUE,_xlfn.CONCAT(LEFT($A169,FIND("'",$A169)-1),"''",RIGHT($A169,LEN($A169)-FIND("'",$A169))),$A169),"'!B5"))&gt;=K$2,"i",""))</f>
        <v>d</v>
      </c>
      <c r="L169" s="44" t="str" cm="1">
        <f t="array" aca="1" ref="L169" ca="1">IF(INDIRECT(_xlfn.CONCAT("'",IF(ISNUMBER(FIND("'",$A169))=TRUE,_xlfn.CONCAT(LEFT($A169,FIND("'",$A169)-1),"''",RIGHT($A169,LEN($A169)-FIND("'",$A169))),$A169),"'!B4"))&gt;=L$2,"d",IF(INDIRECT(_xlfn.CONCAT("'",IF(ISNUMBER(FIND("'",$A169))=TRUE,_xlfn.CONCAT(LEFT($A169,FIND("'",$A169)-1),"''",RIGHT($A169,LEN($A169)-FIND("'",$A169))),$A169),"'!B5"))&gt;=L$2,"i",""))</f>
        <v>d</v>
      </c>
      <c r="M169" s="45" t="str" cm="1">
        <f t="array" aca="1" ref="M169" ca="1">IF(INDIRECT(_xlfn.CONCAT("'",IF(ISNUMBER(FIND("'",$A169))=TRUE,_xlfn.CONCAT(LEFT($A169,FIND("'",$A169)-1),"''",RIGHT($A169,LEN($A169)-FIND("'",$A169))),$A169),"'!B4"))&gt;=M$2,"d",IF(INDIRECT(_xlfn.CONCAT("'",IF(ISNUMBER(FIND("'",$A169))=TRUE,_xlfn.CONCAT(LEFT($A169,FIND("'",$A169)-1),"''",RIGHT($A169,LEN($A169)-FIND("'",$A169))),$A169),"'!B5"))&gt;=M$2,"i",""))</f>
        <v>d</v>
      </c>
      <c r="N169" s="157"/>
      <c r="O169" s="19" t="str" cm="1">
        <f t="array" aca="1" ref="O169" ca="1">IF(INDIRECT(_xlfn.CONCAT("'",IF(ISNUMBER(FIND("'",$A169))=TRUE,_xlfn.CONCAT(LEFT($A169,FIND("'",$A169)-1),"''",RIGHT($A169,LEN($A169)-FIND("'",$A169))),$A169),"'!C10"))&gt;=O$2,"d",IF(INDIRECT(_xlfn.CONCAT("'",IF(ISNUMBER(FIND("'",$A169))=TRUE,_xlfn.CONCAT(LEFT($A169,FIND("'",$A169)-1),"''",RIGHT($A169,LEN($A169)-FIND("'",$A169))),$A169),"'!C11"))&gt;=O$2,"i",""))</f>
        <v>d</v>
      </c>
      <c r="P169" s="44" t="str" cm="1">
        <f t="array" aca="1" ref="P169" ca="1">IF(INDIRECT(_xlfn.CONCAT("'",IF(ISNUMBER(FIND("'",$A169))=TRUE,_xlfn.CONCAT(LEFT($A169,FIND("'",$A169)-1),"''",RIGHT($A169,LEN($A169)-FIND("'",$A169))),$A169),"'!C10"))&gt;=P$2,"d",IF(INDIRECT(_xlfn.CONCAT("'",IF(ISNUMBER(FIND("'",$A169))=TRUE,_xlfn.CONCAT(LEFT($A169,FIND("'",$A169)-1),"''",RIGHT($A169,LEN($A169)-FIND("'",$A169))),$A169),"'!C11"))&gt;=P$2,"i",""))</f>
        <v>d</v>
      </c>
      <c r="Q169" s="44" t="str" cm="1">
        <f t="array" aca="1" ref="Q169" ca="1">IF(INDIRECT(_xlfn.CONCAT("'",IF(ISNUMBER(FIND("'",$A169))=TRUE,_xlfn.CONCAT(LEFT($A169,FIND("'",$A169)-1),"''",RIGHT($A169,LEN($A169)-FIND("'",$A169))),$A169),"'!C10"))&gt;=Q$2,"d",IF(INDIRECT(_xlfn.CONCAT("'",IF(ISNUMBER(FIND("'",$A169))=TRUE,_xlfn.CONCAT(LEFT($A169,FIND("'",$A169)-1),"''",RIGHT($A169,LEN($A169)-FIND("'",$A169))),$A169),"'!C11"))&gt;=Q$2,"i",""))</f>
        <v>d</v>
      </c>
      <c r="R169" s="44" t="str" cm="1">
        <f t="array" aca="1" ref="R169" ca="1">IF(INDIRECT(_xlfn.CONCAT("'",IF(ISNUMBER(FIND("'",$A169))=TRUE,_xlfn.CONCAT(LEFT($A169,FIND("'",$A169)-1),"''",RIGHT($A169,LEN($A169)-FIND("'",$A169))),$A169),"'!C10"))&gt;=R$2,"d",IF(INDIRECT(_xlfn.CONCAT("'",IF(ISNUMBER(FIND("'",$A169))=TRUE,_xlfn.CONCAT(LEFT($A169,FIND("'",$A169)-1),"''",RIGHT($A169,LEN($A169)-FIND("'",$A169))),$A169),"'!C11"))&gt;=R$2,"i",""))</f>
        <v>d</v>
      </c>
      <c r="S169" s="44" t="str" cm="1">
        <f t="array" aca="1" ref="S169" ca="1">IF(INDIRECT(_xlfn.CONCAT("'",IF(ISNUMBER(FIND("'",$A169))=TRUE,_xlfn.CONCAT(LEFT($A169,FIND("'",$A169)-1),"''",RIGHT($A169,LEN($A169)-FIND("'",$A169))),$A169),"'!C10"))&gt;=S$2,"d",IF(INDIRECT(_xlfn.CONCAT("'",IF(ISNUMBER(FIND("'",$A169))=TRUE,_xlfn.CONCAT(LEFT($A169,FIND("'",$A169)-1),"''",RIGHT($A169,LEN($A169)-FIND("'",$A169))),$A169),"'!C11"))&gt;=S$2,"i",""))</f>
        <v>d</v>
      </c>
      <c r="T169" s="45" t="str" cm="1">
        <f t="array" aca="1" ref="T169" ca="1">IF(INDIRECT(_xlfn.CONCAT("'",IF(ISNUMBER(FIND("'",$A169))=TRUE,_xlfn.CONCAT(LEFT($A169,FIND("'",$A169)-1),"''",RIGHT($A169,LEN($A169)-FIND("'",$A169))),$A169),"'!C10"))&gt;=T$2,"d",IF(INDIRECT(_xlfn.CONCAT("'",IF(ISNUMBER(FIND("'",$A169))=TRUE,_xlfn.CONCAT(LEFT($A169,FIND("'",$A169)-1),"''",RIGHT($A169,LEN($A169)-FIND("'",$A169))),$A169),"'!C11"))&gt;=T$2,"i",""))</f>
        <v>d</v>
      </c>
    </row>
    <row r="170" spans="1:20" hidden="1" x14ac:dyDescent="0.25">
      <c r="A170" s="135" t="str">
        <v>Portable Power Saw</v>
      </c>
      <c r="B170" s="19" cm="1">
        <f t="array" ref="B170">_xlfn.XLOOKUP(A170,INDEX(Weapon_List,,1),INDEX(Weapon_List,,3),,0,1)</f>
        <v>4</v>
      </c>
      <c r="C170" s="45" t="str" cm="1">
        <f t="array" ref="C170">_xlfn.XLOOKUP(A170,INDEX(Weapon_List,,1),INDEX(Weapon_List,,2),,0,1)</f>
        <v>Claymore</v>
      </c>
      <c r="D170" s="38" t="str" cm="1">
        <f t="array" ref="D170">_xlfn.XLOOKUP(A170,INDEX(Weapon_List,,1),INDEX(Weapon_List,,4),,0,1)</f>
        <v>Fontaine 3</v>
      </c>
      <c r="E170" s="38" t="str" cm="1">
        <f t="array" ref="E170">_xlfn.XLOOKUP(A170,INDEX(Weapon_List,,1),INDEX(Weapon_List,,5),,0,1)</f>
        <v>Clockwork Meka</v>
      </c>
      <c r="F170" s="38" t="str" cm="1">
        <f t="array" ref="F170">_xlfn.XLOOKUP(A170,INDEX(Weapon_List,,1),INDEX(Weapon_List,,6),,0,1)</f>
        <v>Breacher Primus</v>
      </c>
      <c r="G170" s="19" t="str" cm="1">
        <f t="array" aca="1" ref="G170" ca="1">IF(INDIRECT(_xlfn.CONCAT("'",IF(ISNUMBER(FIND("'",$A170))=TRUE,_xlfn.CONCAT(LEFT($A170,FIND("'",$A170)-1),"''",RIGHT($A170,LEN($A170)-FIND("'",$A170))),$A170),"'!B4"))&gt;=G$2,"d",IF(INDIRECT(_xlfn.CONCAT("'",IF(ISNUMBER(FIND("'",$A170))=TRUE,_xlfn.CONCAT(LEFT($A170,FIND("'",$A170)-1),"''",RIGHT($A170,LEN($A170)-FIND("'",$A170))),$A170),"'!B5"))&gt;=G$2,"i",""))</f>
        <v>d</v>
      </c>
      <c r="H170" s="44" t="str" cm="1">
        <f t="array" aca="1" ref="H170" ca="1">IF(INDIRECT(_xlfn.CONCAT("'",IF(ISNUMBER(FIND("'",$A170))=TRUE,_xlfn.CONCAT(LEFT($A170,FIND("'",$A170)-1),"''",RIGHT($A170,LEN($A170)-FIND("'",$A170))),$A170),"'!B4"))&gt;=H$2,"d",IF(INDIRECT(_xlfn.CONCAT("'",IF(ISNUMBER(FIND("'",$A170))=TRUE,_xlfn.CONCAT(LEFT($A170,FIND("'",$A170)-1),"''",RIGHT($A170,LEN($A170)-FIND("'",$A170))),$A170),"'!B5"))&gt;=H$2,"i",""))</f>
        <v>d</v>
      </c>
      <c r="I170" s="44" t="str" cm="1">
        <f t="array" aca="1" ref="I170" ca="1">IF(INDIRECT(_xlfn.CONCAT("'",IF(ISNUMBER(FIND("'",$A170))=TRUE,_xlfn.CONCAT(LEFT($A170,FIND("'",$A170)-1),"''",RIGHT($A170,LEN($A170)-FIND("'",$A170))),$A170),"'!B4"))&gt;=I$2,"d",IF(INDIRECT(_xlfn.CONCAT("'",IF(ISNUMBER(FIND("'",$A170))=TRUE,_xlfn.CONCAT(LEFT($A170,FIND("'",$A170)-1),"''",RIGHT($A170,LEN($A170)-FIND("'",$A170))),$A170),"'!B5"))&gt;=I$2,"i",""))</f>
        <v>d</v>
      </c>
      <c r="J170" s="44" t="str" cm="1">
        <f t="array" aca="1" ref="J170" ca="1">IF(INDIRECT(_xlfn.CONCAT("'",IF(ISNUMBER(FIND("'",$A170))=TRUE,_xlfn.CONCAT(LEFT($A170,FIND("'",$A170)-1),"''",RIGHT($A170,LEN($A170)-FIND("'",$A170))),$A170),"'!B4"))&gt;=J$2,"d",IF(INDIRECT(_xlfn.CONCAT("'",IF(ISNUMBER(FIND("'",$A170))=TRUE,_xlfn.CONCAT(LEFT($A170,FIND("'",$A170)-1),"''",RIGHT($A170,LEN($A170)-FIND("'",$A170))),$A170),"'!B5"))&gt;=J$2,"i",""))</f>
        <v>d</v>
      </c>
      <c r="K170" s="44" t="str" cm="1">
        <f t="array" aca="1" ref="K170" ca="1">IF(INDIRECT(_xlfn.CONCAT("'",IF(ISNUMBER(FIND("'",$A170))=TRUE,_xlfn.CONCAT(LEFT($A170,FIND("'",$A170)-1),"''",RIGHT($A170,LEN($A170)-FIND("'",$A170))),$A170),"'!B4"))&gt;=K$2,"d",IF(INDIRECT(_xlfn.CONCAT("'",IF(ISNUMBER(FIND("'",$A170))=TRUE,_xlfn.CONCAT(LEFT($A170,FIND("'",$A170)-1),"''",RIGHT($A170,LEN($A170)-FIND("'",$A170))),$A170),"'!B5"))&gt;=K$2,"i",""))</f>
        <v>d</v>
      </c>
      <c r="L170" s="44" t="str" cm="1">
        <f t="array" aca="1" ref="L170" ca="1">IF(INDIRECT(_xlfn.CONCAT("'",IF(ISNUMBER(FIND("'",$A170))=TRUE,_xlfn.CONCAT(LEFT($A170,FIND("'",$A170)-1),"''",RIGHT($A170,LEN($A170)-FIND("'",$A170))),$A170),"'!B4"))&gt;=L$2,"d",IF(INDIRECT(_xlfn.CONCAT("'",IF(ISNUMBER(FIND("'",$A170))=TRUE,_xlfn.CONCAT(LEFT($A170,FIND("'",$A170)-1),"''",RIGHT($A170,LEN($A170)-FIND("'",$A170))),$A170),"'!B5"))&gt;=L$2,"i",""))</f>
        <v>d</v>
      </c>
      <c r="M170" s="45" t="str" cm="1">
        <f t="array" aca="1" ref="M170" ca="1">IF(INDIRECT(_xlfn.CONCAT("'",IF(ISNUMBER(FIND("'",$A170))=TRUE,_xlfn.CONCAT(LEFT($A170,FIND("'",$A170)-1),"''",RIGHT($A170,LEN($A170)-FIND("'",$A170))),$A170),"'!B4"))&gt;=M$2,"d",IF(INDIRECT(_xlfn.CONCAT("'",IF(ISNUMBER(FIND("'",$A170))=TRUE,_xlfn.CONCAT(LEFT($A170,FIND("'",$A170)-1),"''",RIGHT($A170,LEN($A170)-FIND("'",$A170))),$A170),"'!B5"))&gt;=M$2,"i",""))</f>
        <v>d</v>
      </c>
      <c r="N170" s="157"/>
      <c r="O170" s="19" t="str" cm="1">
        <f t="array" aca="1" ref="O170" ca="1">IF(INDIRECT(_xlfn.CONCAT("'",IF(ISNUMBER(FIND("'",$A170))=TRUE,_xlfn.CONCAT(LEFT($A170,FIND("'",$A170)-1),"''",RIGHT($A170,LEN($A170)-FIND("'",$A170))),$A170),"'!C10"))&gt;=O$2,"d",IF(INDIRECT(_xlfn.CONCAT("'",IF(ISNUMBER(FIND("'",$A170))=TRUE,_xlfn.CONCAT(LEFT($A170,FIND("'",$A170)-1),"''",RIGHT($A170,LEN($A170)-FIND("'",$A170))),$A170),"'!C11"))&gt;=O$2,"i",""))</f>
        <v>d</v>
      </c>
      <c r="P170" s="44" t="str" cm="1">
        <f t="array" aca="1" ref="P170" ca="1">IF(INDIRECT(_xlfn.CONCAT("'",IF(ISNUMBER(FIND("'",$A170))=TRUE,_xlfn.CONCAT(LEFT($A170,FIND("'",$A170)-1),"''",RIGHT($A170,LEN($A170)-FIND("'",$A170))),$A170),"'!C10"))&gt;=P$2,"d",IF(INDIRECT(_xlfn.CONCAT("'",IF(ISNUMBER(FIND("'",$A170))=TRUE,_xlfn.CONCAT(LEFT($A170,FIND("'",$A170)-1),"''",RIGHT($A170,LEN($A170)-FIND("'",$A170))),$A170),"'!C11"))&gt;=P$2,"i",""))</f>
        <v>d</v>
      </c>
      <c r="Q170" s="44" t="str" cm="1">
        <f t="array" aca="1" ref="Q170" ca="1">IF(INDIRECT(_xlfn.CONCAT("'",IF(ISNUMBER(FIND("'",$A170))=TRUE,_xlfn.CONCAT(LEFT($A170,FIND("'",$A170)-1),"''",RIGHT($A170,LEN($A170)-FIND("'",$A170))),$A170),"'!C10"))&gt;=Q$2,"d",IF(INDIRECT(_xlfn.CONCAT("'",IF(ISNUMBER(FIND("'",$A170))=TRUE,_xlfn.CONCAT(LEFT($A170,FIND("'",$A170)-1),"''",RIGHT($A170,LEN($A170)-FIND("'",$A170))),$A170),"'!C11"))&gt;=Q$2,"i",""))</f>
        <v>d</v>
      </c>
      <c r="R170" s="44" t="str" cm="1">
        <f t="array" aca="1" ref="R170" ca="1">IF(INDIRECT(_xlfn.CONCAT("'",IF(ISNUMBER(FIND("'",$A170))=TRUE,_xlfn.CONCAT(LEFT($A170,FIND("'",$A170)-1),"''",RIGHT($A170,LEN($A170)-FIND("'",$A170))),$A170),"'!C10"))&gt;=R$2,"d",IF(INDIRECT(_xlfn.CONCAT("'",IF(ISNUMBER(FIND("'",$A170))=TRUE,_xlfn.CONCAT(LEFT($A170,FIND("'",$A170)-1),"''",RIGHT($A170,LEN($A170)-FIND("'",$A170))),$A170),"'!C11"))&gt;=R$2,"i",""))</f>
        <v>d</v>
      </c>
      <c r="S170" s="44" t="str" cm="1">
        <f t="array" aca="1" ref="S170" ca="1">IF(INDIRECT(_xlfn.CONCAT("'",IF(ISNUMBER(FIND("'",$A170))=TRUE,_xlfn.CONCAT(LEFT($A170,FIND("'",$A170)-1),"''",RIGHT($A170,LEN($A170)-FIND("'",$A170))),$A170),"'!C10"))&gt;=S$2,"d",IF(INDIRECT(_xlfn.CONCAT("'",IF(ISNUMBER(FIND("'",$A170))=TRUE,_xlfn.CONCAT(LEFT($A170,FIND("'",$A170)-1),"''",RIGHT($A170,LEN($A170)-FIND("'",$A170))),$A170),"'!C11"))&gt;=S$2,"i",""))</f>
        <v>d</v>
      </c>
      <c r="T170" s="45" t="str" cm="1">
        <f t="array" aca="1" ref="T170" ca="1">IF(INDIRECT(_xlfn.CONCAT("'",IF(ISNUMBER(FIND("'",$A170))=TRUE,_xlfn.CONCAT(LEFT($A170,FIND("'",$A170)-1),"''",RIGHT($A170,LEN($A170)-FIND("'",$A170))),$A170),"'!C10"))&gt;=T$2,"d",IF(INDIRECT(_xlfn.CONCAT("'",IF(ISNUMBER(FIND("'",$A170))=TRUE,_xlfn.CONCAT(LEFT($A170,FIND("'",$A170)-1),"''",RIGHT($A170,LEN($A170)-FIND("'",$A170))),$A170),"'!C11"))&gt;=T$2,"i",""))</f>
        <v>d</v>
      </c>
    </row>
    <row r="171" spans="1:20" hidden="1" x14ac:dyDescent="0.25">
      <c r="A171" s="135" t="str">
        <v>Cashflow Supervision</v>
      </c>
      <c r="B171" s="19" cm="1">
        <f t="array" ref="B171">_xlfn.XLOOKUP(A171,INDEX(Weapon_List,,1),INDEX(Weapon_List,,3),,0,1)</f>
        <v>5</v>
      </c>
      <c r="C171" s="45" t="str" cm="1">
        <f t="array" ref="C171">_xlfn.XLOOKUP(A171,INDEX(Weapon_List,,1),INDEX(Weapon_List,,2),,0,1)</f>
        <v>Catalyst</v>
      </c>
      <c r="D171" s="38" t="str" cm="1">
        <f t="array" ref="D171">_xlfn.XLOOKUP(A171,INDEX(Weapon_List,,1),INDEX(Weapon_List,,4),,0,1)</f>
        <v>Fontaine 3</v>
      </c>
      <c r="E171" s="38" t="str" cm="1">
        <f t="array" ref="E171">_xlfn.XLOOKUP(A171,INDEX(Weapon_List,,1),INDEX(Weapon_List,,5),,0,1)</f>
        <v>Fontemer Aberrant</v>
      </c>
      <c r="F171" s="38" t="str" cm="1">
        <f t="array" ref="F171">_xlfn.XLOOKUP(A171,INDEX(Weapon_List,,1),INDEX(Weapon_List,,6),,0,1)</f>
        <v>Fatui Operative</v>
      </c>
      <c r="G171" s="19" t="str" cm="1">
        <f t="array" aca="1" ref="G171" ca="1">IF(INDIRECT(_xlfn.CONCAT("'",IF(ISNUMBER(FIND("'",$A171))=TRUE,_xlfn.CONCAT(LEFT($A171,FIND("'",$A171)-1),"''",RIGHT($A171,LEN($A171)-FIND("'",$A171))),$A171),"'!B4"))&gt;=G$2,"d",IF(INDIRECT(_xlfn.CONCAT("'",IF(ISNUMBER(FIND("'",$A171))=TRUE,_xlfn.CONCAT(LEFT($A171,FIND("'",$A171)-1),"''",RIGHT($A171,LEN($A171)-FIND("'",$A171))),$A171),"'!B5"))&gt;=G$2,"i",""))</f>
        <v>d</v>
      </c>
      <c r="H171" s="44" t="str" cm="1">
        <f t="array" aca="1" ref="H171" ca="1">IF(INDIRECT(_xlfn.CONCAT("'",IF(ISNUMBER(FIND("'",$A171))=TRUE,_xlfn.CONCAT(LEFT($A171,FIND("'",$A171)-1),"''",RIGHT($A171,LEN($A171)-FIND("'",$A171))),$A171),"'!B4"))&gt;=H$2,"d",IF(INDIRECT(_xlfn.CONCAT("'",IF(ISNUMBER(FIND("'",$A171))=TRUE,_xlfn.CONCAT(LEFT($A171,FIND("'",$A171)-1),"''",RIGHT($A171,LEN($A171)-FIND("'",$A171))),$A171),"'!B5"))&gt;=H$2,"i",""))</f>
        <v>d</v>
      </c>
      <c r="I171" s="44" t="str" cm="1">
        <f t="array" aca="1" ref="I171" ca="1">IF(INDIRECT(_xlfn.CONCAT("'",IF(ISNUMBER(FIND("'",$A171))=TRUE,_xlfn.CONCAT(LEFT($A171,FIND("'",$A171)-1),"''",RIGHT($A171,LEN($A171)-FIND("'",$A171))),$A171),"'!B4"))&gt;=I$2,"d",IF(INDIRECT(_xlfn.CONCAT("'",IF(ISNUMBER(FIND("'",$A171))=TRUE,_xlfn.CONCAT(LEFT($A171,FIND("'",$A171)-1),"''",RIGHT($A171,LEN($A171)-FIND("'",$A171))),$A171),"'!B5"))&gt;=I$2,"i",""))</f>
        <v>d</v>
      </c>
      <c r="J171" s="44" t="str" cm="1">
        <f t="array" aca="1" ref="J171" ca="1">IF(INDIRECT(_xlfn.CONCAT("'",IF(ISNUMBER(FIND("'",$A171))=TRUE,_xlfn.CONCAT(LEFT($A171,FIND("'",$A171)-1),"''",RIGHT($A171,LEN($A171)-FIND("'",$A171))),$A171),"'!B4"))&gt;=J$2,"d",IF(INDIRECT(_xlfn.CONCAT("'",IF(ISNUMBER(FIND("'",$A171))=TRUE,_xlfn.CONCAT(LEFT($A171,FIND("'",$A171)-1),"''",RIGHT($A171,LEN($A171)-FIND("'",$A171))),$A171),"'!B5"))&gt;=J$2,"i",""))</f>
        <v>d</v>
      </c>
      <c r="K171" s="44" t="str" cm="1">
        <f t="array" aca="1" ref="K171" ca="1">IF(INDIRECT(_xlfn.CONCAT("'",IF(ISNUMBER(FIND("'",$A171))=TRUE,_xlfn.CONCAT(LEFT($A171,FIND("'",$A171)-1),"''",RIGHT($A171,LEN($A171)-FIND("'",$A171))),$A171),"'!B4"))&gt;=K$2,"d",IF(INDIRECT(_xlfn.CONCAT("'",IF(ISNUMBER(FIND("'",$A171))=TRUE,_xlfn.CONCAT(LEFT($A171,FIND("'",$A171)-1),"''",RIGHT($A171,LEN($A171)-FIND("'",$A171))),$A171),"'!B5"))&gt;=K$2,"i",""))</f>
        <v>d</v>
      </c>
      <c r="L171" s="44" t="str" cm="1">
        <f t="array" aca="1" ref="L171" ca="1">IF(INDIRECT(_xlfn.CONCAT("'",IF(ISNUMBER(FIND("'",$A171))=TRUE,_xlfn.CONCAT(LEFT($A171,FIND("'",$A171)-1),"''",RIGHT($A171,LEN($A171)-FIND("'",$A171))),$A171),"'!B4"))&gt;=L$2,"d",IF(INDIRECT(_xlfn.CONCAT("'",IF(ISNUMBER(FIND("'",$A171))=TRUE,_xlfn.CONCAT(LEFT($A171,FIND("'",$A171)-1),"''",RIGHT($A171,LEN($A171)-FIND("'",$A171))),$A171),"'!B5"))&gt;=L$2,"i",""))</f>
        <v>d</v>
      </c>
      <c r="M171" s="45" t="str" cm="1">
        <f t="array" aca="1" ref="M171" ca="1">IF(INDIRECT(_xlfn.CONCAT("'",IF(ISNUMBER(FIND("'",$A171))=TRUE,_xlfn.CONCAT(LEFT($A171,FIND("'",$A171)-1),"''",RIGHT($A171,LEN($A171)-FIND("'",$A171))),$A171),"'!B4"))&gt;=M$2,"d",IF(INDIRECT(_xlfn.CONCAT("'",IF(ISNUMBER(FIND("'",$A171))=TRUE,_xlfn.CONCAT(LEFT($A171,FIND("'",$A171)-1),"''",RIGHT($A171,LEN($A171)-FIND("'",$A171))),$A171),"'!B5"))&gt;=M$2,"i",""))</f>
        <v>d</v>
      </c>
      <c r="N171" s="157"/>
      <c r="O171" s="19" t="str" cm="1">
        <f t="array" aca="1" ref="O171" ca="1">IF(INDIRECT(_xlfn.CONCAT("'",IF(ISNUMBER(FIND("'",$A171))=TRUE,_xlfn.CONCAT(LEFT($A171,FIND("'",$A171)-1),"''",RIGHT($A171,LEN($A171)-FIND("'",$A171))),$A171),"'!C10"))&gt;=O$2,"d",IF(INDIRECT(_xlfn.CONCAT("'",IF(ISNUMBER(FIND("'",$A171))=TRUE,_xlfn.CONCAT(LEFT($A171,FIND("'",$A171)-1),"''",RIGHT($A171,LEN($A171)-FIND("'",$A171))),$A171),"'!C11"))&gt;=O$2,"i",""))</f>
        <v>d</v>
      </c>
      <c r="P171" s="44" t="str" cm="1">
        <f t="array" aca="1" ref="P171" ca="1">IF(INDIRECT(_xlfn.CONCAT("'",IF(ISNUMBER(FIND("'",$A171))=TRUE,_xlfn.CONCAT(LEFT($A171,FIND("'",$A171)-1),"''",RIGHT($A171,LEN($A171)-FIND("'",$A171))),$A171),"'!C10"))&gt;=P$2,"d",IF(INDIRECT(_xlfn.CONCAT("'",IF(ISNUMBER(FIND("'",$A171))=TRUE,_xlfn.CONCAT(LEFT($A171,FIND("'",$A171)-1),"''",RIGHT($A171,LEN($A171)-FIND("'",$A171))),$A171),"'!C11"))&gt;=P$2,"i",""))</f>
        <v>d</v>
      </c>
      <c r="Q171" s="44" t="str" cm="1">
        <f t="array" aca="1" ref="Q171" ca="1">IF(INDIRECT(_xlfn.CONCAT("'",IF(ISNUMBER(FIND("'",$A171))=TRUE,_xlfn.CONCAT(LEFT($A171,FIND("'",$A171)-1),"''",RIGHT($A171,LEN($A171)-FIND("'",$A171))),$A171),"'!C10"))&gt;=Q$2,"d",IF(INDIRECT(_xlfn.CONCAT("'",IF(ISNUMBER(FIND("'",$A171))=TRUE,_xlfn.CONCAT(LEFT($A171,FIND("'",$A171)-1),"''",RIGHT($A171,LEN($A171)-FIND("'",$A171))),$A171),"'!C11"))&gt;=Q$2,"i",""))</f>
        <v>d</v>
      </c>
      <c r="R171" s="44" t="str" cm="1">
        <f t="array" aca="1" ref="R171" ca="1">IF(INDIRECT(_xlfn.CONCAT("'",IF(ISNUMBER(FIND("'",$A171))=TRUE,_xlfn.CONCAT(LEFT($A171,FIND("'",$A171)-1),"''",RIGHT($A171,LEN($A171)-FIND("'",$A171))),$A171),"'!C10"))&gt;=R$2,"d",IF(INDIRECT(_xlfn.CONCAT("'",IF(ISNUMBER(FIND("'",$A171))=TRUE,_xlfn.CONCAT(LEFT($A171,FIND("'",$A171)-1),"''",RIGHT($A171,LEN($A171)-FIND("'",$A171))),$A171),"'!C11"))&gt;=R$2,"i",""))</f>
        <v>d</v>
      </c>
      <c r="S171" s="44" t="str" cm="1">
        <f t="array" aca="1" ref="S171" ca="1">IF(INDIRECT(_xlfn.CONCAT("'",IF(ISNUMBER(FIND("'",$A171))=TRUE,_xlfn.CONCAT(LEFT($A171,FIND("'",$A171)-1),"''",RIGHT($A171,LEN($A171)-FIND("'",$A171))),$A171),"'!C10"))&gt;=S$2,"d",IF(INDIRECT(_xlfn.CONCAT("'",IF(ISNUMBER(FIND("'",$A171))=TRUE,_xlfn.CONCAT(LEFT($A171,FIND("'",$A171)-1),"''",RIGHT($A171,LEN($A171)-FIND("'",$A171))),$A171),"'!C11"))&gt;=S$2,"i",""))</f>
        <v>d</v>
      </c>
      <c r="T171" s="45" t="str" cm="1">
        <f t="array" aca="1" ref="T171" ca="1">IF(INDIRECT(_xlfn.CONCAT("'",IF(ISNUMBER(FIND("'",$A171))=TRUE,_xlfn.CONCAT(LEFT($A171,FIND("'",$A171)-1),"''",RIGHT($A171,LEN($A171)-FIND("'",$A171))),$A171),"'!C10"))&gt;=T$2,"d",IF(INDIRECT(_xlfn.CONCAT("'",IF(ISNUMBER(FIND("'",$A171))=TRUE,_xlfn.CONCAT(LEFT($A171,FIND("'",$A171)-1),"''",RIGHT($A171,LEN($A171)-FIND("'",$A171))),$A171),"'!C11"))&gt;=T$2,"i",""))</f>
        <v>d</v>
      </c>
    </row>
    <row r="172" spans="1:20" hidden="1" x14ac:dyDescent="0.25">
      <c r="A172" s="135" t="str">
        <v>Prospector’s Drill</v>
      </c>
      <c r="B172" s="19" cm="1">
        <f t="array" ref="B172">_xlfn.XLOOKUP(A172,INDEX(Weapon_List,,1),INDEX(Weapon_List,,3),,0,1)</f>
        <v>4</v>
      </c>
      <c r="C172" s="45" t="str" cm="1">
        <f t="array" ref="C172">_xlfn.XLOOKUP(A172,INDEX(Weapon_List,,1),INDEX(Weapon_List,,2),,0,1)</f>
        <v>Polearm</v>
      </c>
      <c r="D172" s="38" t="str" cm="1">
        <f t="array" ref="D172">_xlfn.XLOOKUP(A172,INDEX(Weapon_List,,1),INDEX(Weapon_List,,4),,0,1)</f>
        <v>Fontaine 1</v>
      </c>
      <c r="E172" s="38" t="str" cm="1">
        <f t="array" ref="E172">_xlfn.XLOOKUP(A172,INDEX(Weapon_List,,1),INDEX(Weapon_List,,5),,0,1)</f>
        <v>Clockwork Meka</v>
      </c>
      <c r="F172" s="38" t="str" cm="1">
        <f t="array" ref="F172">_xlfn.XLOOKUP(A172,INDEX(Weapon_List,,1),INDEX(Weapon_List,,6),,0,1)</f>
        <v>Fatui Operative</v>
      </c>
      <c r="G172" s="19" t="str" cm="1">
        <f t="array" aca="1" ref="G172" ca="1">IF(INDIRECT(_xlfn.CONCAT("'",IF(ISNUMBER(FIND("'",$A172))=TRUE,_xlfn.CONCAT(LEFT($A172,FIND("'",$A172)-1),"''",RIGHT($A172,LEN($A172)-FIND("'",$A172))),$A172),"'!B4"))&gt;=G$2,"d",IF(INDIRECT(_xlfn.CONCAT("'",IF(ISNUMBER(FIND("'",$A172))=TRUE,_xlfn.CONCAT(LEFT($A172,FIND("'",$A172)-1),"''",RIGHT($A172,LEN($A172)-FIND("'",$A172))),$A172),"'!B5"))&gt;=G$2,"i",""))</f>
        <v>d</v>
      </c>
      <c r="H172" s="44" t="str" cm="1">
        <f t="array" aca="1" ref="H172" ca="1">IF(INDIRECT(_xlfn.CONCAT("'",IF(ISNUMBER(FIND("'",$A172))=TRUE,_xlfn.CONCAT(LEFT($A172,FIND("'",$A172)-1),"''",RIGHT($A172,LEN($A172)-FIND("'",$A172))),$A172),"'!B4"))&gt;=H$2,"d",IF(INDIRECT(_xlfn.CONCAT("'",IF(ISNUMBER(FIND("'",$A172))=TRUE,_xlfn.CONCAT(LEFT($A172,FIND("'",$A172)-1),"''",RIGHT($A172,LEN($A172)-FIND("'",$A172))),$A172),"'!B5"))&gt;=H$2,"i",""))</f>
        <v>d</v>
      </c>
      <c r="I172" s="44" t="str" cm="1">
        <f t="array" aca="1" ref="I172" ca="1">IF(INDIRECT(_xlfn.CONCAT("'",IF(ISNUMBER(FIND("'",$A172))=TRUE,_xlfn.CONCAT(LEFT($A172,FIND("'",$A172)-1),"''",RIGHT($A172,LEN($A172)-FIND("'",$A172))),$A172),"'!B4"))&gt;=I$2,"d",IF(INDIRECT(_xlfn.CONCAT("'",IF(ISNUMBER(FIND("'",$A172))=TRUE,_xlfn.CONCAT(LEFT($A172,FIND("'",$A172)-1),"''",RIGHT($A172,LEN($A172)-FIND("'",$A172))),$A172),"'!B5"))&gt;=I$2,"i",""))</f>
        <v>d</v>
      </c>
      <c r="J172" s="44" t="str" cm="1">
        <f t="array" aca="1" ref="J172" ca="1">IF(INDIRECT(_xlfn.CONCAT("'",IF(ISNUMBER(FIND("'",$A172))=TRUE,_xlfn.CONCAT(LEFT($A172,FIND("'",$A172)-1),"''",RIGHT($A172,LEN($A172)-FIND("'",$A172))),$A172),"'!B4"))&gt;=J$2,"d",IF(INDIRECT(_xlfn.CONCAT("'",IF(ISNUMBER(FIND("'",$A172))=TRUE,_xlfn.CONCAT(LEFT($A172,FIND("'",$A172)-1),"''",RIGHT($A172,LEN($A172)-FIND("'",$A172))),$A172),"'!B5"))&gt;=J$2,"i",""))</f>
        <v>d</v>
      </c>
      <c r="K172" s="44" t="str" cm="1">
        <f t="array" aca="1" ref="K172" ca="1">IF(INDIRECT(_xlfn.CONCAT("'",IF(ISNUMBER(FIND("'",$A172))=TRUE,_xlfn.CONCAT(LEFT($A172,FIND("'",$A172)-1),"''",RIGHT($A172,LEN($A172)-FIND("'",$A172))),$A172),"'!B4"))&gt;=K$2,"d",IF(INDIRECT(_xlfn.CONCAT("'",IF(ISNUMBER(FIND("'",$A172))=TRUE,_xlfn.CONCAT(LEFT($A172,FIND("'",$A172)-1),"''",RIGHT($A172,LEN($A172)-FIND("'",$A172))),$A172),"'!B5"))&gt;=K$2,"i",""))</f>
        <v>d</v>
      </c>
      <c r="L172" s="44" t="str" cm="1">
        <f t="array" aca="1" ref="L172" ca="1">IF(INDIRECT(_xlfn.CONCAT("'",IF(ISNUMBER(FIND("'",$A172))=TRUE,_xlfn.CONCAT(LEFT($A172,FIND("'",$A172)-1),"''",RIGHT($A172,LEN($A172)-FIND("'",$A172))),$A172),"'!B4"))&gt;=L$2,"d",IF(INDIRECT(_xlfn.CONCAT("'",IF(ISNUMBER(FIND("'",$A172))=TRUE,_xlfn.CONCAT(LEFT($A172,FIND("'",$A172)-1),"''",RIGHT($A172,LEN($A172)-FIND("'",$A172))),$A172),"'!B5"))&gt;=L$2,"i",""))</f>
        <v>d</v>
      </c>
      <c r="M172" s="45" t="str" cm="1">
        <f t="array" aca="1" ref="M172" ca="1">IF(INDIRECT(_xlfn.CONCAT("'",IF(ISNUMBER(FIND("'",$A172))=TRUE,_xlfn.CONCAT(LEFT($A172,FIND("'",$A172)-1),"''",RIGHT($A172,LEN($A172)-FIND("'",$A172))),$A172),"'!B4"))&gt;=M$2,"d",IF(INDIRECT(_xlfn.CONCAT("'",IF(ISNUMBER(FIND("'",$A172))=TRUE,_xlfn.CONCAT(LEFT($A172,FIND("'",$A172)-1),"''",RIGHT($A172,LEN($A172)-FIND("'",$A172))),$A172),"'!B5"))&gt;=M$2,"i",""))</f>
        <v>d</v>
      </c>
      <c r="N172" s="157"/>
      <c r="O172" s="19" t="str" cm="1">
        <f t="array" aca="1" ref="O172" ca="1">IF(INDIRECT(_xlfn.CONCAT("'",IF(ISNUMBER(FIND("'",$A172))=TRUE,_xlfn.CONCAT(LEFT($A172,FIND("'",$A172)-1),"''",RIGHT($A172,LEN($A172)-FIND("'",$A172))),$A172),"'!C10"))&gt;=O$2,"d",IF(INDIRECT(_xlfn.CONCAT("'",IF(ISNUMBER(FIND("'",$A172))=TRUE,_xlfn.CONCAT(LEFT($A172,FIND("'",$A172)-1),"''",RIGHT($A172,LEN($A172)-FIND("'",$A172))),$A172),"'!C11"))&gt;=O$2,"i",""))</f>
        <v>d</v>
      </c>
      <c r="P172" s="44" t="str" cm="1">
        <f t="array" aca="1" ref="P172" ca="1">IF(INDIRECT(_xlfn.CONCAT("'",IF(ISNUMBER(FIND("'",$A172))=TRUE,_xlfn.CONCAT(LEFT($A172,FIND("'",$A172)-1),"''",RIGHT($A172,LEN($A172)-FIND("'",$A172))),$A172),"'!C10"))&gt;=P$2,"d",IF(INDIRECT(_xlfn.CONCAT("'",IF(ISNUMBER(FIND("'",$A172))=TRUE,_xlfn.CONCAT(LEFT($A172,FIND("'",$A172)-1),"''",RIGHT($A172,LEN($A172)-FIND("'",$A172))),$A172),"'!C11"))&gt;=P$2,"i",""))</f>
        <v>d</v>
      </c>
      <c r="Q172" s="44" t="str" cm="1">
        <f t="array" aca="1" ref="Q172" ca="1">IF(INDIRECT(_xlfn.CONCAT("'",IF(ISNUMBER(FIND("'",$A172))=TRUE,_xlfn.CONCAT(LEFT($A172,FIND("'",$A172)-1),"''",RIGHT($A172,LEN($A172)-FIND("'",$A172))),$A172),"'!C10"))&gt;=Q$2,"d",IF(INDIRECT(_xlfn.CONCAT("'",IF(ISNUMBER(FIND("'",$A172))=TRUE,_xlfn.CONCAT(LEFT($A172,FIND("'",$A172)-1),"''",RIGHT($A172,LEN($A172)-FIND("'",$A172))),$A172),"'!C11"))&gt;=Q$2,"i",""))</f>
        <v>d</v>
      </c>
      <c r="R172" s="44" t="str" cm="1">
        <f t="array" aca="1" ref="R172" ca="1">IF(INDIRECT(_xlfn.CONCAT("'",IF(ISNUMBER(FIND("'",$A172))=TRUE,_xlfn.CONCAT(LEFT($A172,FIND("'",$A172)-1),"''",RIGHT($A172,LEN($A172)-FIND("'",$A172))),$A172),"'!C10"))&gt;=R$2,"d",IF(INDIRECT(_xlfn.CONCAT("'",IF(ISNUMBER(FIND("'",$A172))=TRUE,_xlfn.CONCAT(LEFT($A172,FIND("'",$A172)-1),"''",RIGHT($A172,LEN($A172)-FIND("'",$A172))),$A172),"'!C11"))&gt;=R$2,"i",""))</f>
        <v>d</v>
      </c>
      <c r="S172" s="44" t="str" cm="1">
        <f t="array" aca="1" ref="S172" ca="1">IF(INDIRECT(_xlfn.CONCAT("'",IF(ISNUMBER(FIND("'",$A172))=TRUE,_xlfn.CONCAT(LEFT($A172,FIND("'",$A172)-1),"''",RIGHT($A172,LEN($A172)-FIND("'",$A172))),$A172),"'!C10"))&gt;=S$2,"d",IF(INDIRECT(_xlfn.CONCAT("'",IF(ISNUMBER(FIND("'",$A172))=TRUE,_xlfn.CONCAT(LEFT($A172,FIND("'",$A172)-1),"''",RIGHT($A172,LEN($A172)-FIND("'",$A172))),$A172),"'!C11"))&gt;=S$2,"i",""))</f>
        <v>d</v>
      </c>
      <c r="T172" s="45" t="str" cm="1">
        <f t="array" aca="1" ref="T172" ca="1">IF(INDIRECT(_xlfn.CONCAT("'",IF(ISNUMBER(FIND("'",$A172))=TRUE,_xlfn.CONCAT(LEFT($A172,FIND("'",$A172)-1),"''",RIGHT($A172,LEN($A172)-FIND("'",$A172))),$A172),"'!C10"))&gt;=T$2,"d",IF(INDIRECT(_xlfn.CONCAT("'",IF(ISNUMBER(FIND("'",$A172))=TRUE,_xlfn.CONCAT(LEFT($A172,FIND("'",$A172)-1),"''",RIGHT($A172,LEN($A172)-FIND("'",$A172))),$A172),"'!C11"))&gt;=T$2,"i",""))</f>
        <v>d</v>
      </c>
    </row>
    <row r="173" spans="1:20" hidden="1" x14ac:dyDescent="0.25">
      <c r="A173" s="135" t="str">
        <v>Ballad of the Boundless Blue</v>
      </c>
      <c r="B173" s="19" cm="1">
        <f t="array" ref="B173">_xlfn.XLOOKUP(A173,INDEX(Weapon_List,,1),INDEX(Weapon_List,,3),,0,1)</f>
        <v>4</v>
      </c>
      <c r="C173" s="45" t="str" cm="1">
        <f t="array" ref="C173">_xlfn.XLOOKUP(A173,INDEX(Weapon_List,,1),INDEX(Weapon_List,,2),,0,1)</f>
        <v>Catalyst</v>
      </c>
      <c r="D173" s="38" t="str" cm="1">
        <f t="array" ref="D173">_xlfn.XLOOKUP(A173,INDEX(Weapon_List,,1),INDEX(Weapon_List,,4),,0,1)</f>
        <v>Mondstadt 2</v>
      </c>
      <c r="E173" s="38" t="str" cm="1">
        <f t="array" ref="E173">_xlfn.XLOOKUP(A173,INDEX(Weapon_List,,1),INDEX(Weapon_List,,5),,0,1)</f>
        <v>Treasure Hoarder</v>
      </c>
      <c r="F173" s="38" t="str" cm="1">
        <f t="array" ref="F173">_xlfn.XLOOKUP(A173,INDEX(Weapon_List,,1),INDEX(Weapon_List,,6),,0,1)</f>
        <v>Vishap</v>
      </c>
      <c r="G173" s="19" t="str" cm="1">
        <f t="array" aca="1" ref="G173" ca="1">IF(INDIRECT(_xlfn.CONCAT("'",IF(ISNUMBER(FIND("'",$A173))=TRUE,_xlfn.CONCAT(LEFT($A173,FIND("'",$A173)-1),"''",RIGHT($A173,LEN($A173)-FIND("'",$A173))),$A173),"'!B4"))&gt;=G$2,"d",IF(INDIRECT(_xlfn.CONCAT("'",IF(ISNUMBER(FIND("'",$A173))=TRUE,_xlfn.CONCAT(LEFT($A173,FIND("'",$A173)-1),"''",RIGHT($A173,LEN($A173)-FIND("'",$A173))),$A173),"'!B5"))&gt;=G$2,"i",""))</f>
        <v>d</v>
      </c>
      <c r="H173" s="44" t="str" cm="1">
        <f t="array" aca="1" ref="H173" ca="1">IF(INDIRECT(_xlfn.CONCAT("'",IF(ISNUMBER(FIND("'",$A173))=TRUE,_xlfn.CONCAT(LEFT($A173,FIND("'",$A173)-1),"''",RIGHT($A173,LEN($A173)-FIND("'",$A173))),$A173),"'!B4"))&gt;=H$2,"d",IF(INDIRECT(_xlfn.CONCAT("'",IF(ISNUMBER(FIND("'",$A173))=TRUE,_xlfn.CONCAT(LEFT($A173,FIND("'",$A173)-1),"''",RIGHT($A173,LEN($A173)-FIND("'",$A173))),$A173),"'!B5"))&gt;=H$2,"i",""))</f>
        <v>d</v>
      </c>
      <c r="I173" s="44" t="str" cm="1">
        <f t="array" aca="1" ref="I173" ca="1">IF(INDIRECT(_xlfn.CONCAT("'",IF(ISNUMBER(FIND("'",$A173))=TRUE,_xlfn.CONCAT(LEFT($A173,FIND("'",$A173)-1),"''",RIGHT($A173,LEN($A173)-FIND("'",$A173))),$A173),"'!B4"))&gt;=I$2,"d",IF(INDIRECT(_xlfn.CONCAT("'",IF(ISNUMBER(FIND("'",$A173))=TRUE,_xlfn.CONCAT(LEFT($A173,FIND("'",$A173)-1),"''",RIGHT($A173,LEN($A173)-FIND("'",$A173))),$A173),"'!B5"))&gt;=I$2,"i",""))</f>
        <v>d</v>
      </c>
      <c r="J173" s="44" t="str" cm="1">
        <f t="array" aca="1" ref="J173" ca="1">IF(INDIRECT(_xlfn.CONCAT("'",IF(ISNUMBER(FIND("'",$A173))=TRUE,_xlfn.CONCAT(LEFT($A173,FIND("'",$A173)-1),"''",RIGHT($A173,LEN($A173)-FIND("'",$A173))),$A173),"'!B4"))&gt;=J$2,"d",IF(INDIRECT(_xlfn.CONCAT("'",IF(ISNUMBER(FIND("'",$A173))=TRUE,_xlfn.CONCAT(LEFT($A173,FIND("'",$A173)-1),"''",RIGHT($A173,LEN($A173)-FIND("'",$A173))),$A173),"'!B5"))&gt;=J$2,"i",""))</f>
        <v>d</v>
      </c>
      <c r="K173" s="44" t="str" cm="1">
        <f t="array" aca="1" ref="K173" ca="1">IF(INDIRECT(_xlfn.CONCAT("'",IF(ISNUMBER(FIND("'",$A173))=TRUE,_xlfn.CONCAT(LEFT($A173,FIND("'",$A173)-1),"''",RIGHT($A173,LEN($A173)-FIND("'",$A173))),$A173),"'!B4"))&gt;=K$2,"d",IF(INDIRECT(_xlfn.CONCAT("'",IF(ISNUMBER(FIND("'",$A173))=TRUE,_xlfn.CONCAT(LEFT($A173,FIND("'",$A173)-1),"''",RIGHT($A173,LEN($A173)-FIND("'",$A173))),$A173),"'!B5"))&gt;=K$2,"i",""))</f>
        <v>d</v>
      </c>
      <c r="L173" s="44" t="str" cm="1">
        <f t="array" aca="1" ref="L173" ca="1">IF(INDIRECT(_xlfn.CONCAT("'",IF(ISNUMBER(FIND("'",$A173))=TRUE,_xlfn.CONCAT(LEFT($A173,FIND("'",$A173)-1),"''",RIGHT($A173,LEN($A173)-FIND("'",$A173))),$A173),"'!B4"))&gt;=L$2,"d",IF(INDIRECT(_xlfn.CONCAT("'",IF(ISNUMBER(FIND("'",$A173))=TRUE,_xlfn.CONCAT(LEFT($A173,FIND("'",$A173)-1),"''",RIGHT($A173,LEN($A173)-FIND("'",$A173))),$A173),"'!B5"))&gt;=L$2,"i",""))</f>
        <v>d</v>
      </c>
      <c r="M173" s="45" t="str" cm="1">
        <f t="array" aca="1" ref="M173" ca="1">IF(INDIRECT(_xlfn.CONCAT("'",IF(ISNUMBER(FIND("'",$A173))=TRUE,_xlfn.CONCAT(LEFT($A173,FIND("'",$A173)-1),"''",RIGHT($A173,LEN($A173)-FIND("'",$A173))),$A173),"'!B4"))&gt;=M$2,"d",IF(INDIRECT(_xlfn.CONCAT("'",IF(ISNUMBER(FIND("'",$A173))=TRUE,_xlfn.CONCAT(LEFT($A173,FIND("'",$A173)-1),"''",RIGHT($A173,LEN($A173)-FIND("'",$A173))),$A173),"'!B5"))&gt;=M$2,"i",""))</f>
        <v>d</v>
      </c>
      <c r="N173" s="157"/>
      <c r="O173" s="19" t="str" cm="1">
        <f t="array" aca="1" ref="O173" ca="1">IF(INDIRECT(_xlfn.CONCAT("'",IF(ISNUMBER(FIND("'",$A173))=TRUE,_xlfn.CONCAT(LEFT($A173,FIND("'",$A173)-1),"''",RIGHT($A173,LEN($A173)-FIND("'",$A173))),$A173),"'!C10"))&gt;=O$2,"d",IF(INDIRECT(_xlfn.CONCAT("'",IF(ISNUMBER(FIND("'",$A173))=TRUE,_xlfn.CONCAT(LEFT($A173,FIND("'",$A173)-1),"''",RIGHT($A173,LEN($A173)-FIND("'",$A173))),$A173),"'!C11"))&gt;=O$2,"i",""))</f>
        <v>d</v>
      </c>
      <c r="P173" s="44" t="str" cm="1">
        <f t="array" aca="1" ref="P173" ca="1">IF(INDIRECT(_xlfn.CONCAT("'",IF(ISNUMBER(FIND("'",$A173))=TRUE,_xlfn.CONCAT(LEFT($A173,FIND("'",$A173)-1),"''",RIGHT($A173,LEN($A173)-FIND("'",$A173))),$A173),"'!C10"))&gt;=P$2,"d",IF(INDIRECT(_xlfn.CONCAT("'",IF(ISNUMBER(FIND("'",$A173))=TRUE,_xlfn.CONCAT(LEFT($A173,FIND("'",$A173)-1),"''",RIGHT($A173,LEN($A173)-FIND("'",$A173))),$A173),"'!C11"))&gt;=P$2,"i",""))</f>
        <v>d</v>
      </c>
      <c r="Q173" s="44" t="str" cm="1">
        <f t="array" aca="1" ref="Q173" ca="1">IF(INDIRECT(_xlfn.CONCAT("'",IF(ISNUMBER(FIND("'",$A173))=TRUE,_xlfn.CONCAT(LEFT($A173,FIND("'",$A173)-1),"''",RIGHT($A173,LEN($A173)-FIND("'",$A173))),$A173),"'!C10"))&gt;=Q$2,"d",IF(INDIRECT(_xlfn.CONCAT("'",IF(ISNUMBER(FIND("'",$A173))=TRUE,_xlfn.CONCAT(LEFT($A173,FIND("'",$A173)-1),"''",RIGHT($A173,LEN($A173)-FIND("'",$A173))),$A173),"'!C11"))&gt;=Q$2,"i",""))</f>
        <v>d</v>
      </c>
      <c r="R173" s="44" t="str" cm="1">
        <f t="array" aca="1" ref="R173" ca="1">IF(INDIRECT(_xlfn.CONCAT("'",IF(ISNUMBER(FIND("'",$A173))=TRUE,_xlfn.CONCAT(LEFT($A173,FIND("'",$A173)-1),"''",RIGHT($A173,LEN($A173)-FIND("'",$A173))),$A173),"'!C10"))&gt;=R$2,"d",IF(INDIRECT(_xlfn.CONCAT("'",IF(ISNUMBER(FIND("'",$A173))=TRUE,_xlfn.CONCAT(LEFT($A173,FIND("'",$A173)-1),"''",RIGHT($A173,LEN($A173)-FIND("'",$A173))),$A173),"'!C11"))&gt;=R$2,"i",""))</f>
        <v>d</v>
      </c>
      <c r="S173" s="44" t="str" cm="1">
        <f t="array" aca="1" ref="S173" ca="1">IF(INDIRECT(_xlfn.CONCAT("'",IF(ISNUMBER(FIND("'",$A173))=TRUE,_xlfn.CONCAT(LEFT($A173,FIND("'",$A173)-1),"''",RIGHT($A173,LEN($A173)-FIND("'",$A173))),$A173),"'!C10"))&gt;=S$2,"d",IF(INDIRECT(_xlfn.CONCAT("'",IF(ISNUMBER(FIND("'",$A173))=TRUE,_xlfn.CONCAT(LEFT($A173,FIND("'",$A173)-1),"''",RIGHT($A173,LEN($A173)-FIND("'",$A173))),$A173),"'!C11"))&gt;=S$2,"i",""))</f>
        <v>d</v>
      </c>
      <c r="T173" s="45" t="str" cm="1">
        <f t="array" aca="1" ref="T173" ca="1">IF(INDIRECT(_xlfn.CONCAT("'",IF(ISNUMBER(FIND("'",$A173))=TRUE,_xlfn.CONCAT(LEFT($A173,FIND("'",$A173)-1),"''",RIGHT($A173,LEN($A173)-FIND("'",$A173))),$A173),"'!C10"))&gt;=T$2,"d",IF(INDIRECT(_xlfn.CONCAT("'",IF(ISNUMBER(FIND("'",$A173))=TRUE,_xlfn.CONCAT(LEFT($A173,FIND("'",$A173)-1),"''",RIGHT($A173,LEN($A173)-FIND("'",$A173))),$A173),"'!C11"))&gt;=T$2,"i",""))</f>
        <v>d</v>
      </c>
    </row>
    <row r="174" spans="1:20" hidden="1" x14ac:dyDescent="0.25">
      <c r="A174" s="135" t="str">
        <v>Range Gauge</v>
      </c>
      <c r="B174" s="19" cm="1">
        <f t="array" ref="B174">_xlfn.XLOOKUP(A174,INDEX(Weapon_List,,1),INDEX(Weapon_List,,3),,0,1)</f>
        <v>4</v>
      </c>
      <c r="C174" s="45" t="str" cm="1">
        <f t="array" ref="C174">_xlfn.XLOOKUP(A174,INDEX(Weapon_List,,1),INDEX(Weapon_List,,2),,0,1)</f>
        <v>Bow</v>
      </c>
      <c r="D174" s="38" t="str" cm="1">
        <f t="array" ref="D174">_xlfn.XLOOKUP(A174,INDEX(Weapon_List,,1),INDEX(Weapon_List,,4),,0,1)</f>
        <v>Fontaine 1</v>
      </c>
      <c r="E174" s="38" t="str" cm="1">
        <f t="array" ref="E174">_xlfn.XLOOKUP(A174,INDEX(Weapon_List,,1),INDEX(Weapon_List,,5),,0,1)</f>
        <v>Fontemer Aberrant</v>
      </c>
      <c r="F174" s="38" t="str" cm="1">
        <f t="array" ref="F174">_xlfn.XLOOKUP(A174,INDEX(Weapon_List,,1),INDEX(Weapon_List,,6),,0,1)</f>
        <v>Tainted Hydro Phantasm</v>
      </c>
      <c r="G174" s="19" t="str" cm="1">
        <f t="array" aca="1" ref="G174" ca="1">IF(INDIRECT(_xlfn.CONCAT("'",IF(ISNUMBER(FIND("'",$A174))=TRUE,_xlfn.CONCAT(LEFT($A174,FIND("'",$A174)-1),"''",RIGHT($A174,LEN($A174)-FIND("'",$A174))),$A174),"'!B4"))&gt;=G$2,"d",IF(INDIRECT(_xlfn.CONCAT("'",IF(ISNUMBER(FIND("'",$A174))=TRUE,_xlfn.CONCAT(LEFT($A174,FIND("'",$A174)-1),"''",RIGHT($A174,LEN($A174)-FIND("'",$A174))),$A174),"'!B5"))&gt;=G$2,"i",""))</f>
        <v>d</v>
      </c>
      <c r="H174" s="44" t="str" cm="1">
        <f t="array" aca="1" ref="H174" ca="1">IF(INDIRECT(_xlfn.CONCAT("'",IF(ISNUMBER(FIND("'",$A174))=TRUE,_xlfn.CONCAT(LEFT($A174,FIND("'",$A174)-1),"''",RIGHT($A174,LEN($A174)-FIND("'",$A174))),$A174),"'!B4"))&gt;=H$2,"d",IF(INDIRECT(_xlfn.CONCAT("'",IF(ISNUMBER(FIND("'",$A174))=TRUE,_xlfn.CONCAT(LEFT($A174,FIND("'",$A174)-1),"''",RIGHT($A174,LEN($A174)-FIND("'",$A174))),$A174),"'!B5"))&gt;=H$2,"i",""))</f>
        <v>d</v>
      </c>
      <c r="I174" s="44" t="str" cm="1">
        <f t="array" aca="1" ref="I174" ca="1">IF(INDIRECT(_xlfn.CONCAT("'",IF(ISNUMBER(FIND("'",$A174))=TRUE,_xlfn.CONCAT(LEFT($A174,FIND("'",$A174)-1),"''",RIGHT($A174,LEN($A174)-FIND("'",$A174))),$A174),"'!B4"))&gt;=I$2,"d",IF(INDIRECT(_xlfn.CONCAT("'",IF(ISNUMBER(FIND("'",$A174))=TRUE,_xlfn.CONCAT(LEFT($A174,FIND("'",$A174)-1),"''",RIGHT($A174,LEN($A174)-FIND("'",$A174))),$A174),"'!B5"))&gt;=I$2,"i",""))</f>
        <v>d</v>
      </c>
      <c r="J174" s="44" t="str" cm="1">
        <f t="array" aca="1" ref="J174" ca="1">IF(INDIRECT(_xlfn.CONCAT("'",IF(ISNUMBER(FIND("'",$A174))=TRUE,_xlfn.CONCAT(LEFT($A174,FIND("'",$A174)-1),"''",RIGHT($A174,LEN($A174)-FIND("'",$A174))),$A174),"'!B4"))&gt;=J$2,"d",IF(INDIRECT(_xlfn.CONCAT("'",IF(ISNUMBER(FIND("'",$A174))=TRUE,_xlfn.CONCAT(LEFT($A174,FIND("'",$A174)-1),"''",RIGHT($A174,LEN($A174)-FIND("'",$A174))),$A174),"'!B5"))&gt;=J$2,"i",""))</f>
        <v>d</v>
      </c>
      <c r="K174" s="44" t="str" cm="1">
        <f t="array" aca="1" ref="K174" ca="1">IF(INDIRECT(_xlfn.CONCAT("'",IF(ISNUMBER(FIND("'",$A174))=TRUE,_xlfn.CONCAT(LEFT($A174,FIND("'",$A174)-1),"''",RIGHT($A174,LEN($A174)-FIND("'",$A174))),$A174),"'!B4"))&gt;=K$2,"d",IF(INDIRECT(_xlfn.CONCAT("'",IF(ISNUMBER(FIND("'",$A174))=TRUE,_xlfn.CONCAT(LEFT($A174,FIND("'",$A174)-1),"''",RIGHT($A174,LEN($A174)-FIND("'",$A174))),$A174),"'!B5"))&gt;=K$2,"i",""))</f>
        <v>d</v>
      </c>
      <c r="L174" s="44" t="str" cm="1">
        <f t="array" aca="1" ref="L174" ca="1">IF(INDIRECT(_xlfn.CONCAT("'",IF(ISNUMBER(FIND("'",$A174))=TRUE,_xlfn.CONCAT(LEFT($A174,FIND("'",$A174)-1),"''",RIGHT($A174,LEN($A174)-FIND("'",$A174))),$A174),"'!B4"))&gt;=L$2,"d",IF(INDIRECT(_xlfn.CONCAT("'",IF(ISNUMBER(FIND("'",$A174))=TRUE,_xlfn.CONCAT(LEFT($A174,FIND("'",$A174)-1),"''",RIGHT($A174,LEN($A174)-FIND("'",$A174))),$A174),"'!B5"))&gt;=L$2,"i",""))</f>
        <v>d</v>
      </c>
      <c r="M174" s="45" t="str" cm="1">
        <f t="array" aca="1" ref="M174" ca="1">IF(INDIRECT(_xlfn.CONCAT("'",IF(ISNUMBER(FIND("'",$A174))=TRUE,_xlfn.CONCAT(LEFT($A174,FIND("'",$A174)-1),"''",RIGHT($A174,LEN($A174)-FIND("'",$A174))),$A174),"'!B4"))&gt;=M$2,"d",IF(INDIRECT(_xlfn.CONCAT("'",IF(ISNUMBER(FIND("'",$A174))=TRUE,_xlfn.CONCAT(LEFT($A174,FIND("'",$A174)-1),"''",RIGHT($A174,LEN($A174)-FIND("'",$A174))),$A174),"'!B5"))&gt;=M$2,"i",""))</f>
        <v>d</v>
      </c>
      <c r="N174" s="157"/>
      <c r="O174" s="19" t="str" cm="1">
        <f t="array" aca="1" ref="O174" ca="1">IF(INDIRECT(_xlfn.CONCAT("'",IF(ISNUMBER(FIND("'",$A174))=TRUE,_xlfn.CONCAT(LEFT($A174,FIND("'",$A174)-1),"''",RIGHT($A174,LEN($A174)-FIND("'",$A174))),$A174),"'!C10"))&gt;=O$2,"d",IF(INDIRECT(_xlfn.CONCAT("'",IF(ISNUMBER(FIND("'",$A174))=TRUE,_xlfn.CONCAT(LEFT($A174,FIND("'",$A174)-1),"''",RIGHT($A174,LEN($A174)-FIND("'",$A174))),$A174),"'!C11"))&gt;=O$2,"i",""))</f>
        <v>d</v>
      </c>
      <c r="P174" s="44" t="str" cm="1">
        <f t="array" aca="1" ref="P174" ca="1">IF(INDIRECT(_xlfn.CONCAT("'",IF(ISNUMBER(FIND("'",$A174))=TRUE,_xlfn.CONCAT(LEFT($A174,FIND("'",$A174)-1),"''",RIGHT($A174,LEN($A174)-FIND("'",$A174))),$A174),"'!C10"))&gt;=P$2,"d",IF(INDIRECT(_xlfn.CONCAT("'",IF(ISNUMBER(FIND("'",$A174))=TRUE,_xlfn.CONCAT(LEFT($A174,FIND("'",$A174)-1),"''",RIGHT($A174,LEN($A174)-FIND("'",$A174))),$A174),"'!C11"))&gt;=P$2,"i",""))</f>
        <v>d</v>
      </c>
      <c r="Q174" s="44" t="str" cm="1">
        <f t="array" aca="1" ref="Q174" ca="1">IF(INDIRECT(_xlfn.CONCAT("'",IF(ISNUMBER(FIND("'",$A174))=TRUE,_xlfn.CONCAT(LEFT($A174,FIND("'",$A174)-1),"''",RIGHT($A174,LEN($A174)-FIND("'",$A174))),$A174),"'!C10"))&gt;=Q$2,"d",IF(INDIRECT(_xlfn.CONCAT("'",IF(ISNUMBER(FIND("'",$A174))=TRUE,_xlfn.CONCAT(LEFT($A174,FIND("'",$A174)-1),"''",RIGHT($A174,LEN($A174)-FIND("'",$A174))),$A174),"'!C11"))&gt;=Q$2,"i",""))</f>
        <v>d</v>
      </c>
      <c r="R174" s="44" t="str" cm="1">
        <f t="array" aca="1" ref="R174" ca="1">IF(INDIRECT(_xlfn.CONCAT("'",IF(ISNUMBER(FIND("'",$A174))=TRUE,_xlfn.CONCAT(LEFT($A174,FIND("'",$A174)-1),"''",RIGHT($A174,LEN($A174)-FIND("'",$A174))),$A174),"'!C10"))&gt;=R$2,"d",IF(INDIRECT(_xlfn.CONCAT("'",IF(ISNUMBER(FIND("'",$A174))=TRUE,_xlfn.CONCAT(LEFT($A174,FIND("'",$A174)-1),"''",RIGHT($A174,LEN($A174)-FIND("'",$A174))),$A174),"'!C11"))&gt;=R$2,"i",""))</f>
        <v>d</v>
      </c>
      <c r="S174" s="44" t="str" cm="1">
        <f t="array" aca="1" ref="S174" ca="1">IF(INDIRECT(_xlfn.CONCAT("'",IF(ISNUMBER(FIND("'",$A174))=TRUE,_xlfn.CONCAT(LEFT($A174,FIND("'",$A174)-1),"''",RIGHT($A174,LEN($A174)-FIND("'",$A174))),$A174),"'!C10"))&gt;=S$2,"d",IF(INDIRECT(_xlfn.CONCAT("'",IF(ISNUMBER(FIND("'",$A174))=TRUE,_xlfn.CONCAT(LEFT($A174,FIND("'",$A174)-1),"''",RIGHT($A174,LEN($A174)-FIND("'",$A174))),$A174),"'!C11"))&gt;=S$2,"i",""))</f>
        <v>d</v>
      </c>
      <c r="T174" s="45" t="str" cm="1">
        <f t="array" aca="1" ref="T174" ca="1">IF(INDIRECT(_xlfn.CONCAT("'",IF(ISNUMBER(FIND("'",$A174))=TRUE,_xlfn.CONCAT(LEFT($A174,FIND("'",$A174)-1),"''",RIGHT($A174,LEN($A174)-FIND("'",$A174))),$A174),"'!C10"))&gt;=T$2,"d",IF(INDIRECT(_xlfn.CONCAT("'",IF(ISNUMBER(FIND("'",$A174))=TRUE,_xlfn.CONCAT(LEFT($A174,FIND("'",$A174)-1),"''",RIGHT($A174,LEN($A174)-FIND("'",$A174))),$A174),"'!C11"))&gt;=T$2,"i",""))</f>
        <v>d</v>
      </c>
    </row>
    <row r="175" spans="1:20" hidden="1" x14ac:dyDescent="0.25">
      <c r="A175" s="135" t="str">
        <v>Splendor of Tranquil Waters</v>
      </c>
      <c r="B175" s="19" cm="1">
        <f t="array" ref="B175">_xlfn.XLOOKUP(A175,INDEX(Weapon_List,,1),INDEX(Weapon_List,,3),,0,1)</f>
        <v>5</v>
      </c>
      <c r="C175" s="45" t="str" cm="1">
        <f t="array" ref="C175">_xlfn.XLOOKUP(A175,INDEX(Weapon_List,,1),INDEX(Weapon_List,,2),,0,1)</f>
        <v>Sword</v>
      </c>
      <c r="D175" s="38" t="str" cm="1">
        <f t="array" ref="D175">_xlfn.XLOOKUP(A175,INDEX(Weapon_List,,1),INDEX(Weapon_List,,4),,0,1)</f>
        <v>Fontaine 2</v>
      </c>
      <c r="E175" s="38" t="str" cm="1">
        <f t="array" ref="E175">_xlfn.XLOOKUP(A175,INDEX(Weapon_List,,1),INDEX(Weapon_List,,5),,0,1)</f>
        <v>Fontemer Aberrant</v>
      </c>
      <c r="F175" s="38" t="str" cm="1">
        <f t="array" ref="F175">_xlfn.XLOOKUP(A175,INDEX(Weapon_List,,1),INDEX(Weapon_List,,6),,0,1)</f>
        <v>Tainted Hydro Phantasm</v>
      </c>
      <c r="G175" s="19" t="str" cm="1">
        <f t="array" aca="1" ref="G175" ca="1">IF(INDIRECT(_xlfn.CONCAT("'",IF(ISNUMBER(FIND("'",$A175))=TRUE,_xlfn.CONCAT(LEFT($A175,FIND("'",$A175)-1),"''",RIGHT($A175,LEN($A175)-FIND("'",$A175))),$A175),"'!B4"))&gt;=G$2,"d",IF(INDIRECT(_xlfn.CONCAT("'",IF(ISNUMBER(FIND("'",$A175))=TRUE,_xlfn.CONCAT(LEFT($A175,FIND("'",$A175)-1),"''",RIGHT($A175,LEN($A175)-FIND("'",$A175))),$A175),"'!B5"))&gt;=G$2,"i",""))</f>
        <v>d</v>
      </c>
      <c r="H175" s="44" t="str" cm="1">
        <f t="array" aca="1" ref="H175" ca="1">IF(INDIRECT(_xlfn.CONCAT("'",IF(ISNUMBER(FIND("'",$A175))=TRUE,_xlfn.CONCAT(LEFT($A175,FIND("'",$A175)-1),"''",RIGHT($A175,LEN($A175)-FIND("'",$A175))),$A175),"'!B4"))&gt;=H$2,"d",IF(INDIRECT(_xlfn.CONCAT("'",IF(ISNUMBER(FIND("'",$A175))=TRUE,_xlfn.CONCAT(LEFT($A175,FIND("'",$A175)-1),"''",RIGHT($A175,LEN($A175)-FIND("'",$A175))),$A175),"'!B5"))&gt;=H$2,"i",""))</f>
        <v>d</v>
      </c>
      <c r="I175" s="44" t="str" cm="1">
        <f t="array" aca="1" ref="I175" ca="1">IF(INDIRECT(_xlfn.CONCAT("'",IF(ISNUMBER(FIND("'",$A175))=TRUE,_xlfn.CONCAT(LEFT($A175,FIND("'",$A175)-1),"''",RIGHT($A175,LEN($A175)-FIND("'",$A175))),$A175),"'!B4"))&gt;=I$2,"d",IF(INDIRECT(_xlfn.CONCAT("'",IF(ISNUMBER(FIND("'",$A175))=TRUE,_xlfn.CONCAT(LEFT($A175,FIND("'",$A175)-1),"''",RIGHT($A175,LEN($A175)-FIND("'",$A175))),$A175),"'!B5"))&gt;=I$2,"i",""))</f>
        <v>d</v>
      </c>
      <c r="J175" s="44" t="str" cm="1">
        <f t="array" aca="1" ref="J175" ca="1">IF(INDIRECT(_xlfn.CONCAT("'",IF(ISNUMBER(FIND("'",$A175))=TRUE,_xlfn.CONCAT(LEFT($A175,FIND("'",$A175)-1),"''",RIGHT($A175,LEN($A175)-FIND("'",$A175))),$A175),"'!B4"))&gt;=J$2,"d",IF(INDIRECT(_xlfn.CONCAT("'",IF(ISNUMBER(FIND("'",$A175))=TRUE,_xlfn.CONCAT(LEFT($A175,FIND("'",$A175)-1),"''",RIGHT($A175,LEN($A175)-FIND("'",$A175))),$A175),"'!B5"))&gt;=J$2,"i",""))</f>
        <v>d</v>
      </c>
      <c r="K175" s="44" t="str" cm="1">
        <f t="array" aca="1" ref="K175" ca="1">IF(INDIRECT(_xlfn.CONCAT("'",IF(ISNUMBER(FIND("'",$A175))=TRUE,_xlfn.CONCAT(LEFT($A175,FIND("'",$A175)-1),"''",RIGHT($A175,LEN($A175)-FIND("'",$A175))),$A175),"'!B4"))&gt;=K$2,"d",IF(INDIRECT(_xlfn.CONCAT("'",IF(ISNUMBER(FIND("'",$A175))=TRUE,_xlfn.CONCAT(LEFT($A175,FIND("'",$A175)-1),"''",RIGHT($A175,LEN($A175)-FIND("'",$A175))),$A175),"'!B5"))&gt;=K$2,"i",""))</f>
        <v>d</v>
      </c>
      <c r="L175" s="44" t="str" cm="1">
        <f t="array" aca="1" ref="L175" ca="1">IF(INDIRECT(_xlfn.CONCAT("'",IF(ISNUMBER(FIND("'",$A175))=TRUE,_xlfn.CONCAT(LEFT($A175,FIND("'",$A175)-1),"''",RIGHT($A175,LEN($A175)-FIND("'",$A175))),$A175),"'!B4"))&gt;=L$2,"d",IF(INDIRECT(_xlfn.CONCAT("'",IF(ISNUMBER(FIND("'",$A175))=TRUE,_xlfn.CONCAT(LEFT($A175,FIND("'",$A175)-1),"''",RIGHT($A175,LEN($A175)-FIND("'",$A175))),$A175),"'!B5"))&gt;=L$2,"i",""))</f>
        <v>d</v>
      </c>
      <c r="M175" s="45" t="str" cm="1">
        <f t="array" aca="1" ref="M175" ca="1">IF(INDIRECT(_xlfn.CONCAT("'",IF(ISNUMBER(FIND("'",$A175))=TRUE,_xlfn.CONCAT(LEFT($A175,FIND("'",$A175)-1),"''",RIGHT($A175,LEN($A175)-FIND("'",$A175))),$A175),"'!B4"))&gt;=M$2,"d",IF(INDIRECT(_xlfn.CONCAT("'",IF(ISNUMBER(FIND("'",$A175))=TRUE,_xlfn.CONCAT(LEFT($A175,FIND("'",$A175)-1),"''",RIGHT($A175,LEN($A175)-FIND("'",$A175))),$A175),"'!B5"))&gt;=M$2,"i",""))</f>
        <v>d</v>
      </c>
      <c r="N175" s="157"/>
      <c r="O175" s="19" t="str" cm="1">
        <f t="array" aca="1" ref="O175" ca="1">IF(INDIRECT(_xlfn.CONCAT("'",IF(ISNUMBER(FIND("'",$A175))=TRUE,_xlfn.CONCAT(LEFT($A175,FIND("'",$A175)-1),"''",RIGHT($A175,LEN($A175)-FIND("'",$A175))),$A175),"'!C10"))&gt;=O$2,"d",IF(INDIRECT(_xlfn.CONCAT("'",IF(ISNUMBER(FIND("'",$A175))=TRUE,_xlfn.CONCAT(LEFT($A175,FIND("'",$A175)-1),"''",RIGHT($A175,LEN($A175)-FIND("'",$A175))),$A175),"'!C11"))&gt;=O$2,"i",""))</f>
        <v>d</v>
      </c>
      <c r="P175" s="44" t="str" cm="1">
        <f t="array" aca="1" ref="P175" ca="1">IF(INDIRECT(_xlfn.CONCAT("'",IF(ISNUMBER(FIND("'",$A175))=TRUE,_xlfn.CONCAT(LEFT($A175,FIND("'",$A175)-1),"''",RIGHT($A175,LEN($A175)-FIND("'",$A175))),$A175),"'!C10"))&gt;=P$2,"d",IF(INDIRECT(_xlfn.CONCAT("'",IF(ISNUMBER(FIND("'",$A175))=TRUE,_xlfn.CONCAT(LEFT($A175,FIND("'",$A175)-1),"''",RIGHT($A175,LEN($A175)-FIND("'",$A175))),$A175),"'!C11"))&gt;=P$2,"i",""))</f>
        <v>d</v>
      </c>
      <c r="Q175" s="44" t="str" cm="1">
        <f t="array" aca="1" ref="Q175" ca="1">IF(INDIRECT(_xlfn.CONCAT("'",IF(ISNUMBER(FIND("'",$A175))=TRUE,_xlfn.CONCAT(LEFT($A175,FIND("'",$A175)-1),"''",RIGHT($A175,LEN($A175)-FIND("'",$A175))),$A175),"'!C10"))&gt;=Q$2,"d",IF(INDIRECT(_xlfn.CONCAT("'",IF(ISNUMBER(FIND("'",$A175))=TRUE,_xlfn.CONCAT(LEFT($A175,FIND("'",$A175)-1),"''",RIGHT($A175,LEN($A175)-FIND("'",$A175))),$A175),"'!C11"))&gt;=Q$2,"i",""))</f>
        <v>d</v>
      </c>
      <c r="R175" s="44" t="str" cm="1">
        <f t="array" aca="1" ref="R175" ca="1">IF(INDIRECT(_xlfn.CONCAT("'",IF(ISNUMBER(FIND("'",$A175))=TRUE,_xlfn.CONCAT(LEFT($A175,FIND("'",$A175)-1),"''",RIGHT($A175,LEN($A175)-FIND("'",$A175))),$A175),"'!C10"))&gt;=R$2,"d",IF(INDIRECT(_xlfn.CONCAT("'",IF(ISNUMBER(FIND("'",$A175))=TRUE,_xlfn.CONCAT(LEFT($A175,FIND("'",$A175)-1),"''",RIGHT($A175,LEN($A175)-FIND("'",$A175))),$A175),"'!C11"))&gt;=R$2,"i",""))</f>
        <v>d</v>
      </c>
      <c r="S175" s="44" t="str" cm="1">
        <f t="array" aca="1" ref="S175" ca="1">IF(INDIRECT(_xlfn.CONCAT("'",IF(ISNUMBER(FIND("'",$A175))=TRUE,_xlfn.CONCAT(LEFT($A175,FIND("'",$A175)-1),"''",RIGHT($A175,LEN($A175)-FIND("'",$A175))),$A175),"'!C10"))&gt;=S$2,"d",IF(INDIRECT(_xlfn.CONCAT("'",IF(ISNUMBER(FIND("'",$A175))=TRUE,_xlfn.CONCAT(LEFT($A175,FIND("'",$A175)-1),"''",RIGHT($A175,LEN($A175)-FIND("'",$A175))),$A175),"'!C11"))&gt;=S$2,"i",""))</f>
        <v>d</v>
      </c>
      <c r="T175" s="45" t="str" cm="1">
        <f t="array" aca="1" ref="T175" ca="1">IF(INDIRECT(_xlfn.CONCAT("'",IF(ISNUMBER(FIND("'",$A175))=TRUE,_xlfn.CONCAT(LEFT($A175,FIND("'",$A175)-1),"''",RIGHT($A175,LEN($A175)-FIND("'",$A175))),$A175),"'!C10"))&gt;=T$2,"d",IF(INDIRECT(_xlfn.CONCAT("'",IF(ISNUMBER(FIND("'",$A175))=TRUE,_xlfn.CONCAT(LEFT($A175,FIND("'",$A175)-1),"''",RIGHT($A175,LEN($A175)-FIND("'",$A175))),$A175),"'!C11"))&gt;=T$2,"i",""))</f>
        <v>d</v>
      </c>
    </row>
    <row r="176" spans="1:20" hidden="1" x14ac:dyDescent="0.25">
      <c r="A176" s="135" t="str">
        <v>Sword of Narzissenkreuz</v>
      </c>
      <c r="B176" s="19" cm="1">
        <f t="array" ref="B176">_xlfn.XLOOKUP(A176,INDEX(Weapon_List,,1),INDEX(Weapon_List,,3),,0,1)</f>
        <v>4</v>
      </c>
      <c r="C176" s="45" t="str" cm="1">
        <f t="array" ref="C176">_xlfn.XLOOKUP(A176,INDEX(Weapon_List,,1),INDEX(Weapon_List,,2),,0,1)</f>
        <v>Sword</v>
      </c>
      <c r="D176" s="38" t="str" cm="1">
        <f t="array" ref="D176">_xlfn.XLOOKUP(A176,INDEX(Weapon_List,,1),INDEX(Weapon_List,,4),,0,1)</f>
        <v>Fontaine 1</v>
      </c>
      <c r="E176" s="38" t="str" cm="1">
        <f t="array" ref="E176">_xlfn.XLOOKUP(A176,INDEX(Weapon_List,,1),INDEX(Weapon_List,,5),,0,1)</f>
        <v>Fontemer Aberrant</v>
      </c>
      <c r="F176" s="38" t="str" cm="1">
        <f t="array" ref="F176">_xlfn.XLOOKUP(A176,INDEX(Weapon_List,,1),INDEX(Weapon_List,,6),,0,1)</f>
        <v>Fatui Operative</v>
      </c>
      <c r="G176" s="19" t="str" cm="1">
        <f t="array" aca="1" ref="G176" ca="1">IF(INDIRECT(_xlfn.CONCAT("'",IF(ISNUMBER(FIND("'",$A176))=TRUE,_xlfn.CONCAT(LEFT($A176,FIND("'",$A176)-1),"''",RIGHT($A176,LEN($A176)-FIND("'",$A176))),$A176),"'!B4"))&gt;=G$2,"d",IF(INDIRECT(_xlfn.CONCAT("'",IF(ISNUMBER(FIND("'",$A176))=TRUE,_xlfn.CONCAT(LEFT($A176,FIND("'",$A176)-1),"''",RIGHT($A176,LEN($A176)-FIND("'",$A176))),$A176),"'!B5"))&gt;=G$2,"i",""))</f>
        <v>d</v>
      </c>
      <c r="H176" s="44" t="str" cm="1">
        <f t="array" aca="1" ref="H176" ca="1">IF(INDIRECT(_xlfn.CONCAT("'",IF(ISNUMBER(FIND("'",$A176))=TRUE,_xlfn.CONCAT(LEFT($A176,FIND("'",$A176)-1),"''",RIGHT($A176,LEN($A176)-FIND("'",$A176))),$A176),"'!B4"))&gt;=H$2,"d",IF(INDIRECT(_xlfn.CONCAT("'",IF(ISNUMBER(FIND("'",$A176))=TRUE,_xlfn.CONCAT(LEFT($A176,FIND("'",$A176)-1),"''",RIGHT($A176,LEN($A176)-FIND("'",$A176))),$A176),"'!B5"))&gt;=H$2,"i",""))</f>
        <v>d</v>
      </c>
      <c r="I176" s="44" t="str" cm="1">
        <f t="array" aca="1" ref="I176" ca="1">IF(INDIRECT(_xlfn.CONCAT("'",IF(ISNUMBER(FIND("'",$A176))=TRUE,_xlfn.CONCAT(LEFT($A176,FIND("'",$A176)-1),"''",RIGHT($A176,LEN($A176)-FIND("'",$A176))),$A176),"'!B4"))&gt;=I$2,"d",IF(INDIRECT(_xlfn.CONCAT("'",IF(ISNUMBER(FIND("'",$A176))=TRUE,_xlfn.CONCAT(LEFT($A176,FIND("'",$A176)-1),"''",RIGHT($A176,LEN($A176)-FIND("'",$A176))),$A176),"'!B5"))&gt;=I$2,"i",""))</f>
        <v>d</v>
      </c>
      <c r="J176" s="44" t="str" cm="1">
        <f t="array" aca="1" ref="J176" ca="1">IF(INDIRECT(_xlfn.CONCAT("'",IF(ISNUMBER(FIND("'",$A176))=TRUE,_xlfn.CONCAT(LEFT($A176,FIND("'",$A176)-1),"''",RIGHT($A176,LEN($A176)-FIND("'",$A176))),$A176),"'!B4"))&gt;=J$2,"d",IF(INDIRECT(_xlfn.CONCAT("'",IF(ISNUMBER(FIND("'",$A176))=TRUE,_xlfn.CONCAT(LEFT($A176,FIND("'",$A176)-1),"''",RIGHT($A176,LEN($A176)-FIND("'",$A176))),$A176),"'!B5"))&gt;=J$2,"i",""))</f>
        <v>d</v>
      </c>
      <c r="K176" s="44" t="str" cm="1">
        <f t="array" aca="1" ref="K176" ca="1">IF(INDIRECT(_xlfn.CONCAT("'",IF(ISNUMBER(FIND("'",$A176))=TRUE,_xlfn.CONCAT(LEFT($A176,FIND("'",$A176)-1),"''",RIGHT($A176,LEN($A176)-FIND("'",$A176))),$A176),"'!B4"))&gt;=K$2,"d",IF(INDIRECT(_xlfn.CONCAT("'",IF(ISNUMBER(FIND("'",$A176))=TRUE,_xlfn.CONCAT(LEFT($A176,FIND("'",$A176)-1),"''",RIGHT($A176,LEN($A176)-FIND("'",$A176))),$A176),"'!B5"))&gt;=K$2,"i",""))</f>
        <v>d</v>
      </c>
      <c r="L176" s="44" t="str" cm="1">
        <f t="array" aca="1" ref="L176" ca="1">IF(INDIRECT(_xlfn.CONCAT("'",IF(ISNUMBER(FIND("'",$A176))=TRUE,_xlfn.CONCAT(LEFT($A176,FIND("'",$A176)-1),"''",RIGHT($A176,LEN($A176)-FIND("'",$A176))),$A176),"'!B4"))&gt;=L$2,"d",IF(INDIRECT(_xlfn.CONCAT("'",IF(ISNUMBER(FIND("'",$A176))=TRUE,_xlfn.CONCAT(LEFT($A176,FIND("'",$A176)-1),"''",RIGHT($A176,LEN($A176)-FIND("'",$A176))),$A176),"'!B5"))&gt;=L$2,"i",""))</f>
        <v>d</v>
      </c>
      <c r="M176" s="45" t="str" cm="1">
        <f t="array" aca="1" ref="M176" ca="1">IF(INDIRECT(_xlfn.CONCAT("'",IF(ISNUMBER(FIND("'",$A176))=TRUE,_xlfn.CONCAT(LEFT($A176,FIND("'",$A176)-1),"''",RIGHT($A176,LEN($A176)-FIND("'",$A176))),$A176),"'!B4"))&gt;=M$2,"d",IF(INDIRECT(_xlfn.CONCAT("'",IF(ISNUMBER(FIND("'",$A176))=TRUE,_xlfn.CONCAT(LEFT($A176,FIND("'",$A176)-1),"''",RIGHT($A176,LEN($A176)-FIND("'",$A176))),$A176),"'!B5"))&gt;=M$2,"i",""))</f>
        <v>d</v>
      </c>
      <c r="N176" s="157"/>
      <c r="O176" s="19" t="str" cm="1">
        <f t="array" aca="1" ref="O176" ca="1">IF(INDIRECT(_xlfn.CONCAT("'",IF(ISNUMBER(FIND("'",$A176))=TRUE,_xlfn.CONCAT(LEFT($A176,FIND("'",$A176)-1),"''",RIGHT($A176,LEN($A176)-FIND("'",$A176))),$A176),"'!C10"))&gt;=O$2,"d",IF(INDIRECT(_xlfn.CONCAT("'",IF(ISNUMBER(FIND("'",$A176))=TRUE,_xlfn.CONCAT(LEFT($A176,FIND("'",$A176)-1),"''",RIGHT($A176,LEN($A176)-FIND("'",$A176))),$A176),"'!C11"))&gt;=O$2,"i",""))</f>
        <v>d</v>
      </c>
      <c r="P176" s="44" t="str" cm="1">
        <f t="array" aca="1" ref="P176" ca="1">IF(INDIRECT(_xlfn.CONCAT("'",IF(ISNUMBER(FIND("'",$A176))=TRUE,_xlfn.CONCAT(LEFT($A176,FIND("'",$A176)-1),"''",RIGHT($A176,LEN($A176)-FIND("'",$A176))),$A176),"'!C10"))&gt;=P$2,"d",IF(INDIRECT(_xlfn.CONCAT("'",IF(ISNUMBER(FIND("'",$A176))=TRUE,_xlfn.CONCAT(LEFT($A176,FIND("'",$A176)-1),"''",RIGHT($A176,LEN($A176)-FIND("'",$A176))),$A176),"'!C11"))&gt;=P$2,"i",""))</f>
        <v>d</v>
      </c>
      <c r="Q176" s="44" t="str" cm="1">
        <f t="array" aca="1" ref="Q176" ca="1">IF(INDIRECT(_xlfn.CONCAT("'",IF(ISNUMBER(FIND("'",$A176))=TRUE,_xlfn.CONCAT(LEFT($A176,FIND("'",$A176)-1),"''",RIGHT($A176,LEN($A176)-FIND("'",$A176))),$A176),"'!C10"))&gt;=Q$2,"d",IF(INDIRECT(_xlfn.CONCAT("'",IF(ISNUMBER(FIND("'",$A176))=TRUE,_xlfn.CONCAT(LEFT($A176,FIND("'",$A176)-1),"''",RIGHT($A176,LEN($A176)-FIND("'",$A176))),$A176),"'!C11"))&gt;=Q$2,"i",""))</f>
        <v>d</v>
      </c>
      <c r="R176" s="44" t="str" cm="1">
        <f t="array" aca="1" ref="R176" ca="1">IF(INDIRECT(_xlfn.CONCAT("'",IF(ISNUMBER(FIND("'",$A176))=TRUE,_xlfn.CONCAT(LEFT($A176,FIND("'",$A176)-1),"''",RIGHT($A176,LEN($A176)-FIND("'",$A176))),$A176),"'!C10"))&gt;=R$2,"d",IF(INDIRECT(_xlfn.CONCAT("'",IF(ISNUMBER(FIND("'",$A176))=TRUE,_xlfn.CONCAT(LEFT($A176,FIND("'",$A176)-1),"''",RIGHT($A176,LEN($A176)-FIND("'",$A176))),$A176),"'!C11"))&gt;=R$2,"i",""))</f>
        <v>d</v>
      </c>
      <c r="S176" s="44" t="str" cm="1">
        <f t="array" aca="1" ref="S176" ca="1">IF(INDIRECT(_xlfn.CONCAT("'",IF(ISNUMBER(FIND("'",$A176))=TRUE,_xlfn.CONCAT(LEFT($A176,FIND("'",$A176)-1),"''",RIGHT($A176,LEN($A176)-FIND("'",$A176))),$A176),"'!C10"))&gt;=S$2,"d",IF(INDIRECT(_xlfn.CONCAT("'",IF(ISNUMBER(FIND("'",$A176))=TRUE,_xlfn.CONCAT(LEFT($A176,FIND("'",$A176)-1),"''",RIGHT($A176,LEN($A176)-FIND("'",$A176))),$A176),"'!C11"))&gt;=S$2,"i",""))</f>
        <v>d</v>
      </c>
      <c r="T176" s="45" t="str" cm="1">
        <f t="array" aca="1" ref="T176" ca="1">IF(INDIRECT(_xlfn.CONCAT("'",IF(ISNUMBER(FIND("'",$A176))=TRUE,_xlfn.CONCAT(LEFT($A176,FIND("'",$A176)-1),"''",RIGHT($A176,LEN($A176)-FIND("'",$A176))),$A176),"'!C10"))&gt;=T$2,"d",IF(INDIRECT(_xlfn.CONCAT("'",IF(ISNUMBER(FIND("'",$A176))=TRUE,_xlfn.CONCAT(LEFT($A176,FIND("'",$A176)-1),"''",RIGHT($A176,LEN($A176)-FIND("'",$A176))),$A176),"'!C11"))&gt;=T$2,"i",""))</f>
        <v>d</v>
      </c>
    </row>
    <row r="177" spans="1:20" hidden="1" x14ac:dyDescent="0.25">
      <c r="A177" s="135" t="str">
        <v>Verdict</v>
      </c>
      <c r="B177" s="19" cm="1">
        <f t="array" ref="B177">_xlfn.XLOOKUP(A177,INDEX(Weapon_List,,1),INDEX(Weapon_List,,3),,0,1)</f>
        <v>5</v>
      </c>
      <c r="C177" s="45" t="str" cm="1">
        <f t="array" ref="C177">_xlfn.XLOOKUP(A177,INDEX(Weapon_List,,1),INDEX(Weapon_List,,2),,0,1)</f>
        <v>Claymore</v>
      </c>
      <c r="D177" s="38" t="str" cm="1">
        <f t="array" ref="D177">_xlfn.XLOOKUP(A177,INDEX(Weapon_List,,1),INDEX(Weapon_List,,4),,0,1)</f>
        <v>Fontaine 1</v>
      </c>
      <c r="E177" s="38" t="str" cm="1">
        <f t="array" ref="E177">_xlfn.XLOOKUP(A177,INDEX(Weapon_List,,1),INDEX(Weapon_List,,5),,0,1)</f>
        <v>Clockwork Meka</v>
      </c>
      <c r="F177" s="38" t="str" cm="1">
        <f t="array" ref="F177">_xlfn.XLOOKUP(A177,INDEX(Weapon_List,,1),INDEX(Weapon_List,,6),,0,1)</f>
        <v>Breacher Primus</v>
      </c>
      <c r="G177" s="19" t="str" cm="1">
        <f t="array" aca="1" ref="G177" ca="1">IF(INDIRECT(_xlfn.CONCAT("'",IF(ISNUMBER(FIND("'",$A177))=TRUE,_xlfn.CONCAT(LEFT($A177,FIND("'",$A177)-1),"''",RIGHT($A177,LEN($A177)-FIND("'",$A177))),$A177),"'!B4"))&gt;=G$2,"d",IF(INDIRECT(_xlfn.CONCAT("'",IF(ISNUMBER(FIND("'",$A177))=TRUE,_xlfn.CONCAT(LEFT($A177,FIND("'",$A177)-1),"''",RIGHT($A177,LEN($A177)-FIND("'",$A177))),$A177),"'!B5"))&gt;=G$2,"i",""))</f>
        <v>d</v>
      </c>
      <c r="H177" s="44" t="str" cm="1">
        <f t="array" aca="1" ref="H177" ca="1">IF(INDIRECT(_xlfn.CONCAT("'",IF(ISNUMBER(FIND("'",$A177))=TRUE,_xlfn.CONCAT(LEFT($A177,FIND("'",$A177)-1),"''",RIGHT($A177,LEN($A177)-FIND("'",$A177))),$A177),"'!B4"))&gt;=H$2,"d",IF(INDIRECT(_xlfn.CONCAT("'",IF(ISNUMBER(FIND("'",$A177))=TRUE,_xlfn.CONCAT(LEFT($A177,FIND("'",$A177)-1),"''",RIGHT($A177,LEN($A177)-FIND("'",$A177))),$A177),"'!B5"))&gt;=H$2,"i",""))</f>
        <v>d</v>
      </c>
      <c r="I177" s="44" t="str" cm="1">
        <f t="array" aca="1" ref="I177" ca="1">IF(INDIRECT(_xlfn.CONCAT("'",IF(ISNUMBER(FIND("'",$A177))=TRUE,_xlfn.CONCAT(LEFT($A177,FIND("'",$A177)-1),"''",RIGHT($A177,LEN($A177)-FIND("'",$A177))),$A177),"'!B4"))&gt;=I$2,"d",IF(INDIRECT(_xlfn.CONCAT("'",IF(ISNUMBER(FIND("'",$A177))=TRUE,_xlfn.CONCAT(LEFT($A177,FIND("'",$A177)-1),"''",RIGHT($A177,LEN($A177)-FIND("'",$A177))),$A177),"'!B5"))&gt;=I$2,"i",""))</f>
        <v>d</v>
      </c>
      <c r="J177" s="44" t="str" cm="1">
        <f t="array" aca="1" ref="J177" ca="1">IF(INDIRECT(_xlfn.CONCAT("'",IF(ISNUMBER(FIND("'",$A177))=TRUE,_xlfn.CONCAT(LEFT($A177,FIND("'",$A177)-1),"''",RIGHT($A177,LEN($A177)-FIND("'",$A177))),$A177),"'!B4"))&gt;=J$2,"d",IF(INDIRECT(_xlfn.CONCAT("'",IF(ISNUMBER(FIND("'",$A177))=TRUE,_xlfn.CONCAT(LEFT($A177,FIND("'",$A177)-1),"''",RIGHT($A177,LEN($A177)-FIND("'",$A177))),$A177),"'!B5"))&gt;=J$2,"i",""))</f>
        <v>d</v>
      </c>
      <c r="K177" s="44" t="str" cm="1">
        <f t="array" aca="1" ref="K177" ca="1">IF(INDIRECT(_xlfn.CONCAT("'",IF(ISNUMBER(FIND("'",$A177))=TRUE,_xlfn.CONCAT(LEFT($A177,FIND("'",$A177)-1),"''",RIGHT($A177,LEN($A177)-FIND("'",$A177))),$A177),"'!B4"))&gt;=K$2,"d",IF(INDIRECT(_xlfn.CONCAT("'",IF(ISNUMBER(FIND("'",$A177))=TRUE,_xlfn.CONCAT(LEFT($A177,FIND("'",$A177)-1),"''",RIGHT($A177,LEN($A177)-FIND("'",$A177))),$A177),"'!B5"))&gt;=K$2,"i",""))</f>
        <v>d</v>
      </c>
      <c r="L177" s="44" t="str" cm="1">
        <f t="array" aca="1" ref="L177" ca="1">IF(INDIRECT(_xlfn.CONCAT("'",IF(ISNUMBER(FIND("'",$A177))=TRUE,_xlfn.CONCAT(LEFT($A177,FIND("'",$A177)-1),"''",RIGHT($A177,LEN($A177)-FIND("'",$A177))),$A177),"'!B4"))&gt;=L$2,"d",IF(INDIRECT(_xlfn.CONCAT("'",IF(ISNUMBER(FIND("'",$A177))=TRUE,_xlfn.CONCAT(LEFT($A177,FIND("'",$A177)-1),"''",RIGHT($A177,LEN($A177)-FIND("'",$A177))),$A177),"'!B5"))&gt;=L$2,"i",""))</f>
        <v>d</v>
      </c>
      <c r="M177" s="45" t="str" cm="1">
        <f t="array" aca="1" ref="M177" ca="1">IF(INDIRECT(_xlfn.CONCAT("'",IF(ISNUMBER(FIND("'",$A177))=TRUE,_xlfn.CONCAT(LEFT($A177,FIND("'",$A177)-1),"''",RIGHT($A177,LEN($A177)-FIND("'",$A177))),$A177),"'!B4"))&gt;=M$2,"d",IF(INDIRECT(_xlfn.CONCAT("'",IF(ISNUMBER(FIND("'",$A177))=TRUE,_xlfn.CONCAT(LEFT($A177,FIND("'",$A177)-1),"''",RIGHT($A177,LEN($A177)-FIND("'",$A177))),$A177),"'!B5"))&gt;=M$2,"i",""))</f>
        <v>d</v>
      </c>
      <c r="N177" s="157"/>
      <c r="O177" s="19" t="str" cm="1">
        <f t="array" aca="1" ref="O177" ca="1">IF(INDIRECT(_xlfn.CONCAT("'",IF(ISNUMBER(FIND("'",$A177))=TRUE,_xlfn.CONCAT(LEFT($A177,FIND("'",$A177)-1),"''",RIGHT($A177,LEN($A177)-FIND("'",$A177))),$A177),"'!C10"))&gt;=O$2,"d",IF(INDIRECT(_xlfn.CONCAT("'",IF(ISNUMBER(FIND("'",$A177))=TRUE,_xlfn.CONCAT(LEFT($A177,FIND("'",$A177)-1),"''",RIGHT($A177,LEN($A177)-FIND("'",$A177))),$A177),"'!C11"))&gt;=O$2,"i",""))</f>
        <v>d</v>
      </c>
      <c r="P177" s="44" t="str" cm="1">
        <f t="array" aca="1" ref="P177" ca="1">IF(INDIRECT(_xlfn.CONCAT("'",IF(ISNUMBER(FIND("'",$A177))=TRUE,_xlfn.CONCAT(LEFT($A177,FIND("'",$A177)-1),"''",RIGHT($A177,LEN($A177)-FIND("'",$A177))),$A177),"'!C10"))&gt;=P$2,"d",IF(INDIRECT(_xlfn.CONCAT("'",IF(ISNUMBER(FIND("'",$A177))=TRUE,_xlfn.CONCAT(LEFT($A177,FIND("'",$A177)-1),"''",RIGHT($A177,LEN($A177)-FIND("'",$A177))),$A177),"'!C11"))&gt;=P$2,"i",""))</f>
        <v>d</v>
      </c>
      <c r="Q177" s="44" t="str" cm="1">
        <f t="array" aca="1" ref="Q177" ca="1">IF(INDIRECT(_xlfn.CONCAT("'",IF(ISNUMBER(FIND("'",$A177))=TRUE,_xlfn.CONCAT(LEFT($A177,FIND("'",$A177)-1),"''",RIGHT($A177,LEN($A177)-FIND("'",$A177))),$A177),"'!C10"))&gt;=Q$2,"d",IF(INDIRECT(_xlfn.CONCAT("'",IF(ISNUMBER(FIND("'",$A177))=TRUE,_xlfn.CONCAT(LEFT($A177,FIND("'",$A177)-1),"''",RIGHT($A177,LEN($A177)-FIND("'",$A177))),$A177),"'!C11"))&gt;=Q$2,"i",""))</f>
        <v>d</v>
      </c>
      <c r="R177" s="44" t="str" cm="1">
        <f t="array" aca="1" ref="R177" ca="1">IF(INDIRECT(_xlfn.CONCAT("'",IF(ISNUMBER(FIND("'",$A177))=TRUE,_xlfn.CONCAT(LEFT($A177,FIND("'",$A177)-1),"''",RIGHT($A177,LEN($A177)-FIND("'",$A177))),$A177),"'!C10"))&gt;=R$2,"d",IF(INDIRECT(_xlfn.CONCAT("'",IF(ISNUMBER(FIND("'",$A177))=TRUE,_xlfn.CONCAT(LEFT($A177,FIND("'",$A177)-1),"''",RIGHT($A177,LEN($A177)-FIND("'",$A177))),$A177),"'!C11"))&gt;=R$2,"i",""))</f>
        <v>d</v>
      </c>
      <c r="S177" s="44" t="str" cm="1">
        <f t="array" aca="1" ref="S177" ca="1">IF(INDIRECT(_xlfn.CONCAT("'",IF(ISNUMBER(FIND("'",$A177))=TRUE,_xlfn.CONCAT(LEFT($A177,FIND("'",$A177)-1),"''",RIGHT($A177,LEN($A177)-FIND("'",$A177))),$A177),"'!C10"))&gt;=S$2,"d",IF(INDIRECT(_xlfn.CONCAT("'",IF(ISNUMBER(FIND("'",$A177))=TRUE,_xlfn.CONCAT(LEFT($A177,FIND("'",$A177)-1),"''",RIGHT($A177,LEN($A177)-FIND("'",$A177))),$A177),"'!C11"))&gt;=S$2,"i",""))</f>
        <v>d</v>
      </c>
      <c r="T177" s="45" t="str" cm="1">
        <f t="array" aca="1" ref="T177" ca="1">IF(INDIRECT(_xlfn.CONCAT("'",IF(ISNUMBER(FIND("'",$A177))=TRUE,_xlfn.CONCAT(LEFT($A177,FIND("'",$A177)-1),"''",RIGHT($A177,LEN($A177)-FIND("'",$A177))),$A177),"'!C10"))&gt;=T$2,"d",IF(INDIRECT(_xlfn.CONCAT("'",IF(ISNUMBER(FIND("'",$A177))=TRUE,_xlfn.CONCAT(LEFT($A177,FIND("'",$A177)-1),"''",RIGHT($A177,LEN($A177)-FIND("'",$A177))),$A177),"'!C11"))&gt;=T$2,"i",""))</f>
        <v>d</v>
      </c>
    </row>
    <row r="178" spans="1:20" hidden="1" x14ac:dyDescent="0.25">
      <c r="A178" s="135" t="str">
        <v>Ultimate Overlord’s Mega Magic</v>
      </c>
      <c r="B178" s="19" cm="1">
        <f t="array" ref="B178">_xlfn.XLOOKUP(A178,INDEX(Weapon_List,,1),INDEX(Weapon_List,,3),,0,1)</f>
        <v>4</v>
      </c>
      <c r="C178" s="45" t="str" cm="1">
        <f t="array" ref="C178">_xlfn.XLOOKUP(A178,INDEX(Weapon_List,,1),INDEX(Weapon_List,,2),,0,1)</f>
        <v>Claymore</v>
      </c>
      <c r="D178" s="38" t="str" cm="1">
        <f t="array" ref="D178">_xlfn.XLOOKUP(A178,INDEX(Weapon_List,,1),INDEX(Weapon_List,,4),,0,1)</f>
        <v>Fontaine 3</v>
      </c>
      <c r="E178" s="38" t="str" cm="1">
        <f t="array" ref="E178">_xlfn.XLOOKUP(A178,INDEX(Weapon_List,,1),INDEX(Weapon_List,,5),,0,1)</f>
        <v>Clockwork Meka</v>
      </c>
      <c r="F178" s="38" t="str" cm="1">
        <f t="array" ref="F178">_xlfn.XLOOKUP(A178,INDEX(Weapon_List,,1),INDEX(Weapon_List,,6),,0,1)</f>
        <v>Fatui Operative</v>
      </c>
      <c r="G178" s="19" t="str" cm="1">
        <f t="array" aca="1" ref="G178" ca="1">IF(INDIRECT(_xlfn.CONCAT("'",IF(ISNUMBER(FIND("'",$A178))=TRUE,_xlfn.CONCAT(LEFT($A178,FIND("'",$A178)-1),"''",RIGHT($A178,LEN($A178)-FIND("'",$A178))),$A178),"'!B4"))&gt;=G$2,"d",IF(INDIRECT(_xlfn.CONCAT("'",IF(ISNUMBER(FIND("'",$A178))=TRUE,_xlfn.CONCAT(LEFT($A178,FIND("'",$A178)-1),"''",RIGHT($A178,LEN($A178)-FIND("'",$A178))),$A178),"'!B5"))&gt;=G$2,"i",""))</f>
        <v>d</v>
      </c>
      <c r="H178" s="44" t="str" cm="1">
        <f t="array" aca="1" ref="H178" ca="1">IF(INDIRECT(_xlfn.CONCAT("'",IF(ISNUMBER(FIND("'",$A178))=TRUE,_xlfn.CONCAT(LEFT($A178,FIND("'",$A178)-1),"''",RIGHT($A178,LEN($A178)-FIND("'",$A178))),$A178),"'!B4"))&gt;=H$2,"d",IF(INDIRECT(_xlfn.CONCAT("'",IF(ISNUMBER(FIND("'",$A178))=TRUE,_xlfn.CONCAT(LEFT($A178,FIND("'",$A178)-1),"''",RIGHT($A178,LEN($A178)-FIND("'",$A178))),$A178),"'!B5"))&gt;=H$2,"i",""))</f>
        <v>d</v>
      </c>
      <c r="I178" s="44" t="str" cm="1">
        <f t="array" aca="1" ref="I178" ca="1">IF(INDIRECT(_xlfn.CONCAT("'",IF(ISNUMBER(FIND("'",$A178))=TRUE,_xlfn.CONCAT(LEFT($A178,FIND("'",$A178)-1),"''",RIGHT($A178,LEN($A178)-FIND("'",$A178))),$A178),"'!B4"))&gt;=I$2,"d",IF(INDIRECT(_xlfn.CONCAT("'",IF(ISNUMBER(FIND("'",$A178))=TRUE,_xlfn.CONCAT(LEFT($A178,FIND("'",$A178)-1),"''",RIGHT($A178,LEN($A178)-FIND("'",$A178))),$A178),"'!B5"))&gt;=I$2,"i",""))</f>
        <v>d</v>
      </c>
      <c r="J178" s="44" t="str" cm="1">
        <f t="array" aca="1" ref="J178" ca="1">IF(INDIRECT(_xlfn.CONCAT("'",IF(ISNUMBER(FIND("'",$A178))=TRUE,_xlfn.CONCAT(LEFT($A178,FIND("'",$A178)-1),"''",RIGHT($A178,LEN($A178)-FIND("'",$A178))),$A178),"'!B4"))&gt;=J$2,"d",IF(INDIRECT(_xlfn.CONCAT("'",IF(ISNUMBER(FIND("'",$A178))=TRUE,_xlfn.CONCAT(LEFT($A178,FIND("'",$A178)-1),"''",RIGHT($A178,LEN($A178)-FIND("'",$A178))),$A178),"'!B5"))&gt;=J$2,"i",""))</f>
        <v>d</v>
      </c>
      <c r="K178" s="44" t="str" cm="1">
        <f t="array" aca="1" ref="K178" ca="1">IF(INDIRECT(_xlfn.CONCAT("'",IF(ISNUMBER(FIND("'",$A178))=TRUE,_xlfn.CONCAT(LEFT($A178,FIND("'",$A178)-1),"''",RIGHT($A178,LEN($A178)-FIND("'",$A178))),$A178),"'!B4"))&gt;=K$2,"d",IF(INDIRECT(_xlfn.CONCAT("'",IF(ISNUMBER(FIND("'",$A178))=TRUE,_xlfn.CONCAT(LEFT($A178,FIND("'",$A178)-1),"''",RIGHT($A178,LEN($A178)-FIND("'",$A178))),$A178),"'!B5"))&gt;=K$2,"i",""))</f>
        <v>d</v>
      </c>
      <c r="L178" s="44" t="str" cm="1">
        <f t="array" aca="1" ref="L178" ca="1">IF(INDIRECT(_xlfn.CONCAT("'",IF(ISNUMBER(FIND("'",$A178))=TRUE,_xlfn.CONCAT(LEFT($A178,FIND("'",$A178)-1),"''",RIGHT($A178,LEN($A178)-FIND("'",$A178))),$A178),"'!B4"))&gt;=L$2,"d",IF(INDIRECT(_xlfn.CONCAT("'",IF(ISNUMBER(FIND("'",$A178))=TRUE,_xlfn.CONCAT(LEFT($A178,FIND("'",$A178)-1),"''",RIGHT($A178,LEN($A178)-FIND("'",$A178))),$A178),"'!B5"))&gt;=L$2,"i",""))</f>
        <v>d</v>
      </c>
      <c r="M178" s="45" t="str" cm="1">
        <f t="array" aca="1" ref="M178" ca="1">IF(INDIRECT(_xlfn.CONCAT("'",IF(ISNUMBER(FIND("'",$A178))=TRUE,_xlfn.CONCAT(LEFT($A178,FIND("'",$A178)-1),"''",RIGHT($A178,LEN($A178)-FIND("'",$A178))),$A178),"'!B4"))&gt;=M$2,"d",IF(INDIRECT(_xlfn.CONCAT("'",IF(ISNUMBER(FIND("'",$A178))=TRUE,_xlfn.CONCAT(LEFT($A178,FIND("'",$A178)-1),"''",RIGHT($A178,LEN($A178)-FIND("'",$A178))),$A178),"'!B5"))&gt;=M$2,"i",""))</f>
        <v>d</v>
      </c>
      <c r="N178" s="157"/>
      <c r="O178" s="19" t="str" cm="1">
        <f t="array" aca="1" ref="O178" ca="1">IF(INDIRECT(_xlfn.CONCAT("'",IF(ISNUMBER(FIND("'",$A178))=TRUE,_xlfn.CONCAT(LEFT($A178,FIND("'",$A178)-1),"''",RIGHT($A178,LEN($A178)-FIND("'",$A178))),$A178),"'!C10"))&gt;=O$2,"d",IF(INDIRECT(_xlfn.CONCAT("'",IF(ISNUMBER(FIND("'",$A178))=TRUE,_xlfn.CONCAT(LEFT($A178,FIND("'",$A178)-1),"''",RIGHT($A178,LEN($A178)-FIND("'",$A178))),$A178),"'!C11"))&gt;=O$2,"i",""))</f>
        <v>d</v>
      </c>
      <c r="P178" s="44" t="str" cm="1">
        <f t="array" aca="1" ref="P178" ca="1">IF(INDIRECT(_xlfn.CONCAT("'",IF(ISNUMBER(FIND("'",$A178))=TRUE,_xlfn.CONCAT(LEFT($A178,FIND("'",$A178)-1),"''",RIGHT($A178,LEN($A178)-FIND("'",$A178))),$A178),"'!C10"))&gt;=P$2,"d",IF(INDIRECT(_xlfn.CONCAT("'",IF(ISNUMBER(FIND("'",$A178))=TRUE,_xlfn.CONCAT(LEFT($A178,FIND("'",$A178)-1),"''",RIGHT($A178,LEN($A178)-FIND("'",$A178))),$A178),"'!C11"))&gt;=P$2,"i",""))</f>
        <v>d</v>
      </c>
      <c r="Q178" s="44" t="str" cm="1">
        <f t="array" aca="1" ref="Q178" ca="1">IF(INDIRECT(_xlfn.CONCAT("'",IF(ISNUMBER(FIND("'",$A178))=TRUE,_xlfn.CONCAT(LEFT($A178,FIND("'",$A178)-1),"''",RIGHT($A178,LEN($A178)-FIND("'",$A178))),$A178),"'!C10"))&gt;=Q$2,"d",IF(INDIRECT(_xlfn.CONCAT("'",IF(ISNUMBER(FIND("'",$A178))=TRUE,_xlfn.CONCAT(LEFT($A178,FIND("'",$A178)-1),"''",RIGHT($A178,LEN($A178)-FIND("'",$A178))),$A178),"'!C11"))&gt;=Q$2,"i",""))</f>
        <v>d</v>
      </c>
      <c r="R178" s="44" t="str" cm="1">
        <f t="array" aca="1" ref="R178" ca="1">IF(INDIRECT(_xlfn.CONCAT("'",IF(ISNUMBER(FIND("'",$A178))=TRUE,_xlfn.CONCAT(LEFT($A178,FIND("'",$A178)-1),"''",RIGHT($A178,LEN($A178)-FIND("'",$A178))),$A178),"'!C10"))&gt;=R$2,"d",IF(INDIRECT(_xlfn.CONCAT("'",IF(ISNUMBER(FIND("'",$A178))=TRUE,_xlfn.CONCAT(LEFT($A178,FIND("'",$A178)-1),"''",RIGHT($A178,LEN($A178)-FIND("'",$A178))),$A178),"'!C11"))&gt;=R$2,"i",""))</f>
        <v>d</v>
      </c>
      <c r="S178" s="44" t="str" cm="1">
        <f t="array" aca="1" ref="S178" ca="1">IF(INDIRECT(_xlfn.CONCAT("'",IF(ISNUMBER(FIND("'",$A178))=TRUE,_xlfn.CONCAT(LEFT($A178,FIND("'",$A178)-1),"''",RIGHT($A178,LEN($A178)-FIND("'",$A178))),$A178),"'!C10"))&gt;=S$2,"d",IF(INDIRECT(_xlfn.CONCAT("'",IF(ISNUMBER(FIND("'",$A178))=TRUE,_xlfn.CONCAT(LEFT($A178,FIND("'",$A178)-1),"''",RIGHT($A178,LEN($A178)-FIND("'",$A178))),$A178),"'!C11"))&gt;=S$2,"i",""))</f>
        <v>d</v>
      </c>
      <c r="T178" s="45" t="str" cm="1">
        <f t="array" aca="1" ref="T178" ca="1">IF(INDIRECT(_xlfn.CONCAT("'",IF(ISNUMBER(FIND("'",$A178))=TRUE,_xlfn.CONCAT(LEFT($A178,FIND("'",$A178)-1),"''",RIGHT($A178,LEN($A178)-FIND("'",$A178))),$A178),"'!C10"))&gt;=T$2,"d",IF(INDIRECT(_xlfn.CONCAT("'",IF(ISNUMBER(FIND("'",$A178))=TRUE,_xlfn.CONCAT(LEFT($A178,FIND("'",$A178)-1),"''",RIGHT($A178,LEN($A178)-FIND("'",$A178))),$A178),"'!C11"))&gt;=T$2,"i",""))</f>
        <v>d</v>
      </c>
    </row>
    <row r="179" spans="1:20" hidden="1" x14ac:dyDescent="0.25">
      <c r="A179" s="135" t="str">
        <v>Crane’s Echoing Call</v>
      </c>
      <c r="B179" s="19" cm="1">
        <f t="array" ref="B179">_xlfn.XLOOKUP(A179,INDEX(Weapon_List,,1),INDEX(Weapon_List,,3),,0,1)</f>
        <v>5</v>
      </c>
      <c r="C179" s="45" t="str" cm="1">
        <f t="array" ref="C179">_xlfn.XLOOKUP(A179,INDEX(Weapon_List,,1),INDEX(Weapon_List,,2),,0,1)</f>
        <v>Catalyst</v>
      </c>
      <c r="D179" s="38" t="str" cm="1">
        <f t="array" ref="D179">_xlfn.XLOOKUP(A179,INDEX(Weapon_List,,1),INDEX(Weapon_List,,4),,0,1)</f>
        <v>Liyue 2</v>
      </c>
      <c r="E179" s="38" t="str" cm="1">
        <f t="array" ref="E179">_xlfn.XLOOKUP(A179,INDEX(Weapon_List,,1),INDEX(Weapon_List,,5),,0,1)</f>
        <v>Samachurl</v>
      </c>
      <c r="F179" s="38" t="str" cm="1">
        <f t="array" ref="F179">_xlfn.XLOOKUP(A179,INDEX(Weapon_List,,1),INDEX(Weapon_List,,6),,0,1)</f>
        <v>Xuanwen Beast</v>
      </c>
      <c r="G179" s="19" t="str" cm="1">
        <f t="array" aca="1" ref="G179" ca="1">IF(INDIRECT(_xlfn.CONCAT("'",IF(ISNUMBER(FIND("'",$A179))=TRUE,_xlfn.CONCAT(LEFT($A179,FIND("'",$A179)-1),"''",RIGHT($A179,LEN($A179)-FIND("'",$A179))),$A179),"'!B4"))&gt;=G$2,"d",IF(INDIRECT(_xlfn.CONCAT("'",IF(ISNUMBER(FIND("'",$A179))=TRUE,_xlfn.CONCAT(LEFT($A179,FIND("'",$A179)-1),"''",RIGHT($A179,LEN($A179)-FIND("'",$A179))),$A179),"'!B5"))&gt;=G$2,"i",""))</f>
        <v>d</v>
      </c>
      <c r="H179" s="44" t="str" cm="1">
        <f t="array" aca="1" ref="H179" ca="1">IF(INDIRECT(_xlfn.CONCAT("'",IF(ISNUMBER(FIND("'",$A179))=TRUE,_xlfn.CONCAT(LEFT($A179,FIND("'",$A179)-1),"''",RIGHT($A179,LEN($A179)-FIND("'",$A179))),$A179),"'!B4"))&gt;=H$2,"d",IF(INDIRECT(_xlfn.CONCAT("'",IF(ISNUMBER(FIND("'",$A179))=TRUE,_xlfn.CONCAT(LEFT($A179,FIND("'",$A179)-1),"''",RIGHT($A179,LEN($A179)-FIND("'",$A179))),$A179),"'!B5"))&gt;=H$2,"i",""))</f>
        <v>d</v>
      </c>
      <c r="I179" s="44" t="str" cm="1">
        <f t="array" aca="1" ref="I179" ca="1">IF(INDIRECT(_xlfn.CONCAT("'",IF(ISNUMBER(FIND("'",$A179))=TRUE,_xlfn.CONCAT(LEFT($A179,FIND("'",$A179)-1),"''",RIGHT($A179,LEN($A179)-FIND("'",$A179))),$A179),"'!B4"))&gt;=I$2,"d",IF(INDIRECT(_xlfn.CONCAT("'",IF(ISNUMBER(FIND("'",$A179))=TRUE,_xlfn.CONCAT(LEFT($A179,FIND("'",$A179)-1),"''",RIGHT($A179,LEN($A179)-FIND("'",$A179))),$A179),"'!B5"))&gt;=I$2,"i",""))</f>
        <v>d</v>
      </c>
      <c r="J179" s="44" t="str" cm="1">
        <f t="array" aca="1" ref="J179" ca="1">IF(INDIRECT(_xlfn.CONCAT("'",IF(ISNUMBER(FIND("'",$A179))=TRUE,_xlfn.CONCAT(LEFT($A179,FIND("'",$A179)-1),"''",RIGHT($A179,LEN($A179)-FIND("'",$A179))),$A179),"'!B4"))&gt;=J$2,"d",IF(INDIRECT(_xlfn.CONCAT("'",IF(ISNUMBER(FIND("'",$A179))=TRUE,_xlfn.CONCAT(LEFT($A179,FIND("'",$A179)-1),"''",RIGHT($A179,LEN($A179)-FIND("'",$A179))),$A179),"'!B5"))&gt;=J$2,"i",""))</f>
        <v>d</v>
      </c>
      <c r="K179" s="44" t="str" cm="1">
        <f t="array" aca="1" ref="K179" ca="1">IF(INDIRECT(_xlfn.CONCAT("'",IF(ISNUMBER(FIND("'",$A179))=TRUE,_xlfn.CONCAT(LEFT($A179,FIND("'",$A179)-1),"''",RIGHT($A179,LEN($A179)-FIND("'",$A179))),$A179),"'!B4"))&gt;=K$2,"d",IF(INDIRECT(_xlfn.CONCAT("'",IF(ISNUMBER(FIND("'",$A179))=TRUE,_xlfn.CONCAT(LEFT($A179,FIND("'",$A179)-1),"''",RIGHT($A179,LEN($A179)-FIND("'",$A179))),$A179),"'!B5"))&gt;=K$2,"i",""))</f>
        <v>d</v>
      </c>
      <c r="L179" s="44" t="str" cm="1">
        <f t="array" aca="1" ref="L179" ca="1">IF(INDIRECT(_xlfn.CONCAT("'",IF(ISNUMBER(FIND("'",$A179))=TRUE,_xlfn.CONCAT(LEFT($A179,FIND("'",$A179)-1),"''",RIGHT($A179,LEN($A179)-FIND("'",$A179))),$A179),"'!B4"))&gt;=L$2,"d",IF(INDIRECT(_xlfn.CONCAT("'",IF(ISNUMBER(FIND("'",$A179))=TRUE,_xlfn.CONCAT(LEFT($A179,FIND("'",$A179)-1),"''",RIGHT($A179,LEN($A179)-FIND("'",$A179))),$A179),"'!B5"))&gt;=L$2,"i",""))</f>
        <v>d</v>
      </c>
      <c r="M179" s="45" t="str" cm="1">
        <f t="array" aca="1" ref="M179" ca="1">IF(INDIRECT(_xlfn.CONCAT("'",IF(ISNUMBER(FIND("'",$A179))=TRUE,_xlfn.CONCAT(LEFT($A179,FIND("'",$A179)-1),"''",RIGHT($A179,LEN($A179)-FIND("'",$A179))),$A179),"'!B4"))&gt;=M$2,"d",IF(INDIRECT(_xlfn.CONCAT("'",IF(ISNUMBER(FIND("'",$A179))=TRUE,_xlfn.CONCAT(LEFT($A179,FIND("'",$A179)-1),"''",RIGHT($A179,LEN($A179)-FIND("'",$A179))),$A179),"'!B5"))&gt;=M$2,"i",""))</f>
        <v>d</v>
      </c>
      <c r="N179" s="157"/>
      <c r="O179" s="19" t="str" cm="1">
        <f t="array" aca="1" ref="O179" ca="1">IF(INDIRECT(_xlfn.CONCAT("'",IF(ISNUMBER(FIND("'",$A179))=TRUE,_xlfn.CONCAT(LEFT($A179,FIND("'",$A179)-1),"''",RIGHT($A179,LEN($A179)-FIND("'",$A179))),$A179),"'!C10"))&gt;=O$2,"d",IF(INDIRECT(_xlfn.CONCAT("'",IF(ISNUMBER(FIND("'",$A179))=TRUE,_xlfn.CONCAT(LEFT($A179,FIND("'",$A179)-1),"''",RIGHT($A179,LEN($A179)-FIND("'",$A179))),$A179),"'!C11"))&gt;=O$2,"i",""))</f>
        <v>d</v>
      </c>
      <c r="P179" s="44" t="str" cm="1">
        <f t="array" aca="1" ref="P179" ca="1">IF(INDIRECT(_xlfn.CONCAT("'",IF(ISNUMBER(FIND("'",$A179))=TRUE,_xlfn.CONCAT(LEFT($A179,FIND("'",$A179)-1),"''",RIGHT($A179,LEN($A179)-FIND("'",$A179))),$A179),"'!C10"))&gt;=P$2,"d",IF(INDIRECT(_xlfn.CONCAT("'",IF(ISNUMBER(FIND("'",$A179))=TRUE,_xlfn.CONCAT(LEFT($A179,FIND("'",$A179)-1),"''",RIGHT($A179,LEN($A179)-FIND("'",$A179))),$A179),"'!C11"))&gt;=P$2,"i",""))</f>
        <v>d</v>
      </c>
      <c r="Q179" s="44" t="str" cm="1">
        <f t="array" aca="1" ref="Q179" ca="1">IF(INDIRECT(_xlfn.CONCAT("'",IF(ISNUMBER(FIND("'",$A179))=TRUE,_xlfn.CONCAT(LEFT($A179,FIND("'",$A179)-1),"''",RIGHT($A179,LEN($A179)-FIND("'",$A179))),$A179),"'!C10"))&gt;=Q$2,"d",IF(INDIRECT(_xlfn.CONCAT("'",IF(ISNUMBER(FIND("'",$A179))=TRUE,_xlfn.CONCAT(LEFT($A179,FIND("'",$A179)-1),"''",RIGHT($A179,LEN($A179)-FIND("'",$A179))),$A179),"'!C11"))&gt;=Q$2,"i",""))</f>
        <v>d</v>
      </c>
      <c r="R179" s="44" t="str" cm="1">
        <f t="array" aca="1" ref="R179" ca="1">IF(INDIRECT(_xlfn.CONCAT("'",IF(ISNUMBER(FIND("'",$A179))=TRUE,_xlfn.CONCAT(LEFT($A179,FIND("'",$A179)-1),"''",RIGHT($A179,LEN($A179)-FIND("'",$A179))),$A179),"'!C10"))&gt;=R$2,"d",IF(INDIRECT(_xlfn.CONCAT("'",IF(ISNUMBER(FIND("'",$A179))=TRUE,_xlfn.CONCAT(LEFT($A179,FIND("'",$A179)-1),"''",RIGHT($A179,LEN($A179)-FIND("'",$A179))),$A179),"'!C11"))&gt;=R$2,"i",""))</f>
        <v>d</v>
      </c>
      <c r="S179" s="44" t="str" cm="1">
        <f t="array" aca="1" ref="S179" ca="1">IF(INDIRECT(_xlfn.CONCAT("'",IF(ISNUMBER(FIND("'",$A179))=TRUE,_xlfn.CONCAT(LEFT($A179,FIND("'",$A179)-1),"''",RIGHT($A179,LEN($A179)-FIND("'",$A179))),$A179),"'!C10"))&gt;=S$2,"d",IF(INDIRECT(_xlfn.CONCAT("'",IF(ISNUMBER(FIND("'",$A179))=TRUE,_xlfn.CONCAT(LEFT($A179,FIND("'",$A179)-1),"''",RIGHT($A179,LEN($A179)-FIND("'",$A179))),$A179),"'!C11"))&gt;=S$2,"i",""))</f>
        <v>d</v>
      </c>
      <c r="T179" s="45" t="str" cm="1">
        <f t="array" aca="1" ref="T179" ca="1">IF(INDIRECT(_xlfn.CONCAT("'",IF(ISNUMBER(FIND("'",$A179))=TRUE,_xlfn.CONCAT(LEFT($A179,FIND("'",$A179)-1),"''",RIGHT($A179,LEN($A179)-FIND("'",$A179))),$A179),"'!C10"))&gt;=T$2,"d",IF(INDIRECT(_xlfn.CONCAT("'",IF(ISNUMBER(FIND("'",$A179))=TRUE,_xlfn.CONCAT(LEFT($A179,FIND("'",$A179)-1),"''",RIGHT($A179,LEN($A179)-FIND("'",$A179))),$A179),"'!C11"))&gt;=T$2,"i",""))</f>
        <v>d</v>
      </c>
    </row>
    <row r="180" spans="1:20" hidden="1" x14ac:dyDescent="0.25">
      <c r="A180" s="135" t="str">
        <v>Uraku Misugiri</v>
      </c>
      <c r="B180" s="19" cm="1">
        <f t="array" ref="B180">_xlfn.XLOOKUP(A180,INDEX(Weapon_List,,1),INDEX(Weapon_List,,3),,0,1)</f>
        <v>5</v>
      </c>
      <c r="C180" s="45" t="str" cm="1">
        <f t="array" ref="C180">_xlfn.XLOOKUP(A180,INDEX(Weapon_List,,1),INDEX(Weapon_List,,2),,0,1)</f>
        <v>Sword</v>
      </c>
      <c r="D180" s="38" t="str" cm="1">
        <f t="array" ref="D180">_xlfn.XLOOKUP(A180,INDEX(Weapon_List,,1),INDEX(Weapon_List,,4),,0,1)</f>
        <v>Inazuma 1</v>
      </c>
      <c r="E180" s="38" t="str" cm="1">
        <f t="array" ref="E180">_xlfn.XLOOKUP(A180,INDEX(Weapon_List,,1),INDEX(Weapon_List,,5),,0,1)</f>
        <v>Nobushi</v>
      </c>
      <c r="F180" s="38" t="str" cm="1">
        <f t="array" ref="F180">_xlfn.XLOOKUP(A180,INDEX(Weapon_List,,1),INDEX(Weapon_List,,6),,0,1)</f>
        <v>Ruin Machine 2</v>
      </c>
      <c r="G180" s="19" t="str" cm="1">
        <f t="array" aca="1" ref="G180" ca="1">IF(INDIRECT(_xlfn.CONCAT("'",IF(ISNUMBER(FIND("'",$A180))=TRUE,_xlfn.CONCAT(LEFT($A180,FIND("'",$A180)-1),"''",RIGHT($A180,LEN($A180)-FIND("'",$A180))),$A180),"'!B4"))&gt;=G$2,"d",IF(INDIRECT(_xlfn.CONCAT("'",IF(ISNUMBER(FIND("'",$A180))=TRUE,_xlfn.CONCAT(LEFT($A180,FIND("'",$A180)-1),"''",RIGHT($A180,LEN($A180)-FIND("'",$A180))),$A180),"'!B5"))&gt;=G$2,"i",""))</f>
        <v>d</v>
      </c>
      <c r="H180" s="44" t="str" cm="1">
        <f t="array" aca="1" ref="H180" ca="1">IF(INDIRECT(_xlfn.CONCAT("'",IF(ISNUMBER(FIND("'",$A180))=TRUE,_xlfn.CONCAT(LEFT($A180,FIND("'",$A180)-1),"''",RIGHT($A180,LEN($A180)-FIND("'",$A180))),$A180),"'!B4"))&gt;=H$2,"d",IF(INDIRECT(_xlfn.CONCAT("'",IF(ISNUMBER(FIND("'",$A180))=TRUE,_xlfn.CONCAT(LEFT($A180,FIND("'",$A180)-1),"''",RIGHT($A180,LEN($A180)-FIND("'",$A180))),$A180),"'!B5"))&gt;=H$2,"i",""))</f>
        <v>d</v>
      </c>
      <c r="I180" s="44" t="str" cm="1">
        <f t="array" aca="1" ref="I180" ca="1">IF(INDIRECT(_xlfn.CONCAT("'",IF(ISNUMBER(FIND("'",$A180))=TRUE,_xlfn.CONCAT(LEFT($A180,FIND("'",$A180)-1),"''",RIGHT($A180,LEN($A180)-FIND("'",$A180))),$A180),"'!B4"))&gt;=I$2,"d",IF(INDIRECT(_xlfn.CONCAT("'",IF(ISNUMBER(FIND("'",$A180))=TRUE,_xlfn.CONCAT(LEFT($A180,FIND("'",$A180)-1),"''",RIGHT($A180,LEN($A180)-FIND("'",$A180))),$A180),"'!B5"))&gt;=I$2,"i",""))</f>
        <v>d</v>
      </c>
      <c r="J180" s="44" t="str" cm="1">
        <f t="array" aca="1" ref="J180" ca="1">IF(INDIRECT(_xlfn.CONCAT("'",IF(ISNUMBER(FIND("'",$A180))=TRUE,_xlfn.CONCAT(LEFT($A180,FIND("'",$A180)-1),"''",RIGHT($A180,LEN($A180)-FIND("'",$A180))),$A180),"'!B4"))&gt;=J$2,"d",IF(INDIRECT(_xlfn.CONCAT("'",IF(ISNUMBER(FIND("'",$A180))=TRUE,_xlfn.CONCAT(LEFT($A180,FIND("'",$A180)-1),"''",RIGHT($A180,LEN($A180)-FIND("'",$A180))),$A180),"'!B5"))&gt;=J$2,"i",""))</f>
        <v>d</v>
      </c>
      <c r="K180" s="44" t="str" cm="1">
        <f t="array" aca="1" ref="K180" ca="1">IF(INDIRECT(_xlfn.CONCAT("'",IF(ISNUMBER(FIND("'",$A180))=TRUE,_xlfn.CONCAT(LEFT($A180,FIND("'",$A180)-1),"''",RIGHT($A180,LEN($A180)-FIND("'",$A180))),$A180),"'!B4"))&gt;=K$2,"d",IF(INDIRECT(_xlfn.CONCAT("'",IF(ISNUMBER(FIND("'",$A180))=TRUE,_xlfn.CONCAT(LEFT($A180,FIND("'",$A180)-1),"''",RIGHT($A180,LEN($A180)-FIND("'",$A180))),$A180),"'!B5"))&gt;=K$2,"i",""))</f>
        <v>d</v>
      </c>
      <c r="L180" s="44" t="str" cm="1">
        <f t="array" aca="1" ref="L180" ca="1">IF(INDIRECT(_xlfn.CONCAT("'",IF(ISNUMBER(FIND("'",$A180))=TRUE,_xlfn.CONCAT(LEFT($A180,FIND("'",$A180)-1),"''",RIGHT($A180,LEN($A180)-FIND("'",$A180))),$A180),"'!B4"))&gt;=L$2,"d",IF(INDIRECT(_xlfn.CONCAT("'",IF(ISNUMBER(FIND("'",$A180))=TRUE,_xlfn.CONCAT(LEFT($A180,FIND("'",$A180)-1),"''",RIGHT($A180,LEN($A180)-FIND("'",$A180))),$A180),"'!B5"))&gt;=L$2,"i",""))</f>
        <v>d</v>
      </c>
      <c r="M180" s="45" t="str" cm="1">
        <f t="array" aca="1" ref="M180" ca="1">IF(INDIRECT(_xlfn.CONCAT("'",IF(ISNUMBER(FIND("'",$A180))=TRUE,_xlfn.CONCAT(LEFT($A180,FIND("'",$A180)-1),"''",RIGHT($A180,LEN($A180)-FIND("'",$A180))),$A180),"'!B4"))&gt;=M$2,"d",IF(INDIRECT(_xlfn.CONCAT("'",IF(ISNUMBER(FIND("'",$A180))=TRUE,_xlfn.CONCAT(LEFT($A180,FIND("'",$A180)-1),"''",RIGHT($A180,LEN($A180)-FIND("'",$A180))),$A180),"'!B5"))&gt;=M$2,"i",""))</f>
        <v>d</v>
      </c>
      <c r="N180" s="157"/>
      <c r="O180" s="19" t="str" cm="1">
        <f t="array" aca="1" ref="O180" ca="1">IF(INDIRECT(_xlfn.CONCAT("'",IF(ISNUMBER(FIND("'",$A180))=TRUE,_xlfn.CONCAT(LEFT($A180,FIND("'",$A180)-1),"''",RIGHT($A180,LEN($A180)-FIND("'",$A180))),$A180),"'!C10"))&gt;=O$2,"d",IF(INDIRECT(_xlfn.CONCAT("'",IF(ISNUMBER(FIND("'",$A180))=TRUE,_xlfn.CONCAT(LEFT($A180,FIND("'",$A180)-1),"''",RIGHT($A180,LEN($A180)-FIND("'",$A180))),$A180),"'!C11"))&gt;=O$2,"i",""))</f>
        <v>d</v>
      </c>
      <c r="P180" s="44" t="str" cm="1">
        <f t="array" aca="1" ref="P180" ca="1">IF(INDIRECT(_xlfn.CONCAT("'",IF(ISNUMBER(FIND("'",$A180))=TRUE,_xlfn.CONCAT(LEFT($A180,FIND("'",$A180)-1),"''",RIGHT($A180,LEN($A180)-FIND("'",$A180))),$A180),"'!C10"))&gt;=P$2,"d",IF(INDIRECT(_xlfn.CONCAT("'",IF(ISNUMBER(FIND("'",$A180))=TRUE,_xlfn.CONCAT(LEFT($A180,FIND("'",$A180)-1),"''",RIGHT($A180,LEN($A180)-FIND("'",$A180))),$A180),"'!C11"))&gt;=P$2,"i",""))</f>
        <v>d</v>
      </c>
      <c r="Q180" s="44" t="str" cm="1">
        <f t="array" aca="1" ref="Q180" ca="1">IF(INDIRECT(_xlfn.CONCAT("'",IF(ISNUMBER(FIND("'",$A180))=TRUE,_xlfn.CONCAT(LEFT($A180,FIND("'",$A180)-1),"''",RIGHT($A180,LEN($A180)-FIND("'",$A180))),$A180),"'!C10"))&gt;=Q$2,"d",IF(INDIRECT(_xlfn.CONCAT("'",IF(ISNUMBER(FIND("'",$A180))=TRUE,_xlfn.CONCAT(LEFT($A180,FIND("'",$A180)-1),"''",RIGHT($A180,LEN($A180)-FIND("'",$A180))),$A180),"'!C11"))&gt;=Q$2,"i",""))</f>
        <v>d</v>
      </c>
      <c r="R180" s="44" t="str" cm="1">
        <f t="array" aca="1" ref="R180" ca="1">IF(INDIRECT(_xlfn.CONCAT("'",IF(ISNUMBER(FIND("'",$A180))=TRUE,_xlfn.CONCAT(LEFT($A180,FIND("'",$A180)-1),"''",RIGHT($A180,LEN($A180)-FIND("'",$A180))),$A180),"'!C10"))&gt;=R$2,"d",IF(INDIRECT(_xlfn.CONCAT("'",IF(ISNUMBER(FIND("'",$A180))=TRUE,_xlfn.CONCAT(LEFT($A180,FIND("'",$A180)-1),"''",RIGHT($A180,LEN($A180)-FIND("'",$A180))),$A180),"'!C11"))&gt;=R$2,"i",""))</f>
        <v>d</v>
      </c>
      <c r="S180" s="44" t="str" cm="1">
        <f t="array" aca="1" ref="S180" ca="1">IF(INDIRECT(_xlfn.CONCAT("'",IF(ISNUMBER(FIND("'",$A180))=TRUE,_xlfn.CONCAT(LEFT($A180,FIND("'",$A180)-1),"''",RIGHT($A180,LEN($A180)-FIND("'",$A180))),$A180),"'!C10"))&gt;=S$2,"d",IF(INDIRECT(_xlfn.CONCAT("'",IF(ISNUMBER(FIND("'",$A180))=TRUE,_xlfn.CONCAT(LEFT($A180,FIND("'",$A180)-1),"''",RIGHT($A180,LEN($A180)-FIND("'",$A180))),$A180),"'!C11"))&gt;=S$2,"i",""))</f>
        <v>d</v>
      </c>
      <c r="T180" s="45" t="str" cm="1">
        <f t="array" aca="1" ref="T180" ca="1">IF(INDIRECT(_xlfn.CONCAT("'",IF(ISNUMBER(FIND("'",$A180))=TRUE,_xlfn.CONCAT(LEFT($A180,FIND("'",$A180)-1),"''",RIGHT($A180,LEN($A180)-FIND("'",$A180))),$A180),"'!C10"))&gt;=T$2,"d",IF(INDIRECT(_xlfn.CONCAT("'",IF(ISNUMBER(FIND("'",$A180))=TRUE,_xlfn.CONCAT(LEFT($A180,FIND("'",$A180)-1),"''",RIGHT($A180,LEN($A180)-FIND("'",$A180))),$A180),"'!C11"))&gt;=T$2,"i",""))</f>
        <v>d</v>
      </c>
    </row>
    <row r="181" spans="1:20" hidden="1" x14ac:dyDescent="0.25">
      <c r="A181" s="135" t="str">
        <v>Dialogues of the Desert Sages</v>
      </c>
      <c r="B181" s="19" cm="1">
        <f t="array" ref="B181">_xlfn.XLOOKUP(A181,INDEX(Weapon_List,,1),INDEX(Weapon_List,,3),,0,1)</f>
        <v>4</v>
      </c>
      <c r="C181" s="45" t="str" cm="1">
        <f t="array" ref="C181">_xlfn.XLOOKUP(A181,INDEX(Weapon_List,,1),INDEX(Weapon_List,,2),,0,1)</f>
        <v>Polearm</v>
      </c>
      <c r="D181" s="38" t="str" cm="1">
        <f t="array" ref="D181">_xlfn.XLOOKUP(A181,INDEX(Weapon_List,,1),INDEX(Weapon_List,,4),,0,1)</f>
        <v>Sumeru 1</v>
      </c>
      <c r="E181" s="38" t="str" cm="1">
        <f t="array" ref="E181">_xlfn.XLOOKUP(A181,INDEX(Weapon_List,,1),INDEX(Weapon_List,,5),,0,1)</f>
        <v>Specter</v>
      </c>
      <c r="F181" s="38" t="str" cm="1">
        <f t="array" ref="F181">_xlfn.XLOOKUP(A181,INDEX(Weapon_List,,1),INDEX(Weapon_List,,6),,0,1)</f>
        <v>Xuanwen Beast</v>
      </c>
      <c r="G181" s="19" t="str" cm="1">
        <f t="array" aca="1" ref="G181" ca="1">IF(INDIRECT(_xlfn.CONCAT("'",IF(ISNUMBER(FIND("'",$A181))=TRUE,_xlfn.CONCAT(LEFT($A181,FIND("'",$A181)-1),"''",RIGHT($A181,LEN($A181)-FIND("'",$A181))),$A181),"'!B4"))&gt;=G$2,"d",IF(INDIRECT(_xlfn.CONCAT("'",IF(ISNUMBER(FIND("'",$A181))=TRUE,_xlfn.CONCAT(LEFT($A181,FIND("'",$A181)-1),"''",RIGHT($A181,LEN($A181)-FIND("'",$A181))),$A181),"'!B5"))&gt;=G$2,"i",""))</f>
        <v>d</v>
      </c>
      <c r="H181" s="44" t="str" cm="1">
        <f t="array" aca="1" ref="H181" ca="1">IF(INDIRECT(_xlfn.CONCAT("'",IF(ISNUMBER(FIND("'",$A181))=TRUE,_xlfn.CONCAT(LEFT($A181,FIND("'",$A181)-1),"''",RIGHT($A181,LEN($A181)-FIND("'",$A181))),$A181),"'!B4"))&gt;=H$2,"d",IF(INDIRECT(_xlfn.CONCAT("'",IF(ISNUMBER(FIND("'",$A181))=TRUE,_xlfn.CONCAT(LEFT($A181,FIND("'",$A181)-1),"''",RIGHT($A181,LEN($A181)-FIND("'",$A181))),$A181),"'!B5"))&gt;=H$2,"i",""))</f>
        <v>d</v>
      </c>
      <c r="I181" s="44" t="str" cm="1">
        <f t="array" aca="1" ref="I181" ca="1">IF(INDIRECT(_xlfn.CONCAT("'",IF(ISNUMBER(FIND("'",$A181))=TRUE,_xlfn.CONCAT(LEFT($A181,FIND("'",$A181)-1),"''",RIGHT($A181,LEN($A181)-FIND("'",$A181))),$A181),"'!B4"))&gt;=I$2,"d",IF(INDIRECT(_xlfn.CONCAT("'",IF(ISNUMBER(FIND("'",$A181))=TRUE,_xlfn.CONCAT(LEFT($A181,FIND("'",$A181)-1),"''",RIGHT($A181,LEN($A181)-FIND("'",$A181))),$A181),"'!B5"))&gt;=I$2,"i",""))</f>
        <v>d</v>
      </c>
      <c r="J181" s="44" t="str" cm="1">
        <f t="array" aca="1" ref="J181" ca="1">IF(INDIRECT(_xlfn.CONCAT("'",IF(ISNUMBER(FIND("'",$A181))=TRUE,_xlfn.CONCAT(LEFT($A181,FIND("'",$A181)-1),"''",RIGHT($A181,LEN($A181)-FIND("'",$A181))),$A181),"'!B4"))&gt;=J$2,"d",IF(INDIRECT(_xlfn.CONCAT("'",IF(ISNUMBER(FIND("'",$A181))=TRUE,_xlfn.CONCAT(LEFT($A181,FIND("'",$A181)-1),"''",RIGHT($A181,LEN($A181)-FIND("'",$A181))),$A181),"'!B5"))&gt;=J$2,"i",""))</f>
        <v>d</v>
      </c>
      <c r="K181" s="44" t="str" cm="1">
        <f t="array" aca="1" ref="K181" ca="1">IF(INDIRECT(_xlfn.CONCAT("'",IF(ISNUMBER(FIND("'",$A181))=TRUE,_xlfn.CONCAT(LEFT($A181,FIND("'",$A181)-1),"''",RIGHT($A181,LEN($A181)-FIND("'",$A181))),$A181),"'!B4"))&gt;=K$2,"d",IF(INDIRECT(_xlfn.CONCAT("'",IF(ISNUMBER(FIND("'",$A181))=TRUE,_xlfn.CONCAT(LEFT($A181,FIND("'",$A181)-1),"''",RIGHT($A181,LEN($A181)-FIND("'",$A181))),$A181),"'!B5"))&gt;=K$2,"i",""))</f>
        <v>d</v>
      </c>
      <c r="L181" s="44" t="str" cm="1">
        <f t="array" aca="1" ref="L181" ca="1">IF(INDIRECT(_xlfn.CONCAT("'",IF(ISNUMBER(FIND("'",$A181))=TRUE,_xlfn.CONCAT(LEFT($A181,FIND("'",$A181)-1),"''",RIGHT($A181,LEN($A181)-FIND("'",$A181))),$A181),"'!B4"))&gt;=L$2,"d",IF(INDIRECT(_xlfn.CONCAT("'",IF(ISNUMBER(FIND("'",$A181))=TRUE,_xlfn.CONCAT(LEFT($A181,FIND("'",$A181)-1),"''",RIGHT($A181,LEN($A181)-FIND("'",$A181))),$A181),"'!B5"))&gt;=L$2,"i",""))</f>
        <v>d</v>
      </c>
      <c r="M181" s="45" t="str" cm="1">
        <f t="array" aca="1" ref="M181" ca="1">IF(INDIRECT(_xlfn.CONCAT("'",IF(ISNUMBER(FIND("'",$A181))=TRUE,_xlfn.CONCAT(LEFT($A181,FIND("'",$A181)-1),"''",RIGHT($A181,LEN($A181)-FIND("'",$A181))),$A181),"'!B4"))&gt;=M$2,"d",IF(INDIRECT(_xlfn.CONCAT("'",IF(ISNUMBER(FIND("'",$A181))=TRUE,_xlfn.CONCAT(LEFT($A181,FIND("'",$A181)-1),"''",RIGHT($A181,LEN($A181)-FIND("'",$A181))),$A181),"'!B5"))&gt;=M$2,"i",""))</f>
        <v>d</v>
      </c>
      <c r="N181" s="157"/>
      <c r="O181" s="19" t="str" cm="1">
        <f t="array" aca="1" ref="O181" ca="1">IF(INDIRECT(_xlfn.CONCAT("'",IF(ISNUMBER(FIND("'",$A181))=TRUE,_xlfn.CONCAT(LEFT($A181,FIND("'",$A181)-1),"''",RIGHT($A181,LEN($A181)-FIND("'",$A181))),$A181),"'!C10"))&gt;=O$2,"d",IF(INDIRECT(_xlfn.CONCAT("'",IF(ISNUMBER(FIND("'",$A181))=TRUE,_xlfn.CONCAT(LEFT($A181,FIND("'",$A181)-1),"''",RIGHT($A181,LEN($A181)-FIND("'",$A181))),$A181),"'!C11"))&gt;=O$2,"i",""))</f>
        <v>d</v>
      </c>
      <c r="P181" s="44" t="str" cm="1">
        <f t="array" aca="1" ref="P181" ca="1">IF(INDIRECT(_xlfn.CONCAT("'",IF(ISNUMBER(FIND("'",$A181))=TRUE,_xlfn.CONCAT(LEFT($A181,FIND("'",$A181)-1),"''",RIGHT($A181,LEN($A181)-FIND("'",$A181))),$A181),"'!C10"))&gt;=P$2,"d",IF(INDIRECT(_xlfn.CONCAT("'",IF(ISNUMBER(FIND("'",$A181))=TRUE,_xlfn.CONCAT(LEFT($A181,FIND("'",$A181)-1),"''",RIGHT($A181,LEN($A181)-FIND("'",$A181))),$A181),"'!C11"))&gt;=P$2,"i",""))</f>
        <v>d</v>
      </c>
      <c r="Q181" s="44" t="str" cm="1">
        <f t="array" aca="1" ref="Q181" ca="1">IF(INDIRECT(_xlfn.CONCAT("'",IF(ISNUMBER(FIND("'",$A181))=TRUE,_xlfn.CONCAT(LEFT($A181,FIND("'",$A181)-1),"''",RIGHT($A181,LEN($A181)-FIND("'",$A181))),$A181),"'!C10"))&gt;=Q$2,"d",IF(INDIRECT(_xlfn.CONCAT("'",IF(ISNUMBER(FIND("'",$A181))=TRUE,_xlfn.CONCAT(LEFT($A181,FIND("'",$A181)-1),"''",RIGHT($A181,LEN($A181)-FIND("'",$A181))),$A181),"'!C11"))&gt;=Q$2,"i",""))</f>
        <v>d</v>
      </c>
      <c r="R181" s="44" t="str" cm="1">
        <f t="array" aca="1" ref="R181" ca="1">IF(INDIRECT(_xlfn.CONCAT("'",IF(ISNUMBER(FIND("'",$A181))=TRUE,_xlfn.CONCAT(LEFT($A181,FIND("'",$A181)-1),"''",RIGHT($A181,LEN($A181)-FIND("'",$A181))),$A181),"'!C10"))&gt;=R$2,"d",IF(INDIRECT(_xlfn.CONCAT("'",IF(ISNUMBER(FIND("'",$A181))=TRUE,_xlfn.CONCAT(LEFT($A181,FIND("'",$A181)-1),"''",RIGHT($A181,LEN($A181)-FIND("'",$A181))),$A181),"'!C11"))&gt;=R$2,"i",""))</f>
        <v>d</v>
      </c>
      <c r="S181" s="44" t="str" cm="1">
        <f t="array" aca="1" ref="S181" ca="1">IF(INDIRECT(_xlfn.CONCAT("'",IF(ISNUMBER(FIND("'",$A181))=TRUE,_xlfn.CONCAT(LEFT($A181,FIND("'",$A181)-1),"''",RIGHT($A181,LEN($A181)-FIND("'",$A181))),$A181),"'!C10"))&gt;=S$2,"d",IF(INDIRECT(_xlfn.CONCAT("'",IF(ISNUMBER(FIND("'",$A181))=TRUE,_xlfn.CONCAT(LEFT($A181,FIND("'",$A181)-1),"''",RIGHT($A181,LEN($A181)-FIND("'",$A181))),$A181),"'!C11"))&gt;=S$2,"i",""))</f>
        <v>d</v>
      </c>
      <c r="T181" s="45" t="str" cm="1">
        <f t="array" aca="1" ref="T181" ca="1">IF(INDIRECT(_xlfn.CONCAT("'",IF(ISNUMBER(FIND("'",$A181))=TRUE,_xlfn.CONCAT(LEFT($A181,FIND("'",$A181)-1),"''",RIGHT($A181,LEN($A181)-FIND("'",$A181))),$A181),"'!C10"))&gt;=T$2,"d",IF(INDIRECT(_xlfn.CONCAT("'",IF(ISNUMBER(FIND("'",$A181))=TRUE,_xlfn.CONCAT(LEFT($A181,FIND("'",$A181)-1),"''",RIGHT($A181,LEN($A181)-FIND("'",$A181))),$A181),"'!C11"))&gt;=T$2,"i",""))</f>
        <v>d</v>
      </c>
    </row>
    <row r="182" spans="1:20" hidden="1" x14ac:dyDescent="0.25">
      <c r="A182" s="135" t="str">
        <v>Crimson Moon’s Semblance</v>
      </c>
      <c r="B182" s="19" cm="1">
        <f t="array" ref="B182">_xlfn.XLOOKUP(A182,INDEX(Weapon_List,,1),INDEX(Weapon_List,,3),,0,1)</f>
        <v>5</v>
      </c>
      <c r="C182" s="45" t="str" cm="1">
        <f t="array" ref="C182">_xlfn.XLOOKUP(A182,INDEX(Weapon_List,,1),INDEX(Weapon_List,,2),,0,1)</f>
        <v>Polearm</v>
      </c>
      <c r="D182" s="38" t="str" cm="1">
        <f t="array" ref="D182">_xlfn.XLOOKUP(A182,INDEX(Weapon_List,,1),INDEX(Weapon_List,,4),,0,1)</f>
        <v>Fontaine 3</v>
      </c>
      <c r="E182" s="38" t="str" cm="1">
        <f t="array" ref="E182">_xlfn.XLOOKUP(A182,INDEX(Weapon_List,,1),INDEX(Weapon_List,,5),,0,1)</f>
        <v>Clockwork Meka</v>
      </c>
      <c r="F182" s="38" t="str" cm="1">
        <f t="array" ref="F182">_xlfn.XLOOKUP(A182,INDEX(Weapon_List,,1),INDEX(Weapon_List,,6),,0,1)</f>
        <v>Golem Guard</v>
      </c>
      <c r="G182" s="19" t="str" cm="1">
        <f t="array" aca="1" ref="G182" ca="1">IF(INDIRECT(_xlfn.CONCAT("'",IF(ISNUMBER(FIND("'",$A182))=TRUE,_xlfn.CONCAT(LEFT($A182,FIND("'",$A182)-1),"''",RIGHT($A182,LEN($A182)-FIND("'",$A182))),$A182),"'!B4"))&gt;=G$2,"d",IF(INDIRECT(_xlfn.CONCAT("'",IF(ISNUMBER(FIND("'",$A182))=TRUE,_xlfn.CONCAT(LEFT($A182,FIND("'",$A182)-1),"''",RIGHT($A182,LEN($A182)-FIND("'",$A182))),$A182),"'!B5"))&gt;=G$2,"i",""))</f>
        <v>d</v>
      </c>
      <c r="H182" s="44" t="str" cm="1">
        <f t="array" aca="1" ref="H182" ca="1">IF(INDIRECT(_xlfn.CONCAT("'",IF(ISNUMBER(FIND("'",$A182))=TRUE,_xlfn.CONCAT(LEFT($A182,FIND("'",$A182)-1),"''",RIGHT($A182,LEN($A182)-FIND("'",$A182))),$A182),"'!B4"))&gt;=H$2,"d",IF(INDIRECT(_xlfn.CONCAT("'",IF(ISNUMBER(FIND("'",$A182))=TRUE,_xlfn.CONCAT(LEFT($A182,FIND("'",$A182)-1),"''",RIGHT($A182,LEN($A182)-FIND("'",$A182))),$A182),"'!B5"))&gt;=H$2,"i",""))</f>
        <v>d</v>
      </c>
      <c r="I182" s="44" t="str" cm="1">
        <f t="array" aca="1" ref="I182" ca="1">IF(INDIRECT(_xlfn.CONCAT("'",IF(ISNUMBER(FIND("'",$A182))=TRUE,_xlfn.CONCAT(LEFT($A182,FIND("'",$A182)-1),"''",RIGHT($A182,LEN($A182)-FIND("'",$A182))),$A182),"'!B4"))&gt;=I$2,"d",IF(INDIRECT(_xlfn.CONCAT("'",IF(ISNUMBER(FIND("'",$A182))=TRUE,_xlfn.CONCAT(LEFT($A182,FIND("'",$A182)-1),"''",RIGHT($A182,LEN($A182)-FIND("'",$A182))),$A182),"'!B5"))&gt;=I$2,"i",""))</f>
        <v>d</v>
      </c>
      <c r="J182" s="44" t="str" cm="1">
        <f t="array" aca="1" ref="J182" ca="1">IF(INDIRECT(_xlfn.CONCAT("'",IF(ISNUMBER(FIND("'",$A182))=TRUE,_xlfn.CONCAT(LEFT($A182,FIND("'",$A182)-1),"''",RIGHT($A182,LEN($A182)-FIND("'",$A182))),$A182),"'!B4"))&gt;=J$2,"d",IF(INDIRECT(_xlfn.CONCAT("'",IF(ISNUMBER(FIND("'",$A182))=TRUE,_xlfn.CONCAT(LEFT($A182,FIND("'",$A182)-1),"''",RIGHT($A182,LEN($A182)-FIND("'",$A182))),$A182),"'!B5"))&gt;=J$2,"i",""))</f>
        <v>d</v>
      </c>
      <c r="K182" s="44" t="str" cm="1">
        <f t="array" aca="1" ref="K182" ca="1">IF(INDIRECT(_xlfn.CONCAT("'",IF(ISNUMBER(FIND("'",$A182))=TRUE,_xlfn.CONCAT(LEFT($A182,FIND("'",$A182)-1),"''",RIGHT($A182,LEN($A182)-FIND("'",$A182))),$A182),"'!B4"))&gt;=K$2,"d",IF(INDIRECT(_xlfn.CONCAT("'",IF(ISNUMBER(FIND("'",$A182))=TRUE,_xlfn.CONCAT(LEFT($A182,FIND("'",$A182)-1),"''",RIGHT($A182,LEN($A182)-FIND("'",$A182))),$A182),"'!B5"))&gt;=K$2,"i",""))</f>
        <v>d</v>
      </c>
      <c r="L182" s="44" t="str" cm="1">
        <f t="array" aca="1" ref="L182" ca="1">IF(INDIRECT(_xlfn.CONCAT("'",IF(ISNUMBER(FIND("'",$A182))=TRUE,_xlfn.CONCAT(LEFT($A182,FIND("'",$A182)-1),"''",RIGHT($A182,LEN($A182)-FIND("'",$A182))),$A182),"'!B4"))&gt;=L$2,"d",IF(INDIRECT(_xlfn.CONCAT("'",IF(ISNUMBER(FIND("'",$A182))=TRUE,_xlfn.CONCAT(LEFT($A182,FIND("'",$A182)-1),"''",RIGHT($A182,LEN($A182)-FIND("'",$A182))),$A182),"'!B5"))&gt;=L$2,"i",""))</f>
        <v>d</v>
      </c>
      <c r="M182" s="45" t="str" cm="1">
        <f t="array" aca="1" ref="M182" ca="1">IF(INDIRECT(_xlfn.CONCAT("'",IF(ISNUMBER(FIND("'",$A182))=TRUE,_xlfn.CONCAT(LEFT($A182,FIND("'",$A182)-1),"''",RIGHT($A182,LEN($A182)-FIND("'",$A182))),$A182),"'!B4"))&gt;=M$2,"d",IF(INDIRECT(_xlfn.CONCAT("'",IF(ISNUMBER(FIND("'",$A182))=TRUE,_xlfn.CONCAT(LEFT($A182,FIND("'",$A182)-1),"''",RIGHT($A182,LEN($A182)-FIND("'",$A182))),$A182),"'!B5"))&gt;=M$2,"i",""))</f>
        <v>d</v>
      </c>
      <c r="N182" s="157"/>
      <c r="O182" s="19" t="str" cm="1">
        <f t="array" aca="1" ref="O182" ca="1">IF(INDIRECT(_xlfn.CONCAT("'",IF(ISNUMBER(FIND("'",$A182))=TRUE,_xlfn.CONCAT(LEFT($A182,FIND("'",$A182)-1),"''",RIGHT($A182,LEN($A182)-FIND("'",$A182))),$A182),"'!C10"))&gt;=O$2,"d",IF(INDIRECT(_xlfn.CONCAT("'",IF(ISNUMBER(FIND("'",$A182))=TRUE,_xlfn.CONCAT(LEFT($A182,FIND("'",$A182)-1),"''",RIGHT($A182,LEN($A182)-FIND("'",$A182))),$A182),"'!C11"))&gt;=O$2,"i",""))</f>
        <v>d</v>
      </c>
      <c r="P182" s="44" t="str" cm="1">
        <f t="array" aca="1" ref="P182" ca="1">IF(INDIRECT(_xlfn.CONCAT("'",IF(ISNUMBER(FIND("'",$A182))=TRUE,_xlfn.CONCAT(LEFT($A182,FIND("'",$A182)-1),"''",RIGHT($A182,LEN($A182)-FIND("'",$A182))),$A182),"'!C10"))&gt;=P$2,"d",IF(INDIRECT(_xlfn.CONCAT("'",IF(ISNUMBER(FIND("'",$A182))=TRUE,_xlfn.CONCAT(LEFT($A182,FIND("'",$A182)-1),"''",RIGHT($A182,LEN($A182)-FIND("'",$A182))),$A182),"'!C11"))&gt;=P$2,"i",""))</f>
        <v>d</v>
      </c>
      <c r="Q182" s="44" t="str" cm="1">
        <f t="array" aca="1" ref="Q182" ca="1">IF(INDIRECT(_xlfn.CONCAT("'",IF(ISNUMBER(FIND("'",$A182))=TRUE,_xlfn.CONCAT(LEFT($A182,FIND("'",$A182)-1),"''",RIGHT($A182,LEN($A182)-FIND("'",$A182))),$A182),"'!C10"))&gt;=Q$2,"d",IF(INDIRECT(_xlfn.CONCAT("'",IF(ISNUMBER(FIND("'",$A182))=TRUE,_xlfn.CONCAT(LEFT($A182,FIND("'",$A182)-1),"''",RIGHT($A182,LEN($A182)-FIND("'",$A182))),$A182),"'!C11"))&gt;=Q$2,"i",""))</f>
        <v>d</v>
      </c>
      <c r="R182" s="44" t="str" cm="1">
        <f t="array" aca="1" ref="R182" ca="1">IF(INDIRECT(_xlfn.CONCAT("'",IF(ISNUMBER(FIND("'",$A182))=TRUE,_xlfn.CONCAT(LEFT($A182,FIND("'",$A182)-1),"''",RIGHT($A182,LEN($A182)-FIND("'",$A182))),$A182),"'!C10"))&gt;=R$2,"d",IF(INDIRECT(_xlfn.CONCAT("'",IF(ISNUMBER(FIND("'",$A182))=TRUE,_xlfn.CONCAT(LEFT($A182,FIND("'",$A182)-1),"''",RIGHT($A182,LEN($A182)-FIND("'",$A182))),$A182),"'!C11"))&gt;=R$2,"i",""))</f>
        <v>d</v>
      </c>
      <c r="S182" s="44" t="str" cm="1">
        <f t="array" aca="1" ref="S182" ca="1">IF(INDIRECT(_xlfn.CONCAT("'",IF(ISNUMBER(FIND("'",$A182))=TRUE,_xlfn.CONCAT(LEFT($A182,FIND("'",$A182)-1),"''",RIGHT($A182,LEN($A182)-FIND("'",$A182))),$A182),"'!C10"))&gt;=S$2,"d",IF(INDIRECT(_xlfn.CONCAT("'",IF(ISNUMBER(FIND("'",$A182))=TRUE,_xlfn.CONCAT(LEFT($A182,FIND("'",$A182)-1),"''",RIGHT($A182,LEN($A182)-FIND("'",$A182))),$A182),"'!C11"))&gt;=S$2,"i",""))</f>
        <v>d</v>
      </c>
      <c r="T182" s="45" t="str" cm="1">
        <f t="array" aca="1" ref="T182" ca="1">IF(INDIRECT(_xlfn.CONCAT("'",IF(ISNUMBER(FIND("'",$A182))=TRUE,_xlfn.CONCAT(LEFT($A182,FIND("'",$A182)-1),"''",RIGHT($A182,LEN($A182)-FIND("'",$A182))),$A182),"'!C10"))&gt;=T$2,"d",IF(INDIRECT(_xlfn.CONCAT("'",IF(ISNUMBER(FIND("'",$A182))=TRUE,_xlfn.CONCAT(LEFT($A182,FIND("'",$A182)-1),"''",RIGHT($A182,LEN($A182)-FIND("'",$A182))),$A182),"'!C11"))&gt;=T$2,"i",""))</f>
        <v>d</v>
      </c>
    </row>
    <row r="183" spans="1:20" hidden="1" x14ac:dyDescent="0.25">
      <c r="A183" s="135" t="str">
        <v>Absolution</v>
      </c>
      <c r="B183" s="19" cm="1">
        <f t="array" ref="B183">_xlfn.XLOOKUP(A183,INDEX(Weapon_List,,1),INDEX(Weapon_List,,3),,0,1)</f>
        <v>5</v>
      </c>
      <c r="C183" s="45" t="str" cm="1">
        <f t="array" ref="C183">_xlfn.XLOOKUP(A183,INDEX(Weapon_List,,1),INDEX(Weapon_List,,2),,0,1)</f>
        <v>Sword</v>
      </c>
      <c r="D183" s="38" t="str" cm="1">
        <f t="array" ref="D183">_xlfn.XLOOKUP(A183,INDEX(Weapon_List,,1),INDEX(Weapon_List,,4),,0,1)</f>
        <v>Fontaine 1</v>
      </c>
      <c r="E183" s="38" t="str" cm="1">
        <f t="array" ref="E183">_xlfn.XLOOKUP(A183,INDEX(Weapon_List,,1),INDEX(Weapon_List,,5),,0,1)</f>
        <v>Clockwork Meka</v>
      </c>
      <c r="F183" s="38" t="str" cm="1">
        <f t="array" ref="F183">_xlfn.XLOOKUP(A183,INDEX(Weapon_List,,1),INDEX(Weapon_List,,6),,0,1)</f>
        <v>Fatui Operative</v>
      </c>
      <c r="G183" s="19" t="str" cm="1">
        <f t="array" aca="1" ref="G183" ca="1">IF(INDIRECT(_xlfn.CONCAT("'",IF(ISNUMBER(FIND("'",$A183))=TRUE,_xlfn.CONCAT(LEFT($A183,FIND("'",$A183)-1),"''",RIGHT($A183,LEN($A183)-FIND("'",$A183))),$A183),"'!B4"))&gt;=G$2,"d",IF(INDIRECT(_xlfn.CONCAT("'",IF(ISNUMBER(FIND("'",$A183))=TRUE,_xlfn.CONCAT(LEFT($A183,FIND("'",$A183)-1),"''",RIGHT($A183,LEN($A183)-FIND("'",$A183))),$A183),"'!B5"))&gt;=G$2,"i",""))</f>
        <v>d</v>
      </c>
      <c r="H183" s="44" t="str" cm="1">
        <f t="array" aca="1" ref="H183" ca="1">IF(INDIRECT(_xlfn.CONCAT("'",IF(ISNUMBER(FIND("'",$A183))=TRUE,_xlfn.CONCAT(LEFT($A183,FIND("'",$A183)-1),"''",RIGHT($A183,LEN($A183)-FIND("'",$A183))),$A183),"'!B4"))&gt;=H$2,"d",IF(INDIRECT(_xlfn.CONCAT("'",IF(ISNUMBER(FIND("'",$A183))=TRUE,_xlfn.CONCAT(LEFT($A183,FIND("'",$A183)-1),"''",RIGHT($A183,LEN($A183)-FIND("'",$A183))),$A183),"'!B5"))&gt;=H$2,"i",""))</f>
        <v>d</v>
      </c>
      <c r="I183" s="44" t="str" cm="1">
        <f t="array" aca="1" ref="I183" ca="1">IF(INDIRECT(_xlfn.CONCAT("'",IF(ISNUMBER(FIND("'",$A183))=TRUE,_xlfn.CONCAT(LEFT($A183,FIND("'",$A183)-1),"''",RIGHT($A183,LEN($A183)-FIND("'",$A183))),$A183),"'!B4"))&gt;=I$2,"d",IF(INDIRECT(_xlfn.CONCAT("'",IF(ISNUMBER(FIND("'",$A183))=TRUE,_xlfn.CONCAT(LEFT($A183,FIND("'",$A183)-1),"''",RIGHT($A183,LEN($A183)-FIND("'",$A183))),$A183),"'!B5"))&gt;=I$2,"i",""))</f>
        <v>d</v>
      </c>
      <c r="J183" s="44" t="str" cm="1">
        <f t="array" aca="1" ref="J183" ca="1">IF(INDIRECT(_xlfn.CONCAT("'",IF(ISNUMBER(FIND("'",$A183))=TRUE,_xlfn.CONCAT(LEFT($A183,FIND("'",$A183)-1),"''",RIGHT($A183,LEN($A183)-FIND("'",$A183))),$A183),"'!B4"))&gt;=J$2,"d",IF(INDIRECT(_xlfn.CONCAT("'",IF(ISNUMBER(FIND("'",$A183))=TRUE,_xlfn.CONCAT(LEFT($A183,FIND("'",$A183)-1),"''",RIGHT($A183,LEN($A183)-FIND("'",$A183))),$A183),"'!B5"))&gt;=J$2,"i",""))</f>
        <v>d</v>
      </c>
      <c r="K183" s="44" t="str" cm="1">
        <f t="array" aca="1" ref="K183" ca="1">IF(INDIRECT(_xlfn.CONCAT("'",IF(ISNUMBER(FIND("'",$A183))=TRUE,_xlfn.CONCAT(LEFT($A183,FIND("'",$A183)-1),"''",RIGHT($A183,LEN($A183)-FIND("'",$A183))),$A183),"'!B4"))&gt;=K$2,"d",IF(INDIRECT(_xlfn.CONCAT("'",IF(ISNUMBER(FIND("'",$A183))=TRUE,_xlfn.CONCAT(LEFT($A183,FIND("'",$A183)-1),"''",RIGHT($A183,LEN($A183)-FIND("'",$A183))),$A183),"'!B5"))&gt;=K$2,"i",""))</f>
        <v>d</v>
      </c>
      <c r="L183" s="44" t="str" cm="1">
        <f t="array" aca="1" ref="L183" ca="1">IF(INDIRECT(_xlfn.CONCAT("'",IF(ISNUMBER(FIND("'",$A183))=TRUE,_xlfn.CONCAT(LEFT($A183,FIND("'",$A183)-1),"''",RIGHT($A183,LEN($A183)-FIND("'",$A183))),$A183),"'!B4"))&gt;=L$2,"d",IF(INDIRECT(_xlfn.CONCAT("'",IF(ISNUMBER(FIND("'",$A183))=TRUE,_xlfn.CONCAT(LEFT($A183,FIND("'",$A183)-1),"''",RIGHT($A183,LEN($A183)-FIND("'",$A183))),$A183),"'!B5"))&gt;=L$2,"i",""))</f>
        <v>d</v>
      </c>
      <c r="M183" s="45" t="str" cm="1">
        <f t="array" aca="1" ref="M183" ca="1">IF(INDIRECT(_xlfn.CONCAT("'",IF(ISNUMBER(FIND("'",$A183))=TRUE,_xlfn.CONCAT(LEFT($A183,FIND("'",$A183)-1),"''",RIGHT($A183,LEN($A183)-FIND("'",$A183))),$A183),"'!B4"))&gt;=M$2,"d",IF(INDIRECT(_xlfn.CONCAT("'",IF(ISNUMBER(FIND("'",$A183))=TRUE,_xlfn.CONCAT(LEFT($A183,FIND("'",$A183)-1),"''",RIGHT($A183,LEN($A183)-FIND("'",$A183))),$A183),"'!B5"))&gt;=M$2,"i",""))</f>
        <v>d</v>
      </c>
      <c r="N183" s="157"/>
      <c r="O183" s="19" t="str" cm="1">
        <f t="array" aca="1" ref="O183" ca="1">IF(INDIRECT(_xlfn.CONCAT("'",IF(ISNUMBER(FIND("'",$A183))=TRUE,_xlfn.CONCAT(LEFT($A183,FIND("'",$A183)-1),"''",RIGHT($A183,LEN($A183)-FIND("'",$A183))),$A183),"'!C10"))&gt;=O$2,"d",IF(INDIRECT(_xlfn.CONCAT("'",IF(ISNUMBER(FIND("'",$A183))=TRUE,_xlfn.CONCAT(LEFT($A183,FIND("'",$A183)-1),"''",RIGHT($A183,LEN($A183)-FIND("'",$A183))),$A183),"'!C11"))&gt;=O$2,"i",""))</f>
        <v>d</v>
      </c>
      <c r="P183" s="44" t="str" cm="1">
        <f t="array" aca="1" ref="P183" ca="1">IF(INDIRECT(_xlfn.CONCAT("'",IF(ISNUMBER(FIND("'",$A183))=TRUE,_xlfn.CONCAT(LEFT($A183,FIND("'",$A183)-1),"''",RIGHT($A183,LEN($A183)-FIND("'",$A183))),$A183),"'!C10"))&gt;=P$2,"d",IF(INDIRECT(_xlfn.CONCAT("'",IF(ISNUMBER(FIND("'",$A183))=TRUE,_xlfn.CONCAT(LEFT($A183,FIND("'",$A183)-1),"''",RIGHT($A183,LEN($A183)-FIND("'",$A183))),$A183),"'!C11"))&gt;=P$2,"i",""))</f>
        <v>d</v>
      </c>
      <c r="Q183" s="44" t="str" cm="1">
        <f t="array" aca="1" ref="Q183" ca="1">IF(INDIRECT(_xlfn.CONCAT("'",IF(ISNUMBER(FIND("'",$A183))=TRUE,_xlfn.CONCAT(LEFT($A183,FIND("'",$A183)-1),"''",RIGHT($A183,LEN($A183)-FIND("'",$A183))),$A183),"'!C10"))&gt;=Q$2,"d",IF(INDIRECT(_xlfn.CONCAT("'",IF(ISNUMBER(FIND("'",$A183))=TRUE,_xlfn.CONCAT(LEFT($A183,FIND("'",$A183)-1),"''",RIGHT($A183,LEN($A183)-FIND("'",$A183))),$A183),"'!C11"))&gt;=Q$2,"i",""))</f>
        <v>d</v>
      </c>
      <c r="R183" s="44" t="str" cm="1">
        <f t="array" aca="1" ref="R183" ca="1">IF(INDIRECT(_xlfn.CONCAT("'",IF(ISNUMBER(FIND("'",$A183))=TRUE,_xlfn.CONCAT(LEFT($A183,FIND("'",$A183)-1),"''",RIGHT($A183,LEN($A183)-FIND("'",$A183))),$A183),"'!C10"))&gt;=R$2,"d",IF(INDIRECT(_xlfn.CONCAT("'",IF(ISNUMBER(FIND("'",$A183))=TRUE,_xlfn.CONCAT(LEFT($A183,FIND("'",$A183)-1),"''",RIGHT($A183,LEN($A183)-FIND("'",$A183))),$A183),"'!C11"))&gt;=R$2,"i",""))</f>
        <v>d</v>
      </c>
      <c r="S183" s="44" t="str" cm="1">
        <f t="array" aca="1" ref="S183" ca="1">IF(INDIRECT(_xlfn.CONCAT("'",IF(ISNUMBER(FIND("'",$A183))=TRUE,_xlfn.CONCAT(LEFT($A183,FIND("'",$A183)-1),"''",RIGHT($A183,LEN($A183)-FIND("'",$A183))),$A183),"'!C10"))&gt;=S$2,"d",IF(INDIRECT(_xlfn.CONCAT("'",IF(ISNUMBER(FIND("'",$A183))=TRUE,_xlfn.CONCAT(LEFT($A183,FIND("'",$A183)-1),"''",RIGHT($A183,LEN($A183)-FIND("'",$A183))),$A183),"'!C11"))&gt;=S$2,"i",""))</f>
        <v>d</v>
      </c>
      <c r="T183" s="45" t="str" cm="1">
        <f t="array" aca="1" ref="T183" ca="1">IF(INDIRECT(_xlfn.CONCAT("'",IF(ISNUMBER(FIND("'",$A183))=TRUE,_xlfn.CONCAT(LEFT($A183,FIND("'",$A183)-1),"''",RIGHT($A183,LEN($A183)-FIND("'",$A183))),$A183),"'!C10"))&gt;=T$2,"d",IF(INDIRECT(_xlfn.CONCAT("'",IF(ISNUMBER(FIND("'",$A183))=TRUE,_xlfn.CONCAT(LEFT($A183,FIND("'",$A183)-1),"''",RIGHT($A183,LEN($A183)-FIND("'",$A183))),$A183),"'!C11"))&gt;=T$2,"i",""))</f>
        <v>d</v>
      </c>
    </row>
    <row r="184" spans="1:20" hidden="1" x14ac:dyDescent="0.25">
      <c r="A184" s="135" t="str">
        <v>Cloudweaver</v>
      </c>
      <c r="B184" s="19" cm="1">
        <f t="array" ref="B184">_xlfn.XLOOKUP(A184,INDEX(Weapon_List,,1),INDEX(Weapon_List,,3),,0,1)</f>
        <v>4</v>
      </c>
      <c r="C184" s="45" t="str" cm="1">
        <f t="array" ref="C184">_xlfn.XLOOKUP(A184,INDEX(Weapon_List,,1),INDEX(Weapon_List,,2),,0,1)</f>
        <v>Bow</v>
      </c>
      <c r="D184" s="38" t="str" cm="1">
        <f t="array" ref="D184">_xlfn.XLOOKUP(A184,INDEX(Weapon_List,,1),INDEX(Weapon_List,,4),,0,1)</f>
        <v>Liyue 3</v>
      </c>
      <c r="E184" s="38" t="str" cm="1">
        <f t="array" ref="E184">_xlfn.XLOOKUP(A184,INDEX(Weapon_List,,1),INDEX(Weapon_List,,5),,0,1)</f>
        <v>Fatui</v>
      </c>
      <c r="F184" s="38" t="str" cm="1">
        <f t="array" ref="F184">_xlfn.XLOOKUP(A184,INDEX(Weapon_List,,1),INDEX(Weapon_List,,6),,0,1)</f>
        <v>Golem Guard</v>
      </c>
      <c r="G184" s="19" t="str" cm="1">
        <f t="array" aca="1" ref="G184" ca="1">IF(INDIRECT(_xlfn.CONCAT("'",IF(ISNUMBER(FIND("'",$A184))=TRUE,_xlfn.CONCAT(LEFT($A184,FIND("'",$A184)-1),"''",RIGHT($A184,LEN($A184)-FIND("'",$A184))),$A184),"'!B4"))&gt;=G$2,"d",IF(INDIRECT(_xlfn.CONCAT("'",IF(ISNUMBER(FIND("'",$A184))=TRUE,_xlfn.CONCAT(LEFT($A184,FIND("'",$A184)-1),"''",RIGHT($A184,LEN($A184)-FIND("'",$A184))),$A184),"'!B5"))&gt;=G$2,"i",""))</f>
        <v>d</v>
      </c>
      <c r="H184" s="44" t="str" cm="1">
        <f t="array" aca="1" ref="H184" ca="1">IF(INDIRECT(_xlfn.CONCAT("'",IF(ISNUMBER(FIND("'",$A184))=TRUE,_xlfn.CONCAT(LEFT($A184,FIND("'",$A184)-1),"''",RIGHT($A184,LEN($A184)-FIND("'",$A184))),$A184),"'!B4"))&gt;=H$2,"d",IF(INDIRECT(_xlfn.CONCAT("'",IF(ISNUMBER(FIND("'",$A184))=TRUE,_xlfn.CONCAT(LEFT($A184,FIND("'",$A184)-1),"''",RIGHT($A184,LEN($A184)-FIND("'",$A184))),$A184),"'!B5"))&gt;=H$2,"i",""))</f>
        <v>d</v>
      </c>
      <c r="I184" s="44" t="str" cm="1">
        <f t="array" aca="1" ref="I184" ca="1">IF(INDIRECT(_xlfn.CONCAT("'",IF(ISNUMBER(FIND("'",$A184))=TRUE,_xlfn.CONCAT(LEFT($A184,FIND("'",$A184)-1),"''",RIGHT($A184,LEN($A184)-FIND("'",$A184))),$A184),"'!B4"))&gt;=I$2,"d",IF(INDIRECT(_xlfn.CONCAT("'",IF(ISNUMBER(FIND("'",$A184))=TRUE,_xlfn.CONCAT(LEFT($A184,FIND("'",$A184)-1),"''",RIGHT($A184,LEN($A184)-FIND("'",$A184))),$A184),"'!B5"))&gt;=I$2,"i",""))</f>
        <v>d</v>
      </c>
      <c r="J184" s="44" t="str" cm="1">
        <f t="array" aca="1" ref="J184" ca="1">IF(INDIRECT(_xlfn.CONCAT("'",IF(ISNUMBER(FIND("'",$A184))=TRUE,_xlfn.CONCAT(LEFT($A184,FIND("'",$A184)-1),"''",RIGHT($A184,LEN($A184)-FIND("'",$A184))),$A184),"'!B4"))&gt;=J$2,"d",IF(INDIRECT(_xlfn.CONCAT("'",IF(ISNUMBER(FIND("'",$A184))=TRUE,_xlfn.CONCAT(LEFT($A184,FIND("'",$A184)-1),"''",RIGHT($A184,LEN($A184)-FIND("'",$A184))),$A184),"'!B5"))&gt;=J$2,"i",""))</f>
        <v>d</v>
      </c>
      <c r="K184" s="44" t="str" cm="1">
        <f t="array" aca="1" ref="K184" ca="1">IF(INDIRECT(_xlfn.CONCAT("'",IF(ISNUMBER(FIND("'",$A184))=TRUE,_xlfn.CONCAT(LEFT($A184,FIND("'",$A184)-1),"''",RIGHT($A184,LEN($A184)-FIND("'",$A184))),$A184),"'!B4"))&gt;=K$2,"d",IF(INDIRECT(_xlfn.CONCAT("'",IF(ISNUMBER(FIND("'",$A184))=TRUE,_xlfn.CONCAT(LEFT($A184,FIND("'",$A184)-1),"''",RIGHT($A184,LEN($A184)-FIND("'",$A184))),$A184),"'!B5"))&gt;=K$2,"i",""))</f>
        <v>d</v>
      </c>
      <c r="L184" s="44" t="str" cm="1">
        <f t="array" aca="1" ref="L184" ca="1">IF(INDIRECT(_xlfn.CONCAT("'",IF(ISNUMBER(FIND("'",$A184))=TRUE,_xlfn.CONCAT(LEFT($A184,FIND("'",$A184)-1),"''",RIGHT($A184,LEN($A184)-FIND("'",$A184))),$A184),"'!B4"))&gt;=L$2,"d",IF(INDIRECT(_xlfn.CONCAT("'",IF(ISNUMBER(FIND("'",$A184))=TRUE,_xlfn.CONCAT(LEFT($A184,FIND("'",$A184)-1),"''",RIGHT($A184,LEN($A184)-FIND("'",$A184))),$A184),"'!B5"))&gt;=L$2,"i",""))</f>
        <v>d</v>
      </c>
      <c r="M184" s="45" t="str" cm="1">
        <f t="array" aca="1" ref="M184" ca="1">IF(INDIRECT(_xlfn.CONCAT("'",IF(ISNUMBER(FIND("'",$A184))=TRUE,_xlfn.CONCAT(LEFT($A184,FIND("'",$A184)-1),"''",RIGHT($A184,LEN($A184)-FIND("'",$A184))),$A184),"'!B4"))&gt;=M$2,"d",IF(INDIRECT(_xlfn.CONCAT("'",IF(ISNUMBER(FIND("'",$A184))=TRUE,_xlfn.CONCAT(LEFT($A184,FIND("'",$A184)-1),"''",RIGHT($A184,LEN($A184)-FIND("'",$A184))),$A184),"'!B5"))&gt;=M$2,"i",""))</f>
        <v>d</v>
      </c>
      <c r="N184" s="157"/>
      <c r="O184" s="19" t="str" cm="1">
        <f t="array" aca="1" ref="O184" ca="1">IF(INDIRECT(_xlfn.CONCAT("'",IF(ISNUMBER(FIND("'",$A184))=TRUE,_xlfn.CONCAT(LEFT($A184,FIND("'",$A184)-1),"''",RIGHT($A184,LEN($A184)-FIND("'",$A184))),$A184),"'!C10"))&gt;=O$2,"d",IF(INDIRECT(_xlfn.CONCAT("'",IF(ISNUMBER(FIND("'",$A184))=TRUE,_xlfn.CONCAT(LEFT($A184,FIND("'",$A184)-1),"''",RIGHT($A184,LEN($A184)-FIND("'",$A184))),$A184),"'!C11"))&gt;=O$2,"i",""))</f>
        <v>d</v>
      </c>
      <c r="P184" s="44" t="str" cm="1">
        <f t="array" aca="1" ref="P184" ca="1">IF(INDIRECT(_xlfn.CONCAT("'",IF(ISNUMBER(FIND("'",$A184))=TRUE,_xlfn.CONCAT(LEFT($A184,FIND("'",$A184)-1),"''",RIGHT($A184,LEN($A184)-FIND("'",$A184))),$A184),"'!C10"))&gt;=P$2,"d",IF(INDIRECT(_xlfn.CONCAT("'",IF(ISNUMBER(FIND("'",$A184))=TRUE,_xlfn.CONCAT(LEFT($A184,FIND("'",$A184)-1),"''",RIGHT($A184,LEN($A184)-FIND("'",$A184))),$A184),"'!C11"))&gt;=P$2,"i",""))</f>
        <v>d</v>
      </c>
      <c r="Q184" s="44" t="str" cm="1">
        <f t="array" aca="1" ref="Q184" ca="1">IF(INDIRECT(_xlfn.CONCAT("'",IF(ISNUMBER(FIND("'",$A184))=TRUE,_xlfn.CONCAT(LEFT($A184,FIND("'",$A184)-1),"''",RIGHT($A184,LEN($A184)-FIND("'",$A184))),$A184),"'!C10"))&gt;=Q$2,"d",IF(INDIRECT(_xlfn.CONCAT("'",IF(ISNUMBER(FIND("'",$A184))=TRUE,_xlfn.CONCAT(LEFT($A184,FIND("'",$A184)-1),"''",RIGHT($A184,LEN($A184)-FIND("'",$A184))),$A184),"'!C11"))&gt;=Q$2,"i",""))</f>
        <v>d</v>
      </c>
      <c r="R184" s="44" t="str" cm="1">
        <f t="array" aca="1" ref="R184" ca="1">IF(INDIRECT(_xlfn.CONCAT("'",IF(ISNUMBER(FIND("'",$A184))=TRUE,_xlfn.CONCAT(LEFT($A184,FIND("'",$A184)-1),"''",RIGHT($A184,LEN($A184)-FIND("'",$A184))),$A184),"'!C10"))&gt;=R$2,"d",IF(INDIRECT(_xlfn.CONCAT("'",IF(ISNUMBER(FIND("'",$A184))=TRUE,_xlfn.CONCAT(LEFT($A184,FIND("'",$A184)-1),"''",RIGHT($A184,LEN($A184)-FIND("'",$A184))),$A184),"'!C11"))&gt;=R$2,"i",""))</f>
        <v>d</v>
      </c>
      <c r="S184" s="44" t="str" cm="1">
        <f t="array" aca="1" ref="S184" ca="1">IF(INDIRECT(_xlfn.CONCAT("'",IF(ISNUMBER(FIND("'",$A184))=TRUE,_xlfn.CONCAT(LEFT($A184,FIND("'",$A184)-1),"''",RIGHT($A184,LEN($A184)-FIND("'",$A184))),$A184),"'!C10"))&gt;=S$2,"d",IF(INDIRECT(_xlfn.CONCAT("'",IF(ISNUMBER(FIND("'",$A184))=TRUE,_xlfn.CONCAT(LEFT($A184,FIND("'",$A184)-1),"''",RIGHT($A184,LEN($A184)-FIND("'",$A184))),$A184),"'!C11"))&gt;=S$2,"i",""))</f>
        <v>d</v>
      </c>
      <c r="T184" s="45" t="str" cm="1">
        <f t="array" aca="1" ref="T184" ca="1">IF(INDIRECT(_xlfn.CONCAT("'",IF(ISNUMBER(FIND("'",$A184))=TRUE,_xlfn.CONCAT(LEFT($A184,FIND("'",$A184)-1),"''",RIGHT($A184,LEN($A184)-FIND("'",$A184))),$A184),"'!C10"))&gt;=T$2,"d",IF(INDIRECT(_xlfn.CONCAT("'",IF(ISNUMBER(FIND("'",$A184))=TRUE,_xlfn.CONCAT(LEFT($A184,FIND("'",$A184)-1),"''",RIGHT($A184,LEN($A184)-FIND("'",$A184))),$A184),"'!C11"))&gt;=T$2,"i",""))</f>
        <v>d</v>
      </c>
    </row>
    <row r="185" spans="1:20" hidden="1" x14ac:dyDescent="0.25">
      <c r="A185" s="135" t="str">
        <v>Pouring Heartstrings</v>
      </c>
      <c r="B185" s="19" cm="1">
        <f t="array" ref="B185">_xlfn.XLOOKUP(A185,INDEX(Weapon_List,,1),INDEX(Weapon_List,,3),,0,1)</f>
        <v>5</v>
      </c>
      <c r="C185" s="45" t="str" cm="1">
        <f t="array" ref="C185">_xlfn.XLOOKUP(A185,INDEX(Weapon_List,,1),INDEX(Weapon_List,,2),,0,1)</f>
        <v>Bow</v>
      </c>
      <c r="D185" s="38" t="str" cm="1">
        <f t="array" ref="D185">_xlfn.XLOOKUP(A185,INDEX(Weapon_List,,1),INDEX(Weapon_List,,4),,0,1)</f>
        <v>Fontaine 2</v>
      </c>
      <c r="E185" s="38" t="str" cm="1">
        <f t="array" ref="E185">_xlfn.XLOOKUP(A185,INDEX(Weapon_List,,1),INDEX(Weapon_List,,5),,0,1)</f>
        <v>Fontemer Aberrant</v>
      </c>
      <c r="F185" s="38" t="str" cm="1">
        <f t="array" ref="F185">_xlfn.XLOOKUP(A185,INDEX(Weapon_List,,1),INDEX(Weapon_List,,6),,0,1)</f>
        <v>Xuanwen Beast</v>
      </c>
      <c r="G185" s="19" t="str" cm="1">
        <f t="array" aca="1" ref="G185" ca="1">IF(INDIRECT(_xlfn.CONCAT("'",IF(ISNUMBER(FIND("'",$A185))=TRUE,_xlfn.CONCAT(LEFT($A185,FIND("'",$A185)-1),"''",RIGHT($A185,LEN($A185)-FIND("'",$A185))),$A185),"'!B4"))&gt;=G$2,"d",IF(INDIRECT(_xlfn.CONCAT("'",IF(ISNUMBER(FIND("'",$A185))=TRUE,_xlfn.CONCAT(LEFT($A185,FIND("'",$A185)-1),"''",RIGHT($A185,LEN($A185)-FIND("'",$A185))),$A185),"'!B5"))&gt;=G$2,"i",""))</f>
        <v>d</v>
      </c>
      <c r="H185" s="44" t="str" cm="1">
        <f t="array" aca="1" ref="H185" ca="1">IF(INDIRECT(_xlfn.CONCAT("'",IF(ISNUMBER(FIND("'",$A185))=TRUE,_xlfn.CONCAT(LEFT($A185,FIND("'",$A185)-1),"''",RIGHT($A185,LEN($A185)-FIND("'",$A185))),$A185),"'!B4"))&gt;=H$2,"d",IF(INDIRECT(_xlfn.CONCAT("'",IF(ISNUMBER(FIND("'",$A185))=TRUE,_xlfn.CONCAT(LEFT($A185,FIND("'",$A185)-1),"''",RIGHT($A185,LEN($A185)-FIND("'",$A185))),$A185),"'!B5"))&gt;=H$2,"i",""))</f>
        <v>d</v>
      </c>
      <c r="I185" s="44" t="str" cm="1">
        <f t="array" aca="1" ref="I185" ca="1">IF(INDIRECT(_xlfn.CONCAT("'",IF(ISNUMBER(FIND("'",$A185))=TRUE,_xlfn.CONCAT(LEFT($A185,FIND("'",$A185)-1),"''",RIGHT($A185,LEN($A185)-FIND("'",$A185))),$A185),"'!B4"))&gt;=I$2,"d",IF(INDIRECT(_xlfn.CONCAT("'",IF(ISNUMBER(FIND("'",$A185))=TRUE,_xlfn.CONCAT(LEFT($A185,FIND("'",$A185)-1),"''",RIGHT($A185,LEN($A185)-FIND("'",$A185))),$A185),"'!B5"))&gt;=I$2,"i",""))</f>
        <v>d</v>
      </c>
      <c r="J185" s="44" t="str" cm="1">
        <f t="array" aca="1" ref="J185" ca="1">IF(INDIRECT(_xlfn.CONCAT("'",IF(ISNUMBER(FIND("'",$A185))=TRUE,_xlfn.CONCAT(LEFT($A185,FIND("'",$A185)-1),"''",RIGHT($A185,LEN($A185)-FIND("'",$A185))),$A185),"'!B4"))&gt;=J$2,"d",IF(INDIRECT(_xlfn.CONCAT("'",IF(ISNUMBER(FIND("'",$A185))=TRUE,_xlfn.CONCAT(LEFT($A185,FIND("'",$A185)-1),"''",RIGHT($A185,LEN($A185)-FIND("'",$A185))),$A185),"'!B5"))&gt;=J$2,"i",""))</f>
        <v>d</v>
      </c>
      <c r="K185" s="44" t="str" cm="1">
        <f t="array" aca="1" ref="K185" ca="1">IF(INDIRECT(_xlfn.CONCAT("'",IF(ISNUMBER(FIND("'",$A185))=TRUE,_xlfn.CONCAT(LEFT($A185,FIND("'",$A185)-1),"''",RIGHT($A185,LEN($A185)-FIND("'",$A185))),$A185),"'!B4"))&gt;=K$2,"d",IF(INDIRECT(_xlfn.CONCAT("'",IF(ISNUMBER(FIND("'",$A185))=TRUE,_xlfn.CONCAT(LEFT($A185,FIND("'",$A185)-1),"''",RIGHT($A185,LEN($A185)-FIND("'",$A185))),$A185),"'!B5"))&gt;=K$2,"i",""))</f>
        <v>d</v>
      </c>
      <c r="L185" s="44" t="str" cm="1">
        <f t="array" aca="1" ref="L185" ca="1">IF(INDIRECT(_xlfn.CONCAT("'",IF(ISNUMBER(FIND("'",$A185))=TRUE,_xlfn.CONCAT(LEFT($A185,FIND("'",$A185)-1),"''",RIGHT($A185,LEN($A185)-FIND("'",$A185))),$A185),"'!B4"))&gt;=L$2,"d",IF(INDIRECT(_xlfn.CONCAT("'",IF(ISNUMBER(FIND("'",$A185))=TRUE,_xlfn.CONCAT(LEFT($A185,FIND("'",$A185)-1),"''",RIGHT($A185,LEN($A185)-FIND("'",$A185))),$A185),"'!B5"))&gt;=L$2,"i",""))</f>
        <v>d</v>
      </c>
      <c r="M185" s="45" t="str" cm="1">
        <f t="array" aca="1" ref="M185" ca="1">IF(INDIRECT(_xlfn.CONCAT("'",IF(ISNUMBER(FIND("'",$A185))=TRUE,_xlfn.CONCAT(LEFT($A185,FIND("'",$A185)-1),"''",RIGHT($A185,LEN($A185)-FIND("'",$A185))),$A185),"'!B4"))&gt;=M$2,"d",IF(INDIRECT(_xlfn.CONCAT("'",IF(ISNUMBER(FIND("'",$A185))=TRUE,_xlfn.CONCAT(LEFT($A185,FIND("'",$A185)-1),"''",RIGHT($A185,LEN($A185)-FIND("'",$A185))),$A185),"'!B5"))&gt;=M$2,"i",""))</f>
        <v>d</v>
      </c>
      <c r="N185" s="157"/>
      <c r="O185" s="19" t="str" cm="1">
        <f t="array" aca="1" ref="O185" ca="1">IF(INDIRECT(_xlfn.CONCAT("'",IF(ISNUMBER(FIND("'",$A185))=TRUE,_xlfn.CONCAT(LEFT($A185,FIND("'",$A185)-1),"''",RIGHT($A185,LEN($A185)-FIND("'",$A185))),$A185),"'!C10"))&gt;=O$2,"d",IF(INDIRECT(_xlfn.CONCAT("'",IF(ISNUMBER(FIND("'",$A185))=TRUE,_xlfn.CONCAT(LEFT($A185,FIND("'",$A185)-1),"''",RIGHT($A185,LEN($A185)-FIND("'",$A185))),$A185),"'!C11"))&gt;=O$2,"i",""))</f>
        <v>d</v>
      </c>
      <c r="P185" s="44" t="str" cm="1">
        <f t="array" aca="1" ref="P185" ca="1">IF(INDIRECT(_xlfn.CONCAT("'",IF(ISNUMBER(FIND("'",$A185))=TRUE,_xlfn.CONCAT(LEFT($A185,FIND("'",$A185)-1),"''",RIGHT($A185,LEN($A185)-FIND("'",$A185))),$A185),"'!C10"))&gt;=P$2,"d",IF(INDIRECT(_xlfn.CONCAT("'",IF(ISNUMBER(FIND("'",$A185))=TRUE,_xlfn.CONCAT(LEFT($A185,FIND("'",$A185)-1),"''",RIGHT($A185,LEN($A185)-FIND("'",$A185))),$A185),"'!C11"))&gt;=P$2,"i",""))</f>
        <v>d</v>
      </c>
      <c r="Q185" s="44" t="str" cm="1">
        <f t="array" aca="1" ref="Q185" ca="1">IF(INDIRECT(_xlfn.CONCAT("'",IF(ISNUMBER(FIND("'",$A185))=TRUE,_xlfn.CONCAT(LEFT($A185,FIND("'",$A185)-1),"''",RIGHT($A185,LEN($A185)-FIND("'",$A185))),$A185),"'!C10"))&gt;=Q$2,"d",IF(INDIRECT(_xlfn.CONCAT("'",IF(ISNUMBER(FIND("'",$A185))=TRUE,_xlfn.CONCAT(LEFT($A185,FIND("'",$A185)-1),"''",RIGHT($A185,LEN($A185)-FIND("'",$A185))),$A185),"'!C11"))&gt;=Q$2,"i",""))</f>
        <v>d</v>
      </c>
      <c r="R185" s="44" t="str" cm="1">
        <f t="array" aca="1" ref="R185" ca="1">IF(INDIRECT(_xlfn.CONCAT("'",IF(ISNUMBER(FIND("'",$A185))=TRUE,_xlfn.CONCAT(LEFT($A185,FIND("'",$A185)-1),"''",RIGHT($A185,LEN($A185)-FIND("'",$A185))),$A185),"'!C10"))&gt;=R$2,"d",IF(INDIRECT(_xlfn.CONCAT("'",IF(ISNUMBER(FIND("'",$A185))=TRUE,_xlfn.CONCAT(LEFT($A185,FIND("'",$A185)-1),"''",RIGHT($A185,LEN($A185)-FIND("'",$A185))),$A185),"'!C11"))&gt;=R$2,"i",""))</f>
        <v>d</v>
      </c>
      <c r="S185" s="44" t="str" cm="1">
        <f t="array" aca="1" ref="S185" ca="1">IF(INDIRECT(_xlfn.CONCAT("'",IF(ISNUMBER(FIND("'",$A185))=TRUE,_xlfn.CONCAT(LEFT($A185,FIND("'",$A185)-1),"''",RIGHT($A185,LEN($A185)-FIND("'",$A185))),$A185),"'!C10"))&gt;=S$2,"d",IF(INDIRECT(_xlfn.CONCAT("'",IF(ISNUMBER(FIND("'",$A185))=TRUE,_xlfn.CONCAT(LEFT($A185,FIND("'",$A185)-1),"''",RIGHT($A185,LEN($A185)-FIND("'",$A185))),$A185),"'!C11"))&gt;=S$2,"i",""))</f>
        <v>d</v>
      </c>
      <c r="T185" s="45" t="str" cm="1">
        <f t="array" aca="1" ref="T185" ca="1">IF(INDIRECT(_xlfn.CONCAT("'",IF(ISNUMBER(FIND("'",$A185))=TRUE,_xlfn.CONCAT(LEFT($A185,FIND("'",$A185)-1),"''",RIGHT($A185,LEN($A185)-FIND("'",$A185))),$A185),"'!C10"))&gt;=T$2,"d",IF(INDIRECT(_xlfn.CONCAT("'",IF(ISNUMBER(FIND("'",$A185))=TRUE,_xlfn.CONCAT(LEFT($A185,FIND("'",$A185)-1),"''",RIGHT($A185,LEN($A185)-FIND("'",$A185))),$A185),"'!C11"))&gt;=T$2,"i",""))</f>
        <v>d</v>
      </c>
    </row>
    <row r="186" spans="1:20" hidden="1" x14ac:dyDescent="0.25">
      <c r="A186" s="135" t="str">
        <v>Lumidouce Elegy</v>
      </c>
      <c r="B186" s="19" cm="1">
        <f t="array" ref="B186">_xlfn.XLOOKUP(A186,INDEX(Weapon_List,,1),INDEX(Weapon_List,,3),,0,1)</f>
        <v>5</v>
      </c>
      <c r="C186" s="45" t="str" cm="1">
        <f t="array" ref="C186">_xlfn.XLOOKUP(A186,INDEX(Weapon_List,,1),INDEX(Weapon_List,,2),,0,1)</f>
        <v>Polearm</v>
      </c>
      <c r="D186" s="38" t="str" cm="1">
        <f t="array" ref="D186">_xlfn.XLOOKUP(A186,INDEX(Weapon_List,,1),INDEX(Weapon_List,,4),,0,1)</f>
        <v>Fontaine 3</v>
      </c>
      <c r="E186" s="38" t="str" cm="1">
        <f t="array" ref="E186">_xlfn.XLOOKUP(A186,INDEX(Weapon_List,,1),INDEX(Weapon_List,,5),,0,1)</f>
        <v>Whopperflower</v>
      </c>
      <c r="F186" s="38" t="str" cm="1">
        <f t="array" ref="F186">_xlfn.XLOOKUP(A186,INDEX(Weapon_List,,1),INDEX(Weapon_List,,6),,0,1)</f>
        <v>Golem Guard</v>
      </c>
      <c r="G186" s="19" t="str" cm="1">
        <f t="array" aca="1" ref="G186" ca="1">IF(INDIRECT(_xlfn.CONCAT("'",IF(ISNUMBER(FIND("'",$A186))=TRUE,_xlfn.CONCAT(LEFT($A186,FIND("'",$A186)-1),"''",RIGHT($A186,LEN($A186)-FIND("'",$A186))),$A186),"'!B4"))&gt;=G$2,"d",IF(INDIRECT(_xlfn.CONCAT("'",IF(ISNUMBER(FIND("'",$A186))=TRUE,_xlfn.CONCAT(LEFT($A186,FIND("'",$A186)-1),"''",RIGHT($A186,LEN($A186)-FIND("'",$A186))),$A186),"'!B5"))&gt;=G$2,"i",""))</f>
        <v>d</v>
      </c>
      <c r="H186" s="44" t="str" cm="1">
        <f t="array" aca="1" ref="H186" ca="1">IF(INDIRECT(_xlfn.CONCAT("'",IF(ISNUMBER(FIND("'",$A186))=TRUE,_xlfn.CONCAT(LEFT($A186,FIND("'",$A186)-1),"''",RIGHT($A186,LEN($A186)-FIND("'",$A186))),$A186),"'!B4"))&gt;=H$2,"d",IF(INDIRECT(_xlfn.CONCAT("'",IF(ISNUMBER(FIND("'",$A186))=TRUE,_xlfn.CONCAT(LEFT($A186,FIND("'",$A186)-1),"''",RIGHT($A186,LEN($A186)-FIND("'",$A186))),$A186),"'!B5"))&gt;=H$2,"i",""))</f>
        <v>d</v>
      </c>
      <c r="I186" s="44" t="str" cm="1">
        <f t="array" aca="1" ref="I186" ca="1">IF(INDIRECT(_xlfn.CONCAT("'",IF(ISNUMBER(FIND("'",$A186))=TRUE,_xlfn.CONCAT(LEFT($A186,FIND("'",$A186)-1),"''",RIGHT($A186,LEN($A186)-FIND("'",$A186))),$A186),"'!B4"))&gt;=I$2,"d",IF(INDIRECT(_xlfn.CONCAT("'",IF(ISNUMBER(FIND("'",$A186))=TRUE,_xlfn.CONCAT(LEFT($A186,FIND("'",$A186)-1),"''",RIGHT($A186,LEN($A186)-FIND("'",$A186))),$A186),"'!B5"))&gt;=I$2,"i",""))</f>
        <v>d</v>
      </c>
      <c r="J186" s="44" t="str" cm="1">
        <f t="array" aca="1" ref="J186" ca="1">IF(INDIRECT(_xlfn.CONCAT("'",IF(ISNUMBER(FIND("'",$A186))=TRUE,_xlfn.CONCAT(LEFT($A186,FIND("'",$A186)-1),"''",RIGHT($A186,LEN($A186)-FIND("'",$A186))),$A186),"'!B4"))&gt;=J$2,"d",IF(INDIRECT(_xlfn.CONCAT("'",IF(ISNUMBER(FIND("'",$A186))=TRUE,_xlfn.CONCAT(LEFT($A186,FIND("'",$A186)-1),"''",RIGHT($A186,LEN($A186)-FIND("'",$A186))),$A186),"'!B5"))&gt;=J$2,"i",""))</f>
        <v>d</v>
      </c>
      <c r="K186" s="44" t="str" cm="1">
        <f t="array" aca="1" ref="K186" ca="1">IF(INDIRECT(_xlfn.CONCAT("'",IF(ISNUMBER(FIND("'",$A186))=TRUE,_xlfn.CONCAT(LEFT($A186,FIND("'",$A186)-1),"''",RIGHT($A186,LEN($A186)-FIND("'",$A186))),$A186),"'!B4"))&gt;=K$2,"d",IF(INDIRECT(_xlfn.CONCAT("'",IF(ISNUMBER(FIND("'",$A186))=TRUE,_xlfn.CONCAT(LEFT($A186,FIND("'",$A186)-1),"''",RIGHT($A186,LEN($A186)-FIND("'",$A186))),$A186),"'!B5"))&gt;=K$2,"i",""))</f>
        <v>d</v>
      </c>
      <c r="L186" s="44" t="str" cm="1">
        <f t="array" aca="1" ref="L186" ca="1">IF(INDIRECT(_xlfn.CONCAT("'",IF(ISNUMBER(FIND("'",$A186))=TRUE,_xlfn.CONCAT(LEFT($A186,FIND("'",$A186)-1),"''",RIGHT($A186,LEN($A186)-FIND("'",$A186))),$A186),"'!B4"))&gt;=L$2,"d",IF(INDIRECT(_xlfn.CONCAT("'",IF(ISNUMBER(FIND("'",$A186))=TRUE,_xlfn.CONCAT(LEFT($A186,FIND("'",$A186)-1),"''",RIGHT($A186,LEN($A186)-FIND("'",$A186))),$A186),"'!B5"))&gt;=L$2,"i",""))</f>
        <v>d</v>
      </c>
      <c r="M186" s="45" t="str" cm="1">
        <f t="array" aca="1" ref="M186" ca="1">IF(INDIRECT(_xlfn.CONCAT("'",IF(ISNUMBER(FIND("'",$A186))=TRUE,_xlfn.CONCAT(LEFT($A186,FIND("'",$A186)-1),"''",RIGHT($A186,LEN($A186)-FIND("'",$A186))),$A186),"'!B4"))&gt;=M$2,"d",IF(INDIRECT(_xlfn.CONCAT("'",IF(ISNUMBER(FIND("'",$A186))=TRUE,_xlfn.CONCAT(LEFT($A186,FIND("'",$A186)-1),"''",RIGHT($A186,LEN($A186)-FIND("'",$A186))),$A186),"'!B5"))&gt;=M$2,"i",""))</f>
        <v>d</v>
      </c>
      <c r="N186" s="157"/>
      <c r="O186" s="19" t="str" cm="1">
        <f t="array" aca="1" ref="O186" ca="1">IF(INDIRECT(_xlfn.CONCAT("'",IF(ISNUMBER(FIND("'",$A186))=TRUE,_xlfn.CONCAT(LEFT($A186,FIND("'",$A186)-1),"''",RIGHT($A186,LEN($A186)-FIND("'",$A186))),$A186),"'!C10"))&gt;=O$2,"d",IF(INDIRECT(_xlfn.CONCAT("'",IF(ISNUMBER(FIND("'",$A186))=TRUE,_xlfn.CONCAT(LEFT($A186,FIND("'",$A186)-1),"''",RIGHT($A186,LEN($A186)-FIND("'",$A186))),$A186),"'!C11"))&gt;=O$2,"i",""))</f>
        <v>d</v>
      </c>
      <c r="P186" s="44" t="str" cm="1">
        <f t="array" aca="1" ref="P186" ca="1">IF(INDIRECT(_xlfn.CONCAT("'",IF(ISNUMBER(FIND("'",$A186))=TRUE,_xlfn.CONCAT(LEFT($A186,FIND("'",$A186)-1),"''",RIGHT($A186,LEN($A186)-FIND("'",$A186))),$A186),"'!C10"))&gt;=P$2,"d",IF(INDIRECT(_xlfn.CONCAT("'",IF(ISNUMBER(FIND("'",$A186))=TRUE,_xlfn.CONCAT(LEFT($A186,FIND("'",$A186)-1),"''",RIGHT($A186,LEN($A186)-FIND("'",$A186))),$A186),"'!C11"))&gt;=P$2,"i",""))</f>
        <v>d</v>
      </c>
      <c r="Q186" s="44" t="str" cm="1">
        <f t="array" aca="1" ref="Q186" ca="1">IF(INDIRECT(_xlfn.CONCAT("'",IF(ISNUMBER(FIND("'",$A186))=TRUE,_xlfn.CONCAT(LEFT($A186,FIND("'",$A186)-1),"''",RIGHT($A186,LEN($A186)-FIND("'",$A186))),$A186),"'!C10"))&gt;=Q$2,"d",IF(INDIRECT(_xlfn.CONCAT("'",IF(ISNUMBER(FIND("'",$A186))=TRUE,_xlfn.CONCAT(LEFT($A186,FIND("'",$A186)-1),"''",RIGHT($A186,LEN($A186)-FIND("'",$A186))),$A186),"'!C11"))&gt;=Q$2,"i",""))</f>
        <v>d</v>
      </c>
      <c r="R186" s="44" t="str" cm="1">
        <f t="array" aca="1" ref="R186" ca="1">IF(INDIRECT(_xlfn.CONCAT("'",IF(ISNUMBER(FIND("'",$A186))=TRUE,_xlfn.CONCAT(LEFT($A186,FIND("'",$A186)-1),"''",RIGHT($A186,LEN($A186)-FIND("'",$A186))),$A186),"'!C10"))&gt;=R$2,"d",IF(INDIRECT(_xlfn.CONCAT("'",IF(ISNUMBER(FIND("'",$A186))=TRUE,_xlfn.CONCAT(LEFT($A186,FIND("'",$A186)-1),"''",RIGHT($A186,LEN($A186)-FIND("'",$A186))),$A186),"'!C11"))&gt;=R$2,"i",""))</f>
        <v>d</v>
      </c>
      <c r="S186" s="44" t="str" cm="1">
        <f t="array" aca="1" ref="S186" ca="1">IF(INDIRECT(_xlfn.CONCAT("'",IF(ISNUMBER(FIND("'",$A186))=TRUE,_xlfn.CONCAT(LEFT($A186,FIND("'",$A186)-1),"''",RIGHT($A186,LEN($A186)-FIND("'",$A186))),$A186),"'!C10"))&gt;=S$2,"d",IF(INDIRECT(_xlfn.CONCAT("'",IF(ISNUMBER(FIND("'",$A186))=TRUE,_xlfn.CONCAT(LEFT($A186,FIND("'",$A186)-1),"''",RIGHT($A186,LEN($A186)-FIND("'",$A186))),$A186),"'!C11"))&gt;=S$2,"i",""))</f>
        <v>d</v>
      </c>
      <c r="T186" s="45" t="str" cm="1">
        <f t="array" aca="1" ref="T186" ca="1">IF(INDIRECT(_xlfn.CONCAT("'",IF(ISNUMBER(FIND("'",$A186))=TRUE,_xlfn.CONCAT(LEFT($A186,FIND("'",$A186)-1),"''",RIGHT($A186,LEN($A186)-FIND("'",$A186))),$A186),"'!C10"))&gt;=T$2,"d",IF(INDIRECT(_xlfn.CONCAT("'",IF(ISNUMBER(FIND("'",$A186))=TRUE,_xlfn.CONCAT(LEFT($A186,FIND("'",$A186)-1),"''",RIGHT($A186,LEN($A186)-FIND("'",$A186))),$A186),"'!C11"))&gt;=T$2,"i",""))</f>
        <v>d</v>
      </c>
    </row>
    <row r="187" spans="1:20" hidden="1" x14ac:dyDescent="0.25">
      <c r="A187" s="135" t="str">
        <v>Flute of Ezpitzal</v>
      </c>
      <c r="B187" s="19" cm="1">
        <f t="array" ref="B187">_xlfn.XLOOKUP(A187,INDEX(Weapon_List,,1),INDEX(Weapon_List,,3),,0,1)</f>
        <v>4</v>
      </c>
      <c r="C187" s="45" t="str" cm="1">
        <f t="array" ref="C187">_xlfn.XLOOKUP(A187,INDEX(Weapon_List,,1),INDEX(Weapon_List,,2),,0,1)</f>
        <v>Sword</v>
      </c>
      <c r="D187" s="38" t="str" cm="1">
        <f t="array" ref="D187">_xlfn.XLOOKUP(A187,INDEX(Weapon_List,,1),INDEX(Weapon_List,,4),,0,1)</f>
        <v>Natlan 1</v>
      </c>
      <c r="E187" s="38" t="str" cm="1">
        <f t="array" ref="E187">_xlfn.XLOOKUP(A187,INDEX(Weapon_List,,1),INDEX(Weapon_List,,5),,0,1)</f>
        <v>Saurian</v>
      </c>
      <c r="F187" s="38" t="str" cm="1">
        <f t="array" ref="F187">_xlfn.XLOOKUP(A187,INDEX(Weapon_List,,1),INDEX(Weapon_List,,6),,0,1)</f>
        <v>Golem Guard</v>
      </c>
      <c r="G187" s="19" t="str" cm="1">
        <f t="array" aca="1" ref="G187" ca="1">IF(INDIRECT(_xlfn.CONCAT("'",IF(ISNUMBER(FIND("'",$A187))=TRUE,_xlfn.CONCAT(LEFT($A187,FIND("'",$A187)-1),"''",RIGHT($A187,LEN($A187)-FIND("'",$A187))),$A187),"'!B4"))&gt;=G$2,"d",IF(INDIRECT(_xlfn.CONCAT("'",IF(ISNUMBER(FIND("'",$A187))=TRUE,_xlfn.CONCAT(LEFT($A187,FIND("'",$A187)-1),"''",RIGHT($A187,LEN($A187)-FIND("'",$A187))),$A187),"'!B5"))&gt;=G$2,"i",""))</f>
        <v>d</v>
      </c>
      <c r="H187" s="44" t="str" cm="1">
        <f t="array" aca="1" ref="H187" ca="1">IF(INDIRECT(_xlfn.CONCAT("'",IF(ISNUMBER(FIND("'",$A187))=TRUE,_xlfn.CONCAT(LEFT($A187,FIND("'",$A187)-1),"''",RIGHT($A187,LEN($A187)-FIND("'",$A187))),$A187),"'!B4"))&gt;=H$2,"d",IF(INDIRECT(_xlfn.CONCAT("'",IF(ISNUMBER(FIND("'",$A187))=TRUE,_xlfn.CONCAT(LEFT($A187,FIND("'",$A187)-1),"''",RIGHT($A187,LEN($A187)-FIND("'",$A187))),$A187),"'!B5"))&gt;=H$2,"i",""))</f>
        <v>d</v>
      </c>
      <c r="I187" s="44" t="str" cm="1">
        <f t="array" aca="1" ref="I187" ca="1">IF(INDIRECT(_xlfn.CONCAT("'",IF(ISNUMBER(FIND("'",$A187))=TRUE,_xlfn.CONCAT(LEFT($A187,FIND("'",$A187)-1),"''",RIGHT($A187,LEN($A187)-FIND("'",$A187))),$A187),"'!B4"))&gt;=I$2,"d",IF(INDIRECT(_xlfn.CONCAT("'",IF(ISNUMBER(FIND("'",$A187))=TRUE,_xlfn.CONCAT(LEFT($A187,FIND("'",$A187)-1),"''",RIGHT($A187,LEN($A187)-FIND("'",$A187))),$A187),"'!B5"))&gt;=I$2,"i",""))</f>
        <v>d</v>
      </c>
      <c r="J187" s="44" t="str" cm="1">
        <f t="array" aca="1" ref="J187" ca="1">IF(INDIRECT(_xlfn.CONCAT("'",IF(ISNUMBER(FIND("'",$A187))=TRUE,_xlfn.CONCAT(LEFT($A187,FIND("'",$A187)-1),"''",RIGHT($A187,LEN($A187)-FIND("'",$A187))),$A187),"'!B4"))&gt;=J$2,"d",IF(INDIRECT(_xlfn.CONCAT("'",IF(ISNUMBER(FIND("'",$A187))=TRUE,_xlfn.CONCAT(LEFT($A187,FIND("'",$A187)-1),"''",RIGHT($A187,LEN($A187)-FIND("'",$A187))),$A187),"'!B5"))&gt;=J$2,"i",""))</f>
        <v>d</v>
      </c>
      <c r="K187" s="44" t="str" cm="1">
        <f t="array" aca="1" ref="K187" ca="1">IF(INDIRECT(_xlfn.CONCAT("'",IF(ISNUMBER(FIND("'",$A187))=TRUE,_xlfn.CONCAT(LEFT($A187,FIND("'",$A187)-1),"''",RIGHT($A187,LEN($A187)-FIND("'",$A187))),$A187),"'!B4"))&gt;=K$2,"d",IF(INDIRECT(_xlfn.CONCAT("'",IF(ISNUMBER(FIND("'",$A187))=TRUE,_xlfn.CONCAT(LEFT($A187,FIND("'",$A187)-1),"''",RIGHT($A187,LEN($A187)-FIND("'",$A187))),$A187),"'!B5"))&gt;=K$2,"i",""))</f>
        <v>d</v>
      </c>
      <c r="L187" s="44" t="str" cm="1">
        <f t="array" aca="1" ref="L187" ca="1">IF(INDIRECT(_xlfn.CONCAT("'",IF(ISNUMBER(FIND("'",$A187))=TRUE,_xlfn.CONCAT(LEFT($A187,FIND("'",$A187)-1),"''",RIGHT($A187,LEN($A187)-FIND("'",$A187))),$A187),"'!B4"))&gt;=L$2,"d",IF(INDIRECT(_xlfn.CONCAT("'",IF(ISNUMBER(FIND("'",$A187))=TRUE,_xlfn.CONCAT(LEFT($A187,FIND("'",$A187)-1),"''",RIGHT($A187,LEN($A187)-FIND("'",$A187))),$A187),"'!B5"))&gt;=L$2,"i",""))</f>
        <v>d</v>
      </c>
      <c r="M187" s="45" t="str" cm="1">
        <f t="array" aca="1" ref="M187" ca="1">IF(INDIRECT(_xlfn.CONCAT("'",IF(ISNUMBER(FIND("'",$A187))=TRUE,_xlfn.CONCAT(LEFT($A187,FIND("'",$A187)-1),"''",RIGHT($A187,LEN($A187)-FIND("'",$A187))),$A187),"'!B4"))&gt;=M$2,"d",IF(INDIRECT(_xlfn.CONCAT("'",IF(ISNUMBER(FIND("'",$A187))=TRUE,_xlfn.CONCAT(LEFT($A187,FIND("'",$A187)-1),"''",RIGHT($A187,LEN($A187)-FIND("'",$A187))),$A187),"'!B5"))&gt;=M$2,"i",""))</f>
        <v>d</v>
      </c>
      <c r="N187" s="157"/>
      <c r="O187" s="19" t="str" cm="1">
        <f t="array" aca="1" ref="O187" ca="1">IF(INDIRECT(_xlfn.CONCAT("'",IF(ISNUMBER(FIND("'",$A187))=TRUE,_xlfn.CONCAT(LEFT($A187,FIND("'",$A187)-1),"''",RIGHT($A187,LEN($A187)-FIND("'",$A187))),$A187),"'!C10"))&gt;=O$2,"d",IF(INDIRECT(_xlfn.CONCAT("'",IF(ISNUMBER(FIND("'",$A187))=TRUE,_xlfn.CONCAT(LEFT($A187,FIND("'",$A187)-1),"''",RIGHT($A187,LEN($A187)-FIND("'",$A187))),$A187),"'!C11"))&gt;=O$2,"i",""))</f>
        <v>d</v>
      </c>
      <c r="P187" s="44" t="str" cm="1">
        <f t="array" aca="1" ref="P187" ca="1">IF(INDIRECT(_xlfn.CONCAT("'",IF(ISNUMBER(FIND("'",$A187))=TRUE,_xlfn.CONCAT(LEFT($A187,FIND("'",$A187)-1),"''",RIGHT($A187,LEN($A187)-FIND("'",$A187))),$A187),"'!C10"))&gt;=P$2,"d",IF(INDIRECT(_xlfn.CONCAT("'",IF(ISNUMBER(FIND("'",$A187))=TRUE,_xlfn.CONCAT(LEFT($A187,FIND("'",$A187)-1),"''",RIGHT($A187,LEN($A187)-FIND("'",$A187))),$A187),"'!C11"))&gt;=P$2,"i",""))</f>
        <v>d</v>
      </c>
      <c r="Q187" s="44" t="str" cm="1">
        <f t="array" aca="1" ref="Q187" ca="1">IF(INDIRECT(_xlfn.CONCAT("'",IF(ISNUMBER(FIND("'",$A187))=TRUE,_xlfn.CONCAT(LEFT($A187,FIND("'",$A187)-1),"''",RIGHT($A187,LEN($A187)-FIND("'",$A187))),$A187),"'!C10"))&gt;=Q$2,"d",IF(INDIRECT(_xlfn.CONCAT("'",IF(ISNUMBER(FIND("'",$A187))=TRUE,_xlfn.CONCAT(LEFT($A187,FIND("'",$A187)-1),"''",RIGHT($A187,LEN($A187)-FIND("'",$A187))),$A187),"'!C11"))&gt;=Q$2,"i",""))</f>
        <v>d</v>
      </c>
      <c r="R187" s="44" t="str" cm="1">
        <f t="array" aca="1" ref="R187" ca="1">IF(INDIRECT(_xlfn.CONCAT("'",IF(ISNUMBER(FIND("'",$A187))=TRUE,_xlfn.CONCAT(LEFT($A187,FIND("'",$A187)-1),"''",RIGHT($A187,LEN($A187)-FIND("'",$A187))),$A187),"'!C10"))&gt;=R$2,"d",IF(INDIRECT(_xlfn.CONCAT("'",IF(ISNUMBER(FIND("'",$A187))=TRUE,_xlfn.CONCAT(LEFT($A187,FIND("'",$A187)-1),"''",RIGHT($A187,LEN($A187)-FIND("'",$A187))),$A187),"'!C11"))&gt;=R$2,"i",""))</f>
        <v>d</v>
      </c>
      <c r="S187" s="44" t="str" cm="1">
        <f t="array" aca="1" ref="S187" ca="1">IF(INDIRECT(_xlfn.CONCAT("'",IF(ISNUMBER(FIND("'",$A187))=TRUE,_xlfn.CONCAT(LEFT($A187,FIND("'",$A187)-1),"''",RIGHT($A187,LEN($A187)-FIND("'",$A187))),$A187),"'!C10"))&gt;=S$2,"d",IF(INDIRECT(_xlfn.CONCAT("'",IF(ISNUMBER(FIND("'",$A187))=TRUE,_xlfn.CONCAT(LEFT($A187,FIND("'",$A187)-1),"''",RIGHT($A187,LEN($A187)-FIND("'",$A187))),$A187),"'!C11"))&gt;=S$2,"i",""))</f>
        <v>d</v>
      </c>
      <c r="T187" s="45" t="str" cm="1">
        <f t="array" aca="1" ref="T187" ca="1">IF(INDIRECT(_xlfn.CONCAT("'",IF(ISNUMBER(FIND("'",$A187))=TRUE,_xlfn.CONCAT(LEFT($A187,FIND("'",$A187)-1),"''",RIGHT($A187,LEN($A187)-FIND("'",$A187))),$A187),"'!C10"))&gt;=T$2,"d",IF(INDIRECT(_xlfn.CONCAT("'",IF(ISNUMBER(FIND("'",$A187))=TRUE,_xlfn.CONCAT(LEFT($A187,FIND("'",$A187)-1),"''",RIGHT($A187,LEN($A187)-FIND("'",$A187))),$A187),"'!C11"))&gt;=T$2,"i",""))</f>
        <v>d</v>
      </c>
    </row>
    <row r="188" spans="1:20" hidden="1" x14ac:dyDescent="0.25">
      <c r="A188" s="135" t="str">
        <v>Earth Shaker</v>
      </c>
      <c r="B188" s="19" cm="1">
        <f t="array" ref="B188">_xlfn.XLOOKUP(A188,INDEX(Weapon_List,,1),INDEX(Weapon_List,,3),,0,1)</f>
        <v>4</v>
      </c>
      <c r="C188" s="45" t="str" cm="1">
        <f t="array" ref="C188">_xlfn.XLOOKUP(A188,INDEX(Weapon_List,,1),INDEX(Weapon_List,,2),,0,1)</f>
        <v>Claymore</v>
      </c>
      <c r="D188" s="38" t="str" cm="1">
        <f t="array" ref="D188">_xlfn.XLOOKUP(A188,INDEX(Weapon_List,,1),INDEX(Weapon_List,,4),,0,1)</f>
        <v>Natlan 1</v>
      </c>
      <c r="E188" s="38" t="str" cm="1">
        <f t="array" ref="E188">_xlfn.XLOOKUP(A188,INDEX(Weapon_List,,1),INDEX(Weapon_List,,5),,0,1)</f>
        <v>Sauroform Tribal Warrior</v>
      </c>
      <c r="F188" s="38" t="str" cm="1">
        <f t="array" ref="F188">_xlfn.XLOOKUP(A188,INDEX(Weapon_List,,1),INDEX(Weapon_List,,6),,0,1)</f>
        <v>Avatar of Lava</v>
      </c>
      <c r="G188" s="19" t="str" cm="1">
        <f t="array" aca="1" ref="G188" ca="1">IF(INDIRECT(_xlfn.CONCAT("'",IF(ISNUMBER(FIND("'",$A188))=TRUE,_xlfn.CONCAT(LEFT($A188,FIND("'",$A188)-1),"''",RIGHT($A188,LEN($A188)-FIND("'",$A188))),$A188),"'!B4"))&gt;=G$2,"d",IF(INDIRECT(_xlfn.CONCAT("'",IF(ISNUMBER(FIND("'",$A188))=TRUE,_xlfn.CONCAT(LEFT($A188,FIND("'",$A188)-1),"''",RIGHT($A188,LEN($A188)-FIND("'",$A188))),$A188),"'!B5"))&gt;=G$2,"i",""))</f>
        <v>d</v>
      </c>
      <c r="H188" s="44" t="str" cm="1">
        <f t="array" aca="1" ref="H188" ca="1">IF(INDIRECT(_xlfn.CONCAT("'",IF(ISNUMBER(FIND("'",$A188))=TRUE,_xlfn.CONCAT(LEFT($A188,FIND("'",$A188)-1),"''",RIGHT($A188,LEN($A188)-FIND("'",$A188))),$A188),"'!B4"))&gt;=H$2,"d",IF(INDIRECT(_xlfn.CONCAT("'",IF(ISNUMBER(FIND("'",$A188))=TRUE,_xlfn.CONCAT(LEFT($A188,FIND("'",$A188)-1),"''",RIGHT($A188,LEN($A188)-FIND("'",$A188))),$A188),"'!B5"))&gt;=H$2,"i",""))</f>
        <v>d</v>
      </c>
      <c r="I188" s="44" t="str" cm="1">
        <f t="array" aca="1" ref="I188" ca="1">IF(INDIRECT(_xlfn.CONCAT("'",IF(ISNUMBER(FIND("'",$A188))=TRUE,_xlfn.CONCAT(LEFT($A188,FIND("'",$A188)-1),"''",RIGHT($A188,LEN($A188)-FIND("'",$A188))),$A188),"'!B4"))&gt;=I$2,"d",IF(INDIRECT(_xlfn.CONCAT("'",IF(ISNUMBER(FIND("'",$A188))=TRUE,_xlfn.CONCAT(LEFT($A188,FIND("'",$A188)-1),"''",RIGHT($A188,LEN($A188)-FIND("'",$A188))),$A188),"'!B5"))&gt;=I$2,"i",""))</f>
        <v>d</v>
      </c>
      <c r="J188" s="44" t="str" cm="1">
        <f t="array" aca="1" ref="J188" ca="1">IF(INDIRECT(_xlfn.CONCAT("'",IF(ISNUMBER(FIND("'",$A188))=TRUE,_xlfn.CONCAT(LEFT($A188,FIND("'",$A188)-1),"''",RIGHT($A188,LEN($A188)-FIND("'",$A188))),$A188),"'!B4"))&gt;=J$2,"d",IF(INDIRECT(_xlfn.CONCAT("'",IF(ISNUMBER(FIND("'",$A188))=TRUE,_xlfn.CONCAT(LEFT($A188,FIND("'",$A188)-1),"''",RIGHT($A188,LEN($A188)-FIND("'",$A188))),$A188),"'!B5"))&gt;=J$2,"i",""))</f>
        <v>d</v>
      </c>
      <c r="K188" s="44" t="str" cm="1">
        <f t="array" aca="1" ref="K188" ca="1">IF(INDIRECT(_xlfn.CONCAT("'",IF(ISNUMBER(FIND("'",$A188))=TRUE,_xlfn.CONCAT(LEFT($A188,FIND("'",$A188)-1),"''",RIGHT($A188,LEN($A188)-FIND("'",$A188))),$A188),"'!B4"))&gt;=K$2,"d",IF(INDIRECT(_xlfn.CONCAT("'",IF(ISNUMBER(FIND("'",$A188))=TRUE,_xlfn.CONCAT(LEFT($A188,FIND("'",$A188)-1),"''",RIGHT($A188,LEN($A188)-FIND("'",$A188))),$A188),"'!B5"))&gt;=K$2,"i",""))</f>
        <v>d</v>
      </c>
      <c r="L188" s="44" t="str" cm="1">
        <f t="array" aca="1" ref="L188" ca="1">IF(INDIRECT(_xlfn.CONCAT("'",IF(ISNUMBER(FIND("'",$A188))=TRUE,_xlfn.CONCAT(LEFT($A188,FIND("'",$A188)-1),"''",RIGHT($A188,LEN($A188)-FIND("'",$A188))),$A188),"'!B4"))&gt;=L$2,"d",IF(INDIRECT(_xlfn.CONCAT("'",IF(ISNUMBER(FIND("'",$A188))=TRUE,_xlfn.CONCAT(LEFT($A188,FIND("'",$A188)-1),"''",RIGHT($A188,LEN($A188)-FIND("'",$A188))),$A188),"'!B5"))&gt;=L$2,"i",""))</f>
        <v>d</v>
      </c>
      <c r="M188" s="45" t="str" cm="1">
        <f t="array" aca="1" ref="M188" ca="1">IF(INDIRECT(_xlfn.CONCAT("'",IF(ISNUMBER(FIND("'",$A188))=TRUE,_xlfn.CONCAT(LEFT($A188,FIND("'",$A188)-1),"''",RIGHT($A188,LEN($A188)-FIND("'",$A188))),$A188),"'!B4"))&gt;=M$2,"d",IF(INDIRECT(_xlfn.CONCAT("'",IF(ISNUMBER(FIND("'",$A188))=TRUE,_xlfn.CONCAT(LEFT($A188,FIND("'",$A188)-1),"''",RIGHT($A188,LEN($A188)-FIND("'",$A188))),$A188),"'!B5"))&gt;=M$2,"i",""))</f>
        <v>d</v>
      </c>
      <c r="N188" s="157"/>
      <c r="O188" s="19" t="str" cm="1">
        <f t="array" aca="1" ref="O188" ca="1">IF(INDIRECT(_xlfn.CONCAT("'",IF(ISNUMBER(FIND("'",$A188))=TRUE,_xlfn.CONCAT(LEFT($A188,FIND("'",$A188)-1),"''",RIGHT($A188,LEN($A188)-FIND("'",$A188))),$A188),"'!C10"))&gt;=O$2,"d",IF(INDIRECT(_xlfn.CONCAT("'",IF(ISNUMBER(FIND("'",$A188))=TRUE,_xlfn.CONCAT(LEFT($A188,FIND("'",$A188)-1),"''",RIGHT($A188,LEN($A188)-FIND("'",$A188))),$A188),"'!C11"))&gt;=O$2,"i",""))</f>
        <v>d</v>
      </c>
      <c r="P188" s="44" t="str" cm="1">
        <f t="array" aca="1" ref="P188" ca="1">IF(INDIRECT(_xlfn.CONCAT("'",IF(ISNUMBER(FIND("'",$A188))=TRUE,_xlfn.CONCAT(LEFT($A188,FIND("'",$A188)-1),"''",RIGHT($A188,LEN($A188)-FIND("'",$A188))),$A188),"'!C10"))&gt;=P$2,"d",IF(INDIRECT(_xlfn.CONCAT("'",IF(ISNUMBER(FIND("'",$A188))=TRUE,_xlfn.CONCAT(LEFT($A188,FIND("'",$A188)-1),"''",RIGHT($A188,LEN($A188)-FIND("'",$A188))),$A188),"'!C11"))&gt;=P$2,"i",""))</f>
        <v>d</v>
      </c>
      <c r="Q188" s="44" t="str" cm="1">
        <f t="array" aca="1" ref="Q188" ca="1">IF(INDIRECT(_xlfn.CONCAT("'",IF(ISNUMBER(FIND("'",$A188))=TRUE,_xlfn.CONCAT(LEFT($A188,FIND("'",$A188)-1),"''",RIGHT($A188,LEN($A188)-FIND("'",$A188))),$A188),"'!C10"))&gt;=Q$2,"d",IF(INDIRECT(_xlfn.CONCAT("'",IF(ISNUMBER(FIND("'",$A188))=TRUE,_xlfn.CONCAT(LEFT($A188,FIND("'",$A188)-1),"''",RIGHT($A188,LEN($A188)-FIND("'",$A188))),$A188),"'!C11"))&gt;=Q$2,"i",""))</f>
        <v>d</v>
      </c>
      <c r="R188" s="44" t="str" cm="1">
        <f t="array" aca="1" ref="R188" ca="1">IF(INDIRECT(_xlfn.CONCAT("'",IF(ISNUMBER(FIND("'",$A188))=TRUE,_xlfn.CONCAT(LEFT($A188,FIND("'",$A188)-1),"''",RIGHT($A188,LEN($A188)-FIND("'",$A188))),$A188),"'!C10"))&gt;=R$2,"d",IF(INDIRECT(_xlfn.CONCAT("'",IF(ISNUMBER(FIND("'",$A188))=TRUE,_xlfn.CONCAT(LEFT($A188,FIND("'",$A188)-1),"''",RIGHT($A188,LEN($A188)-FIND("'",$A188))),$A188),"'!C11"))&gt;=R$2,"i",""))</f>
        <v>d</v>
      </c>
      <c r="S188" s="44" t="str" cm="1">
        <f t="array" aca="1" ref="S188" ca="1">IF(INDIRECT(_xlfn.CONCAT("'",IF(ISNUMBER(FIND("'",$A188))=TRUE,_xlfn.CONCAT(LEFT($A188,FIND("'",$A188)-1),"''",RIGHT($A188,LEN($A188)-FIND("'",$A188))),$A188),"'!C10"))&gt;=S$2,"d",IF(INDIRECT(_xlfn.CONCAT("'",IF(ISNUMBER(FIND("'",$A188))=TRUE,_xlfn.CONCAT(LEFT($A188,FIND("'",$A188)-1),"''",RIGHT($A188,LEN($A188)-FIND("'",$A188))),$A188),"'!C11"))&gt;=S$2,"i",""))</f>
        <v>d</v>
      </c>
      <c r="T188" s="45" t="str" cm="1">
        <f t="array" aca="1" ref="T188" ca="1">IF(INDIRECT(_xlfn.CONCAT("'",IF(ISNUMBER(FIND("'",$A188))=TRUE,_xlfn.CONCAT(LEFT($A188,FIND("'",$A188)-1),"''",RIGHT($A188,LEN($A188)-FIND("'",$A188))),$A188),"'!C10"))&gt;=T$2,"d",IF(INDIRECT(_xlfn.CONCAT("'",IF(ISNUMBER(FIND("'",$A188))=TRUE,_xlfn.CONCAT(LEFT($A188,FIND("'",$A188)-1),"''",RIGHT($A188,LEN($A188)-FIND("'",$A188))),$A188),"'!C11"))&gt;=T$2,"i",""))</f>
        <v>d</v>
      </c>
    </row>
    <row r="189" spans="1:20" hidden="1" x14ac:dyDescent="0.25">
      <c r="A189" s="135" t="str">
        <v>Footprint of the Rainbow</v>
      </c>
      <c r="B189" s="19" cm="1">
        <f t="array" ref="B189">_xlfn.XLOOKUP(A189,INDEX(Weapon_List,,1),INDEX(Weapon_List,,3),,0,1)</f>
        <v>4</v>
      </c>
      <c r="C189" s="45" t="str" cm="1">
        <f t="array" ref="C189">_xlfn.XLOOKUP(A189,INDEX(Weapon_List,,1),INDEX(Weapon_List,,2),,0,1)</f>
        <v>Polearm</v>
      </c>
      <c r="D189" s="38" t="str" cm="1">
        <f t="array" ref="D189">_xlfn.XLOOKUP(A189,INDEX(Weapon_List,,1),INDEX(Weapon_List,,4),,0,1)</f>
        <v>Natlan 2</v>
      </c>
      <c r="E189" s="38" t="str" cm="1">
        <f t="array" ref="E189">_xlfn.XLOOKUP(A189,INDEX(Weapon_List,,1),INDEX(Weapon_List,,5),,0,1)</f>
        <v>Sauroform Tribal Warrior</v>
      </c>
      <c r="F189" s="38" t="str" cm="1">
        <f t="array" ref="F189">_xlfn.XLOOKUP(A189,INDEX(Weapon_List,,1),INDEX(Weapon_List,,6),,0,1)</f>
        <v>Secret Source Automaton</v>
      </c>
      <c r="G189" s="19" t="str" cm="1">
        <f t="array" aca="1" ref="G189" ca="1">IF(INDIRECT(_xlfn.CONCAT("'",IF(ISNUMBER(FIND("'",$A189))=TRUE,_xlfn.CONCAT(LEFT($A189,FIND("'",$A189)-1),"''",RIGHT($A189,LEN($A189)-FIND("'",$A189))),$A189),"'!B4"))&gt;=G$2,"d",IF(INDIRECT(_xlfn.CONCAT("'",IF(ISNUMBER(FIND("'",$A189))=TRUE,_xlfn.CONCAT(LEFT($A189,FIND("'",$A189)-1),"''",RIGHT($A189,LEN($A189)-FIND("'",$A189))),$A189),"'!B5"))&gt;=G$2,"i",""))</f>
        <v>d</v>
      </c>
      <c r="H189" s="44" t="str" cm="1">
        <f t="array" aca="1" ref="H189" ca="1">IF(INDIRECT(_xlfn.CONCAT("'",IF(ISNUMBER(FIND("'",$A189))=TRUE,_xlfn.CONCAT(LEFT($A189,FIND("'",$A189)-1),"''",RIGHT($A189,LEN($A189)-FIND("'",$A189))),$A189),"'!B4"))&gt;=H$2,"d",IF(INDIRECT(_xlfn.CONCAT("'",IF(ISNUMBER(FIND("'",$A189))=TRUE,_xlfn.CONCAT(LEFT($A189,FIND("'",$A189)-1),"''",RIGHT($A189,LEN($A189)-FIND("'",$A189))),$A189),"'!B5"))&gt;=H$2,"i",""))</f>
        <v>d</v>
      </c>
      <c r="I189" s="44" t="str" cm="1">
        <f t="array" aca="1" ref="I189" ca="1">IF(INDIRECT(_xlfn.CONCAT("'",IF(ISNUMBER(FIND("'",$A189))=TRUE,_xlfn.CONCAT(LEFT($A189,FIND("'",$A189)-1),"''",RIGHT($A189,LEN($A189)-FIND("'",$A189))),$A189),"'!B4"))&gt;=I$2,"d",IF(INDIRECT(_xlfn.CONCAT("'",IF(ISNUMBER(FIND("'",$A189))=TRUE,_xlfn.CONCAT(LEFT($A189,FIND("'",$A189)-1),"''",RIGHT($A189,LEN($A189)-FIND("'",$A189))),$A189),"'!B5"))&gt;=I$2,"i",""))</f>
        <v>d</v>
      </c>
      <c r="J189" s="44" t="str" cm="1">
        <f t="array" aca="1" ref="J189" ca="1">IF(INDIRECT(_xlfn.CONCAT("'",IF(ISNUMBER(FIND("'",$A189))=TRUE,_xlfn.CONCAT(LEFT($A189,FIND("'",$A189)-1),"''",RIGHT($A189,LEN($A189)-FIND("'",$A189))),$A189),"'!B4"))&gt;=J$2,"d",IF(INDIRECT(_xlfn.CONCAT("'",IF(ISNUMBER(FIND("'",$A189))=TRUE,_xlfn.CONCAT(LEFT($A189,FIND("'",$A189)-1),"''",RIGHT($A189,LEN($A189)-FIND("'",$A189))),$A189),"'!B5"))&gt;=J$2,"i",""))</f>
        <v>d</v>
      </c>
      <c r="K189" s="44" t="str" cm="1">
        <f t="array" aca="1" ref="K189" ca="1">IF(INDIRECT(_xlfn.CONCAT("'",IF(ISNUMBER(FIND("'",$A189))=TRUE,_xlfn.CONCAT(LEFT($A189,FIND("'",$A189)-1),"''",RIGHT($A189,LEN($A189)-FIND("'",$A189))),$A189),"'!B4"))&gt;=K$2,"d",IF(INDIRECT(_xlfn.CONCAT("'",IF(ISNUMBER(FIND("'",$A189))=TRUE,_xlfn.CONCAT(LEFT($A189,FIND("'",$A189)-1),"''",RIGHT($A189,LEN($A189)-FIND("'",$A189))),$A189),"'!B5"))&gt;=K$2,"i",""))</f>
        <v>d</v>
      </c>
      <c r="L189" s="44" t="str" cm="1">
        <f t="array" aca="1" ref="L189" ca="1">IF(INDIRECT(_xlfn.CONCAT("'",IF(ISNUMBER(FIND("'",$A189))=TRUE,_xlfn.CONCAT(LEFT($A189,FIND("'",$A189)-1),"''",RIGHT($A189,LEN($A189)-FIND("'",$A189))),$A189),"'!B4"))&gt;=L$2,"d",IF(INDIRECT(_xlfn.CONCAT("'",IF(ISNUMBER(FIND("'",$A189))=TRUE,_xlfn.CONCAT(LEFT($A189,FIND("'",$A189)-1),"''",RIGHT($A189,LEN($A189)-FIND("'",$A189))),$A189),"'!B5"))&gt;=L$2,"i",""))</f>
        <v>d</v>
      </c>
      <c r="M189" s="45" t="str" cm="1">
        <f t="array" aca="1" ref="M189" ca="1">IF(INDIRECT(_xlfn.CONCAT("'",IF(ISNUMBER(FIND("'",$A189))=TRUE,_xlfn.CONCAT(LEFT($A189,FIND("'",$A189)-1),"''",RIGHT($A189,LEN($A189)-FIND("'",$A189))),$A189),"'!B4"))&gt;=M$2,"d",IF(INDIRECT(_xlfn.CONCAT("'",IF(ISNUMBER(FIND("'",$A189))=TRUE,_xlfn.CONCAT(LEFT($A189,FIND("'",$A189)-1),"''",RIGHT($A189,LEN($A189)-FIND("'",$A189))),$A189),"'!B5"))&gt;=M$2,"i",""))</f>
        <v>d</v>
      </c>
      <c r="N189" s="157"/>
      <c r="O189" s="19" t="str" cm="1">
        <f t="array" aca="1" ref="O189" ca="1">IF(INDIRECT(_xlfn.CONCAT("'",IF(ISNUMBER(FIND("'",$A189))=TRUE,_xlfn.CONCAT(LEFT($A189,FIND("'",$A189)-1),"''",RIGHT($A189,LEN($A189)-FIND("'",$A189))),$A189),"'!C10"))&gt;=O$2,"d",IF(INDIRECT(_xlfn.CONCAT("'",IF(ISNUMBER(FIND("'",$A189))=TRUE,_xlfn.CONCAT(LEFT($A189,FIND("'",$A189)-1),"''",RIGHT($A189,LEN($A189)-FIND("'",$A189))),$A189),"'!C11"))&gt;=O$2,"i",""))</f>
        <v>d</v>
      </c>
      <c r="P189" s="44" t="str" cm="1">
        <f t="array" aca="1" ref="P189" ca="1">IF(INDIRECT(_xlfn.CONCAT("'",IF(ISNUMBER(FIND("'",$A189))=TRUE,_xlfn.CONCAT(LEFT($A189,FIND("'",$A189)-1),"''",RIGHT($A189,LEN($A189)-FIND("'",$A189))),$A189),"'!C10"))&gt;=P$2,"d",IF(INDIRECT(_xlfn.CONCAT("'",IF(ISNUMBER(FIND("'",$A189))=TRUE,_xlfn.CONCAT(LEFT($A189,FIND("'",$A189)-1),"''",RIGHT($A189,LEN($A189)-FIND("'",$A189))),$A189),"'!C11"))&gt;=P$2,"i",""))</f>
        <v>d</v>
      </c>
      <c r="Q189" s="44" t="str" cm="1">
        <f t="array" aca="1" ref="Q189" ca="1">IF(INDIRECT(_xlfn.CONCAT("'",IF(ISNUMBER(FIND("'",$A189))=TRUE,_xlfn.CONCAT(LEFT($A189,FIND("'",$A189)-1),"''",RIGHT($A189,LEN($A189)-FIND("'",$A189))),$A189),"'!C10"))&gt;=Q$2,"d",IF(INDIRECT(_xlfn.CONCAT("'",IF(ISNUMBER(FIND("'",$A189))=TRUE,_xlfn.CONCAT(LEFT($A189,FIND("'",$A189)-1),"''",RIGHT($A189,LEN($A189)-FIND("'",$A189))),$A189),"'!C11"))&gt;=Q$2,"i",""))</f>
        <v>d</v>
      </c>
      <c r="R189" s="44" t="str" cm="1">
        <f t="array" aca="1" ref="R189" ca="1">IF(INDIRECT(_xlfn.CONCAT("'",IF(ISNUMBER(FIND("'",$A189))=TRUE,_xlfn.CONCAT(LEFT($A189,FIND("'",$A189)-1),"''",RIGHT($A189,LEN($A189)-FIND("'",$A189))),$A189),"'!C10"))&gt;=R$2,"d",IF(INDIRECT(_xlfn.CONCAT("'",IF(ISNUMBER(FIND("'",$A189))=TRUE,_xlfn.CONCAT(LEFT($A189,FIND("'",$A189)-1),"''",RIGHT($A189,LEN($A189)-FIND("'",$A189))),$A189),"'!C11"))&gt;=R$2,"i",""))</f>
        <v>d</v>
      </c>
      <c r="S189" s="44" t="str" cm="1">
        <f t="array" aca="1" ref="S189" ca="1">IF(INDIRECT(_xlfn.CONCAT("'",IF(ISNUMBER(FIND("'",$A189))=TRUE,_xlfn.CONCAT(LEFT($A189,FIND("'",$A189)-1),"''",RIGHT($A189,LEN($A189)-FIND("'",$A189))),$A189),"'!C10"))&gt;=S$2,"d",IF(INDIRECT(_xlfn.CONCAT("'",IF(ISNUMBER(FIND("'",$A189))=TRUE,_xlfn.CONCAT(LEFT($A189,FIND("'",$A189)-1),"''",RIGHT($A189,LEN($A189)-FIND("'",$A189))),$A189),"'!C11"))&gt;=S$2,"i",""))</f>
        <v>d</v>
      </c>
      <c r="T189" s="45" t="str" cm="1">
        <f t="array" aca="1" ref="T189" ca="1">IF(INDIRECT(_xlfn.CONCAT("'",IF(ISNUMBER(FIND("'",$A189))=TRUE,_xlfn.CONCAT(LEFT($A189,FIND("'",$A189)-1),"''",RIGHT($A189,LEN($A189)-FIND("'",$A189))),$A189),"'!C10"))&gt;=T$2,"d",IF(INDIRECT(_xlfn.CONCAT("'",IF(ISNUMBER(FIND("'",$A189))=TRUE,_xlfn.CONCAT(LEFT($A189,FIND("'",$A189)-1),"''",RIGHT($A189,LEN($A189)-FIND("'",$A189))),$A189),"'!C11"))&gt;=T$2,"i",""))</f>
        <v>d</v>
      </c>
    </row>
    <row r="190" spans="1:20" hidden="1" x14ac:dyDescent="0.25">
      <c r="A190" s="135" t="str">
        <v>Ring of Yaxche</v>
      </c>
      <c r="B190" s="19" cm="1">
        <f t="array" ref="B190">_xlfn.XLOOKUP(A190,INDEX(Weapon_List,,1),INDEX(Weapon_List,,3),,0,1)</f>
        <v>4</v>
      </c>
      <c r="C190" s="45" t="str" cm="1">
        <f t="array" ref="C190">_xlfn.XLOOKUP(A190,INDEX(Weapon_List,,1),INDEX(Weapon_List,,2),,0,1)</f>
        <v>Catalyst</v>
      </c>
      <c r="D190" s="38" t="str" cm="1">
        <f t="array" ref="D190">_xlfn.XLOOKUP(A190,INDEX(Weapon_List,,1),INDEX(Weapon_List,,4),,0,1)</f>
        <v>Natlan 2</v>
      </c>
      <c r="E190" s="38" t="str" cm="1">
        <f t="array" ref="E190">_xlfn.XLOOKUP(A190,INDEX(Weapon_List,,1),INDEX(Weapon_List,,5),,0,1)</f>
        <v>Hilichurl</v>
      </c>
      <c r="F190" s="38" t="str" cm="1">
        <f t="array" ref="F190">_xlfn.XLOOKUP(A190,INDEX(Weapon_List,,1),INDEX(Weapon_List,,6),,0,1)</f>
        <v>Wayob Manifestation</v>
      </c>
      <c r="G190" s="19" t="str" cm="1">
        <f t="array" aca="1" ref="G190" ca="1">IF(INDIRECT(_xlfn.CONCAT("'",IF(ISNUMBER(FIND("'",$A190))=TRUE,_xlfn.CONCAT(LEFT($A190,FIND("'",$A190)-1),"''",RIGHT($A190,LEN($A190)-FIND("'",$A190))),$A190),"'!B4"))&gt;=G$2,"d",IF(INDIRECT(_xlfn.CONCAT("'",IF(ISNUMBER(FIND("'",$A190))=TRUE,_xlfn.CONCAT(LEFT($A190,FIND("'",$A190)-1),"''",RIGHT($A190,LEN($A190)-FIND("'",$A190))),$A190),"'!B5"))&gt;=G$2,"i",""))</f>
        <v>d</v>
      </c>
      <c r="H190" s="44" t="str" cm="1">
        <f t="array" aca="1" ref="H190" ca="1">IF(INDIRECT(_xlfn.CONCAT("'",IF(ISNUMBER(FIND("'",$A190))=TRUE,_xlfn.CONCAT(LEFT($A190,FIND("'",$A190)-1),"''",RIGHT($A190,LEN($A190)-FIND("'",$A190))),$A190),"'!B4"))&gt;=H$2,"d",IF(INDIRECT(_xlfn.CONCAT("'",IF(ISNUMBER(FIND("'",$A190))=TRUE,_xlfn.CONCAT(LEFT($A190,FIND("'",$A190)-1),"''",RIGHT($A190,LEN($A190)-FIND("'",$A190))),$A190),"'!B5"))&gt;=H$2,"i",""))</f>
        <v>d</v>
      </c>
      <c r="I190" s="44" t="str" cm="1">
        <f t="array" aca="1" ref="I190" ca="1">IF(INDIRECT(_xlfn.CONCAT("'",IF(ISNUMBER(FIND("'",$A190))=TRUE,_xlfn.CONCAT(LEFT($A190,FIND("'",$A190)-1),"''",RIGHT($A190,LEN($A190)-FIND("'",$A190))),$A190),"'!B4"))&gt;=I$2,"d",IF(INDIRECT(_xlfn.CONCAT("'",IF(ISNUMBER(FIND("'",$A190))=TRUE,_xlfn.CONCAT(LEFT($A190,FIND("'",$A190)-1),"''",RIGHT($A190,LEN($A190)-FIND("'",$A190))),$A190),"'!B5"))&gt;=I$2,"i",""))</f>
        <v>d</v>
      </c>
      <c r="J190" s="44" t="str" cm="1">
        <f t="array" aca="1" ref="J190" ca="1">IF(INDIRECT(_xlfn.CONCAT("'",IF(ISNUMBER(FIND("'",$A190))=TRUE,_xlfn.CONCAT(LEFT($A190,FIND("'",$A190)-1),"''",RIGHT($A190,LEN($A190)-FIND("'",$A190))),$A190),"'!B4"))&gt;=J$2,"d",IF(INDIRECT(_xlfn.CONCAT("'",IF(ISNUMBER(FIND("'",$A190))=TRUE,_xlfn.CONCAT(LEFT($A190,FIND("'",$A190)-1),"''",RIGHT($A190,LEN($A190)-FIND("'",$A190))),$A190),"'!B5"))&gt;=J$2,"i",""))</f>
        <v>d</v>
      </c>
      <c r="K190" s="44" t="str" cm="1">
        <f t="array" aca="1" ref="K190" ca="1">IF(INDIRECT(_xlfn.CONCAT("'",IF(ISNUMBER(FIND("'",$A190))=TRUE,_xlfn.CONCAT(LEFT($A190,FIND("'",$A190)-1),"''",RIGHT($A190,LEN($A190)-FIND("'",$A190))),$A190),"'!B4"))&gt;=K$2,"d",IF(INDIRECT(_xlfn.CONCAT("'",IF(ISNUMBER(FIND("'",$A190))=TRUE,_xlfn.CONCAT(LEFT($A190,FIND("'",$A190)-1),"''",RIGHT($A190,LEN($A190)-FIND("'",$A190))),$A190),"'!B5"))&gt;=K$2,"i",""))</f>
        <v>d</v>
      </c>
      <c r="L190" s="44" t="str" cm="1">
        <f t="array" aca="1" ref="L190" ca="1">IF(INDIRECT(_xlfn.CONCAT("'",IF(ISNUMBER(FIND("'",$A190))=TRUE,_xlfn.CONCAT(LEFT($A190,FIND("'",$A190)-1),"''",RIGHT($A190,LEN($A190)-FIND("'",$A190))),$A190),"'!B4"))&gt;=L$2,"d",IF(INDIRECT(_xlfn.CONCAT("'",IF(ISNUMBER(FIND("'",$A190))=TRUE,_xlfn.CONCAT(LEFT($A190,FIND("'",$A190)-1),"''",RIGHT($A190,LEN($A190)-FIND("'",$A190))),$A190),"'!B5"))&gt;=L$2,"i",""))</f>
        <v>d</v>
      </c>
      <c r="M190" s="45" t="str" cm="1">
        <f t="array" aca="1" ref="M190" ca="1">IF(INDIRECT(_xlfn.CONCAT("'",IF(ISNUMBER(FIND("'",$A190))=TRUE,_xlfn.CONCAT(LEFT($A190,FIND("'",$A190)-1),"''",RIGHT($A190,LEN($A190)-FIND("'",$A190))),$A190),"'!B4"))&gt;=M$2,"d",IF(INDIRECT(_xlfn.CONCAT("'",IF(ISNUMBER(FIND("'",$A190))=TRUE,_xlfn.CONCAT(LEFT($A190,FIND("'",$A190)-1),"''",RIGHT($A190,LEN($A190)-FIND("'",$A190))),$A190),"'!B5"))&gt;=M$2,"i",""))</f>
        <v>d</v>
      </c>
      <c r="N190" s="157"/>
      <c r="O190" s="19" t="str" cm="1">
        <f t="array" aca="1" ref="O190" ca="1">IF(INDIRECT(_xlfn.CONCAT("'",IF(ISNUMBER(FIND("'",$A190))=TRUE,_xlfn.CONCAT(LEFT($A190,FIND("'",$A190)-1),"''",RIGHT($A190,LEN($A190)-FIND("'",$A190))),$A190),"'!C10"))&gt;=O$2,"d",IF(INDIRECT(_xlfn.CONCAT("'",IF(ISNUMBER(FIND("'",$A190))=TRUE,_xlfn.CONCAT(LEFT($A190,FIND("'",$A190)-1),"''",RIGHT($A190,LEN($A190)-FIND("'",$A190))),$A190),"'!C11"))&gt;=O$2,"i",""))</f>
        <v>d</v>
      </c>
      <c r="P190" s="44" t="str" cm="1">
        <f t="array" aca="1" ref="P190" ca="1">IF(INDIRECT(_xlfn.CONCAT("'",IF(ISNUMBER(FIND("'",$A190))=TRUE,_xlfn.CONCAT(LEFT($A190,FIND("'",$A190)-1),"''",RIGHT($A190,LEN($A190)-FIND("'",$A190))),$A190),"'!C10"))&gt;=P$2,"d",IF(INDIRECT(_xlfn.CONCAT("'",IF(ISNUMBER(FIND("'",$A190))=TRUE,_xlfn.CONCAT(LEFT($A190,FIND("'",$A190)-1),"''",RIGHT($A190,LEN($A190)-FIND("'",$A190))),$A190),"'!C11"))&gt;=P$2,"i",""))</f>
        <v>d</v>
      </c>
      <c r="Q190" s="44" t="str" cm="1">
        <f t="array" aca="1" ref="Q190" ca="1">IF(INDIRECT(_xlfn.CONCAT("'",IF(ISNUMBER(FIND("'",$A190))=TRUE,_xlfn.CONCAT(LEFT($A190,FIND("'",$A190)-1),"''",RIGHT($A190,LEN($A190)-FIND("'",$A190))),$A190),"'!C10"))&gt;=Q$2,"d",IF(INDIRECT(_xlfn.CONCAT("'",IF(ISNUMBER(FIND("'",$A190))=TRUE,_xlfn.CONCAT(LEFT($A190,FIND("'",$A190)-1),"''",RIGHT($A190,LEN($A190)-FIND("'",$A190))),$A190),"'!C11"))&gt;=Q$2,"i",""))</f>
        <v>d</v>
      </c>
      <c r="R190" s="44" t="str" cm="1">
        <f t="array" aca="1" ref="R190" ca="1">IF(INDIRECT(_xlfn.CONCAT("'",IF(ISNUMBER(FIND("'",$A190))=TRUE,_xlfn.CONCAT(LEFT($A190,FIND("'",$A190)-1),"''",RIGHT($A190,LEN($A190)-FIND("'",$A190))),$A190),"'!C10"))&gt;=R$2,"d",IF(INDIRECT(_xlfn.CONCAT("'",IF(ISNUMBER(FIND("'",$A190))=TRUE,_xlfn.CONCAT(LEFT($A190,FIND("'",$A190)-1),"''",RIGHT($A190,LEN($A190)-FIND("'",$A190))),$A190),"'!C11"))&gt;=R$2,"i",""))</f>
        <v>d</v>
      </c>
      <c r="S190" s="44" t="str" cm="1">
        <f t="array" aca="1" ref="S190" ca="1">IF(INDIRECT(_xlfn.CONCAT("'",IF(ISNUMBER(FIND("'",$A190))=TRUE,_xlfn.CONCAT(LEFT($A190,FIND("'",$A190)-1),"''",RIGHT($A190,LEN($A190)-FIND("'",$A190))),$A190),"'!C10"))&gt;=S$2,"d",IF(INDIRECT(_xlfn.CONCAT("'",IF(ISNUMBER(FIND("'",$A190))=TRUE,_xlfn.CONCAT(LEFT($A190,FIND("'",$A190)-1),"''",RIGHT($A190,LEN($A190)-FIND("'",$A190))),$A190),"'!C11"))&gt;=S$2,"i",""))</f>
        <v>d</v>
      </c>
      <c r="T190" s="45" t="str" cm="1">
        <f t="array" aca="1" ref="T190" ca="1">IF(INDIRECT(_xlfn.CONCAT("'",IF(ISNUMBER(FIND("'",$A190))=TRUE,_xlfn.CONCAT(LEFT($A190,FIND("'",$A190)-1),"''",RIGHT($A190,LEN($A190)-FIND("'",$A190))),$A190),"'!C10"))&gt;=T$2,"d",IF(INDIRECT(_xlfn.CONCAT("'",IF(ISNUMBER(FIND("'",$A190))=TRUE,_xlfn.CONCAT(LEFT($A190,FIND("'",$A190)-1),"''",RIGHT($A190,LEN($A190)-FIND("'",$A190))),$A190),"'!C11"))&gt;=T$2,"i",""))</f>
        <v>d</v>
      </c>
    </row>
    <row r="191" spans="1:20" hidden="1" x14ac:dyDescent="0.25">
      <c r="A191" s="135" t="str">
        <v>Chain Breaker</v>
      </c>
      <c r="B191" s="19" cm="1">
        <f t="array" ref="B191">_xlfn.XLOOKUP(A191,INDEX(Weapon_List,,1),INDEX(Weapon_List,,3),,0,1)</f>
        <v>4</v>
      </c>
      <c r="C191" s="45" t="str" cm="1">
        <f t="array" ref="C191">_xlfn.XLOOKUP(A191,INDEX(Weapon_List,,1),INDEX(Weapon_List,,2),,0,1)</f>
        <v>Bow</v>
      </c>
      <c r="D191" s="38" t="str" cm="1">
        <f t="array" ref="D191">_xlfn.XLOOKUP(A191,INDEX(Weapon_List,,1),INDEX(Weapon_List,,4),,0,1)</f>
        <v>Natlan 3</v>
      </c>
      <c r="E191" s="38" t="str" cm="1">
        <f t="array" ref="E191">_xlfn.XLOOKUP(A191,INDEX(Weapon_List,,1),INDEX(Weapon_List,,5),,0,1)</f>
        <v>Saurian</v>
      </c>
      <c r="F191" s="38" t="str" cm="1">
        <f t="array" ref="F191">_xlfn.XLOOKUP(A191,INDEX(Weapon_List,,1),INDEX(Weapon_List,,6),,0,1)</f>
        <v>Xuanwen Beast</v>
      </c>
      <c r="G191" s="19" t="str" cm="1">
        <f t="array" aca="1" ref="G191" ca="1">IF(INDIRECT(_xlfn.CONCAT("'",IF(ISNUMBER(FIND("'",$A191))=TRUE,_xlfn.CONCAT(LEFT($A191,FIND("'",$A191)-1),"''",RIGHT($A191,LEN($A191)-FIND("'",$A191))),$A191),"'!B4"))&gt;=G$2,"d",IF(INDIRECT(_xlfn.CONCAT("'",IF(ISNUMBER(FIND("'",$A191))=TRUE,_xlfn.CONCAT(LEFT($A191,FIND("'",$A191)-1),"''",RIGHT($A191,LEN($A191)-FIND("'",$A191))),$A191),"'!B5"))&gt;=G$2,"i",""))</f>
        <v>d</v>
      </c>
      <c r="H191" s="44" t="str" cm="1">
        <f t="array" aca="1" ref="H191" ca="1">IF(INDIRECT(_xlfn.CONCAT("'",IF(ISNUMBER(FIND("'",$A191))=TRUE,_xlfn.CONCAT(LEFT($A191,FIND("'",$A191)-1),"''",RIGHT($A191,LEN($A191)-FIND("'",$A191))),$A191),"'!B4"))&gt;=H$2,"d",IF(INDIRECT(_xlfn.CONCAT("'",IF(ISNUMBER(FIND("'",$A191))=TRUE,_xlfn.CONCAT(LEFT($A191,FIND("'",$A191)-1),"''",RIGHT($A191,LEN($A191)-FIND("'",$A191))),$A191),"'!B5"))&gt;=H$2,"i",""))</f>
        <v>d</v>
      </c>
      <c r="I191" s="44" t="str" cm="1">
        <f t="array" aca="1" ref="I191" ca="1">IF(INDIRECT(_xlfn.CONCAT("'",IF(ISNUMBER(FIND("'",$A191))=TRUE,_xlfn.CONCAT(LEFT($A191,FIND("'",$A191)-1),"''",RIGHT($A191,LEN($A191)-FIND("'",$A191))),$A191),"'!B4"))&gt;=I$2,"d",IF(INDIRECT(_xlfn.CONCAT("'",IF(ISNUMBER(FIND("'",$A191))=TRUE,_xlfn.CONCAT(LEFT($A191,FIND("'",$A191)-1),"''",RIGHT($A191,LEN($A191)-FIND("'",$A191))),$A191),"'!B5"))&gt;=I$2,"i",""))</f>
        <v>d</v>
      </c>
      <c r="J191" s="44" t="str" cm="1">
        <f t="array" aca="1" ref="J191" ca="1">IF(INDIRECT(_xlfn.CONCAT("'",IF(ISNUMBER(FIND("'",$A191))=TRUE,_xlfn.CONCAT(LEFT($A191,FIND("'",$A191)-1),"''",RIGHT($A191,LEN($A191)-FIND("'",$A191))),$A191),"'!B4"))&gt;=J$2,"d",IF(INDIRECT(_xlfn.CONCAT("'",IF(ISNUMBER(FIND("'",$A191))=TRUE,_xlfn.CONCAT(LEFT($A191,FIND("'",$A191)-1),"''",RIGHT($A191,LEN($A191)-FIND("'",$A191))),$A191),"'!B5"))&gt;=J$2,"i",""))</f>
        <v>d</v>
      </c>
      <c r="K191" s="44" t="str" cm="1">
        <f t="array" aca="1" ref="K191" ca="1">IF(INDIRECT(_xlfn.CONCAT("'",IF(ISNUMBER(FIND("'",$A191))=TRUE,_xlfn.CONCAT(LEFT($A191,FIND("'",$A191)-1),"''",RIGHT($A191,LEN($A191)-FIND("'",$A191))),$A191),"'!B4"))&gt;=K$2,"d",IF(INDIRECT(_xlfn.CONCAT("'",IF(ISNUMBER(FIND("'",$A191))=TRUE,_xlfn.CONCAT(LEFT($A191,FIND("'",$A191)-1),"''",RIGHT($A191,LEN($A191)-FIND("'",$A191))),$A191),"'!B5"))&gt;=K$2,"i",""))</f>
        <v>d</v>
      </c>
      <c r="L191" s="44" t="str" cm="1">
        <f t="array" aca="1" ref="L191" ca="1">IF(INDIRECT(_xlfn.CONCAT("'",IF(ISNUMBER(FIND("'",$A191))=TRUE,_xlfn.CONCAT(LEFT($A191,FIND("'",$A191)-1),"''",RIGHT($A191,LEN($A191)-FIND("'",$A191))),$A191),"'!B4"))&gt;=L$2,"d",IF(INDIRECT(_xlfn.CONCAT("'",IF(ISNUMBER(FIND("'",$A191))=TRUE,_xlfn.CONCAT(LEFT($A191,FIND("'",$A191)-1),"''",RIGHT($A191,LEN($A191)-FIND("'",$A191))),$A191),"'!B5"))&gt;=L$2,"i",""))</f>
        <v>d</v>
      </c>
      <c r="M191" s="45" t="str" cm="1">
        <f t="array" aca="1" ref="M191" ca="1">IF(INDIRECT(_xlfn.CONCAT("'",IF(ISNUMBER(FIND("'",$A191))=TRUE,_xlfn.CONCAT(LEFT($A191,FIND("'",$A191)-1),"''",RIGHT($A191,LEN($A191)-FIND("'",$A191))),$A191),"'!B4"))&gt;=M$2,"d",IF(INDIRECT(_xlfn.CONCAT("'",IF(ISNUMBER(FIND("'",$A191))=TRUE,_xlfn.CONCAT(LEFT($A191,FIND("'",$A191)-1),"''",RIGHT($A191,LEN($A191)-FIND("'",$A191))),$A191),"'!B5"))&gt;=M$2,"i",""))</f>
        <v>d</v>
      </c>
      <c r="N191" s="157"/>
      <c r="O191" s="19" t="str" cm="1">
        <f t="array" aca="1" ref="O191" ca="1">IF(INDIRECT(_xlfn.CONCAT("'",IF(ISNUMBER(FIND("'",$A191))=TRUE,_xlfn.CONCAT(LEFT($A191,FIND("'",$A191)-1),"''",RIGHT($A191,LEN($A191)-FIND("'",$A191))),$A191),"'!C10"))&gt;=O$2,"d",IF(INDIRECT(_xlfn.CONCAT("'",IF(ISNUMBER(FIND("'",$A191))=TRUE,_xlfn.CONCAT(LEFT($A191,FIND("'",$A191)-1),"''",RIGHT($A191,LEN($A191)-FIND("'",$A191))),$A191),"'!C11"))&gt;=O$2,"i",""))</f>
        <v>d</v>
      </c>
      <c r="P191" s="44" t="str" cm="1">
        <f t="array" aca="1" ref="P191" ca="1">IF(INDIRECT(_xlfn.CONCAT("'",IF(ISNUMBER(FIND("'",$A191))=TRUE,_xlfn.CONCAT(LEFT($A191,FIND("'",$A191)-1),"''",RIGHT($A191,LEN($A191)-FIND("'",$A191))),$A191),"'!C10"))&gt;=P$2,"d",IF(INDIRECT(_xlfn.CONCAT("'",IF(ISNUMBER(FIND("'",$A191))=TRUE,_xlfn.CONCAT(LEFT($A191,FIND("'",$A191)-1),"''",RIGHT($A191,LEN($A191)-FIND("'",$A191))),$A191),"'!C11"))&gt;=P$2,"i",""))</f>
        <v>d</v>
      </c>
      <c r="Q191" s="44" t="str" cm="1">
        <f t="array" aca="1" ref="Q191" ca="1">IF(INDIRECT(_xlfn.CONCAT("'",IF(ISNUMBER(FIND("'",$A191))=TRUE,_xlfn.CONCAT(LEFT($A191,FIND("'",$A191)-1),"''",RIGHT($A191,LEN($A191)-FIND("'",$A191))),$A191),"'!C10"))&gt;=Q$2,"d",IF(INDIRECT(_xlfn.CONCAT("'",IF(ISNUMBER(FIND("'",$A191))=TRUE,_xlfn.CONCAT(LEFT($A191,FIND("'",$A191)-1),"''",RIGHT($A191,LEN($A191)-FIND("'",$A191))),$A191),"'!C11"))&gt;=Q$2,"i",""))</f>
        <v>d</v>
      </c>
      <c r="R191" s="44" t="str" cm="1">
        <f t="array" aca="1" ref="R191" ca="1">IF(INDIRECT(_xlfn.CONCAT("'",IF(ISNUMBER(FIND("'",$A191))=TRUE,_xlfn.CONCAT(LEFT($A191,FIND("'",$A191)-1),"''",RIGHT($A191,LEN($A191)-FIND("'",$A191))),$A191),"'!C10"))&gt;=R$2,"d",IF(INDIRECT(_xlfn.CONCAT("'",IF(ISNUMBER(FIND("'",$A191))=TRUE,_xlfn.CONCAT(LEFT($A191,FIND("'",$A191)-1),"''",RIGHT($A191,LEN($A191)-FIND("'",$A191))),$A191),"'!C11"))&gt;=R$2,"i",""))</f>
        <v>d</v>
      </c>
      <c r="S191" s="44" t="str" cm="1">
        <f t="array" aca="1" ref="S191" ca="1">IF(INDIRECT(_xlfn.CONCAT("'",IF(ISNUMBER(FIND("'",$A191))=TRUE,_xlfn.CONCAT(LEFT($A191,FIND("'",$A191)-1),"''",RIGHT($A191,LEN($A191)-FIND("'",$A191))),$A191),"'!C10"))&gt;=S$2,"d",IF(INDIRECT(_xlfn.CONCAT("'",IF(ISNUMBER(FIND("'",$A191))=TRUE,_xlfn.CONCAT(LEFT($A191,FIND("'",$A191)-1),"''",RIGHT($A191,LEN($A191)-FIND("'",$A191))),$A191),"'!C11"))&gt;=S$2,"i",""))</f>
        <v>d</v>
      </c>
      <c r="T191" s="45" t="str" cm="1">
        <f t="array" aca="1" ref="T191" ca="1">IF(INDIRECT(_xlfn.CONCAT("'",IF(ISNUMBER(FIND("'",$A191))=TRUE,_xlfn.CONCAT(LEFT($A191,FIND("'",$A191)-1),"''",RIGHT($A191,LEN($A191)-FIND("'",$A191))),$A191),"'!C10"))&gt;=T$2,"d",IF(INDIRECT(_xlfn.CONCAT("'",IF(ISNUMBER(FIND("'",$A191))=TRUE,_xlfn.CONCAT(LEFT($A191,FIND("'",$A191)-1),"''",RIGHT($A191,LEN($A191)-FIND("'",$A191))),$A191),"'!C11"))&gt;=T$2,"i",""))</f>
        <v>d</v>
      </c>
    </row>
    <row r="192" spans="1:20" hidden="1" x14ac:dyDescent="0.25">
      <c r="A192" s="135" t="str">
        <v>Surf's Up</v>
      </c>
      <c r="B192" s="19" cm="1">
        <f t="array" ref="B192">_xlfn.XLOOKUP(A192,INDEX(Weapon_List,,1),INDEX(Weapon_List,,3),,0,1)</f>
        <v>5</v>
      </c>
      <c r="C192" s="45" t="str" cm="1">
        <f t="array" ref="C192">_xlfn.XLOOKUP(A192,INDEX(Weapon_List,,1),INDEX(Weapon_List,,2),,0,1)</f>
        <v>Catalyst</v>
      </c>
      <c r="D192" s="38" t="str" cm="1">
        <f t="array" ref="D192">_xlfn.XLOOKUP(A192,INDEX(Weapon_List,,1),INDEX(Weapon_List,,4),,0,1)</f>
        <v>Natlan 1</v>
      </c>
      <c r="E192" s="38" t="str" cm="1">
        <f t="array" ref="E192">_xlfn.XLOOKUP(A192,INDEX(Weapon_List,,1),INDEX(Weapon_List,,5),,0,1)</f>
        <v>Saurian</v>
      </c>
      <c r="F192" s="38" t="str" cm="1">
        <f t="array" ref="F192">_xlfn.XLOOKUP(A192,INDEX(Weapon_List,,1),INDEX(Weapon_List,,6),,0,1)</f>
        <v>Wayob Manifestation</v>
      </c>
      <c r="G192" s="19" t="str" cm="1">
        <f t="array" aca="1" ref="G192" ca="1">IF(INDIRECT(_xlfn.CONCAT("'",IF(ISNUMBER(FIND("'",$A192))=TRUE,_xlfn.CONCAT(LEFT($A192,FIND("'",$A192)-1),"''",RIGHT($A192,LEN($A192)-FIND("'",$A192))),$A192),"'!B4"))&gt;=G$2,"d",IF(INDIRECT(_xlfn.CONCAT("'",IF(ISNUMBER(FIND("'",$A192))=TRUE,_xlfn.CONCAT(LEFT($A192,FIND("'",$A192)-1),"''",RIGHT($A192,LEN($A192)-FIND("'",$A192))),$A192),"'!B5"))&gt;=G$2,"i",""))</f>
        <v>d</v>
      </c>
      <c r="H192" s="44" t="str" cm="1">
        <f t="array" aca="1" ref="H192" ca="1">IF(INDIRECT(_xlfn.CONCAT("'",IF(ISNUMBER(FIND("'",$A192))=TRUE,_xlfn.CONCAT(LEFT($A192,FIND("'",$A192)-1),"''",RIGHT($A192,LEN($A192)-FIND("'",$A192))),$A192),"'!B4"))&gt;=H$2,"d",IF(INDIRECT(_xlfn.CONCAT("'",IF(ISNUMBER(FIND("'",$A192))=TRUE,_xlfn.CONCAT(LEFT($A192,FIND("'",$A192)-1),"''",RIGHT($A192,LEN($A192)-FIND("'",$A192))),$A192),"'!B5"))&gt;=H$2,"i",""))</f>
        <v>d</v>
      </c>
      <c r="I192" s="44" t="str" cm="1">
        <f t="array" aca="1" ref="I192" ca="1">IF(INDIRECT(_xlfn.CONCAT("'",IF(ISNUMBER(FIND("'",$A192))=TRUE,_xlfn.CONCAT(LEFT($A192,FIND("'",$A192)-1),"''",RIGHT($A192,LEN($A192)-FIND("'",$A192))),$A192),"'!B4"))&gt;=I$2,"d",IF(INDIRECT(_xlfn.CONCAT("'",IF(ISNUMBER(FIND("'",$A192))=TRUE,_xlfn.CONCAT(LEFT($A192,FIND("'",$A192)-1),"''",RIGHT($A192,LEN($A192)-FIND("'",$A192))),$A192),"'!B5"))&gt;=I$2,"i",""))</f>
        <v>d</v>
      </c>
      <c r="J192" s="44" t="str" cm="1">
        <f t="array" aca="1" ref="J192" ca="1">IF(INDIRECT(_xlfn.CONCAT("'",IF(ISNUMBER(FIND("'",$A192))=TRUE,_xlfn.CONCAT(LEFT($A192,FIND("'",$A192)-1),"''",RIGHT($A192,LEN($A192)-FIND("'",$A192))),$A192),"'!B4"))&gt;=J$2,"d",IF(INDIRECT(_xlfn.CONCAT("'",IF(ISNUMBER(FIND("'",$A192))=TRUE,_xlfn.CONCAT(LEFT($A192,FIND("'",$A192)-1),"''",RIGHT($A192,LEN($A192)-FIND("'",$A192))),$A192),"'!B5"))&gt;=J$2,"i",""))</f>
        <v>d</v>
      </c>
      <c r="K192" s="44" t="str" cm="1">
        <f t="array" aca="1" ref="K192" ca="1">IF(INDIRECT(_xlfn.CONCAT("'",IF(ISNUMBER(FIND("'",$A192))=TRUE,_xlfn.CONCAT(LEFT($A192,FIND("'",$A192)-1),"''",RIGHT($A192,LEN($A192)-FIND("'",$A192))),$A192),"'!B4"))&gt;=K$2,"d",IF(INDIRECT(_xlfn.CONCAT("'",IF(ISNUMBER(FIND("'",$A192))=TRUE,_xlfn.CONCAT(LEFT($A192,FIND("'",$A192)-1),"''",RIGHT($A192,LEN($A192)-FIND("'",$A192))),$A192),"'!B5"))&gt;=K$2,"i",""))</f>
        <v>d</v>
      </c>
      <c r="L192" s="44" t="str" cm="1">
        <f t="array" aca="1" ref="L192" ca="1">IF(INDIRECT(_xlfn.CONCAT("'",IF(ISNUMBER(FIND("'",$A192))=TRUE,_xlfn.CONCAT(LEFT($A192,FIND("'",$A192)-1),"''",RIGHT($A192,LEN($A192)-FIND("'",$A192))),$A192),"'!B4"))&gt;=L$2,"d",IF(INDIRECT(_xlfn.CONCAT("'",IF(ISNUMBER(FIND("'",$A192))=TRUE,_xlfn.CONCAT(LEFT($A192,FIND("'",$A192)-1),"''",RIGHT($A192,LEN($A192)-FIND("'",$A192))),$A192),"'!B5"))&gt;=L$2,"i",""))</f>
        <v>d</v>
      </c>
      <c r="M192" s="45" t="str" cm="1">
        <f t="array" aca="1" ref="M192" ca="1">IF(INDIRECT(_xlfn.CONCAT("'",IF(ISNUMBER(FIND("'",$A192))=TRUE,_xlfn.CONCAT(LEFT($A192,FIND("'",$A192)-1),"''",RIGHT($A192,LEN($A192)-FIND("'",$A192))),$A192),"'!B4"))&gt;=M$2,"d",IF(INDIRECT(_xlfn.CONCAT("'",IF(ISNUMBER(FIND("'",$A192))=TRUE,_xlfn.CONCAT(LEFT($A192,FIND("'",$A192)-1),"''",RIGHT($A192,LEN($A192)-FIND("'",$A192))),$A192),"'!B5"))&gt;=M$2,"i",""))</f>
        <v>d</v>
      </c>
      <c r="N192" s="157"/>
      <c r="O192" s="19" t="str" cm="1">
        <f t="array" aca="1" ref="O192" ca="1">IF(INDIRECT(_xlfn.CONCAT("'",IF(ISNUMBER(FIND("'",$A192))=TRUE,_xlfn.CONCAT(LEFT($A192,FIND("'",$A192)-1),"''",RIGHT($A192,LEN($A192)-FIND("'",$A192))),$A192),"'!C10"))&gt;=O$2,"d",IF(INDIRECT(_xlfn.CONCAT("'",IF(ISNUMBER(FIND("'",$A192))=TRUE,_xlfn.CONCAT(LEFT($A192,FIND("'",$A192)-1),"''",RIGHT($A192,LEN($A192)-FIND("'",$A192))),$A192),"'!C11"))&gt;=O$2,"i",""))</f>
        <v>d</v>
      </c>
      <c r="P192" s="44" t="str" cm="1">
        <f t="array" aca="1" ref="P192" ca="1">IF(INDIRECT(_xlfn.CONCAT("'",IF(ISNUMBER(FIND("'",$A192))=TRUE,_xlfn.CONCAT(LEFT($A192,FIND("'",$A192)-1),"''",RIGHT($A192,LEN($A192)-FIND("'",$A192))),$A192),"'!C10"))&gt;=P$2,"d",IF(INDIRECT(_xlfn.CONCAT("'",IF(ISNUMBER(FIND("'",$A192))=TRUE,_xlfn.CONCAT(LEFT($A192,FIND("'",$A192)-1),"''",RIGHT($A192,LEN($A192)-FIND("'",$A192))),$A192),"'!C11"))&gt;=P$2,"i",""))</f>
        <v>d</v>
      </c>
      <c r="Q192" s="44" t="str" cm="1">
        <f t="array" aca="1" ref="Q192" ca="1">IF(INDIRECT(_xlfn.CONCAT("'",IF(ISNUMBER(FIND("'",$A192))=TRUE,_xlfn.CONCAT(LEFT($A192,FIND("'",$A192)-1),"''",RIGHT($A192,LEN($A192)-FIND("'",$A192))),$A192),"'!C10"))&gt;=Q$2,"d",IF(INDIRECT(_xlfn.CONCAT("'",IF(ISNUMBER(FIND("'",$A192))=TRUE,_xlfn.CONCAT(LEFT($A192,FIND("'",$A192)-1),"''",RIGHT($A192,LEN($A192)-FIND("'",$A192))),$A192),"'!C11"))&gt;=Q$2,"i",""))</f>
        <v>d</v>
      </c>
      <c r="R192" s="44" t="str" cm="1">
        <f t="array" aca="1" ref="R192" ca="1">IF(INDIRECT(_xlfn.CONCAT("'",IF(ISNUMBER(FIND("'",$A192))=TRUE,_xlfn.CONCAT(LEFT($A192,FIND("'",$A192)-1),"''",RIGHT($A192,LEN($A192)-FIND("'",$A192))),$A192),"'!C10"))&gt;=R$2,"d",IF(INDIRECT(_xlfn.CONCAT("'",IF(ISNUMBER(FIND("'",$A192))=TRUE,_xlfn.CONCAT(LEFT($A192,FIND("'",$A192)-1),"''",RIGHT($A192,LEN($A192)-FIND("'",$A192))),$A192),"'!C11"))&gt;=R$2,"i",""))</f>
        <v>d</v>
      </c>
      <c r="S192" s="44" t="str" cm="1">
        <f t="array" aca="1" ref="S192" ca="1">IF(INDIRECT(_xlfn.CONCAT("'",IF(ISNUMBER(FIND("'",$A192))=TRUE,_xlfn.CONCAT(LEFT($A192,FIND("'",$A192)-1),"''",RIGHT($A192,LEN($A192)-FIND("'",$A192))),$A192),"'!C10"))&gt;=S$2,"d",IF(INDIRECT(_xlfn.CONCAT("'",IF(ISNUMBER(FIND("'",$A192))=TRUE,_xlfn.CONCAT(LEFT($A192,FIND("'",$A192)-1),"''",RIGHT($A192,LEN($A192)-FIND("'",$A192))),$A192),"'!C11"))&gt;=S$2,"i",""))</f>
        <v>d</v>
      </c>
      <c r="T192" s="45" t="str" cm="1">
        <f t="array" aca="1" ref="T192" ca="1">IF(INDIRECT(_xlfn.CONCAT("'",IF(ISNUMBER(FIND("'",$A192))=TRUE,_xlfn.CONCAT(LEFT($A192,FIND("'",$A192)-1),"''",RIGHT($A192,LEN($A192)-FIND("'",$A192))),$A192),"'!C10"))&gt;=T$2,"d",IF(INDIRECT(_xlfn.CONCAT("'",IF(ISNUMBER(FIND("'",$A192))=TRUE,_xlfn.CONCAT(LEFT($A192,FIND("'",$A192)-1),"''",RIGHT($A192,LEN($A192)-FIND("'",$A192))),$A192),"'!C11"))&gt;=T$2,"i",""))</f>
        <v>d</v>
      </c>
    </row>
    <row r="193" spans="1:20" hidden="1" x14ac:dyDescent="0.25">
      <c r="A193" s="135" t="str">
        <v>Fang of the Mountain King</v>
      </c>
      <c r="B193" s="19" cm="1">
        <f t="array" ref="B193">_xlfn.XLOOKUP(A193,INDEX(Weapon_List,,1),INDEX(Weapon_List,,3),,0,1)</f>
        <v>5</v>
      </c>
      <c r="C193" s="45" t="str" cm="1">
        <f t="array" ref="C193">_xlfn.XLOOKUP(A193,INDEX(Weapon_List,,1),INDEX(Weapon_List,,2),,0,1)</f>
        <v>Claymore</v>
      </c>
      <c r="D193" s="38" t="str" cm="1">
        <f t="array" ref="D193">_xlfn.XLOOKUP(A193,INDEX(Weapon_List,,1),INDEX(Weapon_List,,4),,0,1)</f>
        <v>Natlan 2</v>
      </c>
      <c r="E193" s="38" t="str" cm="1">
        <f t="array" ref="E193">_xlfn.XLOOKUP(A193,INDEX(Weapon_List,,1),INDEX(Weapon_List,,5),,0,1)</f>
        <v>Sauroform Tribal Warrior</v>
      </c>
      <c r="F193" s="38" t="str" cm="1">
        <f t="array" ref="F193">_xlfn.XLOOKUP(A193,INDEX(Weapon_List,,1),INDEX(Weapon_List,,6),,0,1)</f>
        <v>Avatar of Lava</v>
      </c>
      <c r="G193" s="19" t="str" cm="1">
        <f t="array" aca="1" ref="G193" ca="1">IF(INDIRECT(_xlfn.CONCAT("'",IF(ISNUMBER(FIND("'",$A193))=TRUE,_xlfn.CONCAT(LEFT($A193,FIND("'",$A193)-1),"''",RIGHT($A193,LEN($A193)-FIND("'",$A193))),$A193),"'!B4"))&gt;=G$2,"d",IF(INDIRECT(_xlfn.CONCAT("'",IF(ISNUMBER(FIND("'",$A193))=TRUE,_xlfn.CONCAT(LEFT($A193,FIND("'",$A193)-1),"''",RIGHT($A193,LEN($A193)-FIND("'",$A193))),$A193),"'!B5"))&gt;=G$2,"i",""))</f>
        <v>d</v>
      </c>
      <c r="H193" s="44" t="str" cm="1">
        <f t="array" aca="1" ref="H193" ca="1">IF(INDIRECT(_xlfn.CONCAT("'",IF(ISNUMBER(FIND("'",$A193))=TRUE,_xlfn.CONCAT(LEFT($A193,FIND("'",$A193)-1),"''",RIGHT($A193,LEN($A193)-FIND("'",$A193))),$A193),"'!B4"))&gt;=H$2,"d",IF(INDIRECT(_xlfn.CONCAT("'",IF(ISNUMBER(FIND("'",$A193))=TRUE,_xlfn.CONCAT(LEFT($A193,FIND("'",$A193)-1),"''",RIGHT($A193,LEN($A193)-FIND("'",$A193))),$A193),"'!B5"))&gt;=H$2,"i",""))</f>
        <v>d</v>
      </c>
      <c r="I193" s="44" t="str" cm="1">
        <f t="array" aca="1" ref="I193" ca="1">IF(INDIRECT(_xlfn.CONCAT("'",IF(ISNUMBER(FIND("'",$A193))=TRUE,_xlfn.CONCAT(LEFT($A193,FIND("'",$A193)-1),"''",RIGHT($A193,LEN($A193)-FIND("'",$A193))),$A193),"'!B4"))&gt;=I$2,"d",IF(INDIRECT(_xlfn.CONCAT("'",IF(ISNUMBER(FIND("'",$A193))=TRUE,_xlfn.CONCAT(LEFT($A193,FIND("'",$A193)-1),"''",RIGHT($A193,LEN($A193)-FIND("'",$A193))),$A193),"'!B5"))&gt;=I$2,"i",""))</f>
        <v>d</v>
      </c>
      <c r="J193" s="44" t="str" cm="1">
        <f t="array" aca="1" ref="J193" ca="1">IF(INDIRECT(_xlfn.CONCAT("'",IF(ISNUMBER(FIND("'",$A193))=TRUE,_xlfn.CONCAT(LEFT($A193,FIND("'",$A193)-1),"''",RIGHT($A193,LEN($A193)-FIND("'",$A193))),$A193),"'!B4"))&gt;=J$2,"d",IF(INDIRECT(_xlfn.CONCAT("'",IF(ISNUMBER(FIND("'",$A193))=TRUE,_xlfn.CONCAT(LEFT($A193,FIND("'",$A193)-1),"''",RIGHT($A193,LEN($A193)-FIND("'",$A193))),$A193),"'!B5"))&gt;=J$2,"i",""))</f>
        <v>d</v>
      </c>
      <c r="K193" s="44" t="str" cm="1">
        <f t="array" aca="1" ref="K193" ca="1">IF(INDIRECT(_xlfn.CONCAT("'",IF(ISNUMBER(FIND("'",$A193))=TRUE,_xlfn.CONCAT(LEFT($A193,FIND("'",$A193)-1),"''",RIGHT($A193,LEN($A193)-FIND("'",$A193))),$A193),"'!B4"))&gt;=K$2,"d",IF(INDIRECT(_xlfn.CONCAT("'",IF(ISNUMBER(FIND("'",$A193))=TRUE,_xlfn.CONCAT(LEFT($A193,FIND("'",$A193)-1),"''",RIGHT($A193,LEN($A193)-FIND("'",$A193))),$A193),"'!B5"))&gt;=K$2,"i",""))</f>
        <v>d</v>
      </c>
      <c r="L193" s="44" t="str" cm="1">
        <f t="array" aca="1" ref="L193" ca="1">IF(INDIRECT(_xlfn.CONCAT("'",IF(ISNUMBER(FIND("'",$A193))=TRUE,_xlfn.CONCAT(LEFT($A193,FIND("'",$A193)-1),"''",RIGHT($A193,LEN($A193)-FIND("'",$A193))),$A193),"'!B4"))&gt;=L$2,"d",IF(INDIRECT(_xlfn.CONCAT("'",IF(ISNUMBER(FIND("'",$A193))=TRUE,_xlfn.CONCAT(LEFT($A193,FIND("'",$A193)-1),"''",RIGHT($A193,LEN($A193)-FIND("'",$A193))),$A193),"'!B5"))&gt;=L$2,"i",""))</f>
        <v>d</v>
      </c>
      <c r="M193" s="45" t="str" cm="1">
        <f t="array" aca="1" ref="M193" ca="1">IF(INDIRECT(_xlfn.CONCAT("'",IF(ISNUMBER(FIND("'",$A193))=TRUE,_xlfn.CONCAT(LEFT($A193,FIND("'",$A193)-1),"''",RIGHT($A193,LEN($A193)-FIND("'",$A193))),$A193),"'!B4"))&gt;=M$2,"d",IF(INDIRECT(_xlfn.CONCAT("'",IF(ISNUMBER(FIND("'",$A193))=TRUE,_xlfn.CONCAT(LEFT($A193,FIND("'",$A193)-1),"''",RIGHT($A193,LEN($A193)-FIND("'",$A193))),$A193),"'!B5"))&gt;=M$2,"i",""))</f>
        <v>d</v>
      </c>
      <c r="N193" s="157"/>
      <c r="O193" s="19" t="str" cm="1">
        <f t="array" aca="1" ref="O193" ca="1">IF(INDIRECT(_xlfn.CONCAT("'",IF(ISNUMBER(FIND("'",$A193))=TRUE,_xlfn.CONCAT(LEFT($A193,FIND("'",$A193)-1),"''",RIGHT($A193,LEN($A193)-FIND("'",$A193))),$A193),"'!C10"))&gt;=O$2,"d",IF(INDIRECT(_xlfn.CONCAT("'",IF(ISNUMBER(FIND("'",$A193))=TRUE,_xlfn.CONCAT(LEFT($A193,FIND("'",$A193)-1),"''",RIGHT($A193,LEN($A193)-FIND("'",$A193))),$A193),"'!C11"))&gt;=O$2,"i",""))</f>
        <v>d</v>
      </c>
      <c r="P193" s="44" t="str" cm="1">
        <f t="array" aca="1" ref="P193" ca="1">IF(INDIRECT(_xlfn.CONCAT("'",IF(ISNUMBER(FIND("'",$A193))=TRUE,_xlfn.CONCAT(LEFT($A193,FIND("'",$A193)-1),"''",RIGHT($A193,LEN($A193)-FIND("'",$A193))),$A193),"'!C10"))&gt;=P$2,"d",IF(INDIRECT(_xlfn.CONCAT("'",IF(ISNUMBER(FIND("'",$A193))=TRUE,_xlfn.CONCAT(LEFT($A193,FIND("'",$A193)-1),"''",RIGHT($A193,LEN($A193)-FIND("'",$A193))),$A193),"'!C11"))&gt;=P$2,"i",""))</f>
        <v>d</v>
      </c>
      <c r="Q193" s="44" t="str" cm="1">
        <f t="array" aca="1" ref="Q193" ca="1">IF(INDIRECT(_xlfn.CONCAT("'",IF(ISNUMBER(FIND("'",$A193))=TRUE,_xlfn.CONCAT(LEFT($A193,FIND("'",$A193)-1),"''",RIGHT($A193,LEN($A193)-FIND("'",$A193))),$A193),"'!C10"))&gt;=Q$2,"d",IF(INDIRECT(_xlfn.CONCAT("'",IF(ISNUMBER(FIND("'",$A193))=TRUE,_xlfn.CONCAT(LEFT($A193,FIND("'",$A193)-1),"''",RIGHT($A193,LEN($A193)-FIND("'",$A193))),$A193),"'!C11"))&gt;=Q$2,"i",""))</f>
        <v>d</v>
      </c>
      <c r="R193" s="44" t="str" cm="1">
        <f t="array" aca="1" ref="R193" ca="1">IF(INDIRECT(_xlfn.CONCAT("'",IF(ISNUMBER(FIND("'",$A193))=TRUE,_xlfn.CONCAT(LEFT($A193,FIND("'",$A193)-1),"''",RIGHT($A193,LEN($A193)-FIND("'",$A193))),$A193),"'!C10"))&gt;=R$2,"d",IF(INDIRECT(_xlfn.CONCAT("'",IF(ISNUMBER(FIND("'",$A193))=TRUE,_xlfn.CONCAT(LEFT($A193,FIND("'",$A193)-1),"''",RIGHT($A193,LEN($A193)-FIND("'",$A193))),$A193),"'!C11"))&gt;=R$2,"i",""))</f>
        <v>d</v>
      </c>
      <c r="S193" s="44" t="str" cm="1">
        <f t="array" aca="1" ref="S193" ca="1">IF(INDIRECT(_xlfn.CONCAT("'",IF(ISNUMBER(FIND("'",$A193))=TRUE,_xlfn.CONCAT(LEFT($A193,FIND("'",$A193)-1),"''",RIGHT($A193,LEN($A193)-FIND("'",$A193))),$A193),"'!C10"))&gt;=S$2,"d",IF(INDIRECT(_xlfn.CONCAT("'",IF(ISNUMBER(FIND("'",$A193))=TRUE,_xlfn.CONCAT(LEFT($A193,FIND("'",$A193)-1),"''",RIGHT($A193,LEN($A193)-FIND("'",$A193))),$A193),"'!C11"))&gt;=S$2,"i",""))</f>
        <v>d</v>
      </c>
      <c r="T193" s="45" t="str" cm="1">
        <f t="array" aca="1" ref="T193" ca="1">IF(INDIRECT(_xlfn.CONCAT("'",IF(ISNUMBER(FIND("'",$A193))=TRUE,_xlfn.CONCAT(LEFT($A193,FIND("'",$A193)-1),"''",RIGHT($A193,LEN($A193)-FIND("'",$A193))),$A193),"'!C10"))&gt;=T$2,"d",IF(INDIRECT(_xlfn.CONCAT("'",IF(ISNUMBER(FIND("'",$A193))=TRUE,_xlfn.CONCAT(LEFT($A193,FIND("'",$A193)-1),"''",RIGHT($A193,LEN($A193)-FIND("'",$A193))),$A193),"'!C11"))&gt;=T$2,"i",""))</f>
        <v>d</v>
      </c>
    </row>
    <row r="194" spans="1:20" hidden="1" x14ac:dyDescent="0.25">
      <c r="A194" s="135" t="str">
        <v>Ash-Graven Drinking Horn</v>
      </c>
      <c r="B194" s="19" cm="1">
        <f t="array" ref="B194">_xlfn.XLOOKUP(A194,INDEX(Weapon_List,,1),INDEX(Weapon_List,,3),,0,1)</f>
        <v>4</v>
      </c>
      <c r="C194" s="45" t="str" cm="1">
        <f t="array" ref="C194">_xlfn.XLOOKUP(A194,INDEX(Weapon_List,,1),INDEX(Weapon_List,,2),,0,1)</f>
        <v>Catalyst</v>
      </c>
      <c r="D194" s="38" t="str" cm="1">
        <f t="array" ref="D194">_xlfn.XLOOKUP(A194,INDEX(Weapon_List,,1),INDEX(Weapon_List,,4),,0,1)</f>
        <v>Natlan 3</v>
      </c>
      <c r="E194" s="38" t="str" cm="1">
        <f t="array" ref="E194">_xlfn.XLOOKUP(A194,INDEX(Weapon_List,,1),INDEX(Weapon_List,,5),,0,1)</f>
        <v>Saurian</v>
      </c>
      <c r="F194" s="38" t="str" cm="1">
        <f t="array" ref="F194">_xlfn.XLOOKUP(A194,INDEX(Weapon_List,,1),INDEX(Weapon_List,,6),,0,1)</f>
        <v>Secret Source Automaton</v>
      </c>
      <c r="G194" s="19" t="str" cm="1">
        <f t="array" aca="1" ref="G194" ca="1">IF(INDIRECT(_xlfn.CONCAT("'",IF(ISNUMBER(FIND("'",$A194))=TRUE,_xlfn.CONCAT(LEFT($A194,FIND("'",$A194)-1),"''",RIGHT($A194,LEN($A194)-FIND("'",$A194))),$A194),"'!B4"))&gt;=G$2,"d",IF(INDIRECT(_xlfn.CONCAT("'",IF(ISNUMBER(FIND("'",$A194))=TRUE,_xlfn.CONCAT(LEFT($A194,FIND("'",$A194)-1),"''",RIGHT($A194,LEN($A194)-FIND("'",$A194))),$A194),"'!B5"))&gt;=G$2,"i",""))</f>
        <v>d</v>
      </c>
      <c r="H194" s="44" t="str" cm="1">
        <f t="array" aca="1" ref="H194" ca="1">IF(INDIRECT(_xlfn.CONCAT("'",IF(ISNUMBER(FIND("'",$A194))=TRUE,_xlfn.CONCAT(LEFT($A194,FIND("'",$A194)-1),"''",RIGHT($A194,LEN($A194)-FIND("'",$A194))),$A194),"'!B4"))&gt;=H$2,"d",IF(INDIRECT(_xlfn.CONCAT("'",IF(ISNUMBER(FIND("'",$A194))=TRUE,_xlfn.CONCAT(LEFT($A194,FIND("'",$A194)-1),"''",RIGHT($A194,LEN($A194)-FIND("'",$A194))),$A194),"'!B5"))&gt;=H$2,"i",""))</f>
        <v>d</v>
      </c>
      <c r="I194" s="44" t="str" cm="1">
        <f t="array" aca="1" ref="I194" ca="1">IF(INDIRECT(_xlfn.CONCAT("'",IF(ISNUMBER(FIND("'",$A194))=TRUE,_xlfn.CONCAT(LEFT($A194,FIND("'",$A194)-1),"''",RIGHT($A194,LEN($A194)-FIND("'",$A194))),$A194),"'!B4"))&gt;=I$2,"d",IF(INDIRECT(_xlfn.CONCAT("'",IF(ISNUMBER(FIND("'",$A194))=TRUE,_xlfn.CONCAT(LEFT($A194,FIND("'",$A194)-1),"''",RIGHT($A194,LEN($A194)-FIND("'",$A194))),$A194),"'!B5"))&gt;=I$2,"i",""))</f>
        <v>d</v>
      </c>
      <c r="J194" s="44" t="str" cm="1">
        <f t="array" aca="1" ref="J194" ca="1">IF(INDIRECT(_xlfn.CONCAT("'",IF(ISNUMBER(FIND("'",$A194))=TRUE,_xlfn.CONCAT(LEFT($A194,FIND("'",$A194)-1),"''",RIGHT($A194,LEN($A194)-FIND("'",$A194))),$A194),"'!B4"))&gt;=J$2,"d",IF(INDIRECT(_xlfn.CONCAT("'",IF(ISNUMBER(FIND("'",$A194))=TRUE,_xlfn.CONCAT(LEFT($A194,FIND("'",$A194)-1),"''",RIGHT($A194,LEN($A194)-FIND("'",$A194))),$A194),"'!B5"))&gt;=J$2,"i",""))</f>
        <v>d</v>
      </c>
      <c r="K194" s="44" t="str" cm="1">
        <f t="array" aca="1" ref="K194" ca="1">IF(INDIRECT(_xlfn.CONCAT("'",IF(ISNUMBER(FIND("'",$A194))=TRUE,_xlfn.CONCAT(LEFT($A194,FIND("'",$A194)-1),"''",RIGHT($A194,LEN($A194)-FIND("'",$A194))),$A194),"'!B4"))&gt;=K$2,"d",IF(INDIRECT(_xlfn.CONCAT("'",IF(ISNUMBER(FIND("'",$A194))=TRUE,_xlfn.CONCAT(LEFT($A194,FIND("'",$A194)-1),"''",RIGHT($A194,LEN($A194)-FIND("'",$A194))),$A194),"'!B5"))&gt;=K$2,"i",""))</f>
        <v>d</v>
      </c>
      <c r="L194" s="44" t="str" cm="1">
        <f t="array" aca="1" ref="L194" ca="1">IF(INDIRECT(_xlfn.CONCAT("'",IF(ISNUMBER(FIND("'",$A194))=TRUE,_xlfn.CONCAT(LEFT($A194,FIND("'",$A194)-1),"''",RIGHT($A194,LEN($A194)-FIND("'",$A194))),$A194),"'!B4"))&gt;=L$2,"d",IF(INDIRECT(_xlfn.CONCAT("'",IF(ISNUMBER(FIND("'",$A194))=TRUE,_xlfn.CONCAT(LEFT($A194,FIND("'",$A194)-1),"''",RIGHT($A194,LEN($A194)-FIND("'",$A194))),$A194),"'!B5"))&gt;=L$2,"i",""))</f>
        <v>d</v>
      </c>
      <c r="M194" s="45" t="str" cm="1">
        <f t="array" aca="1" ref="M194" ca="1">IF(INDIRECT(_xlfn.CONCAT("'",IF(ISNUMBER(FIND("'",$A194))=TRUE,_xlfn.CONCAT(LEFT($A194,FIND("'",$A194)-1),"''",RIGHT($A194,LEN($A194)-FIND("'",$A194))),$A194),"'!B4"))&gt;=M$2,"d",IF(INDIRECT(_xlfn.CONCAT("'",IF(ISNUMBER(FIND("'",$A194))=TRUE,_xlfn.CONCAT(LEFT($A194,FIND("'",$A194)-1),"''",RIGHT($A194,LEN($A194)-FIND("'",$A194))),$A194),"'!B5"))&gt;=M$2,"i",""))</f>
        <v>d</v>
      </c>
      <c r="N194" s="157"/>
      <c r="O194" s="19" t="str" cm="1">
        <f t="array" aca="1" ref="O194" ca="1">IF(INDIRECT(_xlfn.CONCAT("'",IF(ISNUMBER(FIND("'",$A194))=TRUE,_xlfn.CONCAT(LEFT($A194,FIND("'",$A194)-1),"''",RIGHT($A194,LEN($A194)-FIND("'",$A194))),$A194),"'!C10"))&gt;=O$2,"d",IF(INDIRECT(_xlfn.CONCAT("'",IF(ISNUMBER(FIND("'",$A194))=TRUE,_xlfn.CONCAT(LEFT($A194,FIND("'",$A194)-1),"''",RIGHT($A194,LEN($A194)-FIND("'",$A194))),$A194),"'!C11"))&gt;=O$2,"i",""))</f>
        <v>d</v>
      </c>
      <c r="P194" s="44" t="str" cm="1">
        <f t="array" aca="1" ref="P194" ca="1">IF(INDIRECT(_xlfn.CONCAT("'",IF(ISNUMBER(FIND("'",$A194))=TRUE,_xlfn.CONCAT(LEFT($A194,FIND("'",$A194)-1),"''",RIGHT($A194,LEN($A194)-FIND("'",$A194))),$A194),"'!C10"))&gt;=P$2,"d",IF(INDIRECT(_xlfn.CONCAT("'",IF(ISNUMBER(FIND("'",$A194))=TRUE,_xlfn.CONCAT(LEFT($A194,FIND("'",$A194)-1),"''",RIGHT($A194,LEN($A194)-FIND("'",$A194))),$A194),"'!C11"))&gt;=P$2,"i",""))</f>
        <v>d</v>
      </c>
      <c r="Q194" s="44" t="str" cm="1">
        <f t="array" aca="1" ref="Q194" ca="1">IF(INDIRECT(_xlfn.CONCAT("'",IF(ISNUMBER(FIND("'",$A194))=TRUE,_xlfn.CONCAT(LEFT($A194,FIND("'",$A194)-1),"''",RIGHT($A194,LEN($A194)-FIND("'",$A194))),$A194),"'!C10"))&gt;=Q$2,"d",IF(INDIRECT(_xlfn.CONCAT("'",IF(ISNUMBER(FIND("'",$A194))=TRUE,_xlfn.CONCAT(LEFT($A194,FIND("'",$A194)-1),"''",RIGHT($A194,LEN($A194)-FIND("'",$A194))),$A194),"'!C11"))&gt;=Q$2,"i",""))</f>
        <v>d</v>
      </c>
      <c r="R194" s="44" t="str" cm="1">
        <f t="array" aca="1" ref="R194" ca="1">IF(INDIRECT(_xlfn.CONCAT("'",IF(ISNUMBER(FIND("'",$A194))=TRUE,_xlfn.CONCAT(LEFT($A194,FIND("'",$A194)-1),"''",RIGHT($A194,LEN($A194)-FIND("'",$A194))),$A194),"'!C10"))&gt;=R$2,"d",IF(INDIRECT(_xlfn.CONCAT("'",IF(ISNUMBER(FIND("'",$A194))=TRUE,_xlfn.CONCAT(LEFT($A194,FIND("'",$A194)-1),"''",RIGHT($A194,LEN($A194)-FIND("'",$A194))),$A194),"'!C11"))&gt;=R$2,"i",""))</f>
        <v>d</v>
      </c>
      <c r="S194" s="44" t="str" cm="1">
        <f t="array" aca="1" ref="S194" ca="1">IF(INDIRECT(_xlfn.CONCAT("'",IF(ISNUMBER(FIND("'",$A194))=TRUE,_xlfn.CONCAT(LEFT($A194,FIND("'",$A194)-1),"''",RIGHT($A194,LEN($A194)-FIND("'",$A194))),$A194),"'!C10"))&gt;=S$2,"d",IF(INDIRECT(_xlfn.CONCAT("'",IF(ISNUMBER(FIND("'",$A194))=TRUE,_xlfn.CONCAT(LEFT($A194,FIND("'",$A194)-1),"''",RIGHT($A194,LEN($A194)-FIND("'",$A194))),$A194),"'!C11"))&gt;=S$2,"i",""))</f>
        <v>d</v>
      </c>
      <c r="T194" s="45" t="str" cm="1">
        <f t="array" aca="1" ref="T194" ca="1">IF(INDIRECT(_xlfn.CONCAT("'",IF(ISNUMBER(FIND("'",$A194))=TRUE,_xlfn.CONCAT(LEFT($A194,FIND("'",$A194)-1),"''",RIGHT($A194,LEN($A194)-FIND("'",$A194))),$A194),"'!C10"))&gt;=T$2,"d",IF(INDIRECT(_xlfn.CONCAT("'",IF(ISNUMBER(FIND("'",$A194))=TRUE,_xlfn.CONCAT(LEFT($A194,FIND("'",$A194)-1),"''",RIGHT($A194,LEN($A194)-FIND("'",$A194))),$A194),"'!C11"))&gt;=T$2,"i",""))</f>
        <v>d</v>
      </c>
    </row>
    <row r="195" spans="1:20" hidden="1" x14ac:dyDescent="0.25">
      <c r="A195" s="135" t="str">
        <v>Sturdy Bone</v>
      </c>
      <c r="B195" s="19" cm="1">
        <f t="array" ref="B195">_xlfn.XLOOKUP(A195,INDEX(Weapon_List,,1),INDEX(Weapon_List,,3),,0,1)</f>
        <v>4</v>
      </c>
      <c r="C195" s="45" t="str" cm="1">
        <f t="array" ref="C195">_xlfn.XLOOKUP(A195,INDEX(Weapon_List,,1),INDEX(Weapon_List,,2),,0,1)</f>
        <v>Sword</v>
      </c>
      <c r="D195" s="38" t="str" cm="1">
        <f t="array" ref="D195">_xlfn.XLOOKUP(A195,INDEX(Weapon_List,,1),INDEX(Weapon_List,,4),,0,1)</f>
        <v>Natlan 1</v>
      </c>
      <c r="E195" s="38" t="str" cm="1">
        <f t="array" ref="E195">_xlfn.XLOOKUP(A195,INDEX(Weapon_List,,1),INDEX(Weapon_List,,5),,0,1)</f>
        <v>Sauroform Tribal Warrior</v>
      </c>
      <c r="F195" s="38" t="str" cm="1">
        <f t="array" ref="F195">_xlfn.XLOOKUP(A195,INDEX(Weapon_List,,1),INDEX(Weapon_List,,6),,0,1)</f>
        <v>Wayob Manifestation</v>
      </c>
      <c r="G195" s="19" t="str" cm="1">
        <f t="array" aca="1" ref="G195" ca="1">IF(INDIRECT(_xlfn.CONCAT("'",IF(ISNUMBER(FIND("'",$A195))=TRUE,_xlfn.CONCAT(LEFT($A195,FIND("'",$A195)-1),"''",RIGHT($A195,LEN($A195)-FIND("'",$A195))),$A195),"'!B4"))&gt;=G$2,"d",IF(INDIRECT(_xlfn.CONCAT("'",IF(ISNUMBER(FIND("'",$A195))=TRUE,_xlfn.CONCAT(LEFT($A195,FIND("'",$A195)-1),"''",RIGHT($A195,LEN($A195)-FIND("'",$A195))),$A195),"'!B5"))&gt;=G$2,"i",""))</f>
        <v>d</v>
      </c>
      <c r="H195" s="44" t="str" cm="1">
        <f t="array" aca="1" ref="H195" ca="1">IF(INDIRECT(_xlfn.CONCAT("'",IF(ISNUMBER(FIND("'",$A195))=TRUE,_xlfn.CONCAT(LEFT($A195,FIND("'",$A195)-1),"''",RIGHT($A195,LEN($A195)-FIND("'",$A195))),$A195),"'!B4"))&gt;=H$2,"d",IF(INDIRECT(_xlfn.CONCAT("'",IF(ISNUMBER(FIND("'",$A195))=TRUE,_xlfn.CONCAT(LEFT($A195,FIND("'",$A195)-1),"''",RIGHT($A195,LEN($A195)-FIND("'",$A195))),$A195),"'!B5"))&gt;=H$2,"i",""))</f>
        <v>d</v>
      </c>
      <c r="I195" s="44" t="str" cm="1">
        <f t="array" aca="1" ref="I195" ca="1">IF(INDIRECT(_xlfn.CONCAT("'",IF(ISNUMBER(FIND("'",$A195))=TRUE,_xlfn.CONCAT(LEFT($A195,FIND("'",$A195)-1),"''",RIGHT($A195,LEN($A195)-FIND("'",$A195))),$A195),"'!B4"))&gt;=I$2,"d",IF(INDIRECT(_xlfn.CONCAT("'",IF(ISNUMBER(FIND("'",$A195))=TRUE,_xlfn.CONCAT(LEFT($A195,FIND("'",$A195)-1),"''",RIGHT($A195,LEN($A195)-FIND("'",$A195))),$A195),"'!B5"))&gt;=I$2,"i",""))</f>
        <v>d</v>
      </c>
      <c r="J195" s="44" t="str" cm="1">
        <f t="array" aca="1" ref="J195" ca="1">IF(INDIRECT(_xlfn.CONCAT("'",IF(ISNUMBER(FIND("'",$A195))=TRUE,_xlfn.CONCAT(LEFT($A195,FIND("'",$A195)-1),"''",RIGHT($A195,LEN($A195)-FIND("'",$A195))),$A195),"'!B4"))&gt;=J$2,"d",IF(INDIRECT(_xlfn.CONCAT("'",IF(ISNUMBER(FIND("'",$A195))=TRUE,_xlfn.CONCAT(LEFT($A195,FIND("'",$A195)-1),"''",RIGHT($A195,LEN($A195)-FIND("'",$A195))),$A195),"'!B5"))&gt;=J$2,"i",""))</f>
        <v>d</v>
      </c>
      <c r="K195" s="44" t="str" cm="1">
        <f t="array" aca="1" ref="K195" ca="1">IF(INDIRECT(_xlfn.CONCAT("'",IF(ISNUMBER(FIND("'",$A195))=TRUE,_xlfn.CONCAT(LEFT($A195,FIND("'",$A195)-1),"''",RIGHT($A195,LEN($A195)-FIND("'",$A195))),$A195),"'!B4"))&gt;=K$2,"d",IF(INDIRECT(_xlfn.CONCAT("'",IF(ISNUMBER(FIND("'",$A195))=TRUE,_xlfn.CONCAT(LEFT($A195,FIND("'",$A195)-1),"''",RIGHT($A195,LEN($A195)-FIND("'",$A195))),$A195),"'!B5"))&gt;=K$2,"i",""))</f>
        <v>d</v>
      </c>
      <c r="L195" s="44" t="str" cm="1">
        <f t="array" aca="1" ref="L195" ca="1">IF(INDIRECT(_xlfn.CONCAT("'",IF(ISNUMBER(FIND("'",$A195))=TRUE,_xlfn.CONCAT(LEFT($A195,FIND("'",$A195)-1),"''",RIGHT($A195,LEN($A195)-FIND("'",$A195))),$A195),"'!B4"))&gt;=L$2,"d",IF(INDIRECT(_xlfn.CONCAT("'",IF(ISNUMBER(FIND("'",$A195))=TRUE,_xlfn.CONCAT(LEFT($A195,FIND("'",$A195)-1),"''",RIGHT($A195,LEN($A195)-FIND("'",$A195))),$A195),"'!B5"))&gt;=L$2,"i",""))</f>
        <v>d</v>
      </c>
      <c r="M195" s="45" t="str" cm="1">
        <f t="array" aca="1" ref="M195" ca="1">IF(INDIRECT(_xlfn.CONCAT("'",IF(ISNUMBER(FIND("'",$A195))=TRUE,_xlfn.CONCAT(LEFT($A195,FIND("'",$A195)-1),"''",RIGHT($A195,LEN($A195)-FIND("'",$A195))),$A195),"'!B4"))&gt;=M$2,"d",IF(INDIRECT(_xlfn.CONCAT("'",IF(ISNUMBER(FIND("'",$A195))=TRUE,_xlfn.CONCAT(LEFT($A195,FIND("'",$A195)-1),"''",RIGHT($A195,LEN($A195)-FIND("'",$A195))),$A195),"'!B5"))&gt;=M$2,"i",""))</f>
        <v>d</v>
      </c>
      <c r="N195" s="157"/>
      <c r="O195" s="19" t="str" cm="1">
        <f t="array" aca="1" ref="O195" ca="1">IF(INDIRECT(_xlfn.CONCAT("'",IF(ISNUMBER(FIND("'",$A195))=TRUE,_xlfn.CONCAT(LEFT($A195,FIND("'",$A195)-1),"''",RIGHT($A195,LEN($A195)-FIND("'",$A195))),$A195),"'!C10"))&gt;=O$2,"d",IF(INDIRECT(_xlfn.CONCAT("'",IF(ISNUMBER(FIND("'",$A195))=TRUE,_xlfn.CONCAT(LEFT($A195,FIND("'",$A195)-1),"''",RIGHT($A195,LEN($A195)-FIND("'",$A195))),$A195),"'!C11"))&gt;=O$2,"i",""))</f>
        <v>d</v>
      </c>
      <c r="P195" s="44" t="str" cm="1">
        <f t="array" aca="1" ref="P195" ca="1">IF(INDIRECT(_xlfn.CONCAT("'",IF(ISNUMBER(FIND("'",$A195))=TRUE,_xlfn.CONCAT(LEFT($A195,FIND("'",$A195)-1),"''",RIGHT($A195,LEN($A195)-FIND("'",$A195))),$A195),"'!C10"))&gt;=P$2,"d",IF(INDIRECT(_xlfn.CONCAT("'",IF(ISNUMBER(FIND("'",$A195))=TRUE,_xlfn.CONCAT(LEFT($A195,FIND("'",$A195)-1),"''",RIGHT($A195,LEN($A195)-FIND("'",$A195))),$A195),"'!C11"))&gt;=P$2,"i",""))</f>
        <v>d</v>
      </c>
      <c r="Q195" s="44" t="str" cm="1">
        <f t="array" aca="1" ref="Q195" ca="1">IF(INDIRECT(_xlfn.CONCAT("'",IF(ISNUMBER(FIND("'",$A195))=TRUE,_xlfn.CONCAT(LEFT($A195,FIND("'",$A195)-1),"''",RIGHT($A195,LEN($A195)-FIND("'",$A195))),$A195),"'!C10"))&gt;=Q$2,"d",IF(INDIRECT(_xlfn.CONCAT("'",IF(ISNUMBER(FIND("'",$A195))=TRUE,_xlfn.CONCAT(LEFT($A195,FIND("'",$A195)-1),"''",RIGHT($A195,LEN($A195)-FIND("'",$A195))),$A195),"'!C11"))&gt;=Q$2,"i",""))</f>
        <v>d</v>
      </c>
      <c r="R195" s="44" t="str" cm="1">
        <f t="array" aca="1" ref="R195" ca="1">IF(INDIRECT(_xlfn.CONCAT("'",IF(ISNUMBER(FIND("'",$A195))=TRUE,_xlfn.CONCAT(LEFT($A195,FIND("'",$A195)-1),"''",RIGHT($A195,LEN($A195)-FIND("'",$A195))),$A195),"'!C10"))&gt;=R$2,"d",IF(INDIRECT(_xlfn.CONCAT("'",IF(ISNUMBER(FIND("'",$A195))=TRUE,_xlfn.CONCAT(LEFT($A195,FIND("'",$A195)-1),"''",RIGHT($A195,LEN($A195)-FIND("'",$A195))),$A195),"'!C11"))&gt;=R$2,"i",""))</f>
        <v>d</v>
      </c>
      <c r="S195" s="44" t="str" cm="1">
        <f t="array" aca="1" ref="S195" ca="1">IF(INDIRECT(_xlfn.CONCAT("'",IF(ISNUMBER(FIND("'",$A195))=TRUE,_xlfn.CONCAT(LEFT($A195,FIND("'",$A195)-1),"''",RIGHT($A195,LEN($A195)-FIND("'",$A195))),$A195),"'!C10"))&gt;=S$2,"d",IF(INDIRECT(_xlfn.CONCAT("'",IF(ISNUMBER(FIND("'",$A195))=TRUE,_xlfn.CONCAT(LEFT($A195,FIND("'",$A195)-1),"''",RIGHT($A195,LEN($A195)-FIND("'",$A195))),$A195),"'!C11"))&gt;=S$2,"i",""))</f>
        <v>d</v>
      </c>
      <c r="T195" s="45" t="str" cm="1">
        <f t="array" aca="1" ref="T195" ca="1">IF(INDIRECT(_xlfn.CONCAT("'",IF(ISNUMBER(FIND("'",$A195))=TRUE,_xlfn.CONCAT(LEFT($A195,FIND("'",$A195)-1),"''",RIGHT($A195,LEN($A195)-FIND("'",$A195))),$A195),"'!C10"))&gt;=T$2,"d",IF(INDIRECT(_xlfn.CONCAT("'",IF(ISNUMBER(FIND("'",$A195))=TRUE,_xlfn.CONCAT(LEFT($A195,FIND("'",$A195)-1),"''",RIGHT($A195,LEN($A195)-FIND("'",$A195))),$A195),"'!C11"))&gt;=T$2,"i",""))</f>
        <v>d</v>
      </c>
    </row>
    <row r="196" spans="1:20" hidden="1" x14ac:dyDescent="0.25">
      <c r="A196" s="135" t="str">
        <v>Peak Patrol Song</v>
      </c>
      <c r="B196" s="19" cm="1">
        <f t="array" ref="B196">_xlfn.XLOOKUP(A196,INDEX(Weapon_List,,1),INDEX(Weapon_List,,3),,0,1)</f>
        <v>5</v>
      </c>
      <c r="C196" s="45" t="str" cm="1">
        <f t="array" ref="C196">_xlfn.XLOOKUP(A196,INDEX(Weapon_List,,1),INDEX(Weapon_List,,2),,0,1)</f>
        <v>Sword</v>
      </c>
      <c r="D196" s="38" t="str" cm="1">
        <f t="array" ref="D196">_xlfn.XLOOKUP(A196,INDEX(Weapon_List,,1),INDEX(Weapon_List,,4),,0,1)</f>
        <v>Natlan 3</v>
      </c>
      <c r="E196" s="38" t="str" cm="1">
        <f t="array" ref="E196">_xlfn.XLOOKUP(A196,INDEX(Weapon_List,,1),INDEX(Weapon_List,,5),,0,1)</f>
        <v>Saurian</v>
      </c>
      <c r="F196" s="38" t="str" cm="1">
        <f t="array" ref="F196">_xlfn.XLOOKUP(A196,INDEX(Weapon_List,,1),INDEX(Weapon_List,,6),,0,1)</f>
        <v>Secret Source Automaton</v>
      </c>
      <c r="G196" s="19" t="str" cm="1">
        <f t="array" aca="1" ref="G196" ca="1">IF(INDIRECT(_xlfn.CONCAT("'",IF(ISNUMBER(FIND("'",$A196))=TRUE,_xlfn.CONCAT(LEFT($A196,FIND("'",$A196)-1),"''",RIGHT($A196,LEN($A196)-FIND("'",$A196))),$A196),"'!B4"))&gt;=G$2,"d",IF(INDIRECT(_xlfn.CONCAT("'",IF(ISNUMBER(FIND("'",$A196))=TRUE,_xlfn.CONCAT(LEFT($A196,FIND("'",$A196)-1),"''",RIGHT($A196,LEN($A196)-FIND("'",$A196))),$A196),"'!B5"))&gt;=G$2,"i",""))</f>
        <v>d</v>
      </c>
      <c r="H196" s="44" t="str" cm="1">
        <f t="array" aca="1" ref="H196" ca="1">IF(INDIRECT(_xlfn.CONCAT("'",IF(ISNUMBER(FIND("'",$A196))=TRUE,_xlfn.CONCAT(LEFT($A196,FIND("'",$A196)-1),"''",RIGHT($A196,LEN($A196)-FIND("'",$A196))),$A196),"'!B4"))&gt;=H$2,"d",IF(INDIRECT(_xlfn.CONCAT("'",IF(ISNUMBER(FIND("'",$A196))=TRUE,_xlfn.CONCAT(LEFT($A196,FIND("'",$A196)-1),"''",RIGHT($A196,LEN($A196)-FIND("'",$A196))),$A196),"'!B5"))&gt;=H$2,"i",""))</f>
        <v>d</v>
      </c>
      <c r="I196" s="44" t="str" cm="1">
        <f t="array" aca="1" ref="I196" ca="1">IF(INDIRECT(_xlfn.CONCAT("'",IF(ISNUMBER(FIND("'",$A196))=TRUE,_xlfn.CONCAT(LEFT($A196,FIND("'",$A196)-1),"''",RIGHT($A196,LEN($A196)-FIND("'",$A196))),$A196),"'!B4"))&gt;=I$2,"d",IF(INDIRECT(_xlfn.CONCAT("'",IF(ISNUMBER(FIND("'",$A196))=TRUE,_xlfn.CONCAT(LEFT($A196,FIND("'",$A196)-1),"''",RIGHT($A196,LEN($A196)-FIND("'",$A196))),$A196),"'!B5"))&gt;=I$2,"i",""))</f>
        <v>d</v>
      </c>
      <c r="J196" s="44" t="str" cm="1">
        <f t="array" aca="1" ref="J196" ca="1">IF(INDIRECT(_xlfn.CONCAT("'",IF(ISNUMBER(FIND("'",$A196))=TRUE,_xlfn.CONCAT(LEFT($A196,FIND("'",$A196)-1),"''",RIGHT($A196,LEN($A196)-FIND("'",$A196))),$A196),"'!B4"))&gt;=J$2,"d",IF(INDIRECT(_xlfn.CONCAT("'",IF(ISNUMBER(FIND("'",$A196))=TRUE,_xlfn.CONCAT(LEFT($A196,FIND("'",$A196)-1),"''",RIGHT($A196,LEN($A196)-FIND("'",$A196))),$A196),"'!B5"))&gt;=J$2,"i",""))</f>
        <v>d</v>
      </c>
      <c r="K196" s="44" t="str" cm="1">
        <f t="array" aca="1" ref="K196" ca="1">IF(INDIRECT(_xlfn.CONCAT("'",IF(ISNUMBER(FIND("'",$A196))=TRUE,_xlfn.CONCAT(LEFT($A196,FIND("'",$A196)-1),"''",RIGHT($A196,LEN($A196)-FIND("'",$A196))),$A196),"'!B4"))&gt;=K$2,"d",IF(INDIRECT(_xlfn.CONCAT("'",IF(ISNUMBER(FIND("'",$A196))=TRUE,_xlfn.CONCAT(LEFT($A196,FIND("'",$A196)-1),"''",RIGHT($A196,LEN($A196)-FIND("'",$A196))),$A196),"'!B5"))&gt;=K$2,"i",""))</f>
        <v>d</v>
      </c>
      <c r="L196" s="44" t="str" cm="1">
        <f t="array" aca="1" ref="L196" ca="1">IF(INDIRECT(_xlfn.CONCAT("'",IF(ISNUMBER(FIND("'",$A196))=TRUE,_xlfn.CONCAT(LEFT($A196,FIND("'",$A196)-1),"''",RIGHT($A196,LEN($A196)-FIND("'",$A196))),$A196),"'!B4"))&gt;=L$2,"d",IF(INDIRECT(_xlfn.CONCAT("'",IF(ISNUMBER(FIND("'",$A196))=TRUE,_xlfn.CONCAT(LEFT($A196,FIND("'",$A196)-1),"''",RIGHT($A196,LEN($A196)-FIND("'",$A196))),$A196),"'!B5"))&gt;=L$2,"i",""))</f>
        <v>d</v>
      </c>
      <c r="M196" s="45" t="str" cm="1">
        <f t="array" aca="1" ref="M196" ca="1">IF(INDIRECT(_xlfn.CONCAT("'",IF(ISNUMBER(FIND("'",$A196))=TRUE,_xlfn.CONCAT(LEFT($A196,FIND("'",$A196)-1),"''",RIGHT($A196,LEN($A196)-FIND("'",$A196))),$A196),"'!B4"))&gt;=M$2,"d",IF(INDIRECT(_xlfn.CONCAT("'",IF(ISNUMBER(FIND("'",$A196))=TRUE,_xlfn.CONCAT(LEFT($A196,FIND("'",$A196)-1),"''",RIGHT($A196,LEN($A196)-FIND("'",$A196))),$A196),"'!B5"))&gt;=M$2,"i",""))</f>
        <v>d</v>
      </c>
      <c r="N196" s="157"/>
      <c r="O196" s="19" t="str" cm="1">
        <f t="array" aca="1" ref="O196" ca="1">IF(INDIRECT(_xlfn.CONCAT("'",IF(ISNUMBER(FIND("'",$A196))=TRUE,_xlfn.CONCAT(LEFT($A196,FIND("'",$A196)-1),"''",RIGHT($A196,LEN($A196)-FIND("'",$A196))),$A196),"'!C10"))&gt;=O$2,"d",IF(INDIRECT(_xlfn.CONCAT("'",IF(ISNUMBER(FIND("'",$A196))=TRUE,_xlfn.CONCAT(LEFT($A196,FIND("'",$A196)-1),"''",RIGHT($A196,LEN($A196)-FIND("'",$A196))),$A196),"'!C11"))&gt;=O$2,"i",""))</f>
        <v>d</v>
      </c>
      <c r="P196" s="44" t="str" cm="1">
        <f t="array" aca="1" ref="P196" ca="1">IF(INDIRECT(_xlfn.CONCAT("'",IF(ISNUMBER(FIND("'",$A196))=TRUE,_xlfn.CONCAT(LEFT($A196,FIND("'",$A196)-1),"''",RIGHT($A196,LEN($A196)-FIND("'",$A196))),$A196),"'!C10"))&gt;=P$2,"d",IF(INDIRECT(_xlfn.CONCAT("'",IF(ISNUMBER(FIND("'",$A196))=TRUE,_xlfn.CONCAT(LEFT($A196,FIND("'",$A196)-1),"''",RIGHT($A196,LEN($A196)-FIND("'",$A196))),$A196),"'!C11"))&gt;=P$2,"i",""))</f>
        <v>d</v>
      </c>
      <c r="Q196" s="44" t="str" cm="1">
        <f t="array" aca="1" ref="Q196" ca="1">IF(INDIRECT(_xlfn.CONCAT("'",IF(ISNUMBER(FIND("'",$A196))=TRUE,_xlfn.CONCAT(LEFT($A196,FIND("'",$A196)-1),"''",RIGHT($A196,LEN($A196)-FIND("'",$A196))),$A196),"'!C10"))&gt;=Q$2,"d",IF(INDIRECT(_xlfn.CONCAT("'",IF(ISNUMBER(FIND("'",$A196))=TRUE,_xlfn.CONCAT(LEFT($A196,FIND("'",$A196)-1),"''",RIGHT($A196,LEN($A196)-FIND("'",$A196))),$A196),"'!C11"))&gt;=Q$2,"i",""))</f>
        <v>d</v>
      </c>
      <c r="R196" s="44" t="str" cm="1">
        <f t="array" aca="1" ref="R196" ca="1">IF(INDIRECT(_xlfn.CONCAT("'",IF(ISNUMBER(FIND("'",$A196))=TRUE,_xlfn.CONCAT(LEFT($A196,FIND("'",$A196)-1),"''",RIGHT($A196,LEN($A196)-FIND("'",$A196))),$A196),"'!C10"))&gt;=R$2,"d",IF(INDIRECT(_xlfn.CONCAT("'",IF(ISNUMBER(FIND("'",$A196))=TRUE,_xlfn.CONCAT(LEFT($A196,FIND("'",$A196)-1),"''",RIGHT($A196,LEN($A196)-FIND("'",$A196))),$A196),"'!C11"))&gt;=R$2,"i",""))</f>
        <v>d</v>
      </c>
      <c r="S196" s="44" t="str" cm="1">
        <f t="array" aca="1" ref="S196" ca="1">IF(INDIRECT(_xlfn.CONCAT("'",IF(ISNUMBER(FIND("'",$A196))=TRUE,_xlfn.CONCAT(LEFT($A196,FIND("'",$A196)-1),"''",RIGHT($A196,LEN($A196)-FIND("'",$A196))),$A196),"'!C10"))&gt;=S$2,"d",IF(INDIRECT(_xlfn.CONCAT("'",IF(ISNUMBER(FIND("'",$A196))=TRUE,_xlfn.CONCAT(LEFT($A196,FIND("'",$A196)-1),"''",RIGHT($A196,LEN($A196)-FIND("'",$A196))),$A196),"'!C11"))&gt;=S$2,"i",""))</f>
        <v>d</v>
      </c>
      <c r="T196" s="45" t="str" cm="1">
        <f t="array" aca="1" ref="T196" ca="1">IF(INDIRECT(_xlfn.CONCAT("'",IF(ISNUMBER(FIND("'",$A196))=TRUE,_xlfn.CONCAT(LEFT($A196,FIND("'",$A196)-1),"''",RIGHT($A196,LEN($A196)-FIND("'",$A196))),$A196),"'!C10"))&gt;=T$2,"d",IF(INDIRECT(_xlfn.CONCAT("'",IF(ISNUMBER(FIND("'",$A196))=TRUE,_xlfn.CONCAT(LEFT($A196,FIND("'",$A196)-1),"''",RIGHT($A196,LEN($A196)-FIND("'",$A196))),$A196),"'!C11"))&gt;=T$2,"i",""))</f>
        <v>d</v>
      </c>
    </row>
    <row r="197" spans="1:20" hidden="1" x14ac:dyDescent="0.25">
      <c r="A197" s="135" t="str">
        <v>Mountain-Bracing Bolt</v>
      </c>
      <c r="B197" s="19" cm="1">
        <f t="array" ref="B197">_xlfn.XLOOKUP(A197,INDEX(Weapon_List,,1),INDEX(Weapon_List,,3),,0,1)</f>
        <v>4</v>
      </c>
      <c r="C197" s="45" t="str" cm="1">
        <f t="array" ref="C197">_xlfn.XLOOKUP(A197,INDEX(Weapon_List,,1),INDEX(Weapon_List,,2),,0,1)</f>
        <v>Polearm</v>
      </c>
      <c r="D197" s="38" t="str" cm="1">
        <f t="array" ref="D197">_xlfn.XLOOKUP(A197,INDEX(Weapon_List,,1),INDEX(Weapon_List,,4),,0,1)</f>
        <v>Natlan 2</v>
      </c>
      <c r="E197" s="38" t="str" cm="1">
        <f t="array" ref="E197">_xlfn.XLOOKUP(A197,INDEX(Weapon_List,,1),INDEX(Weapon_List,,5),,0,1)</f>
        <v>Whopperflower</v>
      </c>
      <c r="F197" s="38" t="str" cm="1">
        <f t="array" ref="F197">_xlfn.XLOOKUP(A197,INDEX(Weapon_List,,1),INDEX(Weapon_List,,6),,0,1)</f>
        <v>Avatar of Lava</v>
      </c>
      <c r="G197" s="19" t="str" cm="1">
        <f t="array" aca="1" ref="G197" ca="1">IF(INDIRECT(_xlfn.CONCAT("'",IF(ISNUMBER(FIND("'",$A197))=TRUE,_xlfn.CONCAT(LEFT($A197,FIND("'",$A197)-1),"''",RIGHT($A197,LEN($A197)-FIND("'",$A197))),$A197),"'!B4"))&gt;=G$2,"d",IF(INDIRECT(_xlfn.CONCAT("'",IF(ISNUMBER(FIND("'",$A197))=TRUE,_xlfn.CONCAT(LEFT($A197,FIND("'",$A197)-1),"''",RIGHT($A197,LEN($A197)-FIND("'",$A197))),$A197),"'!B5"))&gt;=G$2,"i",""))</f>
        <v>d</v>
      </c>
      <c r="H197" s="44" t="str" cm="1">
        <f t="array" aca="1" ref="H197" ca="1">IF(INDIRECT(_xlfn.CONCAT("'",IF(ISNUMBER(FIND("'",$A197))=TRUE,_xlfn.CONCAT(LEFT($A197,FIND("'",$A197)-1),"''",RIGHT($A197,LEN($A197)-FIND("'",$A197))),$A197),"'!B4"))&gt;=H$2,"d",IF(INDIRECT(_xlfn.CONCAT("'",IF(ISNUMBER(FIND("'",$A197))=TRUE,_xlfn.CONCAT(LEFT($A197,FIND("'",$A197)-1),"''",RIGHT($A197,LEN($A197)-FIND("'",$A197))),$A197),"'!B5"))&gt;=H$2,"i",""))</f>
        <v>d</v>
      </c>
      <c r="I197" s="44" t="str" cm="1">
        <f t="array" aca="1" ref="I197" ca="1">IF(INDIRECT(_xlfn.CONCAT("'",IF(ISNUMBER(FIND("'",$A197))=TRUE,_xlfn.CONCAT(LEFT($A197,FIND("'",$A197)-1),"''",RIGHT($A197,LEN($A197)-FIND("'",$A197))),$A197),"'!B4"))&gt;=I$2,"d",IF(INDIRECT(_xlfn.CONCAT("'",IF(ISNUMBER(FIND("'",$A197))=TRUE,_xlfn.CONCAT(LEFT($A197,FIND("'",$A197)-1),"''",RIGHT($A197,LEN($A197)-FIND("'",$A197))),$A197),"'!B5"))&gt;=I$2,"i",""))</f>
        <v>d</v>
      </c>
      <c r="J197" s="44" t="str" cm="1">
        <f t="array" aca="1" ref="J197" ca="1">IF(INDIRECT(_xlfn.CONCAT("'",IF(ISNUMBER(FIND("'",$A197))=TRUE,_xlfn.CONCAT(LEFT($A197,FIND("'",$A197)-1),"''",RIGHT($A197,LEN($A197)-FIND("'",$A197))),$A197),"'!B4"))&gt;=J$2,"d",IF(INDIRECT(_xlfn.CONCAT("'",IF(ISNUMBER(FIND("'",$A197))=TRUE,_xlfn.CONCAT(LEFT($A197,FIND("'",$A197)-1),"''",RIGHT($A197,LEN($A197)-FIND("'",$A197))),$A197),"'!B5"))&gt;=J$2,"i",""))</f>
        <v>d</v>
      </c>
      <c r="K197" s="44" t="str" cm="1">
        <f t="array" aca="1" ref="K197" ca="1">IF(INDIRECT(_xlfn.CONCAT("'",IF(ISNUMBER(FIND("'",$A197))=TRUE,_xlfn.CONCAT(LEFT($A197,FIND("'",$A197)-1),"''",RIGHT($A197,LEN($A197)-FIND("'",$A197))),$A197),"'!B4"))&gt;=K$2,"d",IF(INDIRECT(_xlfn.CONCAT("'",IF(ISNUMBER(FIND("'",$A197))=TRUE,_xlfn.CONCAT(LEFT($A197,FIND("'",$A197)-1),"''",RIGHT($A197,LEN($A197)-FIND("'",$A197))),$A197),"'!B5"))&gt;=K$2,"i",""))</f>
        <v>d</v>
      </c>
      <c r="L197" s="44" t="str" cm="1">
        <f t="array" aca="1" ref="L197" ca="1">IF(INDIRECT(_xlfn.CONCAT("'",IF(ISNUMBER(FIND("'",$A197))=TRUE,_xlfn.CONCAT(LEFT($A197,FIND("'",$A197)-1),"''",RIGHT($A197,LEN($A197)-FIND("'",$A197))),$A197),"'!B4"))&gt;=L$2,"d",IF(INDIRECT(_xlfn.CONCAT("'",IF(ISNUMBER(FIND("'",$A197))=TRUE,_xlfn.CONCAT(LEFT($A197,FIND("'",$A197)-1),"''",RIGHT($A197,LEN($A197)-FIND("'",$A197))),$A197),"'!B5"))&gt;=L$2,"i",""))</f>
        <v>d</v>
      </c>
      <c r="M197" s="45" t="str" cm="1">
        <f t="array" aca="1" ref="M197" ca="1">IF(INDIRECT(_xlfn.CONCAT("'",IF(ISNUMBER(FIND("'",$A197))=TRUE,_xlfn.CONCAT(LEFT($A197,FIND("'",$A197)-1),"''",RIGHT($A197,LEN($A197)-FIND("'",$A197))),$A197),"'!B4"))&gt;=M$2,"d",IF(INDIRECT(_xlfn.CONCAT("'",IF(ISNUMBER(FIND("'",$A197))=TRUE,_xlfn.CONCAT(LEFT($A197,FIND("'",$A197)-1),"''",RIGHT($A197,LEN($A197)-FIND("'",$A197))),$A197),"'!B5"))&gt;=M$2,"i",""))</f>
        <v>d</v>
      </c>
      <c r="N197" s="157"/>
      <c r="O197" s="19" t="str" cm="1">
        <f t="array" aca="1" ref="O197" ca="1">IF(INDIRECT(_xlfn.CONCAT("'",IF(ISNUMBER(FIND("'",$A197))=TRUE,_xlfn.CONCAT(LEFT($A197,FIND("'",$A197)-1),"''",RIGHT($A197,LEN($A197)-FIND("'",$A197))),$A197),"'!C10"))&gt;=O$2,"d",IF(INDIRECT(_xlfn.CONCAT("'",IF(ISNUMBER(FIND("'",$A197))=TRUE,_xlfn.CONCAT(LEFT($A197,FIND("'",$A197)-1),"''",RIGHT($A197,LEN($A197)-FIND("'",$A197))),$A197),"'!C11"))&gt;=O$2,"i",""))</f>
        <v>d</v>
      </c>
      <c r="P197" s="44" t="str" cm="1">
        <f t="array" aca="1" ref="P197" ca="1">IF(INDIRECT(_xlfn.CONCAT("'",IF(ISNUMBER(FIND("'",$A197))=TRUE,_xlfn.CONCAT(LEFT($A197,FIND("'",$A197)-1),"''",RIGHT($A197,LEN($A197)-FIND("'",$A197))),$A197),"'!C10"))&gt;=P$2,"d",IF(INDIRECT(_xlfn.CONCAT("'",IF(ISNUMBER(FIND("'",$A197))=TRUE,_xlfn.CONCAT(LEFT($A197,FIND("'",$A197)-1),"''",RIGHT($A197,LEN($A197)-FIND("'",$A197))),$A197),"'!C11"))&gt;=P$2,"i",""))</f>
        <v>d</v>
      </c>
      <c r="Q197" s="44" t="str" cm="1">
        <f t="array" aca="1" ref="Q197" ca="1">IF(INDIRECT(_xlfn.CONCAT("'",IF(ISNUMBER(FIND("'",$A197))=TRUE,_xlfn.CONCAT(LEFT($A197,FIND("'",$A197)-1),"''",RIGHT($A197,LEN($A197)-FIND("'",$A197))),$A197),"'!C10"))&gt;=Q$2,"d",IF(INDIRECT(_xlfn.CONCAT("'",IF(ISNUMBER(FIND("'",$A197))=TRUE,_xlfn.CONCAT(LEFT($A197,FIND("'",$A197)-1),"''",RIGHT($A197,LEN($A197)-FIND("'",$A197))),$A197),"'!C11"))&gt;=Q$2,"i",""))</f>
        <v>d</v>
      </c>
      <c r="R197" s="44" t="str" cm="1">
        <f t="array" aca="1" ref="R197" ca="1">IF(INDIRECT(_xlfn.CONCAT("'",IF(ISNUMBER(FIND("'",$A197))=TRUE,_xlfn.CONCAT(LEFT($A197,FIND("'",$A197)-1),"''",RIGHT($A197,LEN($A197)-FIND("'",$A197))),$A197),"'!C10"))&gt;=R$2,"d",IF(INDIRECT(_xlfn.CONCAT("'",IF(ISNUMBER(FIND("'",$A197))=TRUE,_xlfn.CONCAT(LEFT($A197,FIND("'",$A197)-1),"''",RIGHT($A197,LEN($A197)-FIND("'",$A197))),$A197),"'!C11"))&gt;=R$2,"i",""))</f>
        <v>d</v>
      </c>
      <c r="S197" s="44" t="str" cm="1">
        <f t="array" aca="1" ref="S197" ca="1">IF(INDIRECT(_xlfn.CONCAT("'",IF(ISNUMBER(FIND("'",$A197))=TRUE,_xlfn.CONCAT(LEFT($A197,FIND("'",$A197)-1),"''",RIGHT($A197,LEN($A197)-FIND("'",$A197))),$A197),"'!C10"))&gt;=S$2,"d",IF(INDIRECT(_xlfn.CONCAT("'",IF(ISNUMBER(FIND("'",$A197))=TRUE,_xlfn.CONCAT(LEFT($A197,FIND("'",$A197)-1),"''",RIGHT($A197,LEN($A197)-FIND("'",$A197))),$A197),"'!C11"))&gt;=S$2,"i",""))</f>
        <v>d</v>
      </c>
      <c r="T197" s="45" t="str" cm="1">
        <f t="array" aca="1" ref="T197" ca="1">IF(INDIRECT(_xlfn.CONCAT("'",IF(ISNUMBER(FIND("'",$A197))=TRUE,_xlfn.CONCAT(LEFT($A197,FIND("'",$A197)-1),"''",RIGHT($A197,LEN($A197)-FIND("'",$A197))),$A197),"'!C10"))&gt;=T$2,"d",IF(INDIRECT(_xlfn.CONCAT("'",IF(ISNUMBER(FIND("'",$A197))=TRUE,_xlfn.CONCAT(LEFT($A197,FIND("'",$A197)-1),"''",RIGHT($A197,LEN($A197)-FIND("'",$A197))),$A197),"'!C11"))&gt;=T$2,"i",""))</f>
        <v>d</v>
      </c>
    </row>
    <row r="198" spans="1:20" hidden="1" x14ac:dyDescent="0.25">
      <c r="A198" s="135" t="str">
        <v>Fruitful Hook</v>
      </c>
      <c r="B198" s="19" cm="1">
        <f t="array" ref="B198">_xlfn.XLOOKUP(A198,INDEX(Weapon_List,,1),INDEX(Weapon_List,,3),,0,1)</f>
        <v>4</v>
      </c>
      <c r="C198" s="45" t="str" cm="1">
        <f t="array" ref="C198">_xlfn.XLOOKUP(A198,INDEX(Weapon_List,,1),INDEX(Weapon_List,,2),,0,1)</f>
        <v>Claymore</v>
      </c>
      <c r="D198" s="38" t="str" cm="1">
        <f t="array" ref="D198">_xlfn.XLOOKUP(A198,INDEX(Weapon_List,,1),INDEX(Weapon_List,,4),,0,1)</f>
        <v>Natlan 3</v>
      </c>
      <c r="E198" s="38" t="str" cm="1">
        <f t="array" ref="E198">_xlfn.XLOOKUP(A198,INDEX(Weapon_List,,1),INDEX(Weapon_List,,5),,0,1)</f>
        <v>Saurian</v>
      </c>
      <c r="F198" s="38" t="str" cm="1">
        <f t="array" ref="F198">_xlfn.XLOOKUP(A198,INDEX(Weapon_List,,1),INDEX(Weapon_List,,6),,0,1)</f>
        <v>Secret Source Automaton</v>
      </c>
      <c r="G198" s="19" t="str" cm="1">
        <f t="array" aca="1" ref="G198" ca="1">IF(INDIRECT(_xlfn.CONCAT("'",IF(ISNUMBER(FIND("'",$A198))=TRUE,_xlfn.CONCAT(LEFT($A198,FIND("'",$A198)-1),"''",RIGHT($A198,LEN($A198)-FIND("'",$A198))),$A198),"'!B4"))&gt;=G$2,"d",IF(INDIRECT(_xlfn.CONCAT("'",IF(ISNUMBER(FIND("'",$A198))=TRUE,_xlfn.CONCAT(LEFT($A198,FIND("'",$A198)-1),"''",RIGHT($A198,LEN($A198)-FIND("'",$A198))),$A198),"'!B5"))&gt;=G$2,"i",""))</f>
        <v>d</v>
      </c>
      <c r="H198" s="44" t="str" cm="1">
        <f t="array" aca="1" ref="H198" ca="1">IF(INDIRECT(_xlfn.CONCAT("'",IF(ISNUMBER(FIND("'",$A198))=TRUE,_xlfn.CONCAT(LEFT($A198,FIND("'",$A198)-1),"''",RIGHT($A198,LEN($A198)-FIND("'",$A198))),$A198),"'!B4"))&gt;=H$2,"d",IF(INDIRECT(_xlfn.CONCAT("'",IF(ISNUMBER(FIND("'",$A198))=TRUE,_xlfn.CONCAT(LEFT($A198,FIND("'",$A198)-1),"''",RIGHT($A198,LEN($A198)-FIND("'",$A198))),$A198),"'!B5"))&gt;=H$2,"i",""))</f>
        <v>d</v>
      </c>
      <c r="I198" s="44" t="str" cm="1">
        <f t="array" aca="1" ref="I198" ca="1">IF(INDIRECT(_xlfn.CONCAT("'",IF(ISNUMBER(FIND("'",$A198))=TRUE,_xlfn.CONCAT(LEFT($A198,FIND("'",$A198)-1),"''",RIGHT($A198,LEN($A198)-FIND("'",$A198))),$A198),"'!B4"))&gt;=I$2,"d",IF(INDIRECT(_xlfn.CONCAT("'",IF(ISNUMBER(FIND("'",$A198))=TRUE,_xlfn.CONCAT(LEFT($A198,FIND("'",$A198)-1),"''",RIGHT($A198,LEN($A198)-FIND("'",$A198))),$A198),"'!B5"))&gt;=I$2,"i",""))</f>
        <v>d</v>
      </c>
      <c r="J198" s="44" t="str" cm="1">
        <f t="array" aca="1" ref="J198" ca="1">IF(INDIRECT(_xlfn.CONCAT("'",IF(ISNUMBER(FIND("'",$A198))=TRUE,_xlfn.CONCAT(LEFT($A198,FIND("'",$A198)-1),"''",RIGHT($A198,LEN($A198)-FIND("'",$A198))),$A198),"'!B4"))&gt;=J$2,"d",IF(INDIRECT(_xlfn.CONCAT("'",IF(ISNUMBER(FIND("'",$A198))=TRUE,_xlfn.CONCAT(LEFT($A198,FIND("'",$A198)-1),"''",RIGHT($A198,LEN($A198)-FIND("'",$A198))),$A198),"'!B5"))&gt;=J$2,"i",""))</f>
        <v>d</v>
      </c>
      <c r="K198" s="44" t="str" cm="1">
        <f t="array" aca="1" ref="K198" ca="1">IF(INDIRECT(_xlfn.CONCAT("'",IF(ISNUMBER(FIND("'",$A198))=TRUE,_xlfn.CONCAT(LEFT($A198,FIND("'",$A198)-1),"''",RIGHT($A198,LEN($A198)-FIND("'",$A198))),$A198),"'!B4"))&gt;=K$2,"d",IF(INDIRECT(_xlfn.CONCAT("'",IF(ISNUMBER(FIND("'",$A198))=TRUE,_xlfn.CONCAT(LEFT($A198,FIND("'",$A198)-1),"''",RIGHT($A198,LEN($A198)-FIND("'",$A198))),$A198),"'!B5"))&gt;=K$2,"i",""))</f>
        <v>d</v>
      </c>
      <c r="L198" s="44" t="str" cm="1">
        <f t="array" aca="1" ref="L198" ca="1">IF(INDIRECT(_xlfn.CONCAT("'",IF(ISNUMBER(FIND("'",$A198))=TRUE,_xlfn.CONCAT(LEFT($A198,FIND("'",$A198)-1),"''",RIGHT($A198,LEN($A198)-FIND("'",$A198))),$A198),"'!B4"))&gt;=L$2,"d",IF(INDIRECT(_xlfn.CONCAT("'",IF(ISNUMBER(FIND("'",$A198))=TRUE,_xlfn.CONCAT(LEFT($A198,FIND("'",$A198)-1),"''",RIGHT($A198,LEN($A198)-FIND("'",$A198))),$A198),"'!B5"))&gt;=L$2,"i",""))</f>
        <v>d</v>
      </c>
      <c r="M198" s="45" t="str" cm="1">
        <f t="array" aca="1" ref="M198" ca="1">IF(INDIRECT(_xlfn.CONCAT("'",IF(ISNUMBER(FIND("'",$A198))=TRUE,_xlfn.CONCAT(LEFT($A198,FIND("'",$A198)-1),"''",RIGHT($A198,LEN($A198)-FIND("'",$A198))),$A198),"'!B4"))&gt;=M$2,"d",IF(INDIRECT(_xlfn.CONCAT("'",IF(ISNUMBER(FIND("'",$A198))=TRUE,_xlfn.CONCAT(LEFT($A198,FIND("'",$A198)-1),"''",RIGHT($A198,LEN($A198)-FIND("'",$A198))),$A198),"'!B5"))&gt;=M$2,"i",""))</f>
        <v>d</v>
      </c>
      <c r="N198" s="157"/>
      <c r="O198" s="19" t="str" cm="1">
        <f t="array" aca="1" ref="O198" ca="1">IF(INDIRECT(_xlfn.CONCAT("'",IF(ISNUMBER(FIND("'",$A198))=TRUE,_xlfn.CONCAT(LEFT($A198,FIND("'",$A198)-1),"''",RIGHT($A198,LEN($A198)-FIND("'",$A198))),$A198),"'!C10"))&gt;=O$2,"d",IF(INDIRECT(_xlfn.CONCAT("'",IF(ISNUMBER(FIND("'",$A198))=TRUE,_xlfn.CONCAT(LEFT($A198,FIND("'",$A198)-1),"''",RIGHT($A198,LEN($A198)-FIND("'",$A198))),$A198),"'!C11"))&gt;=O$2,"i",""))</f>
        <v>d</v>
      </c>
      <c r="P198" s="44" t="str" cm="1">
        <f t="array" aca="1" ref="P198" ca="1">IF(INDIRECT(_xlfn.CONCAT("'",IF(ISNUMBER(FIND("'",$A198))=TRUE,_xlfn.CONCAT(LEFT($A198,FIND("'",$A198)-1),"''",RIGHT($A198,LEN($A198)-FIND("'",$A198))),$A198),"'!C10"))&gt;=P$2,"d",IF(INDIRECT(_xlfn.CONCAT("'",IF(ISNUMBER(FIND("'",$A198))=TRUE,_xlfn.CONCAT(LEFT($A198,FIND("'",$A198)-1),"''",RIGHT($A198,LEN($A198)-FIND("'",$A198))),$A198),"'!C11"))&gt;=P$2,"i",""))</f>
        <v>d</v>
      </c>
      <c r="Q198" s="44" t="str" cm="1">
        <f t="array" aca="1" ref="Q198" ca="1">IF(INDIRECT(_xlfn.CONCAT("'",IF(ISNUMBER(FIND("'",$A198))=TRUE,_xlfn.CONCAT(LEFT($A198,FIND("'",$A198)-1),"''",RIGHT($A198,LEN($A198)-FIND("'",$A198))),$A198),"'!C10"))&gt;=Q$2,"d",IF(INDIRECT(_xlfn.CONCAT("'",IF(ISNUMBER(FIND("'",$A198))=TRUE,_xlfn.CONCAT(LEFT($A198,FIND("'",$A198)-1),"''",RIGHT($A198,LEN($A198)-FIND("'",$A198))),$A198),"'!C11"))&gt;=Q$2,"i",""))</f>
        <v>d</v>
      </c>
      <c r="R198" s="44" t="str" cm="1">
        <f t="array" aca="1" ref="R198" ca="1">IF(INDIRECT(_xlfn.CONCAT("'",IF(ISNUMBER(FIND("'",$A198))=TRUE,_xlfn.CONCAT(LEFT($A198,FIND("'",$A198)-1),"''",RIGHT($A198,LEN($A198)-FIND("'",$A198))),$A198),"'!C10"))&gt;=R$2,"d",IF(INDIRECT(_xlfn.CONCAT("'",IF(ISNUMBER(FIND("'",$A198))=TRUE,_xlfn.CONCAT(LEFT($A198,FIND("'",$A198)-1),"''",RIGHT($A198,LEN($A198)-FIND("'",$A198))),$A198),"'!C11"))&gt;=R$2,"i",""))</f>
        <v>d</v>
      </c>
      <c r="S198" s="44" t="str" cm="1">
        <f t="array" aca="1" ref="S198" ca="1">IF(INDIRECT(_xlfn.CONCAT("'",IF(ISNUMBER(FIND("'",$A198))=TRUE,_xlfn.CONCAT(LEFT($A198,FIND("'",$A198)-1),"''",RIGHT($A198,LEN($A198)-FIND("'",$A198))),$A198),"'!C10"))&gt;=S$2,"d",IF(INDIRECT(_xlfn.CONCAT("'",IF(ISNUMBER(FIND("'",$A198))=TRUE,_xlfn.CONCAT(LEFT($A198,FIND("'",$A198)-1),"''",RIGHT($A198,LEN($A198)-FIND("'",$A198))),$A198),"'!C11"))&gt;=S$2,"i",""))</f>
        <v>d</v>
      </c>
      <c r="T198" s="45" t="str" cm="1">
        <f t="array" aca="1" ref="T198" ca="1">IF(INDIRECT(_xlfn.CONCAT("'",IF(ISNUMBER(FIND("'",$A198))=TRUE,_xlfn.CONCAT(LEFT($A198,FIND("'",$A198)-1),"''",RIGHT($A198,LEN($A198)-FIND("'",$A198))),$A198),"'!C10"))&gt;=T$2,"d",IF(INDIRECT(_xlfn.CONCAT("'",IF(ISNUMBER(FIND("'",$A198))=TRUE,_xlfn.CONCAT(LEFT($A198,FIND("'",$A198)-1),"''",RIGHT($A198,LEN($A198)-FIND("'",$A198))),$A198),"'!C11"))&gt;=T$2,"i",""))</f>
        <v>d</v>
      </c>
    </row>
    <row r="199" spans="1:20" hidden="1" x14ac:dyDescent="0.25">
      <c r="A199" s="135" t="str">
        <v>Astral Vulture’s Crimson</v>
      </c>
      <c r="B199" s="19" cm="1">
        <f t="array" ref="B199">_xlfn.XLOOKUP(A199,INDEX(Weapon_List,,1),INDEX(Weapon_List,,3),,0,1)</f>
        <v>5</v>
      </c>
      <c r="C199" s="45" t="str" cm="1">
        <f t="array" ref="C199">_xlfn.XLOOKUP(A199,INDEX(Weapon_List,,1),INDEX(Weapon_List,,2),,0,1)</f>
        <v>Bow</v>
      </c>
      <c r="D199" s="38" t="str" cm="1">
        <f t="array" ref="D199">_xlfn.XLOOKUP(A199,INDEX(Weapon_List,,1),INDEX(Weapon_List,,4),,0,1)</f>
        <v>Natlan 3</v>
      </c>
      <c r="E199" s="38" t="str" cm="1">
        <f t="array" ref="E199">_xlfn.XLOOKUP(A199,INDEX(Weapon_List,,1),INDEX(Weapon_List,,5),,0,1)</f>
        <v>Sauroform Tribal Warrior</v>
      </c>
      <c r="F199" s="38" t="str" cm="1">
        <f t="array" ref="F199">_xlfn.XLOOKUP(A199,INDEX(Weapon_List,,1),INDEX(Weapon_List,,6),,0,1)</f>
        <v>Tenebrous Mimiflora</v>
      </c>
      <c r="G199" s="19" t="str" cm="1">
        <f t="array" aca="1" ref="G199" ca="1">IF(INDIRECT(_xlfn.CONCAT("'",IF(ISNUMBER(FIND("'",$A199))=TRUE,_xlfn.CONCAT(LEFT($A199,FIND("'",$A199)-1),"''",RIGHT($A199,LEN($A199)-FIND("'",$A199))),$A199),"'!B4"))&gt;=G$2,"d",IF(INDIRECT(_xlfn.CONCAT("'",IF(ISNUMBER(FIND("'",$A199))=TRUE,_xlfn.CONCAT(LEFT($A199,FIND("'",$A199)-1),"''",RIGHT($A199,LEN($A199)-FIND("'",$A199))),$A199),"'!B5"))&gt;=G$2,"i",""))</f>
        <v>d</v>
      </c>
      <c r="H199" s="44" t="str" cm="1">
        <f t="array" aca="1" ref="H199" ca="1">IF(INDIRECT(_xlfn.CONCAT("'",IF(ISNUMBER(FIND("'",$A199))=TRUE,_xlfn.CONCAT(LEFT($A199,FIND("'",$A199)-1),"''",RIGHT($A199,LEN($A199)-FIND("'",$A199))),$A199),"'!B4"))&gt;=H$2,"d",IF(INDIRECT(_xlfn.CONCAT("'",IF(ISNUMBER(FIND("'",$A199))=TRUE,_xlfn.CONCAT(LEFT($A199,FIND("'",$A199)-1),"''",RIGHT($A199,LEN($A199)-FIND("'",$A199))),$A199),"'!B5"))&gt;=H$2,"i",""))</f>
        <v>d</v>
      </c>
      <c r="I199" s="44" t="str" cm="1">
        <f t="array" aca="1" ref="I199" ca="1">IF(INDIRECT(_xlfn.CONCAT("'",IF(ISNUMBER(FIND("'",$A199))=TRUE,_xlfn.CONCAT(LEFT($A199,FIND("'",$A199)-1),"''",RIGHT($A199,LEN($A199)-FIND("'",$A199))),$A199),"'!B4"))&gt;=I$2,"d",IF(INDIRECT(_xlfn.CONCAT("'",IF(ISNUMBER(FIND("'",$A199))=TRUE,_xlfn.CONCAT(LEFT($A199,FIND("'",$A199)-1),"''",RIGHT($A199,LEN($A199)-FIND("'",$A199))),$A199),"'!B5"))&gt;=I$2,"i",""))</f>
        <v>d</v>
      </c>
      <c r="J199" s="44" t="str" cm="1">
        <f t="array" aca="1" ref="J199" ca="1">IF(INDIRECT(_xlfn.CONCAT("'",IF(ISNUMBER(FIND("'",$A199))=TRUE,_xlfn.CONCAT(LEFT($A199,FIND("'",$A199)-1),"''",RIGHT($A199,LEN($A199)-FIND("'",$A199))),$A199),"'!B4"))&gt;=J$2,"d",IF(INDIRECT(_xlfn.CONCAT("'",IF(ISNUMBER(FIND("'",$A199))=TRUE,_xlfn.CONCAT(LEFT($A199,FIND("'",$A199)-1),"''",RIGHT($A199,LEN($A199)-FIND("'",$A199))),$A199),"'!B5"))&gt;=J$2,"i",""))</f>
        <v>d</v>
      </c>
      <c r="K199" s="44" t="str" cm="1">
        <f t="array" aca="1" ref="K199" ca="1">IF(INDIRECT(_xlfn.CONCAT("'",IF(ISNUMBER(FIND("'",$A199))=TRUE,_xlfn.CONCAT(LEFT($A199,FIND("'",$A199)-1),"''",RIGHT($A199,LEN($A199)-FIND("'",$A199))),$A199),"'!B4"))&gt;=K$2,"d",IF(INDIRECT(_xlfn.CONCAT("'",IF(ISNUMBER(FIND("'",$A199))=TRUE,_xlfn.CONCAT(LEFT($A199,FIND("'",$A199)-1),"''",RIGHT($A199,LEN($A199)-FIND("'",$A199))),$A199),"'!B5"))&gt;=K$2,"i",""))</f>
        <v>d</v>
      </c>
      <c r="L199" s="44" t="str" cm="1">
        <f t="array" aca="1" ref="L199" ca="1">IF(INDIRECT(_xlfn.CONCAT("'",IF(ISNUMBER(FIND("'",$A199))=TRUE,_xlfn.CONCAT(LEFT($A199,FIND("'",$A199)-1),"''",RIGHT($A199,LEN($A199)-FIND("'",$A199))),$A199),"'!B4"))&gt;=L$2,"d",IF(INDIRECT(_xlfn.CONCAT("'",IF(ISNUMBER(FIND("'",$A199))=TRUE,_xlfn.CONCAT(LEFT($A199,FIND("'",$A199)-1),"''",RIGHT($A199,LEN($A199)-FIND("'",$A199))),$A199),"'!B5"))&gt;=L$2,"i",""))</f>
        <v>d</v>
      </c>
      <c r="M199" s="45" t="str" cm="1">
        <f t="array" aca="1" ref="M199" ca="1">IF(INDIRECT(_xlfn.CONCAT("'",IF(ISNUMBER(FIND("'",$A199))=TRUE,_xlfn.CONCAT(LEFT($A199,FIND("'",$A199)-1),"''",RIGHT($A199,LEN($A199)-FIND("'",$A199))),$A199),"'!B4"))&gt;=M$2,"d",IF(INDIRECT(_xlfn.CONCAT("'",IF(ISNUMBER(FIND("'",$A199))=TRUE,_xlfn.CONCAT(LEFT($A199,FIND("'",$A199)-1),"''",RIGHT($A199,LEN($A199)-FIND("'",$A199))),$A199),"'!B5"))&gt;=M$2,"i",""))</f>
        <v>d</v>
      </c>
      <c r="N199" s="157"/>
      <c r="O199" s="19" t="str" cm="1">
        <f t="array" aca="1" ref="O199" ca="1">IF(INDIRECT(_xlfn.CONCAT("'",IF(ISNUMBER(FIND("'",$A199))=TRUE,_xlfn.CONCAT(LEFT($A199,FIND("'",$A199)-1),"''",RIGHT($A199,LEN($A199)-FIND("'",$A199))),$A199),"'!C10"))&gt;=O$2,"d",IF(INDIRECT(_xlfn.CONCAT("'",IF(ISNUMBER(FIND("'",$A199))=TRUE,_xlfn.CONCAT(LEFT($A199,FIND("'",$A199)-1),"''",RIGHT($A199,LEN($A199)-FIND("'",$A199))),$A199),"'!C11"))&gt;=O$2,"i",""))</f>
        <v>d</v>
      </c>
      <c r="P199" s="44" t="str" cm="1">
        <f t="array" aca="1" ref="P199" ca="1">IF(INDIRECT(_xlfn.CONCAT("'",IF(ISNUMBER(FIND("'",$A199))=TRUE,_xlfn.CONCAT(LEFT($A199,FIND("'",$A199)-1),"''",RIGHT($A199,LEN($A199)-FIND("'",$A199))),$A199),"'!C10"))&gt;=P$2,"d",IF(INDIRECT(_xlfn.CONCAT("'",IF(ISNUMBER(FIND("'",$A199))=TRUE,_xlfn.CONCAT(LEFT($A199,FIND("'",$A199)-1),"''",RIGHT($A199,LEN($A199)-FIND("'",$A199))),$A199),"'!C11"))&gt;=P$2,"i",""))</f>
        <v>d</v>
      </c>
      <c r="Q199" s="44" t="str" cm="1">
        <f t="array" aca="1" ref="Q199" ca="1">IF(INDIRECT(_xlfn.CONCAT("'",IF(ISNUMBER(FIND("'",$A199))=TRUE,_xlfn.CONCAT(LEFT($A199,FIND("'",$A199)-1),"''",RIGHT($A199,LEN($A199)-FIND("'",$A199))),$A199),"'!C10"))&gt;=Q$2,"d",IF(INDIRECT(_xlfn.CONCAT("'",IF(ISNUMBER(FIND("'",$A199))=TRUE,_xlfn.CONCAT(LEFT($A199,FIND("'",$A199)-1),"''",RIGHT($A199,LEN($A199)-FIND("'",$A199))),$A199),"'!C11"))&gt;=Q$2,"i",""))</f>
        <v>d</v>
      </c>
      <c r="R199" s="44" t="str" cm="1">
        <f t="array" aca="1" ref="R199" ca="1">IF(INDIRECT(_xlfn.CONCAT("'",IF(ISNUMBER(FIND("'",$A199))=TRUE,_xlfn.CONCAT(LEFT($A199,FIND("'",$A199)-1),"''",RIGHT($A199,LEN($A199)-FIND("'",$A199))),$A199),"'!C10"))&gt;=R$2,"d",IF(INDIRECT(_xlfn.CONCAT("'",IF(ISNUMBER(FIND("'",$A199))=TRUE,_xlfn.CONCAT(LEFT($A199,FIND("'",$A199)-1),"''",RIGHT($A199,LEN($A199)-FIND("'",$A199))),$A199),"'!C11"))&gt;=R$2,"i",""))</f>
        <v>d</v>
      </c>
      <c r="S199" s="44" t="str" cm="1">
        <f t="array" aca="1" ref="S199" ca="1">IF(INDIRECT(_xlfn.CONCAT("'",IF(ISNUMBER(FIND("'",$A199))=TRUE,_xlfn.CONCAT(LEFT($A199,FIND("'",$A199)-1),"''",RIGHT($A199,LEN($A199)-FIND("'",$A199))),$A199),"'!C10"))&gt;=S$2,"d",IF(INDIRECT(_xlfn.CONCAT("'",IF(ISNUMBER(FIND("'",$A199))=TRUE,_xlfn.CONCAT(LEFT($A199,FIND("'",$A199)-1),"''",RIGHT($A199,LEN($A199)-FIND("'",$A199))),$A199),"'!C11"))&gt;=S$2,"i",""))</f>
        <v>d</v>
      </c>
      <c r="T199" s="45" t="str" cm="1">
        <f t="array" aca="1" ref="T199" ca="1">IF(INDIRECT(_xlfn.CONCAT("'",IF(ISNUMBER(FIND("'",$A199))=TRUE,_xlfn.CONCAT(LEFT($A199,FIND("'",$A199)-1),"''",RIGHT($A199,LEN($A199)-FIND("'",$A199))),$A199),"'!C10"))&gt;=T$2,"d",IF(INDIRECT(_xlfn.CONCAT("'",IF(ISNUMBER(FIND("'",$A199))=TRUE,_xlfn.CONCAT(LEFT($A199,FIND("'",$A199)-1),"''",RIGHT($A199,LEN($A199)-FIND("'",$A199))),$A199),"'!C11"))&gt;=T$2,"i",""))</f>
        <v>d</v>
      </c>
    </row>
    <row r="200" spans="1:20" hidden="1" x14ac:dyDescent="0.25">
      <c r="A200" s="135" t="str">
        <v>The Calamity of Eshu</v>
      </c>
      <c r="B200" s="19" cm="1">
        <f t="array" ref="B200">_xlfn.XLOOKUP(A200,INDEX(Weapon_List,,1),INDEX(Weapon_List,,3),,0,1)</f>
        <v>4</v>
      </c>
      <c r="C200" s="45" t="str" cm="1">
        <f t="array" ref="C200">_xlfn.XLOOKUP(A200,INDEX(Weapon_List,,1),INDEX(Weapon_List,,2),,0,1)</f>
        <v>Sword</v>
      </c>
      <c r="D200" s="38" t="str" cm="1">
        <f t="array" ref="D200">_xlfn.XLOOKUP(A200,INDEX(Weapon_List,,1),INDEX(Weapon_List,,4),,0,1)</f>
        <v>Natlan 2</v>
      </c>
      <c r="E200" s="38" t="str" cm="1">
        <f t="array" ref="E200">_xlfn.XLOOKUP(A200,INDEX(Weapon_List,,1),INDEX(Weapon_List,,5),,0,1)</f>
        <v>Sauroform Tribal Warrior</v>
      </c>
      <c r="F200" s="38" t="str" cm="1">
        <f t="array" ref="F200">_xlfn.XLOOKUP(A200,INDEX(Weapon_List,,1),INDEX(Weapon_List,,6),,0,1)</f>
        <v>Tenebrous Mimiflora</v>
      </c>
      <c r="G200" s="19" t="str" cm="1">
        <f t="array" aca="1" ref="G200" ca="1">IF(INDIRECT(_xlfn.CONCAT("'",IF(ISNUMBER(FIND("'",$A200))=TRUE,_xlfn.CONCAT(LEFT($A200,FIND("'",$A200)-1),"''",RIGHT($A200,LEN($A200)-FIND("'",$A200))),$A200),"'!B4"))&gt;=G$2,"d",IF(INDIRECT(_xlfn.CONCAT("'",IF(ISNUMBER(FIND("'",$A200))=TRUE,_xlfn.CONCAT(LEFT($A200,FIND("'",$A200)-1),"''",RIGHT($A200,LEN($A200)-FIND("'",$A200))),$A200),"'!B5"))&gt;=G$2,"i",""))</f>
        <v>d</v>
      </c>
      <c r="H200" s="44" t="str" cm="1">
        <f t="array" aca="1" ref="H200" ca="1">IF(INDIRECT(_xlfn.CONCAT("'",IF(ISNUMBER(FIND("'",$A200))=TRUE,_xlfn.CONCAT(LEFT($A200,FIND("'",$A200)-1),"''",RIGHT($A200,LEN($A200)-FIND("'",$A200))),$A200),"'!B4"))&gt;=H$2,"d",IF(INDIRECT(_xlfn.CONCAT("'",IF(ISNUMBER(FIND("'",$A200))=TRUE,_xlfn.CONCAT(LEFT($A200,FIND("'",$A200)-1),"''",RIGHT($A200,LEN($A200)-FIND("'",$A200))),$A200),"'!B5"))&gt;=H$2,"i",""))</f>
        <v>d</v>
      </c>
      <c r="I200" s="44" t="str" cm="1">
        <f t="array" aca="1" ref="I200" ca="1">IF(INDIRECT(_xlfn.CONCAT("'",IF(ISNUMBER(FIND("'",$A200))=TRUE,_xlfn.CONCAT(LEFT($A200,FIND("'",$A200)-1),"''",RIGHT($A200,LEN($A200)-FIND("'",$A200))),$A200),"'!B4"))&gt;=I$2,"d",IF(INDIRECT(_xlfn.CONCAT("'",IF(ISNUMBER(FIND("'",$A200))=TRUE,_xlfn.CONCAT(LEFT($A200,FIND("'",$A200)-1),"''",RIGHT($A200,LEN($A200)-FIND("'",$A200))),$A200),"'!B5"))&gt;=I$2,"i",""))</f>
        <v>d</v>
      </c>
      <c r="J200" s="44" t="str" cm="1">
        <f t="array" aca="1" ref="J200" ca="1">IF(INDIRECT(_xlfn.CONCAT("'",IF(ISNUMBER(FIND("'",$A200))=TRUE,_xlfn.CONCAT(LEFT($A200,FIND("'",$A200)-1),"''",RIGHT($A200,LEN($A200)-FIND("'",$A200))),$A200),"'!B4"))&gt;=J$2,"d",IF(INDIRECT(_xlfn.CONCAT("'",IF(ISNUMBER(FIND("'",$A200))=TRUE,_xlfn.CONCAT(LEFT($A200,FIND("'",$A200)-1),"''",RIGHT($A200,LEN($A200)-FIND("'",$A200))),$A200),"'!B5"))&gt;=J$2,"i",""))</f>
        <v>d</v>
      </c>
      <c r="K200" s="44" t="str" cm="1">
        <f t="array" aca="1" ref="K200" ca="1">IF(INDIRECT(_xlfn.CONCAT("'",IF(ISNUMBER(FIND("'",$A200))=TRUE,_xlfn.CONCAT(LEFT($A200,FIND("'",$A200)-1),"''",RIGHT($A200,LEN($A200)-FIND("'",$A200))),$A200),"'!B4"))&gt;=K$2,"d",IF(INDIRECT(_xlfn.CONCAT("'",IF(ISNUMBER(FIND("'",$A200))=TRUE,_xlfn.CONCAT(LEFT($A200,FIND("'",$A200)-1),"''",RIGHT($A200,LEN($A200)-FIND("'",$A200))),$A200),"'!B5"))&gt;=K$2,"i",""))</f>
        <v>d</v>
      </c>
      <c r="L200" s="44" t="str" cm="1">
        <f t="array" aca="1" ref="L200" ca="1">IF(INDIRECT(_xlfn.CONCAT("'",IF(ISNUMBER(FIND("'",$A200))=TRUE,_xlfn.CONCAT(LEFT($A200,FIND("'",$A200)-1),"''",RIGHT($A200,LEN($A200)-FIND("'",$A200))),$A200),"'!B4"))&gt;=L$2,"d",IF(INDIRECT(_xlfn.CONCAT("'",IF(ISNUMBER(FIND("'",$A200))=TRUE,_xlfn.CONCAT(LEFT($A200,FIND("'",$A200)-1),"''",RIGHT($A200,LEN($A200)-FIND("'",$A200))),$A200),"'!B5"))&gt;=L$2,"i",""))</f>
        <v>d</v>
      </c>
      <c r="M200" s="45" t="str" cm="1">
        <f t="array" aca="1" ref="M200" ca="1">IF(INDIRECT(_xlfn.CONCAT("'",IF(ISNUMBER(FIND("'",$A200))=TRUE,_xlfn.CONCAT(LEFT($A200,FIND("'",$A200)-1),"''",RIGHT($A200,LEN($A200)-FIND("'",$A200))),$A200),"'!B4"))&gt;=M$2,"d",IF(INDIRECT(_xlfn.CONCAT("'",IF(ISNUMBER(FIND("'",$A200))=TRUE,_xlfn.CONCAT(LEFT($A200,FIND("'",$A200)-1),"''",RIGHT($A200,LEN($A200)-FIND("'",$A200))),$A200),"'!B5"))&gt;=M$2,"i",""))</f>
        <v>d</v>
      </c>
      <c r="N200" s="157"/>
      <c r="O200" s="19" t="str" cm="1">
        <f t="array" aca="1" ref="O200" ca="1">IF(INDIRECT(_xlfn.CONCAT("'",IF(ISNUMBER(FIND("'",$A200))=TRUE,_xlfn.CONCAT(LEFT($A200,FIND("'",$A200)-1),"''",RIGHT($A200,LEN($A200)-FIND("'",$A200))),$A200),"'!C10"))&gt;=O$2,"d",IF(INDIRECT(_xlfn.CONCAT("'",IF(ISNUMBER(FIND("'",$A200))=TRUE,_xlfn.CONCAT(LEFT($A200,FIND("'",$A200)-1),"''",RIGHT($A200,LEN($A200)-FIND("'",$A200))),$A200),"'!C11"))&gt;=O$2,"i",""))</f>
        <v>d</v>
      </c>
      <c r="P200" s="44" t="str" cm="1">
        <f t="array" aca="1" ref="P200" ca="1">IF(INDIRECT(_xlfn.CONCAT("'",IF(ISNUMBER(FIND("'",$A200))=TRUE,_xlfn.CONCAT(LEFT($A200,FIND("'",$A200)-1),"''",RIGHT($A200,LEN($A200)-FIND("'",$A200))),$A200),"'!C10"))&gt;=P$2,"d",IF(INDIRECT(_xlfn.CONCAT("'",IF(ISNUMBER(FIND("'",$A200))=TRUE,_xlfn.CONCAT(LEFT($A200,FIND("'",$A200)-1),"''",RIGHT($A200,LEN($A200)-FIND("'",$A200))),$A200),"'!C11"))&gt;=P$2,"i",""))</f>
        <v>d</v>
      </c>
      <c r="Q200" s="44" t="str" cm="1">
        <f t="array" aca="1" ref="Q200" ca="1">IF(INDIRECT(_xlfn.CONCAT("'",IF(ISNUMBER(FIND("'",$A200))=TRUE,_xlfn.CONCAT(LEFT($A200,FIND("'",$A200)-1),"''",RIGHT($A200,LEN($A200)-FIND("'",$A200))),$A200),"'!C10"))&gt;=Q$2,"d",IF(INDIRECT(_xlfn.CONCAT("'",IF(ISNUMBER(FIND("'",$A200))=TRUE,_xlfn.CONCAT(LEFT($A200,FIND("'",$A200)-1),"''",RIGHT($A200,LEN($A200)-FIND("'",$A200))),$A200),"'!C11"))&gt;=Q$2,"i",""))</f>
        <v>d</v>
      </c>
      <c r="R200" s="44" t="str" cm="1">
        <f t="array" aca="1" ref="R200" ca="1">IF(INDIRECT(_xlfn.CONCAT("'",IF(ISNUMBER(FIND("'",$A200))=TRUE,_xlfn.CONCAT(LEFT($A200,FIND("'",$A200)-1),"''",RIGHT($A200,LEN($A200)-FIND("'",$A200))),$A200),"'!C10"))&gt;=R$2,"d",IF(INDIRECT(_xlfn.CONCAT("'",IF(ISNUMBER(FIND("'",$A200))=TRUE,_xlfn.CONCAT(LEFT($A200,FIND("'",$A200)-1),"''",RIGHT($A200,LEN($A200)-FIND("'",$A200))),$A200),"'!C11"))&gt;=R$2,"i",""))</f>
        <v>d</v>
      </c>
      <c r="S200" s="44" t="str" cm="1">
        <f t="array" aca="1" ref="S200" ca="1">IF(INDIRECT(_xlfn.CONCAT("'",IF(ISNUMBER(FIND("'",$A200))=TRUE,_xlfn.CONCAT(LEFT($A200,FIND("'",$A200)-1),"''",RIGHT($A200,LEN($A200)-FIND("'",$A200))),$A200),"'!C10"))&gt;=S$2,"d",IF(INDIRECT(_xlfn.CONCAT("'",IF(ISNUMBER(FIND("'",$A200))=TRUE,_xlfn.CONCAT(LEFT($A200,FIND("'",$A200)-1),"''",RIGHT($A200,LEN($A200)-FIND("'",$A200))),$A200),"'!C11"))&gt;=S$2,"i",""))</f>
        <v>d</v>
      </c>
      <c r="T200" s="45" t="str" cm="1">
        <f t="array" aca="1" ref="T200" ca="1">IF(INDIRECT(_xlfn.CONCAT("'",IF(ISNUMBER(FIND("'",$A200))=TRUE,_xlfn.CONCAT(LEFT($A200,FIND("'",$A200)-1),"''",RIGHT($A200,LEN($A200)-FIND("'",$A200))),$A200),"'!C10"))&gt;=T$2,"d",IF(INDIRECT(_xlfn.CONCAT("'",IF(ISNUMBER(FIND("'",$A200))=TRUE,_xlfn.CONCAT(LEFT($A200,FIND("'",$A200)-1),"''",RIGHT($A200,LEN($A200)-FIND("'",$A200))),$A200),"'!C11"))&gt;=T$2,"i",""))</f>
        <v>d</v>
      </c>
    </row>
    <row r="201" spans="1:20" hidden="1" x14ac:dyDescent="0.25">
      <c r="A201" s="135" t="str">
        <v>Waveriding Whirl</v>
      </c>
      <c r="B201" s="19" cm="1">
        <f t="array" ref="B201">_xlfn.XLOOKUP(A201,INDEX(Weapon_List,,1),INDEX(Weapon_List,,3),,0,1)</f>
        <v>4</v>
      </c>
      <c r="C201" s="45" t="str" cm="1">
        <f t="array" ref="C201">_xlfn.XLOOKUP(A201,INDEX(Weapon_List,,1),INDEX(Weapon_List,,2),,0,1)</f>
        <v>Catalyst</v>
      </c>
      <c r="D201" s="38" t="str" cm="1">
        <f t="array" ref="D201">_xlfn.XLOOKUP(A201,INDEX(Weapon_List,,1),INDEX(Weapon_List,,4),,0,1)</f>
        <v>Natlan 1</v>
      </c>
      <c r="E201" s="38" t="str" cm="1">
        <f t="array" ref="E201">_xlfn.XLOOKUP(A201,INDEX(Weapon_List,,1),INDEX(Weapon_List,,5),,0,1)</f>
        <v>Saurian</v>
      </c>
      <c r="F201" s="38" t="str" cm="1">
        <f t="array" ref="F201">_xlfn.XLOOKUP(A201,INDEX(Weapon_List,,1),INDEX(Weapon_List,,6),,0,1)</f>
        <v>Wayob Manifestation</v>
      </c>
      <c r="G201" s="19" t="str" cm="1">
        <f t="array" aca="1" ref="G201" ca="1">IF(INDIRECT(_xlfn.CONCAT("'",IF(ISNUMBER(FIND("'",$A201))=TRUE,_xlfn.CONCAT(LEFT($A201,FIND("'",$A201)-1),"''",RIGHT($A201,LEN($A201)-FIND("'",$A201))),$A201),"'!B4"))&gt;=G$2,"d",IF(INDIRECT(_xlfn.CONCAT("'",IF(ISNUMBER(FIND("'",$A201))=TRUE,_xlfn.CONCAT(LEFT($A201,FIND("'",$A201)-1),"''",RIGHT($A201,LEN($A201)-FIND("'",$A201))),$A201),"'!B5"))&gt;=G$2,"i",""))</f>
        <v>d</v>
      </c>
      <c r="H201" s="44" t="str" cm="1">
        <f t="array" aca="1" ref="H201" ca="1">IF(INDIRECT(_xlfn.CONCAT("'",IF(ISNUMBER(FIND("'",$A201))=TRUE,_xlfn.CONCAT(LEFT($A201,FIND("'",$A201)-1),"''",RIGHT($A201,LEN($A201)-FIND("'",$A201))),$A201),"'!B4"))&gt;=H$2,"d",IF(INDIRECT(_xlfn.CONCAT("'",IF(ISNUMBER(FIND("'",$A201))=TRUE,_xlfn.CONCAT(LEFT($A201,FIND("'",$A201)-1),"''",RIGHT($A201,LEN($A201)-FIND("'",$A201))),$A201),"'!B5"))&gt;=H$2,"i",""))</f>
        <v>d</v>
      </c>
      <c r="I201" s="44" t="str" cm="1">
        <f t="array" aca="1" ref="I201" ca="1">IF(INDIRECT(_xlfn.CONCAT("'",IF(ISNUMBER(FIND("'",$A201))=TRUE,_xlfn.CONCAT(LEFT($A201,FIND("'",$A201)-1),"''",RIGHT($A201,LEN($A201)-FIND("'",$A201))),$A201),"'!B4"))&gt;=I$2,"d",IF(INDIRECT(_xlfn.CONCAT("'",IF(ISNUMBER(FIND("'",$A201))=TRUE,_xlfn.CONCAT(LEFT($A201,FIND("'",$A201)-1),"''",RIGHT($A201,LEN($A201)-FIND("'",$A201))),$A201),"'!B5"))&gt;=I$2,"i",""))</f>
        <v>d</v>
      </c>
      <c r="J201" s="44" t="str" cm="1">
        <f t="array" aca="1" ref="J201" ca="1">IF(INDIRECT(_xlfn.CONCAT("'",IF(ISNUMBER(FIND("'",$A201))=TRUE,_xlfn.CONCAT(LEFT($A201,FIND("'",$A201)-1),"''",RIGHT($A201,LEN($A201)-FIND("'",$A201))),$A201),"'!B4"))&gt;=J$2,"d",IF(INDIRECT(_xlfn.CONCAT("'",IF(ISNUMBER(FIND("'",$A201))=TRUE,_xlfn.CONCAT(LEFT($A201,FIND("'",$A201)-1),"''",RIGHT($A201,LEN($A201)-FIND("'",$A201))),$A201),"'!B5"))&gt;=J$2,"i",""))</f>
        <v>d</v>
      </c>
      <c r="K201" s="44" t="str" cm="1">
        <f t="array" aca="1" ref="K201" ca="1">IF(INDIRECT(_xlfn.CONCAT("'",IF(ISNUMBER(FIND("'",$A201))=TRUE,_xlfn.CONCAT(LEFT($A201,FIND("'",$A201)-1),"''",RIGHT($A201,LEN($A201)-FIND("'",$A201))),$A201),"'!B4"))&gt;=K$2,"d",IF(INDIRECT(_xlfn.CONCAT("'",IF(ISNUMBER(FIND("'",$A201))=TRUE,_xlfn.CONCAT(LEFT($A201,FIND("'",$A201)-1),"''",RIGHT($A201,LEN($A201)-FIND("'",$A201))),$A201),"'!B5"))&gt;=K$2,"i",""))</f>
        <v>d</v>
      </c>
      <c r="L201" s="44" t="str" cm="1">
        <f t="array" aca="1" ref="L201" ca="1">IF(INDIRECT(_xlfn.CONCAT("'",IF(ISNUMBER(FIND("'",$A201))=TRUE,_xlfn.CONCAT(LEFT($A201,FIND("'",$A201)-1),"''",RIGHT($A201,LEN($A201)-FIND("'",$A201))),$A201),"'!B4"))&gt;=L$2,"d",IF(INDIRECT(_xlfn.CONCAT("'",IF(ISNUMBER(FIND("'",$A201))=TRUE,_xlfn.CONCAT(LEFT($A201,FIND("'",$A201)-1),"''",RIGHT($A201,LEN($A201)-FIND("'",$A201))),$A201),"'!B5"))&gt;=L$2,"i",""))</f>
        <v>d</v>
      </c>
      <c r="M201" s="45" t="str" cm="1">
        <f t="array" aca="1" ref="M201" ca="1">IF(INDIRECT(_xlfn.CONCAT("'",IF(ISNUMBER(FIND("'",$A201))=TRUE,_xlfn.CONCAT(LEFT($A201,FIND("'",$A201)-1),"''",RIGHT($A201,LEN($A201)-FIND("'",$A201))),$A201),"'!B4"))&gt;=M$2,"d",IF(INDIRECT(_xlfn.CONCAT("'",IF(ISNUMBER(FIND("'",$A201))=TRUE,_xlfn.CONCAT(LEFT($A201,FIND("'",$A201)-1),"''",RIGHT($A201,LEN($A201)-FIND("'",$A201))),$A201),"'!B5"))&gt;=M$2,"i",""))</f>
        <v>d</v>
      </c>
      <c r="N201" s="157"/>
      <c r="O201" s="19" t="str" cm="1">
        <f t="array" aca="1" ref="O201" ca="1">IF(INDIRECT(_xlfn.CONCAT("'",IF(ISNUMBER(FIND("'",$A201))=TRUE,_xlfn.CONCAT(LEFT($A201,FIND("'",$A201)-1),"''",RIGHT($A201,LEN($A201)-FIND("'",$A201))),$A201),"'!C10"))&gt;=O$2,"d",IF(INDIRECT(_xlfn.CONCAT("'",IF(ISNUMBER(FIND("'",$A201))=TRUE,_xlfn.CONCAT(LEFT($A201,FIND("'",$A201)-1),"''",RIGHT($A201,LEN($A201)-FIND("'",$A201))),$A201),"'!C11"))&gt;=O$2,"i",""))</f>
        <v>d</v>
      </c>
      <c r="P201" s="44" t="str" cm="1">
        <f t="array" aca="1" ref="P201" ca="1">IF(INDIRECT(_xlfn.CONCAT("'",IF(ISNUMBER(FIND("'",$A201))=TRUE,_xlfn.CONCAT(LEFT($A201,FIND("'",$A201)-1),"''",RIGHT($A201,LEN($A201)-FIND("'",$A201))),$A201),"'!C10"))&gt;=P$2,"d",IF(INDIRECT(_xlfn.CONCAT("'",IF(ISNUMBER(FIND("'",$A201))=TRUE,_xlfn.CONCAT(LEFT($A201,FIND("'",$A201)-1),"''",RIGHT($A201,LEN($A201)-FIND("'",$A201))),$A201),"'!C11"))&gt;=P$2,"i",""))</f>
        <v>d</v>
      </c>
      <c r="Q201" s="44" t="str" cm="1">
        <f t="array" aca="1" ref="Q201" ca="1">IF(INDIRECT(_xlfn.CONCAT("'",IF(ISNUMBER(FIND("'",$A201))=TRUE,_xlfn.CONCAT(LEFT($A201,FIND("'",$A201)-1),"''",RIGHT($A201,LEN($A201)-FIND("'",$A201))),$A201),"'!C10"))&gt;=Q$2,"d",IF(INDIRECT(_xlfn.CONCAT("'",IF(ISNUMBER(FIND("'",$A201))=TRUE,_xlfn.CONCAT(LEFT($A201,FIND("'",$A201)-1),"''",RIGHT($A201,LEN($A201)-FIND("'",$A201))),$A201),"'!C11"))&gt;=Q$2,"i",""))</f>
        <v>d</v>
      </c>
      <c r="R201" s="44" t="str" cm="1">
        <f t="array" aca="1" ref="R201" ca="1">IF(INDIRECT(_xlfn.CONCAT("'",IF(ISNUMBER(FIND("'",$A201))=TRUE,_xlfn.CONCAT(LEFT($A201,FIND("'",$A201)-1),"''",RIGHT($A201,LEN($A201)-FIND("'",$A201))),$A201),"'!C10"))&gt;=R$2,"d",IF(INDIRECT(_xlfn.CONCAT("'",IF(ISNUMBER(FIND("'",$A201))=TRUE,_xlfn.CONCAT(LEFT($A201,FIND("'",$A201)-1),"''",RIGHT($A201,LEN($A201)-FIND("'",$A201))),$A201),"'!C11"))&gt;=R$2,"i",""))</f>
        <v>d</v>
      </c>
      <c r="S201" s="44" t="str" cm="1">
        <f t="array" aca="1" ref="S201" ca="1">IF(INDIRECT(_xlfn.CONCAT("'",IF(ISNUMBER(FIND("'",$A201))=TRUE,_xlfn.CONCAT(LEFT($A201,FIND("'",$A201)-1),"''",RIGHT($A201,LEN($A201)-FIND("'",$A201))),$A201),"'!C10"))&gt;=S$2,"d",IF(INDIRECT(_xlfn.CONCAT("'",IF(ISNUMBER(FIND("'",$A201))=TRUE,_xlfn.CONCAT(LEFT($A201,FIND("'",$A201)-1),"''",RIGHT($A201,LEN($A201)-FIND("'",$A201))),$A201),"'!C11"))&gt;=S$2,"i",""))</f>
        <v>d</v>
      </c>
      <c r="T201" s="45" t="str" cm="1">
        <f t="array" aca="1" ref="T201" ca="1">IF(INDIRECT(_xlfn.CONCAT("'",IF(ISNUMBER(FIND("'",$A201))=TRUE,_xlfn.CONCAT(LEFT($A201,FIND("'",$A201)-1),"''",RIGHT($A201,LEN($A201)-FIND("'",$A201))),$A201),"'!C10"))&gt;=T$2,"d",IF(INDIRECT(_xlfn.CONCAT("'",IF(ISNUMBER(FIND("'",$A201))=TRUE,_xlfn.CONCAT(LEFT($A201,FIND("'",$A201)-1),"''",RIGHT($A201,LEN($A201)-FIND("'",$A201))),$A201),"'!C11"))&gt;=T$2,"i",""))</f>
        <v>d</v>
      </c>
    </row>
    <row r="202" spans="1:20" hidden="1" x14ac:dyDescent="0.25">
      <c r="A202" s="135" t="str">
        <v>Flower-Wreathed Feathers</v>
      </c>
      <c r="B202" s="19" cm="1">
        <f t="array" ref="B202">_xlfn.XLOOKUP(A202,INDEX(Weapon_List,,1),INDEX(Weapon_List,,3),,0,1)</f>
        <v>4</v>
      </c>
      <c r="C202" s="45" t="str" cm="1">
        <f t="array" ref="C202">_xlfn.XLOOKUP(A202,INDEX(Weapon_List,,1),INDEX(Weapon_List,,2),,0,1)</f>
        <v>Bow</v>
      </c>
      <c r="D202" s="38" t="str" cm="1">
        <f t="array" ref="D202">_xlfn.XLOOKUP(A202,INDEX(Weapon_List,,1),INDEX(Weapon_List,,4),,0,1)</f>
        <v>Natlan 3</v>
      </c>
      <c r="E202" s="38" t="str" cm="1">
        <f t="array" ref="E202">_xlfn.XLOOKUP(A202,INDEX(Weapon_List,,1),INDEX(Weapon_List,,5),,0,1)</f>
        <v>Sauroform Tribal Warrior</v>
      </c>
      <c r="F202" s="38" t="str" cm="1">
        <f t="array" ref="F202">_xlfn.XLOOKUP(A202,INDEX(Weapon_List,,1),INDEX(Weapon_List,,6),,0,1)</f>
        <v>Avatar of Lava</v>
      </c>
      <c r="G202" s="19" t="str" cm="1">
        <f t="array" aca="1" ref="G202" ca="1">IF(INDIRECT(_xlfn.CONCAT("'",IF(ISNUMBER(FIND("'",$A202))=TRUE,_xlfn.CONCAT(LEFT($A202,FIND("'",$A202)-1),"''",RIGHT($A202,LEN($A202)-FIND("'",$A202))),$A202),"'!B4"))&gt;=G$2,"d",IF(INDIRECT(_xlfn.CONCAT("'",IF(ISNUMBER(FIND("'",$A202))=TRUE,_xlfn.CONCAT(LEFT($A202,FIND("'",$A202)-1),"''",RIGHT($A202,LEN($A202)-FIND("'",$A202))),$A202),"'!B5"))&gt;=G$2,"i",""))</f>
        <v>d</v>
      </c>
      <c r="H202" s="44" t="str" cm="1">
        <f t="array" aca="1" ref="H202" ca="1">IF(INDIRECT(_xlfn.CONCAT("'",IF(ISNUMBER(FIND("'",$A202))=TRUE,_xlfn.CONCAT(LEFT($A202,FIND("'",$A202)-1),"''",RIGHT($A202,LEN($A202)-FIND("'",$A202))),$A202),"'!B4"))&gt;=H$2,"d",IF(INDIRECT(_xlfn.CONCAT("'",IF(ISNUMBER(FIND("'",$A202))=TRUE,_xlfn.CONCAT(LEFT($A202,FIND("'",$A202)-1),"''",RIGHT($A202,LEN($A202)-FIND("'",$A202))),$A202),"'!B5"))&gt;=H$2,"i",""))</f>
        <v>d</v>
      </c>
      <c r="I202" s="44" t="str" cm="1">
        <f t="array" aca="1" ref="I202" ca="1">IF(INDIRECT(_xlfn.CONCAT("'",IF(ISNUMBER(FIND("'",$A202))=TRUE,_xlfn.CONCAT(LEFT($A202,FIND("'",$A202)-1),"''",RIGHT($A202,LEN($A202)-FIND("'",$A202))),$A202),"'!B4"))&gt;=I$2,"d",IF(INDIRECT(_xlfn.CONCAT("'",IF(ISNUMBER(FIND("'",$A202))=TRUE,_xlfn.CONCAT(LEFT($A202,FIND("'",$A202)-1),"''",RIGHT($A202,LEN($A202)-FIND("'",$A202))),$A202),"'!B5"))&gt;=I$2,"i",""))</f>
        <v>d</v>
      </c>
      <c r="J202" s="44" t="str" cm="1">
        <f t="array" aca="1" ref="J202" ca="1">IF(INDIRECT(_xlfn.CONCAT("'",IF(ISNUMBER(FIND("'",$A202))=TRUE,_xlfn.CONCAT(LEFT($A202,FIND("'",$A202)-1),"''",RIGHT($A202,LEN($A202)-FIND("'",$A202))),$A202),"'!B4"))&gt;=J$2,"d",IF(INDIRECT(_xlfn.CONCAT("'",IF(ISNUMBER(FIND("'",$A202))=TRUE,_xlfn.CONCAT(LEFT($A202,FIND("'",$A202)-1),"''",RIGHT($A202,LEN($A202)-FIND("'",$A202))),$A202),"'!B5"))&gt;=J$2,"i",""))</f>
        <v>d</v>
      </c>
      <c r="K202" s="44" t="str" cm="1">
        <f t="array" aca="1" ref="K202" ca="1">IF(INDIRECT(_xlfn.CONCAT("'",IF(ISNUMBER(FIND("'",$A202))=TRUE,_xlfn.CONCAT(LEFT($A202,FIND("'",$A202)-1),"''",RIGHT($A202,LEN($A202)-FIND("'",$A202))),$A202),"'!B4"))&gt;=K$2,"d",IF(INDIRECT(_xlfn.CONCAT("'",IF(ISNUMBER(FIND("'",$A202))=TRUE,_xlfn.CONCAT(LEFT($A202,FIND("'",$A202)-1),"''",RIGHT($A202,LEN($A202)-FIND("'",$A202))),$A202),"'!B5"))&gt;=K$2,"i",""))</f>
        <v>d</v>
      </c>
      <c r="L202" s="44" t="str" cm="1">
        <f t="array" aca="1" ref="L202" ca="1">IF(INDIRECT(_xlfn.CONCAT("'",IF(ISNUMBER(FIND("'",$A202))=TRUE,_xlfn.CONCAT(LEFT($A202,FIND("'",$A202)-1),"''",RIGHT($A202,LEN($A202)-FIND("'",$A202))),$A202),"'!B4"))&gt;=L$2,"d",IF(INDIRECT(_xlfn.CONCAT("'",IF(ISNUMBER(FIND("'",$A202))=TRUE,_xlfn.CONCAT(LEFT($A202,FIND("'",$A202)-1),"''",RIGHT($A202,LEN($A202)-FIND("'",$A202))),$A202),"'!B5"))&gt;=L$2,"i",""))</f>
        <v>d</v>
      </c>
      <c r="M202" s="45" t="str" cm="1">
        <f t="array" aca="1" ref="M202" ca="1">IF(INDIRECT(_xlfn.CONCAT("'",IF(ISNUMBER(FIND("'",$A202))=TRUE,_xlfn.CONCAT(LEFT($A202,FIND("'",$A202)-1),"''",RIGHT($A202,LEN($A202)-FIND("'",$A202))),$A202),"'!B4"))&gt;=M$2,"d",IF(INDIRECT(_xlfn.CONCAT("'",IF(ISNUMBER(FIND("'",$A202))=TRUE,_xlfn.CONCAT(LEFT($A202,FIND("'",$A202)-1),"''",RIGHT($A202,LEN($A202)-FIND("'",$A202))),$A202),"'!B5"))&gt;=M$2,"i",""))</f>
        <v>d</v>
      </c>
      <c r="N202" s="157"/>
      <c r="O202" s="19" t="str" cm="1">
        <f t="array" aca="1" ref="O202" ca="1">IF(INDIRECT(_xlfn.CONCAT("'",IF(ISNUMBER(FIND("'",$A202))=TRUE,_xlfn.CONCAT(LEFT($A202,FIND("'",$A202)-1),"''",RIGHT($A202,LEN($A202)-FIND("'",$A202))),$A202),"'!C10"))&gt;=O$2,"d",IF(INDIRECT(_xlfn.CONCAT("'",IF(ISNUMBER(FIND("'",$A202))=TRUE,_xlfn.CONCAT(LEFT($A202,FIND("'",$A202)-1),"''",RIGHT($A202,LEN($A202)-FIND("'",$A202))),$A202),"'!C11"))&gt;=O$2,"i",""))</f>
        <v>d</v>
      </c>
      <c r="P202" s="44" t="str" cm="1">
        <f t="array" aca="1" ref="P202" ca="1">IF(INDIRECT(_xlfn.CONCAT("'",IF(ISNUMBER(FIND("'",$A202))=TRUE,_xlfn.CONCAT(LEFT($A202,FIND("'",$A202)-1),"''",RIGHT($A202,LEN($A202)-FIND("'",$A202))),$A202),"'!C10"))&gt;=P$2,"d",IF(INDIRECT(_xlfn.CONCAT("'",IF(ISNUMBER(FIND("'",$A202))=TRUE,_xlfn.CONCAT(LEFT($A202,FIND("'",$A202)-1),"''",RIGHT($A202,LEN($A202)-FIND("'",$A202))),$A202),"'!C11"))&gt;=P$2,"i",""))</f>
        <v>d</v>
      </c>
      <c r="Q202" s="44" t="str" cm="1">
        <f t="array" aca="1" ref="Q202" ca="1">IF(INDIRECT(_xlfn.CONCAT("'",IF(ISNUMBER(FIND("'",$A202))=TRUE,_xlfn.CONCAT(LEFT($A202,FIND("'",$A202)-1),"''",RIGHT($A202,LEN($A202)-FIND("'",$A202))),$A202),"'!C10"))&gt;=Q$2,"d",IF(INDIRECT(_xlfn.CONCAT("'",IF(ISNUMBER(FIND("'",$A202))=TRUE,_xlfn.CONCAT(LEFT($A202,FIND("'",$A202)-1),"''",RIGHT($A202,LEN($A202)-FIND("'",$A202))),$A202),"'!C11"))&gt;=Q$2,"i",""))</f>
        <v>d</v>
      </c>
      <c r="R202" s="44" t="str" cm="1">
        <f t="array" aca="1" ref="R202" ca="1">IF(INDIRECT(_xlfn.CONCAT("'",IF(ISNUMBER(FIND("'",$A202))=TRUE,_xlfn.CONCAT(LEFT($A202,FIND("'",$A202)-1),"''",RIGHT($A202,LEN($A202)-FIND("'",$A202))),$A202),"'!C10"))&gt;=R$2,"d",IF(INDIRECT(_xlfn.CONCAT("'",IF(ISNUMBER(FIND("'",$A202))=TRUE,_xlfn.CONCAT(LEFT($A202,FIND("'",$A202)-1),"''",RIGHT($A202,LEN($A202)-FIND("'",$A202))),$A202),"'!C11"))&gt;=R$2,"i",""))</f>
        <v>d</v>
      </c>
      <c r="S202" s="44" t="str" cm="1">
        <f t="array" aca="1" ref="S202" ca="1">IF(INDIRECT(_xlfn.CONCAT("'",IF(ISNUMBER(FIND("'",$A202))=TRUE,_xlfn.CONCAT(LEFT($A202,FIND("'",$A202)-1),"''",RIGHT($A202,LEN($A202)-FIND("'",$A202))),$A202),"'!C10"))&gt;=S$2,"d",IF(INDIRECT(_xlfn.CONCAT("'",IF(ISNUMBER(FIND("'",$A202))=TRUE,_xlfn.CONCAT(LEFT($A202,FIND("'",$A202)-1),"''",RIGHT($A202,LEN($A202)-FIND("'",$A202))),$A202),"'!C11"))&gt;=S$2,"i",""))</f>
        <v>d</v>
      </c>
      <c r="T202" s="45" t="str" cm="1">
        <f t="array" aca="1" ref="T202" ca="1">IF(INDIRECT(_xlfn.CONCAT("'",IF(ISNUMBER(FIND("'",$A202))=TRUE,_xlfn.CONCAT(LEFT($A202,FIND("'",$A202)-1),"''",RIGHT($A202,LEN($A202)-FIND("'",$A202))),$A202),"'!C10"))&gt;=T$2,"d",IF(INDIRECT(_xlfn.CONCAT("'",IF(ISNUMBER(FIND("'",$A202))=TRUE,_xlfn.CONCAT(LEFT($A202,FIND("'",$A202)-1),"''",RIGHT($A202,LEN($A202)-FIND("'",$A202))),$A202),"'!C11"))&gt;=T$2,"i",""))</f>
        <v>d</v>
      </c>
    </row>
    <row r="203" spans="1:20" hidden="1" x14ac:dyDescent="0.25">
      <c r="A203" s="135" t="str">
        <v>A Thousand Blazing Suns</v>
      </c>
      <c r="B203" s="19" cm="1">
        <f t="array" ref="B203">_xlfn.XLOOKUP(A203,INDEX(Weapon_List,,1),INDEX(Weapon_List,,3),,0,1)</f>
        <v>5</v>
      </c>
      <c r="C203" s="45" t="str" cm="1">
        <f t="array" ref="C203">_xlfn.XLOOKUP(A203,INDEX(Weapon_List,,1),INDEX(Weapon_List,,2),,0,1)</f>
        <v>Claymore</v>
      </c>
      <c r="D203" s="38" t="str" cm="1">
        <f t="array" ref="D203">_xlfn.XLOOKUP(A203,INDEX(Weapon_List,,1),INDEX(Weapon_List,,4),,0,1)</f>
        <v>Natlan 1</v>
      </c>
      <c r="E203" s="38" t="str" cm="1">
        <f t="array" ref="E203">_xlfn.XLOOKUP(A203,INDEX(Weapon_List,,1),INDEX(Weapon_List,,5),,0,1)</f>
        <v>Saurian</v>
      </c>
      <c r="F203" s="38" t="str" cm="1">
        <f t="array" ref="F203">_xlfn.XLOOKUP(A203,INDEX(Weapon_List,,1),INDEX(Weapon_List,,6),,0,1)</f>
        <v>Secret Source Automaton</v>
      </c>
      <c r="G203" s="19" t="str" cm="1">
        <f t="array" aca="1" ref="G203" ca="1">IF(INDIRECT(_xlfn.CONCAT("'",IF(ISNUMBER(FIND("'",$A203))=TRUE,_xlfn.CONCAT(LEFT($A203,FIND("'",$A203)-1),"''",RIGHT($A203,LEN($A203)-FIND("'",$A203))),$A203),"'!B4"))&gt;=G$2,"d",IF(INDIRECT(_xlfn.CONCAT("'",IF(ISNUMBER(FIND("'",$A203))=TRUE,_xlfn.CONCAT(LEFT($A203,FIND("'",$A203)-1),"''",RIGHT($A203,LEN($A203)-FIND("'",$A203))),$A203),"'!B5"))&gt;=G$2,"i",""))</f>
        <v>d</v>
      </c>
      <c r="H203" s="44" t="str" cm="1">
        <f t="array" aca="1" ref="H203" ca="1">IF(INDIRECT(_xlfn.CONCAT("'",IF(ISNUMBER(FIND("'",$A203))=TRUE,_xlfn.CONCAT(LEFT($A203,FIND("'",$A203)-1),"''",RIGHT($A203,LEN($A203)-FIND("'",$A203))),$A203),"'!B4"))&gt;=H$2,"d",IF(INDIRECT(_xlfn.CONCAT("'",IF(ISNUMBER(FIND("'",$A203))=TRUE,_xlfn.CONCAT(LEFT($A203,FIND("'",$A203)-1),"''",RIGHT($A203,LEN($A203)-FIND("'",$A203))),$A203),"'!B5"))&gt;=H$2,"i",""))</f>
        <v>d</v>
      </c>
      <c r="I203" s="44" t="str" cm="1">
        <f t="array" aca="1" ref="I203" ca="1">IF(INDIRECT(_xlfn.CONCAT("'",IF(ISNUMBER(FIND("'",$A203))=TRUE,_xlfn.CONCAT(LEFT($A203,FIND("'",$A203)-1),"''",RIGHT($A203,LEN($A203)-FIND("'",$A203))),$A203),"'!B4"))&gt;=I$2,"d",IF(INDIRECT(_xlfn.CONCAT("'",IF(ISNUMBER(FIND("'",$A203))=TRUE,_xlfn.CONCAT(LEFT($A203,FIND("'",$A203)-1),"''",RIGHT($A203,LEN($A203)-FIND("'",$A203))),$A203),"'!B5"))&gt;=I$2,"i",""))</f>
        <v>d</v>
      </c>
      <c r="J203" s="44" t="str" cm="1">
        <f t="array" aca="1" ref="J203" ca="1">IF(INDIRECT(_xlfn.CONCAT("'",IF(ISNUMBER(FIND("'",$A203))=TRUE,_xlfn.CONCAT(LEFT($A203,FIND("'",$A203)-1),"''",RIGHT($A203,LEN($A203)-FIND("'",$A203))),$A203),"'!B4"))&gt;=J$2,"d",IF(INDIRECT(_xlfn.CONCAT("'",IF(ISNUMBER(FIND("'",$A203))=TRUE,_xlfn.CONCAT(LEFT($A203,FIND("'",$A203)-1),"''",RIGHT($A203,LEN($A203)-FIND("'",$A203))),$A203),"'!B5"))&gt;=J$2,"i",""))</f>
        <v>d</v>
      </c>
      <c r="K203" s="44" t="str" cm="1">
        <f t="array" aca="1" ref="K203" ca="1">IF(INDIRECT(_xlfn.CONCAT("'",IF(ISNUMBER(FIND("'",$A203))=TRUE,_xlfn.CONCAT(LEFT($A203,FIND("'",$A203)-1),"''",RIGHT($A203,LEN($A203)-FIND("'",$A203))),$A203),"'!B4"))&gt;=K$2,"d",IF(INDIRECT(_xlfn.CONCAT("'",IF(ISNUMBER(FIND("'",$A203))=TRUE,_xlfn.CONCAT(LEFT($A203,FIND("'",$A203)-1),"''",RIGHT($A203,LEN($A203)-FIND("'",$A203))),$A203),"'!B5"))&gt;=K$2,"i",""))</f>
        <v>d</v>
      </c>
      <c r="L203" s="44" t="str" cm="1">
        <f t="array" aca="1" ref="L203" ca="1">IF(INDIRECT(_xlfn.CONCAT("'",IF(ISNUMBER(FIND("'",$A203))=TRUE,_xlfn.CONCAT(LEFT($A203,FIND("'",$A203)-1),"''",RIGHT($A203,LEN($A203)-FIND("'",$A203))),$A203),"'!B4"))&gt;=L$2,"d",IF(INDIRECT(_xlfn.CONCAT("'",IF(ISNUMBER(FIND("'",$A203))=TRUE,_xlfn.CONCAT(LEFT($A203,FIND("'",$A203)-1),"''",RIGHT($A203,LEN($A203)-FIND("'",$A203))),$A203),"'!B5"))&gt;=L$2,"i",""))</f>
        <v>d</v>
      </c>
      <c r="M203" s="45" t="str" cm="1">
        <f t="array" aca="1" ref="M203" ca="1">IF(INDIRECT(_xlfn.CONCAT("'",IF(ISNUMBER(FIND("'",$A203))=TRUE,_xlfn.CONCAT(LEFT($A203,FIND("'",$A203)-1),"''",RIGHT($A203,LEN($A203)-FIND("'",$A203))),$A203),"'!B4"))&gt;=M$2,"d",IF(INDIRECT(_xlfn.CONCAT("'",IF(ISNUMBER(FIND("'",$A203))=TRUE,_xlfn.CONCAT(LEFT($A203,FIND("'",$A203)-1),"''",RIGHT($A203,LEN($A203)-FIND("'",$A203))),$A203),"'!B5"))&gt;=M$2,"i",""))</f>
        <v>d</v>
      </c>
      <c r="N203" s="157"/>
      <c r="O203" s="19" t="str" cm="1">
        <f t="array" aca="1" ref="O203" ca="1">IF(INDIRECT(_xlfn.CONCAT("'",IF(ISNUMBER(FIND("'",$A203))=TRUE,_xlfn.CONCAT(LEFT($A203,FIND("'",$A203)-1),"''",RIGHT($A203,LEN($A203)-FIND("'",$A203))),$A203),"'!C10"))&gt;=O$2,"d",IF(INDIRECT(_xlfn.CONCAT("'",IF(ISNUMBER(FIND("'",$A203))=TRUE,_xlfn.CONCAT(LEFT($A203,FIND("'",$A203)-1),"''",RIGHT($A203,LEN($A203)-FIND("'",$A203))),$A203),"'!C11"))&gt;=O$2,"i",""))</f>
        <v>d</v>
      </c>
      <c r="P203" s="44" t="str" cm="1">
        <f t="array" aca="1" ref="P203" ca="1">IF(INDIRECT(_xlfn.CONCAT("'",IF(ISNUMBER(FIND("'",$A203))=TRUE,_xlfn.CONCAT(LEFT($A203,FIND("'",$A203)-1),"''",RIGHT($A203,LEN($A203)-FIND("'",$A203))),$A203),"'!C10"))&gt;=P$2,"d",IF(INDIRECT(_xlfn.CONCAT("'",IF(ISNUMBER(FIND("'",$A203))=TRUE,_xlfn.CONCAT(LEFT($A203,FIND("'",$A203)-1),"''",RIGHT($A203,LEN($A203)-FIND("'",$A203))),$A203),"'!C11"))&gt;=P$2,"i",""))</f>
        <v>d</v>
      </c>
      <c r="Q203" s="44" t="str" cm="1">
        <f t="array" aca="1" ref="Q203" ca="1">IF(INDIRECT(_xlfn.CONCAT("'",IF(ISNUMBER(FIND("'",$A203))=TRUE,_xlfn.CONCAT(LEFT($A203,FIND("'",$A203)-1),"''",RIGHT($A203,LEN($A203)-FIND("'",$A203))),$A203),"'!C10"))&gt;=Q$2,"d",IF(INDIRECT(_xlfn.CONCAT("'",IF(ISNUMBER(FIND("'",$A203))=TRUE,_xlfn.CONCAT(LEFT($A203,FIND("'",$A203)-1),"''",RIGHT($A203,LEN($A203)-FIND("'",$A203))),$A203),"'!C11"))&gt;=Q$2,"i",""))</f>
        <v>d</v>
      </c>
      <c r="R203" s="44" t="str" cm="1">
        <f t="array" aca="1" ref="R203" ca="1">IF(INDIRECT(_xlfn.CONCAT("'",IF(ISNUMBER(FIND("'",$A203))=TRUE,_xlfn.CONCAT(LEFT($A203,FIND("'",$A203)-1),"''",RIGHT($A203,LEN($A203)-FIND("'",$A203))),$A203),"'!C10"))&gt;=R$2,"d",IF(INDIRECT(_xlfn.CONCAT("'",IF(ISNUMBER(FIND("'",$A203))=TRUE,_xlfn.CONCAT(LEFT($A203,FIND("'",$A203)-1),"''",RIGHT($A203,LEN($A203)-FIND("'",$A203))),$A203),"'!C11"))&gt;=R$2,"i",""))</f>
        <v>d</v>
      </c>
      <c r="S203" s="44" t="str" cm="1">
        <f t="array" aca="1" ref="S203" ca="1">IF(INDIRECT(_xlfn.CONCAT("'",IF(ISNUMBER(FIND("'",$A203))=TRUE,_xlfn.CONCAT(LEFT($A203,FIND("'",$A203)-1),"''",RIGHT($A203,LEN($A203)-FIND("'",$A203))),$A203),"'!C10"))&gt;=S$2,"d",IF(INDIRECT(_xlfn.CONCAT("'",IF(ISNUMBER(FIND("'",$A203))=TRUE,_xlfn.CONCAT(LEFT($A203,FIND("'",$A203)-1),"''",RIGHT($A203,LEN($A203)-FIND("'",$A203))),$A203),"'!C11"))&gt;=S$2,"i",""))</f>
        <v>d</v>
      </c>
      <c r="T203" s="45" t="str" cm="1">
        <f t="array" aca="1" ref="T203" ca="1">IF(INDIRECT(_xlfn.CONCAT("'",IF(ISNUMBER(FIND("'",$A203))=TRUE,_xlfn.CONCAT(LEFT($A203,FIND("'",$A203)-1),"''",RIGHT($A203,LEN($A203)-FIND("'",$A203))),$A203),"'!C10"))&gt;=T$2,"d",IF(INDIRECT(_xlfn.CONCAT("'",IF(ISNUMBER(FIND("'",$A203))=TRUE,_xlfn.CONCAT(LEFT($A203,FIND("'",$A203)-1),"''",RIGHT($A203,LEN($A203)-FIND("'",$A203))),$A203),"'!C11"))&gt;=T$2,"i",""))</f>
        <v>d</v>
      </c>
    </row>
    <row r="204" spans="1:20" hidden="1" x14ac:dyDescent="0.25">
      <c r="A204" s="135" t="str">
        <v>Starcaller’s Watch</v>
      </c>
      <c r="B204" s="19" cm="1">
        <f t="array" ref="B204">_xlfn.XLOOKUP(A204,INDEX(Weapon_List,,1),INDEX(Weapon_List,,3),,0,1)</f>
        <v>5</v>
      </c>
      <c r="C204" s="45" t="str" cm="1">
        <f t="array" ref="C204">_xlfn.XLOOKUP(A204,INDEX(Weapon_List,,1),INDEX(Weapon_List,,2),,0,1)</f>
        <v>Catalyst</v>
      </c>
      <c r="D204" s="38" t="str" cm="1">
        <f t="array" ref="D204">_xlfn.XLOOKUP(A204,INDEX(Weapon_List,,1),INDEX(Weapon_List,,4),,0,1)</f>
        <v>Natlan 2</v>
      </c>
      <c r="E204" s="38" t="str" cm="1">
        <f t="array" ref="E204">_xlfn.XLOOKUP(A204,INDEX(Weapon_List,,1),INDEX(Weapon_List,,5),,0,1)</f>
        <v>Sauroform Tribal Warrior</v>
      </c>
      <c r="F204" s="38" t="str" cm="1">
        <f t="array" ref="F204">_xlfn.XLOOKUP(A204,INDEX(Weapon_List,,1),INDEX(Weapon_List,,6),,0,1)</f>
        <v>Wayob Manifestation</v>
      </c>
      <c r="G204" s="19" t="str" cm="1">
        <f t="array" aca="1" ref="G204" ca="1">IF(INDIRECT(_xlfn.CONCAT("'",IF(ISNUMBER(FIND("'",$A204))=TRUE,_xlfn.CONCAT(LEFT($A204,FIND("'",$A204)-1),"''",RIGHT($A204,LEN($A204)-FIND("'",$A204))),$A204),"'!B4"))&gt;=G$2,"d",IF(INDIRECT(_xlfn.CONCAT("'",IF(ISNUMBER(FIND("'",$A204))=TRUE,_xlfn.CONCAT(LEFT($A204,FIND("'",$A204)-1),"''",RIGHT($A204,LEN($A204)-FIND("'",$A204))),$A204),"'!B5"))&gt;=G$2,"i",""))</f>
        <v>d</v>
      </c>
      <c r="H204" s="44" t="str" cm="1">
        <f t="array" aca="1" ref="H204" ca="1">IF(INDIRECT(_xlfn.CONCAT("'",IF(ISNUMBER(FIND("'",$A204))=TRUE,_xlfn.CONCAT(LEFT($A204,FIND("'",$A204)-1),"''",RIGHT($A204,LEN($A204)-FIND("'",$A204))),$A204),"'!B4"))&gt;=H$2,"d",IF(INDIRECT(_xlfn.CONCAT("'",IF(ISNUMBER(FIND("'",$A204))=TRUE,_xlfn.CONCAT(LEFT($A204,FIND("'",$A204)-1),"''",RIGHT($A204,LEN($A204)-FIND("'",$A204))),$A204),"'!B5"))&gt;=H$2,"i",""))</f>
        <v>d</v>
      </c>
      <c r="I204" s="44" t="str" cm="1">
        <f t="array" aca="1" ref="I204" ca="1">IF(INDIRECT(_xlfn.CONCAT("'",IF(ISNUMBER(FIND("'",$A204))=TRUE,_xlfn.CONCAT(LEFT($A204,FIND("'",$A204)-1),"''",RIGHT($A204,LEN($A204)-FIND("'",$A204))),$A204),"'!B4"))&gt;=I$2,"d",IF(INDIRECT(_xlfn.CONCAT("'",IF(ISNUMBER(FIND("'",$A204))=TRUE,_xlfn.CONCAT(LEFT($A204,FIND("'",$A204)-1),"''",RIGHT($A204,LEN($A204)-FIND("'",$A204))),$A204),"'!B5"))&gt;=I$2,"i",""))</f>
        <v>d</v>
      </c>
      <c r="J204" s="44" t="str" cm="1">
        <f t="array" aca="1" ref="J204" ca="1">IF(INDIRECT(_xlfn.CONCAT("'",IF(ISNUMBER(FIND("'",$A204))=TRUE,_xlfn.CONCAT(LEFT($A204,FIND("'",$A204)-1),"''",RIGHT($A204,LEN($A204)-FIND("'",$A204))),$A204),"'!B4"))&gt;=J$2,"d",IF(INDIRECT(_xlfn.CONCAT("'",IF(ISNUMBER(FIND("'",$A204))=TRUE,_xlfn.CONCAT(LEFT($A204,FIND("'",$A204)-1),"''",RIGHT($A204,LEN($A204)-FIND("'",$A204))),$A204),"'!B5"))&gt;=J$2,"i",""))</f>
        <v>d</v>
      </c>
      <c r="K204" s="44" t="str" cm="1">
        <f t="array" aca="1" ref="K204" ca="1">IF(INDIRECT(_xlfn.CONCAT("'",IF(ISNUMBER(FIND("'",$A204))=TRUE,_xlfn.CONCAT(LEFT($A204,FIND("'",$A204)-1),"''",RIGHT($A204,LEN($A204)-FIND("'",$A204))),$A204),"'!B4"))&gt;=K$2,"d",IF(INDIRECT(_xlfn.CONCAT("'",IF(ISNUMBER(FIND("'",$A204))=TRUE,_xlfn.CONCAT(LEFT($A204,FIND("'",$A204)-1),"''",RIGHT($A204,LEN($A204)-FIND("'",$A204))),$A204),"'!B5"))&gt;=K$2,"i",""))</f>
        <v>d</v>
      </c>
      <c r="L204" s="44" t="str" cm="1">
        <f t="array" aca="1" ref="L204" ca="1">IF(INDIRECT(_xlfn.CONCAT("'",IF(ISNUMBER(FIND("'",$A204))=TRUE,_xlfn.CONCAT(LEFT($A204,FIND("'",$A204)-1),"''",RIGHT($A204,LEN($A204)-FIND("'",$A204))),$A204),"'!B4"))&gt;=L$2,"d",IF(INDIRECT(_xlfn.CONCAT("'",IF(ISNUMBER(FIND("'",$A204))=TRUE,_xlfn.CONCAT(LEFT($A204,FIND("'",$A204)-1),"''",RIGHT($A204,LEN($A204)-FIND("'",$A204))),$A204),"'!B5"))&gt;=L$2,"i",""))</f>
        <v>d</v>
      </c>
      <c r="M204" s="45" t="str" cm="1">
        <f t="array" aca="1" ref="M204" ca="1">IF(INDIRECT(_xlfn.CONCAT("'",IF(ISNUMBER(FIND("'",$A204))=TRUE,_xlfn.CONCAT(LEFT($A204,FIND("'",$A204)-1),"''",RIGHT($A204,LEN($A204)-FIND("'",$A204))),$A204),"'!B4"))&gt;=M$2,"d",IF(INDIRECT(_xlfn.CONCAT("'",IF(ISNUMBER(FIND("'",$A204))=TRUE,_xlfn.CONCAT(LEFT($A204,FIND("'",$A204)-1),"''",RIGHT($A204,LEN($A204)-FIND("'",$A204))),$A204),"'!B5"))&gt;=M$2,"i",""))</f>
        <v>d</v>
      </c>
      <c r="N204" s="157"/>
      <c r="O204" s="19" t="str" cm="1">
        <f t="array" aca="1" ref="O204" ca="1">IF(INDIRECT(_xlfn.CONCAT("'",IF(ISNUMBER(FIND("'",$A204))=TRUE,_xlfn.CONCAT(LEFT($A204,FIND("'",$A204)-1),"''",RIGHT($A204,LEN($A204)-FIND("'",$A204))),$A204),"'!C10"))&gt;=O$2,"d",IF(INDIRECT(_xlfn.CONCAT("'",IF(ISNUMBER(FIND("'",$A204))=TRUE,_xlfn.CONCAT(LEFT($A204,FIND("'",$A204)-1),"''",RIGHT($A204,LEN($A204)-FIND("'",$A204))),$A204),"'!C11"))&gt;=O$2,"i",""))</f>
        <v>d</v>
      </c>
      <c r="P204" s="44" t="str" cm="1">
        <f t="array" aca="1" ref="P204" ca="1">IF(INDIRECT(_xlfn.CONCAT("'",IF(ISNUMBER(FIND("'",$A204))=TRUE,_xlfn.CONCAT(LEFT($A204,FIND("'",$A204)-1),"''",RIGHT($A204,LEN($A204)-FIND("'",$A204))),$A204),"'!C10"))&gt;=P$2,"d",IF(INDIRECT(_xlfn.CONCAT("'",IF(ISNUMBER(FIND("'",$A204))=TRUE,_xlfn.CONCAT(LEFT($A204,FIND("'",$A204)-1),"''",RIGHT($A204,LEN($A204)-FIND("'",$A204))),$A204),"'!C11"))&gt;=P$2,"i",""))</f>
        <v>d</v>
      </c>
      <c r="Q204" s="44" t="str" cm="1">
        <f t="array" aca="1" ref="Q204" ca="1">IF(INDIRECT(_xlfn.CONCAT("'",IF(ISNUMBER(FIND("'",$A204))=TRUE,_xlfn.CONCAT(LEFT($A204,FIND("'",$A204)-1),"''",RIGHT($A204,LEN($A204)-FIND("'",$A204))),$A204),"'!C10"))&gt;=Q$2,"d",IF(INDIRECT(_xlfn.CONCAT("'",IF(ISNUMBER(FIND("'",$A204))=TRUE,_xlfn.CONCAT(LEFT($A204,FIND("'",$A204)-1),"''",RIGHT($A204,LEN($A204)-FIND("'",$A204))),$A204),"'!C11"))&gt;=Q$2,"i",""))</f>
        <v>d</v>
      </c>
      <c r="R204" s="44" t="str" cm="1">
        <f t="array" aca="1" ref="R204" ca="1">IF(INDIRECT(_xlfn.CONCAT("'",IF(ISNUMBER(FIND("'",$A204))=TRUE,_xlfn.CONCAT(LEFT($A204,FIND("'",$A204)-1),"''",RIGHT($A204,LEN($A204)-FIND("'",$A204))),$A204),"'!C10"))&gt;=R$2,"d",IF(INDIRECT(_xlfn.CONCAT("'",IF(ISNUMBER(FIND("'",$A204))=TRUE,_xlfn.CONCAT(LEFT($A204,FIND("'",$A204)-1),"''",RIGHT($A204,LEN($A204)-FIND("'",$A204))),$A204),"'!C11"))&gt;=R$2,"i",""))</f>
        <v>d</v>
      </c>
      <c r="S204" s="44" t="str" cm="1">
        <f t="array" aca="1" ref="S204" ca="1">IF(INDIRECT(_xlfn.CONCAT("'",IF(ISNUMBER(FIND("'",$A204))=TRUE,_xlfn.CONCAT(LEFT($A204,FIND("'",$A204)-1),"''",RIGHT($A204,LEN($A204)-FIND("'",$A204))),$A204),"'!C10"))&gt;=S$2,"d",IF(INDIRECT(_xlfn.CONCAT("'",IF(ISNUMBER(FIND("'",$A204))=TRUE,_xlfn.CONCAT(LEFT($A204,FIND("'",$A204)-1),"''",RIGHT($A204,LEN($A204)-FIND("'",$A204))),$A204),"'!C11"))&gt;=S$2,"i",""))</f>
        <v>d</v>
      </c>
      <c r="T204" s="45" t="str" cm="1">
        <f t="array" aca="1" ref="T204" ca="1">IF(INDIRECT(_xlfn.CONCAT("'",IF(ISNUMBER(FIND("'",$A204))=TRUE,_xlfn.CONCAT(LEFT($A204,FIND("'",$A204)-1),"''",RIGHT($A204,LEN($A204)-FIND("'",$A204))),$A204),"'!C10"))&gt;=T$2,"d",IF(INDIRECT(_xlfn.CONCAT("'",IF(ISNUMBER(FIND("'",$A204))=TRUE,_xlfn.CONCAT(LEFT($A204,FIND("'",$A204)-1),"''",RIGHT($A204,LEN($A204)-FIND("'",$A204))),$A204),"'!C11"))&gt;=T$2,"i",""))</f>
        <v>d</v>
      </c>
    </row>
    <row r="205" spans="1:20" hidden="1" x14ac:dyDescent="0.25">
      <c r="A205" s="135" t="str">
        <v>Sunny Morning Sleep-In</v>
      </c>
      <c r="B205" s="19" cm="1">
        <f t="array" ref="B205">_xlfn.XLOOKUP(A205,INDEX(Weapon_List,,1),INDEX(Weapon_List,,3),,0,1)</f>
        <v>5</v>
      </c>
      <c r="C205" s="45" t="str" cm="1">
        <f t="array" ref="C205">_xlfn.XLOOKUP(A205,INDEX(Weapon_List,,1),INDEX(Weapon_List,,2),,0,1)</f>
        <v>Catalyst</v>
      </c>
      <c r="D205" s="38" t="str" cm="1">
        <f t="array" ref="D205">_xlfn.XLOOKUP(A205,INDEX(Weapon_List,,1),INDEX(Weapon_List,,4),,0,1)</f>
        <v>Inazuma 2</v>
      </c>
      <c r="E205" s="38" t="str" cm="1">
        <f t="array" ref="E205">_xlfn.XLOOKUP(A205,INDEX(Weapon_List,,1),INDEX(Weapon_List,,5),,0,1)</f>
        <v>Specter</v>
      </c>
      <c r="F205" s="38" t="str" cm="1">
        <f t="array" ref="F205">_xlfn.XLOOKUP(A205,INDEX(Weapon_List,,1),INDEX(Weapon_List,,6),,0,1)</f>
        <v>Avatar of Lava</v>
      </c>
      <c r="G205" s="19" t="str" cm="1">
        <f t="array" aca="1" ref="G205" ca="1">IF(INDIRECT(_xlfn.CONCAT("'",IF(ISNUMBER(FIND("'",$A205))=TRUE,_xlfn.CONCAT(LEFT($A205,FIND("'",$A205)-1),"''",RIGHT($A205,LEN($A205)-FIND("'",$A205))),$A205),"'!B4"))&gt;=G$2,"d",IF(INDIRECT(_xlfn.CONCAT("'",IF(ISNUMBER(FIND("'",$A205))=TRUE,_xlfn.CONCAT(LEFT($A205,FIND("'",$A205)-1),"''",RIGHT($A205,LEN($A205)-FIND("'",$A205))),$A205),"'!B5"))&gt;=G$2,"i",""))</f>
        <v>d</v>
      </c>
      <c r="H205" s="44" t="str" cm="1">
        <f t="array" aca="1" ref="H205" ca="1">IF(INDIRECT(_xlfn.CONCAT("'",IF(ISNUMBER(FIND("'",$A205))=TRUE,_xlfn.CONCAT(LEFT($A205,FIND("'",$A205)-1),"''",RIGHT($A205,LEN($A205)-FIND("'",$A205))),$A205),"'!B4"))&gt;=H$2,"d",IF(INDIRECT(_xlfn.CONCAT("'",IF(ISNUMBER(FIND("'",$A205))=TRUE,_xlfn.CONCAT(LEFT($A205,FIND("'",$A205)-1),"''",RIGHT($A205,LEN($A205)-FIND("'",$A205))),$A205),"'!B5"))&gt;=H$2,"i",""))</f>
        <v>d</v>
      </c>
      <c r="I205" s="44" t="str" cm="1">
        <f t="array" aca="1" ref="I205" ca="1">IF(INDIRECT(_xlfn.CONCAT("'",IF(ISNUMBER(FIND("'",$A205))=TRUE,_xlfn.CONCAT(LEFT($A205,FIND("'",$A205)-1),"''",RIGHT($A205,LEN($A205)-FIND("'",$A205))),$A205),"'!B4"))&gt;=I$2,"d",IF(INDIRECT(_xlfn.CONCAT("'",IF(ISNUMBER(FIND("'",$A205))=TRUE,_xlfn.CONCAT(LEFT($A205,FIND("'",$A205)-1),"''",RIGHT($A205,LEN($A205)-FIND("'",$A205))),$A205),"'!B5"))&gt;=I$2,"i",""))</f>
        <v>d</v>
      </c>
      <c r="J205" s="44" t="str" cm="1">
        <f t="array" aca="1" ref="J205" ca="1">IF(INDIRECT(_xlfn.CONCAT("'",IF(ISNUMBER(FIND("'",$A205))=TRUE,_xlfn.CONCAT(LEFT($A205,FIND("'",$A205)-1),"''",RIGHT($A205,LEN($A205)-FIND("'",$A205))),$A205),"'!B4"))&gt;=J$2,"d",IF(INDIRECT(_xlfn.CONCAT("'",IF(ISNUMBER(FIND("'",$A205))=TRUE,_xlfn.CONCAT(LEFT($A205,FIND("'",$A205)-1),"''",RIGHT($A205,LEN($A205)-FIND("'",$A205))),$A205),"'!B5"))&gt;=J$2,"i",""))</f>
        <v>d</v>
      </c>
      <c r="K205" s="44" t="str" cm="1">
        <f t="array" aca="1" ref="K205" ca="1">IF(INDIRECT(_xlfn.CONCAT("'",IF(ISNUMBER(FIND("'",$A205))=TRUE,_xlfn.CONCAT(LEFT($A205,FIND("'",$A205)-1),"''",RIGHT($A205,LEN($A205)-FIND("'",$A205))),$A205),"'!B4"))&gt;=K$2,"d",IF(INDIRECT(_xlfn.CONCAT("'",IF(ISNUMBER(FIND("'",$A205))=TRUE,_xlfn.CONCAT(LEFT($A205,FIND("'",$A205)-1),"''",RIGHT($A205,LEN($A205)-FIND("'",$A205))),$A205),"'!B5"))&gt;=K$2,"i",""))</f>
        <v>d</v>
      </c>
      <c r="L205" s="44" t="str" cm="1">
        <f t="array" aca="1" ref="L205" ca="1">IF(INDIRECT(_xlfn.CONCAT("'",IF(ISNUMBER(FIND("'",$A205))=TRUE,_xlfn.CONCAT(LEFT($A205,FIND("'",$A205)-1),"''",RIGHT($A205,LEN($A205)-FIND("'",$A205))),$A205),"'!B4"))&gt;=L$2,"d",IF(INDIRECT(_xlfn.CONCAT("'",IF(ISNUMBER(FIND("'",$A205))=TRUE,_xlfn.CONCAT(LEFT($A205,FIND("'",$A205)-1),"''",RIGHT($A205,LEN($A205)-FIND("'",$A205))),$A205),"'!B5"))&gt;=L$2,"i",""))</f>
        <v>d</v>
      </c>
      <c r="M205" s="45" t="str" cm="1">
        <f t="array" aca="1" ref="M205" ca="1">IF(INDIRECT(_xlfn.CONCAT("'",IF(ISNUMBER(FIND("'",$A205))=TRUE,_xlfn.CONCAT(LEFT($A205,FIND("'",$A205)-1),"''",RIGHT($A205,LEN($A205)-FIND("'",$A205))),$A205),"'!B4"))&gt;=M$2,"d",IF(INDIRECT(_xlfn.CONCAT("'",IF(ISNUMBER(FIND("'",$A205))=TRUE,_xlfn.CONCAT(LEFT($A205,FIND("'",$A205)-1),"''",RIGHT($A205,LEN($A205)-FIND("'",$A205))),$A205),"'!B5"))&gt;=M$2,"i",""))</f>
        <v>d</v>
      </c>
      <c r="N205" s="157"/>
      <c r="O205" s="19" t="str" cm="1">
        <f t="array" aca="1" ref="O205" ca="1">IF(INDIRECT(_xlfn.CONCAT("'",IF(ISNUMBER(FIND("'",$A205))=TRUE,_xlfn.CONCAT(LEFT($A205,FIND("'",$A205)-1),"''",RIGHT($A205,LEN($A205)-FIND("'",$A205))),$A205),"'!C10"))&gt;=O$2,"d",IF(INDIRECT(_xlfn.CONCAT("'",IF(ISNUMBER(FIND("'",$A205))=TRUE,_xlfn.CONCAT(LEFT($A205,FIND("'",$A205)-1),"''",RIGHT($A205,LEN($A205)-FIND("'",$A205))),$A205),"'!C11"))&gt;=O$2,"i",""))</f>
        <v>d</v>
      </c>
      <c r="P205" s="44" t="str" cm="1">
        <f t="array" aca="1" ref="P205" ca="1">IF(INDIRECT(_xlfn.CONCAT("'",IF(ISNUMBER(FIND("'",$A205))=TRUE,_xlfn.CONCAT(LEFT($A205,FIND("'",$A205)-1),"''",RIGHT($A205,LEN($A205)-FIND("'",$A205))),$A205),"'!C10"))&gt;=P$2,"d",IF(INDIRECT(_xlfn.CONCAT("'",IF(ISNUMBER(FIND("'",$A205))=TRUE,_xlfn.CONCAT(LEFT($A205,FIND("'",$A205)-1),"''",RIGHT($A205,LEN($A205)-FIND("'",$A205))),$A205),"'!C11"))&gt;=P$2,"i",""))</f>
        <v>d</v>
      </c>
      <c r="Q205" s="44" t="str" cm="1">
        <f t="array" aca="1" ref="Q205" ca="1">IF(INDIRECT(_xlfn.CONCAT("'",IF(ISNUMBER(FIND("'",$A205))=TRUE,_xlfn.CONCAT(LEFT($A205,FIND("'",$A205)-1),"''",RIGHT($A205,LEN($A205)-FIND("'",$A205))),$A205),"'!C10"))&gt;=Q$2,"d",IF(INDIRECT(_xlfn.CONCAT("'",IF(ISNUMBER(FIND("'",$A205))=TRUE,_xlfn.CONCAT(LEFT($A205,FIND("'",$A205)-1),"''",RIGHT($A205,LEN($A205)-FIND("'",$A205))),$A205),"'!C11"))&gt;=Q$2,"i",""))</f>
        <v>d</v>
      </c>
      <c r="R205" s="44" t="str" cm="1">
        <f t="array" aca="1" ref="R205" ca="1">IF(INDIRECT(_xlfn.CONCAT("'",IF(ISNUMBER(FIND("'",$A205))=TRUE,_xlfn.CONCAT(LEFT($A205,FIND("'",$A205)-1),"''",RIGHT($A205,LEN($A205)-FIND("'",$A205))),$A205),"'!C10"))&gt;=R$2,"d",IF(INDIRECT(_xlfn.CONCAT("'",IF(ISNUMBER(FIND("'",$A205))=TRUE,_xlfn.CONCAT(LEFT($A205,FIND("'",$A205)-1),"''",RIGHT($A205,LEN($A205)-FIND("'",$A205))),$A205),"'!C11"))&gt;=R$2,"i",""))</f>
        <v>d</v>
      </c>
      <c r="S205" s="44" t="str" cm="1">
        <f t="array" aca="1" ref="S205" ca="1">IF(INDIRECT(_xlfn.CONCAT("'",IF(ISNUMBER(FIND("'",$A205))=TRUE,_xlfn.CONCAT(LEFT($A205,FIND("'",$A205)-1),"''",RIGHT($A205,LEN($A205)-FIND("'",$A205))),$A205),"'!C10"))&gt;=S$2,"d",IF(INDIRECT(_xlfn.CONCAT("'",IF(ISNUMBER(FIND("'",$A205))=TRUE,_xlfn.CONCAT(LEFT($A205,FIND("'",$A205)-1),"''",RIGHT($A205,LEN($A205)-FIND("'",$A205))),$A205),"'!C11"))&gt;=S$2,"i",""))</f>
        <v>d</v>
      </c>
      <c r="T205" s="45" t="str" cm="1">
        <f t="array" aca="1" ref="T205" ca="1">IF(INDIRECT(_xlfn.CONCAT("'",IF(ISNUMBER(FIND("'",$A205))=TRUE,_xlfn.CONCAT(LEFT($A205,FIND("'",$A205)-1),"''",RIGHT($A205,LEN($A205)-FIND("'",$A205))),$A205),"'!C10"))&gt;=T$2,"d",IF(INDIRECT(_xlfn.CONCAT("'",IF(ISNUMBER(FIND("'",$A205))=TRUE,_xlfn.CONCAT(LEFT($A205,FIND("'",$A205)-1),"''",RIGHT($A205,LEN($A205)-FIND("'",$A205))),$A205),"'!C11"))&gt;=T$2,"i",""))</f>
        <v>d</v>
      </c>
    </row>
    <row r="206" spans="1:20" hidden="1" x14ac:dyDescent="0.25">
      <c r="A206" s="135" t="str">
        <v>Tamayuratei no Ohanashi</v>
      </c>
      <c r="B206" s="19" cm="1">
        <f t="array" ref="B206">_xlfn.XLOOKUP(A206,INDEX(Weapon_List,,1),INDEX(Weapon_List,,3),,0,1)</f>
        <v>4</v>
      </c>
      <c r="C206" s="45" t="str" cm="1">
        <f t="array" ref="C206">_xlfn.XLOOKUP(A206,INDEX(Weapon_List,,1),INDEX(Weapon_List,,2),,0,1)</f>
        <v>Polearm</v>
      </c>
      <c r="D206" s="38" t="str" cm="1">
        <f t="array" ref="D206">_xlfn.XLOOKUP(A206,INDEX(Weapon_List,,1),INDEX(Weapon_List,,4),,0,1)</f>
        <v>Inazuma 3</v>
      </c>
      <c r="E206" s="38" t="str" cm="1">
        <f t="array" ref="E206">_xlfn.XLOOKUP(A206,INDEX(Weapon_List,,1),INDEX(Weapon_List,,5),,0,1)</f>
        <v>Nobushi</v>
      </c>
      <c r="F206" s="38" t="str" cm="1">
        <f t="array" ref="F206">_xlfn.XLOOKUP(A206,INDEX(Weapon_List,,1),INDEX(Weapon_List,,6),,0,1)</f>
        <v>Tenebrous Mimiflora</v>
      </c>
      <c r="G206" s="19" t="str" cm="1">
        <f t="array" aca="1" ref="G206" ca="1">IF(INDIRECT(_xlfn.CONCAT("'",IF(ISNUMBER(FIND("'",$A206))=TRUE,_xlfn.CONCAT(LEFT($A206,FIND("'",$A206)-1),"''",RIGHT($A206,LEN($A206)-FIND("'",$A206))),$A206),"'!B4"))&gt;=G$2,"d",IF(INDIRECT(_xlfn.CONCAT("'",IF(ISNUMBER(FIND("'",$A206))=TRUE,_xlfn.CONCAT(LEFT($A206,FIND("'",$A206)-1),"''",RIGHT($A206,LEN($A206)-FIND("'",$A206))),$A206),"'!B5"))&gt;=G$2,"i",""))</f>
        <v>d</v>
      </c>
      <c r="H206" s="44" t="str" cm="1">
        <f t="array" aca="1" ref="H206" ca="1">IF(INDIRECT(_xlfn.CONCAT("'",IF(ISNUMBER(FIND("'",$A206))=TRUE,_xlfn.CONCAT(LEFT($A206,FIND("'",$A206)-1),"''",RIGHT($A206,LEN($A206)-FIND("'",$A206))),$A206),"'!B4"))&gt;=H$2,"d",IF(INDIRECT(_xlfn.CONCAT("'",IF(ISNUMBER(FIND("'",$A206))=TRUE,_xlfn.CONCAT(LEFT($A206,FIND("'",$A206)-1),"''",RIGHT($A206,LEN($A206)-FIND("'",$A206))),$A206),"'!B5"))&gt;=H$2,"i",""))</f>
        <v>d</v>
      </c>
      <c r="I206" s="44" t="str" cm="1">
        <f t="array" aca="1" ref="I206" ca="1">IF(INDIRECT(_xlfn.CONCAT("'",IF(ISNUMBER(FIND("'",$A206))=TRUE,_xlfn.CONCAT(LEFT($A206,FIND("'",$A206)-1),"''",RIGHT($A206,LEN($A206)-FIND("'",$A206))),$A206),"'!B4"))&gt;=I$2,"d",IF(INDIRECT(_xlfn.CONCAT("'",IF(ISNUMBER(FIND("'",$A206))=TRUE,_xlfn.CONCAT(LEFT($A206,FIND("'",$A206)-1),"''",RIGHT($A206,LEN($A206)-FIND("'",$A206))),$A206),"'!B5"))&gt;=I$2,"i",""))</f>
        <v>d</v>
      </c>
      <c r="J206" s="44" t="str" cm="1">
        <f t="array" aca="1" ref="J206" ca="1">IF(INDIRECT(_xlfn.CONCAT("'",IF(ISNUMBER(FIND("'",$A206))=TRUE,_xlfn.CONCAT(LEFT($A206,FIND("'",$A206)-1),"''",RIGHT($A206,LEN($A206)-FIND("'",$A206))),$A206),"'!B4"))&gt;=J$2,"d",IF(INDIRECT(_xlfn.CONCAT("'",IF(ISNUMBER(FIND("'",$A206))=TRUE,_xlfn.CONCAT(LEFT($A206,FIND("'",$A206)-1),"''",RIGHT($A206,LEN($A206)-FIND("'",$A206))),$A206),"'!B5"))&gt;=J$2,"i",""))</f>
        <v>d</v>
      </c>
      <c r="K206" s="44" t="str" cm="1">
        <f t="array" aca="1" ref="K206" ca="1">IF(INDIRECT(_xlfn.CONCAT("'",IF(ISNUMBER(FIND("'",$A206))=TRUE,_xlfn.CONCAT(LEFT($A206,FIND("'",$A206)-1),"''",RIGHT($A206,LEN($A206)-FIND("'",$A206))),$A206),"'!B4"))&gt;=K$2,"d",IF(INDIRECT(_xlfn.CONCAT("'",IF(ISNUMBER(FIND("'",$A206))=TRUE,_xlfn.CONCAT(LEFT($A206,FIND("'",$A206)-1),"''",RIGHT($A206,LEN($A206)-FIND("'",$A206))),$A206),"'!B5"))&gt;=K$2,"i",""))</f>
        <v>d</v>
      </c>
      <c r="L206" s="44" t="str" cm="1">
        <f t="array" aca="1" ref="L206" ca="1">IF(INDIRECT(_xlfn.CONCAT("'",IF(ISNUMBER(FIND("'",$A206))=TRUE,_xlfn.CONCAT(LEFT($A206,FIND("'",$A206)-1),"''",RIGHT($A206,LEN($A206)-FIND("'",$A206))),$A206),"'!B4"))&gt;=L$2,"d",IF(INDIRECT(_xlfn.CONCAT("'",IF(ISNUMBER(FIND("'",$A206))=TRUE,_xlfn.CONCAT(LEFT($A206,FIND("'",$A206)-1),"''",RIGHT($A206,LEN($A206)-FIND("'",$A206))),$A206),"'!B5"))&gt;=L$2,"i",""))</f>
        <v>d</v>
      </c>
      <c r="M206" s="45" t="str" cm="1">
        <f t="array" aca="1" ref="M206" ca="1">IF(INDIRECT(_xlfn.CONCAT("'",IF(ISNUMBER(FIND("'",$A206))=TRUE,_xlfn.CONCAT(LEFT($A206,FIND("'",$A206)-1),"''",RIGHT($A206,LEN($A206)-FIND("'",$A206))),$A206),"'!B4"))&gt;=M$2,"d",IF(INDIRECT(_xlfn.CONCAT("'",IF(ISNUMBER(FIND("'",$A206))=TRUE,_xlfn.CONCAT(LEFT($A206,FIND("'",$A206)-1),"''",RIGHT($A206,LEN($A206)-FIND("'",$A206))),$A206),"'!B5"))&gt;=M$2,"i",""))</f>
        <v>d</v>
      </c>
      <c r="N206" s="157"/>
      <c r="O206" s="19" t="str" cm="1">
        <f t="array" aca="1" ref="O206" ca="1">IF(INDIRECT(_xlfn.CONCAT("'",IF(ISNUMBER(FIND("'",$A206))=TRUE,_xlfn.CONCAT(LEFT($A206,FIND("'",$A206)-1),"''",RIGHT($A206,LEN($A206)-FIND("'",$A206))),$A206),"'!C10"))&gt;=O$2,"d",IF(INDIRECT(_xlfn.CONCAT("'",IF(ISNUMBER(FIND("'",$A206))=TRUE,_xlfn.CONCAT(LEFT($A206,FIND("'",$A206)-1),"''",RIGHT($A206,LEN($A206)-FIND("'",$A206))),$A206),"'!C11"))&gt;=O$2,"i",""))</f>
        <v>d</v>
      </c>
      <c r="P206" s="44" t="str" cm="1">
        <f t="array" aca="1" ref="P206" ca="1">IF(INDIRECT(_xlfn.CONCAT("'",IF(ISNUMBER(FIND("'",$A206))=TRUE,_xlfn.CONCAT(LEFT($A206,FIND("'",$A206)-1),"''",RIGHT($A206,LEN($A206)-FIND("'",$A206))),$A206),"'!C10"))&gt;=P$2,"d",IF(INDIRECT(_xlfn.CONCAT("'",IF(ISNUMBER(FIND("'",$A206))=TRUE,_xlfn.CONCAT(LEFT($A206,FIND("'",$A206)-1),"''",RIGHT($A206,LEN($A206)-FIND("'",$A206))),$A206),"'!C11"))&gt;=P$2,"i",""))</f>
        <v>d</v>
      </c>
      <c r="Q206" s="44" t="str" cm="1">
        <f t="array" aca="1" ref="Q206" ca="1">IF(INDIRECT(_xlfn.CONCAT("'",IF(ISNUMBER(FIND("'",$A206))=TRUE,_xlfn.CONCAT(LEFT($A206,FIND("'",$A206)-1),"''",RIGHT($A206,LEN($A206)-FIND("'",$A206))),$A206),"'!C10"))&gt;=Q$2,"d",IF(INDIRECT(_xlfn.CONCAT("'",IF(ISNUMBER(FIND("'",$A206))=TRUE,_xlfn.CONCAT(LEFT($A206,FIND("'",$A206)-1),"''",RIGHT($A206,LEN($A206)-FIND("'",$A206))),$A206),"'!C11"))&gt;=Q$2,"i",""))</f>
        <v>d</v>
      </c>
      <c r="R206" s="44" t="str" cm="1">
        <f t="array" aca="1" ref="R206" ca="1">IF(INDIRECT(_xlfn.CONCAT("'",IF(ISNUMBER(FIND("'",$A206))=TRUE,_xlfn.CONCAT(LEFT($A206,FIND("'",$A206)-1),"''",RIGHT($A206,LEN($A206)-FIND("'",$A206))),$A206),"'!C10"))&gt;=R$2,"d",IF(INDIRECT(_xlfn.CONCAT("'",IF(ISNUMBER(FIND("'",$A206))=TRUE,_xlfn.CONCAT(LEFT($A206,FIND("'",$A206)-1),"''",RIGHT($A206,LEN($A206)-FIND("'",$A206))),$A206),"'!C11"))&gt;=R$2,"i",""))</f>
        <v>d</v>
      </c>
      <c r="S206" s="44" t="str" cm="1">
        <f t="array" aca="1" ref="S206" ca="1">IF(INDIRECT(_xlfn.CONCAT("'",IF(ISNUMBER(FIND("'",$A206))=TRUE,_xlfn.CONCAT(LEFT($A206,FIND("'",$A206)-1),"''",RIGHT($A206,LEN($A206)-FIND("'",$A206))),$A206),"'!C10"))&gt;=S$2,"d",IF(INDIRECT(_xlfn.CONCAT("'",IF(ISNUMBER(FIND("'",$A206))=TRUE,_xlfn.CONCAT(LEFT($A206,FIND("'",$A206)-1),"''",RIGHT($A206,LEN($A206)-FIND("'",$A206))),$A206),"'!C11"))&gt;=S$2,"i",""))</f>
        <v>d</v>
      </c>
      <c r="T206" s="45" t="str" cm="1">
        <f t="array" aca="1" ref="T206" ca="1">IF(INDIRECT(_xlfn.CONCAT("'",IF(ISNUMBER(FIND("'",$A206))=TRUE,_xlfn.CONCAT(LEFT($A206,FIND("'",$A206)-1),"''",RIGHT($A206,LEN($A206)-FIND("'",$A206))),$A206),"'!C10"))&gt;=T$2,"d",IF(INDIRECT(_xlfn.CONCAT("'",IF(ISNUMBER(FIND("'",$A206))=TRUE,_xlfn.CONCAT(LEFT($A206,FIND("'",$A206)-1),"''",RIGHT($A206,LEN($A206)-FIND("'",$A206))),$A206),"'!C11"))&gt;=T$2,"i",""))</f>
        <v>d</v>
      </c>
    </row>
    <row r="207" spans="1:20" hidden="1" x14ac:dyDescent="0.25">
      <c r="A207" s="135" t="str">
        <v>Vivid Notions</v>
      </c>
      <c r="B207" s="19" cm="1">
        <f t="array" ref="B207">_xlfn.XLOOKUP(A207,INDEX(Weapon_List,,1),INDEX(Weapon_List,,3),,0,1)</f>
        <v>5</v>
      </c>
      <c r="C207" s="45" t="str" cm="1">
        <f t="array" ref="C207">_xlfn.XLOOKUP(A207,INDEX(Weapon_List,,1),INDEX(Weapon_List,,2),,0,1)</f>
        <v>Catalyst</v>
      </c>
      <c r="D207" s="38" t="str" cm="1">
        <f t="array" ref="D207">_xlfn.XLOOKUP(A207,INDEX(Weapon_List,,1),INDEX(Weapon_List,,4),,0,1)</f>
        <v>Natlan 2</v>
      </c>
      <c r="E207" s="38" t="str" cm="1">
        <f t="array" ref="E207">_xlfn.XLOOKUP(A207,INDEX(Weapon_List,,1),INDEX(Weapon_List,,5),,0,1)</f>
        <v>Saurian</v>
      </c>
      <c r="F207" s="38" t="str" cm="1">
        <f t="array" ref="F207">_xlfn.XLOOKUP(A207,INDEX(Weapon_List,,1),INDEX(Weapon_List,,6),,0,1)</f>
        <v>Furnace Shell Mountain Weasel</v>
      </c>
      <c r="G207" s="19" t="str" cm="1">
        <f t="array" aca="1" ref="G207" ca="1">IF(INDIRECT(_xlfn.CONCAT("'",IF(ISNUMBER(FIND("'",$A207))=TRUE,_xlfn.CONCAT(LEFT($A207,FIND("'",$A207)-1),"''",RIGHT($A207,LEN($A207)-FIND("'",$A207))),$A207),"'!B4"))&gt;=G$2,"d",IF(INDIRECT(_xlfn.CONCAT("'",IF(ISNUMBER(FIND("'",$A207))=TRUE,_xlfn.CONCAT(LEFT($A207,FIND("'",$A207)-1),"''",RIGHT($A207,LEN($A207)-FIND("'",$A207))),$A207),"'!B5"))&gt;=G$2,"i",""))</f>
        <v>d</v>
      </c>
      <c r="H207" s="44" t="str" cm="1">
        <f t="array" aca="1" ref="H207" ca="1">IF(INDIRECT(_xlfn.CONCAT("'",IF(ISNUMBER(FIND("'",$A207))=TRUE,_xlfn.CONCAT(LEFT($A207,FIND("'",$A207)-1),"''",RIGHT($A207,LEN($A207)-FIND("'",$A207))),$A207),"'!B4"))&gt;=H$2,"d",IF(INDIRECT(_xlfn.CONCAT("'",IF(ISNUMBER(FIND("'",$A207))=TRUE,_xlfn.CONCAT(LEFT($A207,FIND("'",$A207)-1),"''",RIGHT($A207,LEN($A207)-FIND("'",$A207))),$A207),"'!B5"))&gt;=H$2,"i",""))</f>
        <v>d</v>
      </c>
      <c r="I207" s="44" t="str" cm="1">
        <f t="array" aca="1" ref="I207" ca="1">IF(INDIRECT(_xlfn.CONCAT("'",IF(ISNUMBER(FIND("'",$A207))=TRUE,_xlfn.CONCAT(LEFT($A207,FIND("'",$A207)-1),"''",RIGHT($A207,LEN($A207)-FIND("'",$A207))),$A207),"'!B4"))&gt;=I$2,"d",IF(INDIRECT(_xlfn.CONCAT("'",IF(ISNUMBER(FIND("'",$A207))=TRUE,_xlfn.CONCAT(LEFT($A207,FIND("'",$A207)-1),"''",RIGHT($A207,LEN($A207)-FIND("'",$A207))),$A207),"'!B5"))&gt;=I$2,"i",""))</f>
        <v>d</v>
      </c>
      <c r="J207" s="44" t="str" cm="1">
        <f t="array" aca="1" ref="J207" ca="1">IF(INDIRECT(_xlfn.CONCAT("'",IF(ISNUMBER(FIND("'",$A207))=TRUE,_xlfn.CONCAT(LEFT($A207,FIND("'",$A207)-1),"''",RIGHT($A207,LEN($A207)-FIND("'",$A207))),$A207),"'!B4"))&gt;=J$2,"d",IF(INDIRECT(_xlfn.CONCAT("'",IF(ISNUMBER(FIND("'",$A207))=TRUE,_xlfn.CONCAT(LEFT($A207,FIND("'",$A207)-1),"''",RIGHT($A207,LEN($A207)-FIND("'",$A207))),$A207),"'!B5"))&gt;=J$2,"i",""))</f>
        <v>d</v>
      </c>
      <c r="K207" s="44" t="str" cm="1">
        <f t="array" aca="1" ref="K207" ca="1">IF(INDIRECT(_xlfn.CONCAT("'",IF(ISNUMBER(FIND("'",$A207))=TRUE,_xlfn.CONCAT(LEFT($A207,FIND("'",$A207)-1),"''",RIGHT($A207,LEN($A207)-FIND("'",$A207))),$A207),"'!B4"))&gt;=K$2,"d",IF(INDIRECT(_xlfn.CONCAT("'",IF(ISNUMBER(FIND("'",$A207))=TRUE,_xlfn.CONCAT(LEFT($A207,FIND("'",$A207)-1),"''",RIGHT($A207,LEN($A207)-FIND("'",$A207))),$A207),"'!B5"))&gt;=K$2,"i",""))</f>
        <v>d</v>
      </c>
      <c r="L207" s="44" t="str" cm="1">
        <f t="array" aca="1" ref="L207" ca="1">IF(INDIRECT(_xlfn.CONCAT("'",IF(ISNUMBER(FIND("'",$A207))=TRUE,_xlfn.CONCAT(LEFT($A207,FIND("'",$A207)-1),"''",RIGHT($A207,LEN($A207)-FIND("'",$A207))),$A207),"'!B4"))&gt;=L$2,"d",IF(INDIRECT(_xlfn.CONCAT("'",IF(ISNUMBER(FIND("'",$A207))=TRUE,_xlfn.CONCAT(LEFT($A207,FIND("'",$A207)-1),"''",RIGHT($A207,LEN($A207)-FIND("'",$A207))),$A207),"'!B5"))&gt;=L$2,"i",""))</f>
        <v>d</v>
      </c>
      <c r="M207" s="45" t="str" cm="1">
        <f t="array" aca="1" ref="M207" ca="1">IF(INDIRECT(_xlfn.CONCAT("'",IF(ISNUMBER(FIND("'",$A207))=TRUE,_xlfn.CONCAT(LEFT($A207,FIND("'",$A207)-1),"''",RIGHT($A207,LEN($A207)-FIND("'",$A207))),$A207),"'!B4"))&gt;=M$2,"d",IF(INDIRECT(_xlfn.CONCAT("'",IF(ISNUMBER(FIND("'",$A207))=TRUE,_xlfn.CONCAT(LEFT($A207,FIND("'",$A207)-1),"''",RIGHT($A207,LEN($A207)-FIND("'",$A207))),$A207),"'!B5"))&gt;=M$2,"i",""))</f>
        <v>d</v>
      </c>
      <c r="N207" s="157"/>
      <c r="O207" s="19" t="str" cm="1">
        <f t="array" aca="1" ref="O207" ca="1">IF(INDIRECT(_xlfn.CONCAT("'",IF(ISNUMBER(FIND("'",$A207))=TRUE,_xlfn.CONCAT(LEFT($A207,FIND("'",$A207)-1),"''",RIGHT($A207,LEN($A207)-FIND("'",$A207))),$A207),"'!C10"))&gt;=O$2,"d",IF(INDIRECT(_xlfn.CONCAT("'",IF(ISNUMBER(FIND("'",$A207))=TRUE,_xlfn.CONCAT(LEFT($A207,FIND("'",$A207)-1),"''",RIGHT($A207,LEN($A207)-FIND("'",$A207))),$A207),"'!C11"))&gt;=O$2,"i",""))</f>
        <v>d</v>
      </c>
      <c r="P207" s="44" t="str" cm="1">
        <f t="array" aca="1" ref="P207" ca="1">IF(INDIRECT(_xlfn.CONCAT("'",IF(ISNUMBER(FIND("'",$A207))=TRUE,_xlfn.CONCAT(LEFT($A207,FIND("'",$A207)-1),"''",RIGHT($A207,LEN($A207)-FIND("'",$A207))),$A207),"'!C10"))&gt;=P$2,"d",IF(INDIRECT(_xlfn.CONCAT("'",IF(ISNUMBER(FIND("'",$A207))=TRUE,_xlfn.CONCAT(LEFT($A207,FIND("'",$A207)-1),"''",RIGHT($A207,LEN($A207)-FIND("'",$A207))),$A207),"'!C11"))&gt;=P$2,"i",""))</f>
        <v>d</v>
      </c>
      <c r="Q207" s="44" t="str" cm="1">
        <f t="array" aca="1" ref="Q207" ca="1">IF(INDIRECT(_xlfn.CONCAT("'",IF(ISNUMBER(FIND("'",$A207))=TRUE,_xlfn.CONCAT(LEFT($A207,FIND("'",$A207)-1),"''",RIGHT($A207,LEN($A207)-FIND("'",$A207))),$A207),"'!C10"))&gt;=Q$2,"d",IF(INDIRECT(_xlfn.CONCAT("'",IF(ISNUMBER(FIND("'",$A207))=TRUE,_xlfn.CONCAT(LEFT($A207,FIND("'",$A207)-1),"''",RIGHT($A207,LEN($A207)-FIND("'",$A207))),$A207),"'!C11"))&gt;=Q$2,"i",""))</f>
        <v>d</v>
      </c>
      <c r="R207" s="44" t="str" cm="1">
        <f t="array" aca="1" ref="R207" ca="1">IF(INDIRECT(_xlfn.CONCAT("'",IF(ISNUMBER(FIND("'",$A207))=TRUE,_xlfn.CONCAT(LEFT($A207,FIND("'",$A207)-1),"''",RIGHT($A207,LEN($A207)-FIND("'",$A207))),$A207),"'!C10"))&gt;=R$2,"d",IF(INDIRECT(_xlfn.CONCAT("'",IF(ISNUMBER(FIND("'",$A207))=TRUE,_xlfn.CONCAT(LEFT($A207,FIND("'",$A207)-1),"''",RIGHT($A207,LEN($A207)-FIND("'",$A207))),$A207),"'!C11"))&gt;=R$2,"i",""))</f>
        <v>d</v>
      </c>
      <c r="S207" s="44" t="str" cm="1">
        <f t="array" aca="1" ref="S207" ca="1">IF(INDIRECT(_xlfn.CONCAT("'",IF(ISNUMBER(FIND("'",$A207))=TRUE,_xlfn.CONCAT(LEFT($A207,FIND("'",$A207)-1),"''",RIGHT($A207,LEN($A207)-FIND("'",$A207))),$A207),"'!C10"))&gt;=S$2,"d",IF(INDIRECT(_xlfn.CONCAT("'",IF(ISNUMBER(FIND("'",$A207))=TRUE,_xlfn.CONCAT(LEFT($A207,FIND("'",$A207)-1),"''",RIGHT($A207,LEN($A207)-FIND("'",$A207))),$A207),"'!C11"))&gt;=S$2,"i",""))</f>
        <v>d</v>
      </c>
      <c r="T207" s="45" t="str" cm="1">
        <f t="array" aca="1" ref="T207" ca="1">IF(INDIRECT(_xlfn.CONCAT("'",IF(ISNUMBER(FIND("'",$A207))=TRUE,_xlfn.CONCAT(LEFT($A207,FIND("'",$A207)-1),"''",RIGHT($A207,LEN($A207)-FIND("'",$A207))),$A207),"'!C10"))&gt;=T$2,"d",IF(INDIRECT(_xlfn.CONCAT("'",IF(ISNUMBER(FIND("'",$A207))=TRUE,_xlfn.CONCAT(LEFT($A207,FIND("'",$A207)-1),"''",RIGHT($A207,LEN($A207)-FIND("'",$A207))),$A207),"'!C11"))&gt;=T$2,"i",""))</f>
        <v>d</v>
      </c>
    </row>
    <row r="208" spans="1:20" hidden="1" x14ac:dyDescent="0.25">
      <c r="A208" s="135" t="str">
        <v>Symphonist of Scents</v>
      </c>
      <c r="B208" s="19" cm="1">
        <f t="array" ref="B208">_xlfn.XLOOKUP(A208,INDEX(Weapon_List,,1),INDEX(Weapon_List,,3),,0,1)</f>
        <v>5</v>
      </c>
      <c r="C208" s="45" t="str" cm="1">
        <f t="array" ref="C208">_xlfn.XLOOKUP(A208,INDEX(Weapon_List,,1),INDEX(Weapon_List,,2),,0,1)</f>
        <v>Polearm</v>
      </c>
      <c r="D208" s="38" t="str" cm="1">
        <f t="array" ref="D208">_xlfn.XLOOKUP(A208,INDEX(Weapon_List,,1),INDEX(Weapon_List,,4),,0,1)</f>
        <v>Fontaine 2</v>
      </c>
      <c r="E208" s="38" t="str" cm="1">
        <f t="array" ref="E208">_xlfn.XLOOKUP(A208,INDEX(Weapon_List,,1),INDEX(Weapon_List,,5),,0,1)</f>
        <v>Fontemer Aberrant</v>
      </c>
      <c r="F208" s="38" t="str" cm="1">
        <f t="array" ref="F208">_xlfn.XLOOKUP(A208,INDEX(Weapon_List,,1),INDEX(Weapon_List,,6),,0,1)</f>
        <v>Tainted Hydro Phantasm</v>
      </c>
      <c r="G208" s="19" t="str" cm="1">
        <f t="array" aca="1" ref="G208" ca="1">IF(INDIRECT(_xlfn.CONCAT("'",IF(ISNUMBER(FIND("'",$A208))=TRUE,_xlfn.CONCAT(LEFT($A208,FIND("'",$A208)-1),"''",RIGHT($A208,LEN($A208)-FIND("'",$A208))),$A208),"'!B4"))&gt;=G$2,"d",IF(INDIRECT(_xlfn.CONCAT("'",IF(ISNUMBER(FIND("'",$A208))=TRUE,_xlfn.CONCAT(LEFT($A208,FIND("'",$A208)-1),"''",RIGHT($A208,LEN($A208)-FIND("'",$A208))),$A208),"'!B5"))&gt;=G$2,"i",""))</f>
        <v>d</v>
      </c>
      <c r="H208" s="44" t="str" cm="1">
        <f t="array" aca="1" ref="H208" ca="1">IF(INDIRECT(_xlfn.CONCAT("'",IF(ISNUMBER(FIND("'",$A208))=TRUE,_xlfn.CONCAT(LEFT($A208,FIND("'",$A208)-1),"''",RIGHT($A208,LEN($A208)-FIND("'",$A208))),$A208),"'!B4"))&gt;=H$2,"d",IF(INDIRECT(_xlfn.CONCAT("'",IF(ISNUMBER(FIND("'",$A208))=TRUE,_xlfn.CONCAT(LEFT($A208,FIND("'",$A208)-1),"''",RIGHT($A208,LEN($A208)-FIND("'",$A208))),$A208),"'!B5"))&gt;=H$2,"i",""))</f>
        <v>d</v>
      </c>
      <c r="I208" s="44" t="str" cm="1">
        <f t="array" aca="1" ref="I208" ca="1">IF(INDIRECT(_xlfn.CONCAT("'",IF(ISNUMBER(FIND("'",$A208))=TRUE,_xlfn.CONCAT(LEFT($A208,FIND("'",$A208)-1),"''",RIGHT($A208,LEN($A208)-FIND("'",$A208))),$A208),"'!B4"))&gt;=I$2,"d",IF(INDIRECT(_xlfn.CONCAT("'",IF(ISNUMBER(FIND("'",$A208))=TRUE,_xlfn.CONCAT(LEFT($A208,FIND("'",$A208)-1),"''",RIGHT($A208,LEN($A208)-FIND("'",$A208))),$A208),"'!B5"))&gt;=I$2,"i",""))</f>
        <v>d</v>
      </c>
      <c r="J208" s="44" t="str" cm="1">
        <f t="array" aca="1" ref="J208" ca="1">IF(INDIRECT(_xlfn.CONCAT("'",IF(ISNUMBER(FIND("'",$A208))=TRUE,_xlfn.CONCAT(LEFT($A208,FIND("'",$A208)-1),"''",RIGHT($A208,LEN($A208)-FIND("'",$A208))),$A208),"'!B4"))&gt;=J$2,"d",IF(INDIRECT(_xlfn.CONCAT("'",IF(ISNUMBER(FIND("'",$A208))=TRUE,_xlfn.CONCAT(LEFT($A208,FIND("'",$A208)-1),"''",RIGHT($A208,LEN($A208)-FIND("'",$A208))),$A208),"'!B5"))&gt;=J$2,"i",""))</f>
        <v>d</v>
      </c>
      <c r="K208" s="44" t="str" cm="1">
        <f t="array" aca="1" ref="K208" ca="1">IF(INDIRECT(_xlfn.CONCAT("'",IF(ISNUMBER(FIND("'",$A208))=TRUE,_xlfn.CONCAT(LEFT($A208,FIND("'",$A208)-1),"''",RIGHT($A208,LEN($A208)-FIND("'",$A208))),$A208),"'!B4"))&gt;=K$2,"d",IF(INDIRECT(_xlfn.CONCAT("'",IF(ISNUMBER(FIND("'",$A208))=TRUE,_xlfn.CONCAT(LEFT($A208,FIND("'",$A208)-1),"''",RIGHT($A208,LEN($A208)-FIND("'",$A208))),$A208),"'!B5"))&gt;=K$2,"i",""))</f>
        <v>d</v>
      </c>
      <c r="L208" s="44" t="str" cm="1">
        <f t="array" aca="1" ref="L208" ca="1">IF(INDIRECT(_xlfn.CONCAT("'",IF(ISNUMBER(FIND("'",$A208))=TRUE,_xlfn.CONCAT(LEFT($A208,FIND("'",$A208)-1),"''",RIGHT($A208,LEN($A208)-FIND("'",$A208))),$A208),"'!B4"))&gt;=L$2,"d",IF(INDIRECT(_xlfn.CONCAT("'",IF(ISNUMBER(FIND("'",$A208))=TRUE,_xlfn.CONCAT(LEFT($A208,FIND("'",$A208)-1),"''",RIGHT($A208,LEN($A208)-FIND("'",$A208))),$A208),"'!B5"))&gt;=L$2,"i",""))</f>
        <v>d</v>
      </c>
      <c r="M208" s="45" t="str" cm="1">
        <f t="array" aca="1" ref="M208" ca="1">IF(INDIRECT(_xlfn.CONCAT("'",IF(ISNUMBER(FIND("'",$A208))=TRUE,_xlfn.CONCAT(LEFT($A208,FIND("'",$A208)-1),"''",RIGHT($A208,LEN($A208)-FIND("'",$A208))),$A208),"'!B4"))&gt;=M$2,"d",IF(INDIRECT(_xlfn.CONCAT("'",IF(ISNUMBER(FIND("'",$A208))=TRUE,_xlfn.CONCAT(LEFT($A208,FIND("'",$A208)-1),"''",RIGHT($A208,LEN($A208)-FIND("'",$A208))),$A208),"'!B5"))&gt;=M$2,"i",""))</f>
        <v>d</v>
      </c>
      <c r="N208" s="157"/>
      <c r="O208" s="19" t="str" cm="1">
        <f t="array" aca="1" ref="O208" ca="1">IF(INDIRECT(_xlfn.CONCAT("'",IF(ISNUMBER(FIND("'",$A208))=TRUE,_xlfn.CONCAT(LEFT($A208,FIND("'",$A208)-1),"''",RIGHT($A208,LEN($A208)-FIND("'",$A208))),$A208),"'!C10"))&gt;=O$2,"d",IF(INDIRECT(_xlfn.CONCAT("'",IF(ISNUMBER(FIND("'",$A208))=TRUE,_xlfn.CONCAT(LEFT($A208,FIND("'",$A208)-1),"''",RIGHT($A208,LEN($A208)-FIND("'",$A208))),$A208),"'!C11"))&gt;=O$2,"i",""))</f>
        <v>d</v>
      </c>
      <c r="P208" s="44" t="str" cm="1">
        <f t="array" aca="1" ref="P208" ca="1">IF(INDIRECT(_xlfn.CONCAT("'",IF(ISNUMBER(FIND("'",$A208))=TRUE,_xlfn.CONCAT(LEFT($A208,FIND("'",$A208)-1),"''",RIGHT($A208,LEN($A208)-FIND("'",$A208))),$A208),"'!C10"))&gt;=P$2,"d",IF(INDIRECT(_xlfn.CONCAT("'",IF(ISNUMBER(FIND("'",$A208))=TRUE,_xlfn.CONCAT(LEFT($A208,FIND("'",$A208)-1),"''",RIGHT($A208,LEN($A208)-FIND("'",$A208))),$A208),"'!C11"))&gt;=P$2,"i",""))</f>
        <v>d</v>
      </c>
      <c r="Q208" s="44" t="str" cm="1">
        <f t="array" aca="1" ref="Q208" ca="1">IF(INDIRECT(_xlfn.CONCAT("'",IF(ISNUMBER(FIND("'",$A208))=TRUE,_xlfn.CONCAT(LEFT($A208,FIND("'",$A208)-1),"''",RIGHT($A208,LEN($A208)-FIND("'",$A208))),$A208),"'!C10"))&gt;=Q$2,"d",IF(INDIRECT(_xlfn.CONCAT("'",IF(ISNUMBER(FIND("'",$A208))=TRUE,_xlfn.CONCAT(LEFT($A208,FIND("'",$A208)-1),"''",RIGHT($A208,LEN($A208)-FIND("'",$A208))),$A208),"'!C11"))&gt;=Q$2,"i",""))</f>
        <v>d</v>
      </c>
      <c r="R208" s="44" t="str" cm="1">
        <f t="array" aca="1" ref="R208" ca="1">IF(INDIRECT(_xlfn.CONCAT("'",IF(ISNUMBER(FIND("'",$A208))=TRUE,_xlfn.CONCAT(LEFT($A208,FIND("'",$A208)-1),"''",RIGHT($A208,LEN($A208)-FIND("'",$A208))),$A208),"'!C10"))&gt;=R$2,"d",IF(INDIRECT(_xlfn.CONCAT("'",IF(ISNUMBER(FIND("'",$A208))=TRUE,_xlfn.CONCAT(LEFT($A208,FIND("'",$A208)-1),"''",RIGHT($A208,LEN($A208)-FIND("'",$A208))),$A208),"'!C11"))&gt;=R$2,"i",""))</f>
        <v>d</v>
      </c>
      <c r="S208" s="44" t="str" cm="1">
        <f t="array" aca="1" ref="S208" ca="1">IF(INDIRECT(_xlfn.CONCAT("'",IF(ISNUMBER(FIND("'",$A208))=TRUE,_xlfn.CONCAT(LEFT($A208,FIND("'",$A208)-1),"''",RIGHT($A208,LEN($A208)-FIND("'",$A208))),$A208),"'!C10"))&gt;=S$2,"d",IF(INDIRECT(_xlfn.CONCAT("'",IF(ISNUMBER(FIND("'",$A208))=TRUE,_xlfn.CONCAT(LEFT($A208,FIND("'",$A208)-1),"''",RIGHT($A208,LEN($A208)-FIND("'",$A208))),$A208),"'!C11"))&gt;=S$2,"i",""))</f>
        <v>d</v>
      </c>
      <c r="T208" s="45" t="str" cm="1">
        <f t="array" aca="1" ref="T208" ca="1">IF(INDIRECT(_xlfn.CONCAT("'",IF(ISNUMBER(FIND("'",$A208))=TRUE,_xlfn.CONCAT(LEFT($A208,FIND("'",$A208)-1),"''",RIGHT($A208,LEN($A208)-FIND("'",$A208))),$A208),"'!C10"))&gt;=T$2,"d",IF(INDIRECT(_xlfn.CONCAT("'",IF(ISNUMBER(FIND("'",$A208))=TRUE,_xlfn.CONCAT(LEFT($A208,FIND("'",$A208)-1),"''",RIGHT($A208,LEN($A208)-FIND("'",$A208))),$A208),"'!C11"))&gt;=T$2,"i",""))</f>
        <v>d</v>
      </c>
    </row>
    <row r="209" spans="1:20" hidden="1" x14ac:dyDescent="0.25">
      <c r="A209" s="135" t="str">
        <v>Sequence of Solitude</v>
      </c>
      <c r="B209" s="19" cm="1">
        <f t="array" ref="B209">_xlfn.XLOOKUP(A209,INDEX(Weapon_List,,1),INDEX(Weapon_List,,3),,0,1)</f>
        <v>4</v>
      </c>
      <c r="C209" s="45" t="str" cm="1">
        <f t="array" ref="C209">_xlfn.XLOOKUP(A209,INDEX(Weapon_List,,1),INDEX(Weapon_List,,2),,0,1)</f>
        <v>Bow</v>
      </c>
      <c r="D209" s="38" t="str" cm="1">
        <f t="array" ref="D209">_xlfn.XLOOKUP(A209,INDEX(Weapon_List,,1),INDEX(Weapon_List,,4),,0,1)</f>
        <v>Fontaine 1</v>
      </c>
      <c r="E209" s="38" t="str" cm="1">
        <f t="array" ref="E209">_xlfn.XLOOKUP(A209,INDEX(Weapon_List,,1),INDEX(Weapon_List,,5),,0,1)</f>
        <v>Clockwork Meka</v>
      </c>
      <c r="F209" s="38" t="str" cm="1">
        <f t="array" ref="F209">_xlfn.XLOOKUP(A209,INDEX(Weapon_List,,1),INDEX(Weapon_List,,6),,0,1)</f>
        <v>Furnace Shell Mountain Weasel</v>
      </c>
      <c r="G209" s="19" t="str" cm="1">
        <f t="array" aca="1" ref="G209" ca="1">IF(INDIRECT(_xlfn.CONCAT("'",IF(ISNUMBER(FIND("'",$A209))=TRUE,_xlfn.CONCAT(LEFT($A209,FIND("'",$A209)-1),"''",RIGHT($A209,LEN($A209)-FIND("'",$A209))),$A209),"'!B4"))&gt;=G$2,"d",IF(INDIRECT(_xlfn.CONCAT("'",IF(ISNUMBER(FIND("'",$A209))=TRUE,_xlfn.CONCAT(LEFT($A209,FIND("'",$A209)-1),"''",RIGHT($A209,LEN($A209)-FIND("'",$A209))),$A209),"'!B5"))&gt;=G$2,"i",""))</f>
        <v>d</v>
      </c>
      <c r="H209" s="44" t="str" cm="1">
        <f t="array" aca="1" ref="H209" ca="1">IF(INDIRECT(_xlfn.CONCAT("'",IF(ISNUMBER(FIND("'",$A209))=TRUE,_xlfn.CONCAT(LEFT($A209,FIND("'",$A209)-1),"''",RIGHT($A209,LEN($A209)-FIND("'",$A209))),$A209),"'!B4"))&gt;=H$2,"d",IF(INDIRECT(_xlfn.CONCAT("'",IF(ISNUMBER(FIND("'",$A209))=TRUE,_xlfn.CONCAT(LEFT($A209,FIND("'",$A209)-1),"''",RIGHT($A209,LEN($A209)-FIND("'",$A209))),$A209),"'!B5"))&gt;=H$2,"i",""))</f>
        <v>d</v>
      </c>
      <c r="I209" s="44" t="str" cm="1">
        <f t="array" aca="1" ref="I209" ca="1">IF(INDIRECT(_xlfn.CONCAT("'",IF(ISNUMBER(FIND("'",$A209))=TRUE,_xlfn.CONCAT(LEFT($A209,FIND("'",$A209)-1),"''",RIGHT($A209,LEN($A209)-FIND("'",$A209))),$A209),"'!B4"))&gt;=I$2,"d",IF(INDIRECT(_xlfn.CONCAT("'",IF(ISNUMBER(FIND("'",$A209))=TRUE,_xlfn.CONCAT(LEFT($A209,FIND("'",$A209)-1),"''",RIGHT($A209,LEN($A209)-FIND("'",$A209))),$A209),"'!B5"))&gt;=I$2,"i",""))</f>
        <v>d</v>
      </c>
      <c r="J209" s="44" t="str" cm="1">
        <f t="array" aca="1" ref="J209" ca="1">IF(INDIRECT(_xlfn.CONCAT("'",IF(ISNUMBER(FIND("'",$A209))=TRUE,_xlfn.CONCAT(LEFT($A209,FIND("'",$A209)-1),"''",RIGHT($A209,LEN($A209)-FIND("'",$A209))),$A209),"'!B4"))&gt;=J$2,"d",IF(INDIRECT(_xlfn.CONCAT("'",IF(ISNUMBER(FIND("'",$A209))=TRUE,_xlfn.CONCAT(LEFT($A209,FIND("'",$A209)-1),"''",RIGHT($A209,LEN($A209)-FIND("'",$A209))),$A209),"'!B5"))&gt;=J$2,"i",""))</f>
        <v>d</v>
      </c>
      <c r="K209" s="44" t="str" cm="1">
        <f t="array" aca="1" ref="K209" ca="1">IF(INDIRECT(_xlfn.CONCAT("'",IF(ISNUMBER(FIND("'",$A209))=TRUE,_xlfn.CONCAT(LEFT($A209,FIND("'",$A209)-1),"''",RIGHT($A209,LEN($A209)-FIND("'",$A209))),$A209),"'!B4"))&gt;=K$2,"d",IF(INDIRECT(_xlfn.CONCAT("'",IF(ISNUMBER(FIND("'",$A209))=TRUE,_xlfn.CONCAT(LEFT($A209,FIND("'",$A209)-1),"''",RIGHT($A209,LEN($A209)-FIND("'",$A209))),$A209),"'!B5"))&gt;=K$2,"i",""))</f>
        <v>d</v>
      </c>
      <c r="L209" s="44" t="str" cm="1">
        <f t="array" aca="1" ref="L209" ca="1">IF(INDIRECT(_xlfn.CONCAT("'",IF(ISNUMBER(FIND("'",$A209))=TRUE,_xlfn.CONCAT(LEFT($A209,FIND("'",$A209)-1),"''",RIGHT($A209,LEN($A209)-FIND("'",$A209))),$A209),"'!B4"))&gt;=L$2,"d",IF(INDIRECT(_xlfn.CONCAT("'",IF(ISNUMBER(FIND("'",$A209))=TRUE,_xlfn.CONCAT(LEFT($A209,FIND("'",$A209)-1),"''",RIGHT($A209,LEN($A209)-FIND("'",$A209))),$A209),"'!B5"))&gt;=L$2,"i",""))</f>
        <v>d</v>
      </c>
      <c r="M209" s="45" t="str" cm="1">
        <f t="array" aca="1" ref="M209" ca="1">IF(INDIRECT(_xlfn.CONCAT("'",IF(ISNUMBER(FIND("'",$A209))=TRUE,_xlfn.CONCAT(LEFT($A209,FIND("'",$A209)-1),"''",RIGHT($A209,LEN($A209)-FIND("'",$A209))),$A209),"'!B4"))&gt;=M$2,"d",IF(INDIRECT(_xlfn.CONCAT("'",IF(ISNUMBER(FIND("'",$A209))=TRUE,_xlfn.CONCAT(LEFT($A209,FIND("'",$A209)-1),"''",RIGHT($A209,LEN($A209)-FIND("'",$A209))),$A209),"'!B5"))&gt;=M$2,"i",""))</f>
        <v>d</v>
      </c>
      <c r="N209" s="157"/>
      <c r="O209" s="19" t="str" cm="1">
        <f t="array" aca="1" ref="O209" ca="1">IF(INDIRECT(_xlfn.CONCAT("'",IF(ISNUMBER(FIND("'",$A209))=TRUE,_xlfn.CONCAT(LEFT($A209,FIND("'",$A209)-1),"''",RIGHT($A209,LEN($A209)-FIND("'",$A209))),$A209),"'!C10"))&gt;=O$2,"d",IF(INDIRECT(_xlfn.CONCAT("'",IF(ISNUMBER(FIND("'",$A209))=TRUE,_xlfn.CONCAT(LEFT($A209,FIND("'",$A209)-1),"''",RIGHT($A209,LEN($A209)-FIND("'",$A209))),$A209),"'!C11"))&gt;=O$2,"i",""))</f>
        <v>d</v>
      </c>
      <c r="P209" s="44" t="str" cm="1">
        <f t="array" aca="1" ref="P209" ca="1">IF(INDIRECT(_xlfn.CONCAT("'",IF(ISNUMBER(FIND("'",$A209))=TRUE,_xlfn.CONCAT(LEFT($A209,FIND("'",$A209)-1),"''",RIGHT($A209,LEN($A209)-FIND("'",$A209))),$A209),"'!C10"))&gt;=P$2,"d",IF(INDIRECT(_xlfn.CONCAT("'",IF(ISNUMBER(FIND("'",$A209))=TRUE,_xlfn.CONCAT(LEFT($A209,FIND("'",$A209)-1),"''",RIGHT($A209,LEN($A209)-FIND("'",$A209))),$A209),"'!C11"))&gt;=P$2,"i",""))</f>
        <v>d</v>
      </c>
      <c r="Q209" s="44" t="str" cm="1">
        <f t="array" aca="1" ref="Q209" ca="1">IF(INDIRECT(_xlfn.CONCAT("'",IF(ISNUMBER(FIND("'",$A209))=TRUE,_xlfn.CONCAT(LEFT($A209,FIND("'",$A209)-1),"''",RIGHT($A209,LEN($A209)-FIND("'",$A209))),$A209),"'!C10"))&gt;=Q$2,"d",IF(INDIRECT(_xlfn.CONCAT("'",IF(ISNUMBER(FIND("'",$A209))=TRUE,_xlfn.CONCAT(LEFT($A209,FIND("'",$A209)-1),"''",RIGHT($A209,LEN($A209)-FIND("'",$A209))),$A209),"'!C11"))&gt;=Q$2,"i",""))</f>
        <v>d</v>
      </c>
      <c r="R209" s="44" t="str" cm="1">
        <f t="array" aca="1" ref="R209" ca="1">IF(INDIRECT(_xlfn.CONCAT("'",IF(ISNUMBER(FIND("'",$A209))=TRUE,_xlfn.CONCAT(LEFT($A209,FIND("'",$A209)-1),"''",RIGHT($A209,LEN($A209)-FIND("'",$A209))),$A209),"'!C10"))&gt;=R$2,"d",IF(INDIRECT(_xlfn.CONCAT("'",IF(ISNUMBER(FIND("'",$A209))=TRUE,_xlfn.CONCAT(LEFT($A209,FIND("'",$A209)-1),"''",RIGHT($A209,LEN($A209)-FIND("'",$A209))),$A209),"'!C11"))&gt;=R$2,"i",""))</f>
        <v>d</v>
      </c>
      <c r="S209" s="44" t="str" cm="1">
        <f t="array" aca="1" ref="S209" ca="1">IF(INDIRECT(_xlfn.CONCAT("'",IF(ISNUMBER(FIND("'",$A209))=TRUE,_xlfn.CONCAT(LEFT($A209,FIND("'",$A209)-1),"''",RIGHT($A209,LEN($A209)-FIND("'",$A209))),$A209),"'!C10"))&gt;=S$2,"d",IF(INDIRECT(_xlfn.CONCAT("'",IF(ISNUMBER(FIND("'",$A209))=TRUE,_xlfn.CONCAT(LEFT($A209,FIND("'",$A209)-1),"''",RIGHT($A209,LEN($A209)-FIND("'",$A209))),$A209),"'!C11"))&gt;=S$2,"i",""))</f>
        <v>d</v>
      </c>
      <c r="T209" s="45" t="str" cm="1">
        <f t="array" aca="1" ref="T209" ca="1">IF(INDIRECT(_xlfn.CONCAT("'",IF(ISNUMBER(FIND("'",$A209))=TRUE,_xlfn.CONCAT(LEFT($A209,FIND("'",$A209)-1),"''",RIGHT($A209,LEN($A209)-FIND("'",$A209))),$A209),"'!C10"))&gt;=T$2,"d",IF(INDIRECT(_xlfn.CONCAT("'",IF(ISNUMBER(FIND("'",$A209))=TRUE,_xlfn.CONCAT(LEFT($A209,FIND("'",$A209)-1),"''",RIGHT($A209,LEN($A209)-FIND("'",$A209))),$A209),"'!C11"))&gt;=T$2,"i",""))</f>
        <v>d</v>
      </c>
    </row>
    <row r="210" spans="1:20" hidden="1" x14ac:dyDescent="0.25">
      <c r="A210" s="135" t="str">
        <v>Azurelight</v>
      </c>
      <c r="B210" s="19" cm="1">
        <f t="array" ref="B210">_xlfn.XLOOKUP(A210,INDEX(Weapon_List,,1),INDEX(Weapon_List,,3),,0,1)</f>
        <v>5</v>
      </c>
      <c r="C210" s="45" t="str" cm="1">
        <f t="array" ref="C210">_xlfn.XLOOKUP(A210,INDEX(Weapon_List,,1),INDEX(Weapon_List,,2),,0,1)</f>
        <v>Sword</v>
      </c>
      <c r="D210" s="38" t="str" cm="1">
        <f t="array" ref="D210">_xlfn.XLOOKUP(A210,INDEX(Weapon_List,,1),INDEX(Weapon_List,,4),,0,1)</f>
        <v>Natlan 3</v>
      </c>
      <c r="E210" s="38" t="str" cm="1">
        <f t="array" ref="E210">_xlfn.XLOOKUP(A210,INDEX(Weapon_List,,1),INDEX(Weapon_List,,5),,0,1)</f>
        <v>Sauroform Tribal Warrior</v>
      </c>
      <c r="F210" s="38" t="str" cm="1">
        <f t="array" ref="F210">_xlfn.XLOOKUP(A210,INDEX(Weapon_List,,1),INDEX(Weapon_List,,6),,0,1)</f>
        <v>Tenebrous Mimiflora</v>
      </c>
      <c r="G210" s="19" t="str" cm="1">
        <f t="array" aca="1" ref="G210" ca="1">IF(INDIRECT(_xlfn.CONCAT("'",IF(ISNUMBER(FIND("'",$A210))=TRUE,_xlfn.CONCAT(LEFT($A210,FIND("'",$A210)-1),"''",RIGHT($A210,LEN($A210)-FIND("'",$A210))),$A210),"'!B4"))&gt;=G$2,"d",IF(INDIRECT(_xlfn.CONCAT("'",IF(ISNUMBER(FIND("'",$A210))=TRUE,_xlfn.CONCAT(LEFT($A210,FIND("'",$A210)-1),"''",RIGHT($A210,LEN($A210)-FIND("'",$A210))),$A210),"'!B5"))&gt;=G$2,"i",""))</f>
        <v>d</v>
      </c>
      <c r="H210" s="44" t="str" cm="1">
        <f t="array" aca="1" ref="H210" ca="1">IF(INDIRECT(_xlfn.CONCAT("'",IF(ISNUMBER(FIND("'",$A210))=TRUE,_xlfn.CONCAT(LEFT($A210,FIND("'",$A210)-1),"''",RIGHT($A210,LEN($A210)-FIND("'",$A210))),$A210),"'!B4"))&gt;=H$2,"d",IF(INDIRECT(_xlfn.CONCAT("'",IF(ISNUMBER(FIND("'",$A210))=TRUE,_xlfn.CONCAT(LEFT($A210,FIND("'",$A210)-1),"''",RIGHT($A210,LEN($A210)-FIND("'",$A210))),$A210),"'!B5"))&gt;=H$2,"i",""))</f>
        <v>d</v>
      </c>
      <c r="I210" s="44" t="str" cm="1">
        <f t="array" aca="1" ref="I210" ca="1">IF(INDIRECT(_xlfn.CONCAT("'",IF(ISNUMBER(FIND("'",$A210))=TRUE,_xlfn.CONCAT(LEFT($A210,FIND("'",$A210)-1),"''",RIGHT($A210,LEN($A210)-FIND("'",$A210))),$A210),"'!B4"))&gt;=I$2,"d",IF(INDIRECT(_xlfn.CONCAT("'",IF(ISNUMBER(FIND("'",$A210))=TRUE,_xlfn.CONCAT(LEFT($A210,FIND("'",$A210)-1),"''",RIGHT($A210,LEN($A210)-FIND("'",$A210))),$A210),"'!B5"))&gt;=I$2,"i",""))</f>
        <v>d</v>
      </c>
      <c r="J210" s="44" t="str" cm="1">
        <f t="array" aca="1" ref="J210" ca="1">IF(INDIRECT(_xlfn.CONCAT("'",IF(ISNUMBER(FIND("'",$A210))=TRUE,_xlfn.CONCAT(LEFT($A210,FIND("'",$A210)-1),"''",RIGHT($A210,LEN($A210)-FIND("'",$A210))),$A210),"'!B4"))&gt;=J$2,"d",IF(INDIRECT(_xlfn.CONCAT("'",IF(ISNUMBER(FIND("'",$A210))=TRUE,_xlfn.CONCAT(LEFT($A210,FIND("'",$A210)-1),"''",RIGHT($A210,LEN($A210)-FIND("'",$A210))),$A210),"'!B5"))&gt;=J$2,"i",""))</f>
        <v>d</v>
      </c>
      <c r="K210" s="44" t="str" cm="1">
        <f t="array" aca="1" ref="K210" ca="1">IF(INDIRECT(_xlfn.CONCAT("'",IF(ISNUMBER(FIND("'",$A210))=TRUE,_xlfn.CONCAT(LEFT($A210,FIND("'",$A210)-1),"''",RIGHT($A210,LEN($A210)-FIND("'",$A210))),$A210),"'!B4"))&gt;=K$2,"d",IF(INDIRECT(_xlfn.CONCAT("'",IF(ISNUMBER(FIND("'",$A210))=TRUE,_xlfn.CONCAT(LEFT($A210,FIND("'",$A210)-1),"''",RIGHT($A210,LEN($A210)-FIND("'",$A210))),$A210),"'!B5"))&gt;=K$2,"i",""))</f>
        <v>d</v>
      </c>
      <c r="L210" s="44" t="str" cm="1">
        <f t="array" aca="1" ref="L210" ca="1">IF(INDIRECT(_xlfn.CONCAT("'",IF(ISNUMBER(FIND("'",$A210))=TRUE,_xlfn.CONCAT(LEFT($A210,FIND("'",$A210)-1),"''",RIGHT($A210,LEN($A210)-FIND("'",$A210))),$A210),"'!B4"))&gt;=L$2,"d",IF(INDIRECT(_xlfn.CONCAT("'",IF(ISNUMBER(FIND("'",$A210))=TRUE,_xlfn.CONCAT(LEFT($A210,FIND("'",$A210)-1),"''",RIGHT($A210,LEN($A210)-FIND("'",$A210))),$A210),"'!B5"))&gt;=L$2,"i",""))</f>
        <v>d</v>
      </c>
      <c r="M210" s="45" t="str" cm="1">
        <f t="array" aca="1" ref="M210" ca="1">IF(INDIRECT(_xlfn.CONCAT("'",IF(ISNUMBER(FIND("'",$A210))=TRUE,_xlfn.CONCAT(LEFT($A210,FIND("'",$A210)-1),"''",RIGHT($A210,LEN($A210)-FIND("'",$A210))),$A210),"'!B4"))&gt;=M$2,"d",IF(INDIRECT(_xlfn.CONCAT("'",IF(ISNUMBER(FIND("'",$A210))=TRUE,_xlfn.CONCAT(LEFT($A210,FIND("'",$A210)-1),"''",RIGHT($A210,LEN($A210)-FIND("'",$A210))),$A210),"'!B5"))&gt;=M$2,"i",""))</f>
        <v>d</v>
      </c>
      <c r="N210" s="157"/>
      <c r="O210" s="19" t="str" cm="1">
        <f t="array" aca="1" ref="O210" ca="1">IF(INDIRECT(_xlfn.CONCAT("'",IF(ISNUMBER(FIND("'",$A210))=TRUE,_xlfn.CONCAT(LEFT($A210,FIND("'",$A210)-1),"''",RIGHT($A210,LEN($A210)-FIND("'",$A210))),$A210),"'!C10"))&gt;=O$2,"d",IF(INDIRECT(_xlfn.CONCAT("'",IF(ISNUMBER(FIND("'",$A210))=TRUE,_xlfn.CONCAT(LEFT($A210,FIND("'",$A210)-1),"''",RIGHT($A210,LEN($A210)-FIND("'",$A210))),$A210),"'!C11"))&gt;=O$2,"i",""))</f>
        <v>d</v>
      </c>
      <c r="P210" s="44" t="str" cm="1">
        <f t="array" aca="1" ref="P210" ca="1">IF(INDIRECT(_xlfn.CONCAT("'",IF(ISNUMBER(FIND("'",$A210))=TRUE,_xlfn.CONCAT(LEFT($A210,FIND("'",$A210)-1),"''",RIGHT($A210,LEN($A210)-FIND("'",$A210))),$A210),"'!C10"))&gt;=P$2,"d",IF(INDIRECT(_xlfn.CONCAT("'",IF(ISNUMBER(FIND("'",$A210))=TRUE,_xlfn.CONCAT(LEFT($A210,FIND("'",$A210)-1),"''",RIGHT($A210,LEN($A210)-FIND("'",$A210))),$A210),"'!C11"))&gt;=P$2,"i",""))</f>
        <v>d</v>
      </c>
      <c r="Q210" s="44" t="str" cm="1">
        <f t="array" aca="1" ref="Q210" ca="1">IF(INDIRECT(_xlfn.CONCAT("'",IF(ISNUMBER(FIND("'",$A210))=TRUE,_xlfn.CONCAT(LEFT($A210,FIND("'",$A210)-1),"''",RIGHT($A210,LEN($A210)-FIND("'",$A210))),$A210),"'!C10"))&gt;=Q$2,"d",IF(INDIRECT(_xlfn.CONCAT("'",IF(ISNUMBER(FIND("'",$A210))=TRUE,_xlfn.CONCAT(LEFT($A210,FIND("'",$A210)-1),"''",RIGHT($A210,LEN($A210)-FIND("'",$A210))),$A210),"'!C11"))&gt;=Q$2,"i",""))</f>
        <v>d</v>
      </c>
      <c r="R210" s="44" t="str" cm="1">
        <f t="array" aca="1" ref="R210" ca="1">IF(INDIRECT(_xlfn.CONCAT("'",IF(ISNUMBER(FIND("'",$A210))=TRUE,_xlfn.CONCAT(LEFT($A210,FIND("'",$A210)-1),"''",RIGHT($A210,LEN($A210)-FIND("'",$A210))),$A210),"'!C10"))&gt;=R$2,"d",IF(INDIRECT(_xlfn.CONCAT("'",IF(ISNUMBER(FIND("'",$A210))=TRUE,_xlfn.CONCAT(LEFT($A210,FIND("'",$A210)-1),"''",RIGHT($A210,LEN($A210)-FIND("'",$A210))),$A210),"'!C11"))&gt;=R$2,"i",""))</f>
        <v>d</v>
      </c>
      <c r="S210" s="44" t="str" cm="1">
        <f t="array" aca="1" ref="S210" ca="1">IF(INDIRECT(_xlfn.CONCAT("'",IF(ISNUMBER(FIND("'",$A210))=TRUE,_xlfn.CONCAT(LEFT($A210,FIND("'",$A210)-1),"''",RIGHT($A210,LEN($A210)-FIND("'",$A210))),$A210),"'!C10"))&gt;=S$2,"d",IF(INDIRECT(_xlfn.CONCAT("'",IF(ISNUMBER(FIND("'",$A210))=TRUE,_xlfn.CONCAT(LEFT($A210,FIND("'",$A210)-1),"''",RIGHT($A210,LEN($A210)-FIND("'",$A210))),$A210),"'!C11"))&gt;=S$2,"i",""))</f>
        <v>d</v>
      </c>
      <c r="T210" s="45" t="str" cm="1">
        <f t="array" aca="1" ref="T210" ca="1">IF(INDIRECT(_xlfn.CONCAT("'",IF(ISNUMBER(FIND("'",$A210))=TRUE,_xlfn.CONCAT(LEFT($A210,FIND("'",$A210)-1),"''",RIGHT($A210,LEN($A210)-FIND("'",$A210))),$A210),"'!C10"))&gt;=T$2,"d",IF(INDIRECT(_xlfn.CONCAT("'",IF(ISNUMBER(FIND("'",$A210))=TRUE,_xlfn.CONCAT(LEFT($A210,FIND("'",$A210)-1),"''",RIGHT($A210,LEN($A210)-FIND("'",$A210))),$A210),"'!C11"))&gt;=T$2,"i",""))</f>
        <v>d</v>
      </c>
    </row>
    <row r="211" spans="1:20" x14ac:dyDescent="0.25">
      <c r="A211" s="135" t="str">
        <v>Fractured Halo</v>
      </c>
      <c r="B211" s="19" cm="1">
        <f t="array" ref="B211">_xlfn.XLOOKUP(A211,INDEX(Weapon_List,,1),INDEX(Weapon_List,,3),,0,1)</f>
        <v>5</v>
      </c>
      <c r="C211" s="45" t="str" cm="1">
        <f t="array" ref="C211">_xlfn.XLOOKUP(A211,INDEX(Weapon_List,,1),INDEX(Weapon_List,,2),,0,1)</f>
        <v>Polearm</v>
      </c>
      <c r="D211" s="38" t="str" cm="1">
        <f t="array" ref="D211">_xlfn.XLOOKUP(A211,INDEX(Weapon_List,,1),INDEX(Weapon_List,,4),,0,1)</f>
        <v>Natlan 1</v>
      </c>
      <c r="E211" s="38" t="str" cm="1">
        <f t="array" ref="E211">_xlfn.XLOOKUP(A211,INDEX(Weapon_List,,1),INDEX(Weapon_List,,5),,0,1)</f>
        <v>Saurian</v>
      </c>
      <c r="F211" s="38" t="str" cm="1">
        <f t="array" ref="F211">_xlfn.XLOOKUP(A211,INDEX(Weapon_List,,1),INDEX(Weapon_List,,6),,0,1)</f>
        <v>Furnace Shell Mountain Weasel</v>
      </c>
      <c r="G211" s="19" t="str" cm="1">
        <f t="array" aca="1" ref="G211" ca="1">IF(INDIRECT(_xlfn.CONCAT("'",IF(ISNUMBER(FIND("'",$A211))=TRUE,_xlfn.CONCAT(LEFT($A211,FIND("'",$A211)-1),"''",RIGHT($A211,LEN($A211)-FIND("'",$A211))),$A211),"'!B4"))&gt;=G$2,"d",IF(INDIRECT(_xlfn.CONCAT("'",IF(ISNUMBER(FIND("'",$A211))=TRUE,_xlfn.CONCAT(LEFT($A211,FIND("'",$A211)-1),"''",RIGHT($A211,LEN($A211)-FIND("'",$A211))),$A211),"'!B5"))&gt;=G$2,"i",""))</f>
        <v>d</v>
      </c>
      <c r="H211" s="44" t="str" cm="1">
        <f t="array" aca="1" ref="H211" ca="1">IF(INDIRECT(_xlfn.CONCAT("'",IF(ISNUMBER(FIND("'",$A211))=TRUE,_xlfn.CONCAT(LEFT($A211,FIND("'",$A211)-1),"''",RIGHT($A211,LEN($A211)-FIND("'",$A211))),$A211),"'!B4"))&gt;=H$2,"d",IF(INDIRECT(_xlfn.CONCAT("'",IF(ISNUMBER(FIND("'",$A211))=TRUE,_xlfn.CONCAT(LEFT($A211,FIND("'",$A211)-1),"''",RIGHT($A211,LEN($A211)-FIND("'",$A211))),$A211),"'!B5"))&gt;=H$2,"i",""))</f>
        <v>d</v>
      </c>
      <c r="I211" s="44" t="str" cm="1">
        <f t="array" aca="1" ref="I211" ca="1">IF(INDIRECT(_xlfn.CONCAT("'",IF(ISNUMBER(FIND("'",$A211))=TRUE,_xlfn.CONCAT(LEFT($A211,FIND("'",$A211)-1),"''",RIGHT($A211,LEN($A211)-FIND("'",$A211))),$A211),"'!B4"))&gt;=I$2,"d",IF(INDIRECT(_xlfn.CONCAT("'",IF(ISNUMBER(FIND("'",$A211))=TRUE,_xlfn.CONCAT(LEFT($A211,FIND("'",$A211)-1),"''",RIGHT($A211,LEN($A211)-FIND("'",$A211))),$A211),"'!B5"))&gt;=I$2,"i",""))</f>
        <v>d</v>
      </c>
      <c r="J211" s="44" t="str" cm="1">
        <f t="array" aca="1" ref="J211" ca="1">IF(INDIRECT(_xlfn.CONCAT("'",IF(ISNUMBER(FIND("'",$A211))=TRUE,_xlfn.CONCAT(LEFT($A211,FIND("'",$A211)-1),"''",RIGHT($A211,LEN($A211)-FIND("'",$A211))),$A211),"'!B4"))&gt;=J$2,"d",IF(INDIRECT(_xlfn.CONCAT("'",IF(ISNUMBER(FIND("'",$A211))=TRUE,_xlfn.CONCAT(LEFT($A211,FIND("'",$A211)-1),"''",RIGHT($A211,LEN($A211)-FIND("'",$A211))),$A211),"'!B5"))&gt;=J$2,"i",""))</f>
        <v>d</v>
      </c>
      <c r="K211" s="44" t="str" cm="1">
        <f t="array" aca="1" ref="K211" ca="1">IF(INDIRECT(_xlfn.CONCAT("'",IF(ISNUMBER(FIND("'",$A211))=TRUE,_xlfn.CONCAT(LEFT($A211,FIND("'",$A211)-1),"''",RIGHT($A211,LEN($A211)-FIND("'",$A211))),$A211),"'!B4"))&gt;=K$2,"d",IF(INDIRECT(_xlfn.CONCAT("'",IF(ISNUMBER(FIND("'",$A211))=TRUE,_xlfn.CONCAT(LEFT($A211,FIND("'",$A211)-1),"''",RIGHT($A211,LEN($A211)-FIND("'",$A211))),$A211),"'!B5"))&gt;=K$2,"i",""))</f>
        <v>d</v>
      </c>
      <c r="L211" s="44" t="str" cm="1">
        <f t="array" aca="1" ref="L211" ca="1">IF(INDIRECT(_xlfn.CONCAT("'",IF(ISNUMBER(FIND("'",$A211))=TRUE,_xlfn.CONCAT(LEFT($A211,FIND("'",$A211)-1),"''",RIGHT($A211,LEN($A211)-FIND("'",$A211))),$A211),"'!B4"))&gt;=L$2,"d",IF(INDIRECT(_xlfn.CONCAT("'",IF(ISNUMBER(FIND("'",$A211))=TRUE,_xlfn.CONCAT(LEFT($A211,FIND("'",$A211)-1),"''",RIGHT($A211,LEN($A211)-FIND("'",$A211))),$A211),"'!B5"))&gt;=L$2,"i",""))</f>
        <v>d</v>
      </c>
      <c r="M211" s="45" t="str" cm="1">
        <f t="array" aca="1" ref="M211" ca="1">IF(INDIRECT(_xlfn.CONCAT("'",IF(ISNUMBER(FIND("'",$A211))=TRUE,_xlfn.CONCAT(LEFT($A211,FIND("'",$A211)-1),"''",RIGHT($A211,LEN($A211)-FIND("'",$A211))),$A211),"'!B4"))&gt;=M$2,"d",IF(INDIRECT(_xlfn.CONCAT("'",IF(ISNUMBER(FIND("'",$A211))=TRUE,_xlfn.CONCAT(LEFT($A211,FIND("'",$A211)-1),"''",RIGHT($A211,LEN($A211)-FIND("'",$A211))),$A211),"'!B5"))&gt;=M$2,"i",""))</f>
        <v>d</v>
      </c>
      <c r="N211" s="157"/>
      <c r="O211" s="19" t="str" cm="1">
        <f t="array" aca="1" ref="O211" ca="1">IF(INDIRECT(_xlfn.CONCAT("'",IF(ISNUMBER(FIND("'",$A211))=TRUE,_xlfn.CONCAT(LEFT($A211,FIND("'",$A211)-1),"''",RIGHT($A211,LEN($A211)-FIND("'",$A211))),$A211),"'!C10"))&gt;=O$2,"d",IF(INDIRECT(_xlfn.CONCAT("'",IF(ISNUMBER(FIND("'",$A211))=TRUE,_xlfn.CONCAT(LEFT($A211,FIND("'",$A211)-1),"''",RIGHT($A211,LEN($A211)-FIND("'",$A211))),$A211),"'!C11"))&gt;=O$2,"i",""))</f>
        <v>d</v>
      </c>
      <c r="P211" s="44" t="str" cm="1">
        <f t="array" aca="1" ref="P211" ca="1">IF(INDIRECT(_xlfn.CONCAT("'",IF(ISNUMBER(FIND("'",$A211))=TRUE,_xlfn.CONCAT(LEFT($A211,FIND("'",$A211)-1),"''",RIGHT($A211,LEN($A211)-FIND("'",$A211))),$A211),"'!C10"))&gt;=P$2,"d",IF(INDIRECT(_xlfn.CONCAT("'",IF(ISNUMBER(FIND("'",$A211))=TRUE,_xlfn.CONCAT(LEFT($A211,FIND("'",$A211)-1),"''",RIGHT($A211,LEN($A211)-FIND("'",$A211))),$A211),"'!C11"))&gt;=P$2,"i",""))</f>
        <v>d</v>
      </c>
      <c r="Q211" s="44" t="str" cm="1">
        <f t="array" aca="1" ref="Q211" ca="1">IF(INDIRECT(_xlfn.CONCAT("'",IF(ISNUMBER(FIND("'",$A211))=TRUE,_xlfn.CONCAT(LEFT($A211,FIND("'",$A211)-1),"''",RIGHT($A211,LEN($A211)-FIND("'",$A211))),$A211),"'!C10"))&gt;=Q$2,"d",IF(INDIRECT(_xlfn.CONCAT("'",IF(ISNUMBER(FIND("'",$A211))=TRUE,_xlfn.CONCAT(LEFT($A211,FIND("'",$A211)-1),"''",RIGHT($A211,LEN($A211)-FIND("'",$A211))),$A211),"'!C11"))&gt;=Q$2,"i",""))</f>
        <v>d</v>
      </c>
      <c r="R211" s="44" t="str" cm="1">
        <f t="array" aca="1" ref="R211" ca="1">IF(INDIRECT(_xlfn.CONCAT("'",IF(ISNUMBER(FIND("'",$A211))=TRUE,_xlfn.CONCAT(LEFT($A211,FIND("'",$A211)-1),"''",RIGHT($A211,LEN($A211)-FIND("'",$A211))),$A211),"'!C10"))&gt;=R$2,"d",IF(INDIRECT(_xlfn.CONCAT("'",IF(ISNUMBER(FIND("'",$A211))=TRUE,_xlfn.CONCAT(LEFT($A211,FIND("'",$A211)-1),"''",RIGHT($A211,LEN($A211)-FIND("'",$A211))),$A211),"'!C11"))&gt;=R$2,"i",""))</f>
        <v>d</v>
      </c>
      <c r="S211" s="44" t="str" cm="1">
        <f t="array" aca="1" ref="S211" ca="1">IF(INDIRECT(_xlfn.CONCAT("'",IF(ISNUMBER(FIND("'",$A211))=TRUE,_xlfn.CONCAT(LEFT($A211,FIND("'",$A211)-1),"''",RIGHT($A211,LEN($A211)-FIND("'",$A211))),$A211),"'!C10"))&gt;=S$2,"d",IF(INDIRECT(_xlfn.CONCAT("'",IF(ISNUMBER(FIND("'",$A211))=TRUE,_xlfn.CONCAT(LEFT($A211,FIND("'",$A211)-1),"''",RIGHT($A211,LEN($A211)-FIND("'",$A211))),$A211),"'!C11"))&gt;=S$2,"i",""))</f>
        <v>d</v>
      </c>
      <c r="T211" s="45" t="str" cm="1">
        <f t="array" aca="1" ref="T211" ca="1">IF(INDIRECT(_xlfn.CONCAT("'",IF(ISNUMBER(FIND("'",$A211))=TRUE,_xlfn.CONCAT(LEFT($A211,FIND("'",$A211)-1),"''",RIGHT($A211,LEN($A211)-FIND("'",$A211))),$A211),"'!C10"))&gt;=T$2,"d",IF(INDIRECT(_xlfn.CONCAT("'",IF(ISNUMBER(FIND("'",$A211))=TRUE,_xlfn.CONCAT(LEFT($A211,FIND("'",$A211)-1),"''",RIGHT($A211,LEN($A211)-FIND("'",$A211))),$A211),"'!C11"))&gt;=T$2,"i",""))</f>
        <v>d</v>
      </c>
    </row>
    <row r="212" spans="1:20" x14ac:dyDescent="0.25">
      <c r="A212" s="135" t="str">
        <v>Flame-Forged Insight</v>
      </c>
      <c r="B212" s="19" cm="1">
        <f t="array" ref="B212">_xlfn.XLOOKUP(A212,INDEX(Weapon_List,,1),INDEX(Weapon_List,,3),,0,1)</f>
        <v>4</v>
      </c>
      <c r="C212" s="45" t="str" cm="1">
        <f t="array" ref="C212">_xlfn.XLOOKUP(A212,INDEX(Weapon_List,,1),INDEX(Weapon_List,,2),,0,1)</f>
        <v>Claymore</v>
      </c>
      <c r="D212" s="38" t="str" cm="1">
        <f t="array" ref="D212">_xlfn.XLOOKUP(A212,INDEX(Weapon_List,,1),INDEX(Weapon_List,,4),,0,1)</f>
        <v>Natlan 2</v>
      </c>
      <c r="E212" s="38" t="str" cm="1">
        <f t="array" ref="E212">_xlfn.XLOOKUP(A212,INDEX(Weapon_List,,1),INDEX(Weapon_List,,5),,0,1)</f>
        <v>Fontemer Aberrant</v>
      </c>
      <c r="F212" s="38" t="str" cm="1">
        <f t="array" ref="F212">_xlfn.XLOOKUP(A212,INDEX(Weapon_List,,1),INDEX(Weapon_List,,6),,0,1)</f>
        <v>Furnace Shell Mountain Weasel</v>
      </c>
      <c r="G212" s="19" t="str" cm="1">
        <f t="array" aca="1" ref="G212" ca="1">IF(INDIRECT(_xlfn.CONCAT("'",IF(ISNUMBER(FIND("'",$A212))=TRUE,_xlfn.CONCAT(LEFT($A212,FIND("'",$A212)-1),"''",RIGHT($A212,LEN($A212)-FIND("'",$A212))),$A212),"'!B4"))&gt;=G$2,"d",IF(INDIRECT(_xlfn.CONCAT("'",IF(ISNUMBER(FIND("'",$A212))=TRUE,_xlfn.CONCAT(LEFT($A212,FIND("'",$A212)-1),"''",RIGHT($A212,LEN($A212)-FIND("'",$A212))),$A212),"'!B5"))&gt;=G$2,"i",""))</f>
        <v>i</v>
      </c>
      <c r="H212" s="44" t="str" cm="1">
        <f t="array" aca="1" ref="H212" ca="1">IF(INDIRECT(_xlfn.CONCAT("'",IF(ISNUMBER(FIND("'",$A212))=TRUE,_xlfn.CONCAT(LEFT($A212,FIND("'",$A212)-1),"''",RIGHT($A212,LEN($A212)-FIND("'",$A212))),$A212),"'!B4"))&gt;=H$2,"d",IF(INDIRECT(_xlfn.CONCAT("'",IF(ISNUMBER(FIND("'",$A212))=TRUE,_xlfn.CONCAT(LEFT($A212,FIND("'",$A212)-1),"''",RIGHT($A212,LEN($A212)-FIND("'",$A212))),$A212),"'!B5"))&gt;=H$2,"i",""))</f>
        <v>i</v>
      </c>
      <c r="I212" s="44" t="str" cm="1">
        <f t="array" aca="1" ref="I212" ca="1">IF(INDIRECT(_xlfn.CONCAT("'",IF(ISNUMBER(FIND("'",$A212))=TRUE,_xlfn.CONCAT(LEFT($A212,FIND("'",$A212)-1),"''",RIGHT($A212,LEN($A212)-FIND("'",$A212))),$A212),"'!B4"))&gt;=I$2,"d",IF(INDIRECT(_xlfn.CONCAT("'",IF(ISNUMBER(FIND("'",$A212))=TRUE,_xlfn.CONCAT(LEFT($A212,FIND("'",$A212)-1),"''",RIGHT($A212,LEN($A212)-FIND("'",$A212))),$A212),"'!B5"))&gt;=I$2,"i",""))</f>
        <v>i</v>
      </c>
      <c r="J212" s="44" t="str" cm="1">
        <f t="array" aca="1" ref="J212" ca="1">IF(INDIRECT(_xlfn.CONCAT("'",IF(ISNUMBER(FIND("'",$A212))=TRUE,_xlfn.CONCAT(LEFT($A212,FIND("'",$A212)-1),"''",RIGHT($A212,LEN($A212)-FIND("'",$A212))),$A212),"'!B4"))&gt;=J$2,"d",IF(INDIRECT(_xlfn.CONCAT("'",IF(ISNUMBER(FIND("'",$A212))=TRUE,_xlfn.CONCAT(LEFT($A212,FIND("'",$A212)-1),"''",RIGHT($A212,LEN($A212)-FIND("'",$A212))),$A212),"'!B5"))&gt;=J$2,"i",""))</f>
        <v>i</v>
      </c>
      <c r="K212" s="44" t="str" cm="1">
        <f t="array" aca="1" ref="K212" ca="1">IF(INDIRECT(_xlfn.CONCAT("'",IF(ISNUMBER(FIND("'",$A212))=TRUE,_xlfn.CONCAT(LEFT($A212,FIND("'",$A212)-1),"''",RIGHT($A212,LEN($A212)-FIND("'",$A212))),$A212),"'!B4"))&gt;=K$2,"d",IF(INDIRECT(_xlfn.CONCAT("'",IF(ISNUMBER(FIND("'",$A212))=TRUE,_xlfn.CONCAT(LEFT($A212,FIND("'",$A212)-1),"''",RIGHT($A212,LEN($A212)-FIND("'",$A212))),$A212),"'!B5"))&gt;=K$2,"i",""))</f>
        <v>i</v>
      </c>
      <c r="L212" s="44" t="str" cm="1">
        <f t="array" aca="1" ref="L212" ca="1">IF(INDIRECT(_xlfn.CONCAT("'",IF(ISNUMBER(FIND("'",$A212))=TRUE,_xlfn.CONCAT(LEFT($A212,FIND("'",$A212)-1),"''",RIGHT($A212,LEN($A212)-FIND("'",$A212))),$A212),"'!B4"))&gt;=L$2,"d",IF(INDIRECT(_xlfn.CONCAT("'",IF(ISNUMBER(FIND("'",$A212))=TRUE,_xlfn.CONCAT(LEFT($A212,FIND("'",$A212)-1),"''",RIGHT($A212,LEN($A212)-FIND("'",$A212))),$A212),"'!B5"))&gt;=L$2,"i",""))</f>
        <v>i</v>
      </c>
      <c r="M212" s="45" t="str" cm="1">
        <f t="array" aca="1" ref="M212" ca="1">IF(INDIRECT(_xlfn.CONCAT("'",IF(ISNUMBER(FIND("'",$A212))=TRUE,_xlfn.CONCAT(LEFT($A212,FIND("'",$A212)-1),"''",RIGHT($A212,LEN($A212)-FIND("'",$A212))),$A212),"'!B4"))&gt;=M$2,"d",IF(INDIRECT(_xlfn.CONCAT("'",IF(ISNUMBER(FIND("'",$A212))=TRUE,_xlfn.CONCAT(LEFT($A212,FIND("'",$A212)-1),"''",RIGHT($A212,LEN($A212)-FIND("'",$A212))),$A212),"'!B5"))&gt;=M$2,"i",""))</f>
        <v>i</v>
      </c>
      <c r="N212" s="157"/>
      <c r="O212" s="19" t="str" cm="1">
        <f t="array" aca="1" ref="O212" ca="1">IF(INDIRECT(_xlfn.CONCAT("'",IF(ISNUMBER(FIND("'",$A212))=TRUE,_xlfn.CONCAT(LEFT($A212,FIND("'",$A212)-1),"''",RIGHT($A212,LEN($A212)-FIND("'",$A212))),$A212),"'!C10"))&gt;=O$2,"d",IF(INDIRECT(_xlfn.CONCAT("'",IF(ISNUMBER(FIND("'",$A212))=TRUE,_xlfn.CONCAT(LEFT($A212,FIND("'",$A212)-1),"''",RIGHT($A212,LEN($A212)-FIND("'",$A212))),$A212),"'!C11"))&gt;=O$2,"i",""))</f>
        <v>i</v>
      </c>
      <c r="P212" s="44" t="str" cm="1">
        <f t="array" aca="1" ref="P212" ca="1">IF(INDIRECT(_xlfn.CONCAT("'",IF(ISNUMBER(FIND("'",$A212))=TRUE,_xlfn.CONCAT(LEFT($A212,FIND("'",$A212)-1),"''",RIGHT($A212,LEN($A212)-FIND("'",$A212))),$A212),"'!C10"))&gt;=P$2,"d",IF(INDIRECT(_xlfn.CONCAT("'",IF(ISNUMBER(FIND("'",$A212))=TRUE,_xlfn.CONCAT(LEFT($A212,FIND("'",$A212)-1),"''",RIGHT($A212,LEN($A212)-FIND("'",$A212))),$A212),"'!C11"))&gt;=P$2,"i",""))</f>
        <v>i</v>
      </c>
      <c r="Q212" s="44" t="str" cm="1">
        <f t="array" aca="1" ref="Q212" ca="1">IF(INDIRECT(_xlfn.CONCAT("'",IF(ISNUMBER(FIND("'",$A212))=TRUE,_xlfn.CONCAT(LEFT($A212,FIND("'",$A212)-1),"''",RIGHT($A212,LEN($A212)-FIND("'",$A212))),$A212),"'!C10"))&gt;=Q$2,"d",IF(INDIRECT(_xlfn.CONCAT("'",IF(ISNUMBER(FIND("'",$A212))=TRUE,_xlfn.CONCAT(LEFT($A212,FIND("'",$A212)-1),"''",RIGHT($A212,LEN($A212)-FIND("'",$A212))),$A212),"'!C11"))&gt;=Q$2,"i",""))</f>
        <v>i</v>
      </c>
      <c r="R212" s="44" t="str" cm="1">
        <f t="array" aca="1" ref="R212" ca="1">IF(INDIRECT(_xlfn.CONCAT("'",IF(ISNUMBER(FIND("'",$A212))=TRUE,_xlfn.CONCAT(LEFT($A212,FIND("'",$A212)-1),"''",RIGHT($A212,LEN($A212)-FIND("'",$A212))),$A212),"'!C10"))&gt;=R$2,"d",IF(INDIRECT(_xlfn.CONCAT("'",IF(ISNUMBER(FIND("'",$A212))=TRUE,_xlfn.CONCAT(LEFT($A212,FIND("'",$A212)-1),"''",RIGHT($A212,LEN($A212)-FIND("'",$A212))),$A212),"'!C11"))&gt;=R$2,"i",""))</f>
        <v>i</v>
      </c>
      <c r="S212" s="44" t="str" cm="1">
        <f t="array" aca="1" ref="S212" ca="1">IF(INDIRECT(_xlfn.CONCAT("'",IF(ISNUMBER(FIND("'",$A212))=TRUE,_xlfn.CONCAT(LEFT($A212,FIND("'",$A212)-1),"''",RIGHT($A212,LEN($A212)-FIND("'",$A212))),$A212),"'!C10"))&gt;=S$2,"d",IF(INDIRECT(_xlfn.CONCAT("'",IF(ISNUMBER(FIND("'",$A212))=TRUE,_xlfn.CONCAT(LEFT($A212,FIND("'",$A212)-1),"''",RIGHT($A212,LEN($A212)-FIND("'",$A212))),$A212),"'!C11"))&gt;=S$2,"i",""))</f>
        <v>i</v>
      </c>
      <c r="T212" s="45" t="str" cm="1">
        <f t="array" aca="1" ref="T212" ca="1">IF(INDIRECT(_xlfn.CONCAT("'",IF(ISNUMBER(FIND("'",$A212))=TRUE,_xlfn.CONCAT(LEFT($A212,FIND("'",$A212)-1),"''",RIGHT($A212,LEN($A212)-FIND("'",$A212))),$A212),"'!C10"))&gt;=T$2,"d",IF(INDIRECT(_xlfn.CONCAT("'",IF(ISNUMBER(FIND("'",$A212))=TRUE,_xlfn.CONCAT(LEFT($A212,FIND("'",$A212)-1),"''",RIGHT($A212,LEN($A212)-FIND("'",$A212))),$A212),"'!C11"))&gt;=T$2,"i",""))</f>
        <v>i</v>
      </c>
    </row>
    <row r="213" spans="1:20" ht="15.75" thickBot="1" x14ac:dyDescent="0.3">
      <c r="A213" s="90" t="str">
        <v>6.0 Forge Sword</v>
      </c>
      <c r="B213" s="31"/>
      <c r="C213" s="18"/>
      <c r="D213" s="100"/>
      <c r="E213" s="100"/>
      <c r="F213" s="100"/>
      <c r="G213" s="31"/>
      <c r="H213" s="32"/>
      <c r="I213" s="32"/>
      <c r="J213" s="32"/>
      <c r="K213" s="32"/>
      <c r="L213" s="32"/>
      <c r="M213" s="18"/>
      <c r="N213" s="91"/>
      <c r="O213" s="31"/>
      <c r="P213" s="32"/>
      <c r="Q213" s="32"/>
      <c r="R213" s="32"/>
      <c r="S213" s="32"/>
      <c r="T213" s="18"/>
    </row>
    <row r="214" spans="1:20" x14ac:dyDescent="0.25">
      <c r="A214" t="str">
        <v>6.0 Forge Clayymore</v>
      </c>
    </row>
    <row r="215" spans="1:20" x14ac:dyDescent="0.25">
      <c r="A215" t="str">
        <v>6.0 Forge Polearm</v>
      </c>
    </row>
    <row r="216" spans="1:20" x14ac:dyDescent="0.25">
      <c r="A216" t="str">
        <v>6.0 Forge Catalyst</v>
      </c>
    </row>
    <row r="217" spans="1:20" x14ac:dyDescent="0.25">
      <c r="A217" t="str">
        <v>6.0 Forge Bow</v>
      </c>
    </row>
    <row r="218" spans="1:20" x14ac:dyDescent="0.25">
      <c r="A218" t="str">
        <v>City Sword</v>
      </c>
    </row>
    <row r="219" spans="1:20" x14ac:dyDescent="0.25">
      <c r="A219" t="str">
        <v>6.0 Polearm</v>
      </c>
    </row>
    <row r="220" spans="1:20" x14ac:dyDescent="0.25">
      <c r="A220" t="str">
        <v>6.0 Catalyst</v>
      </c>
    </row>
    <row r="221" spans="1:20" x14ac:dyDescent="0.25">
      <c r="A221" t="str">
        <v>6.0 Event Catalyst</v>
      </c>
    </row>
    <row r="222" spans="1:20" x14ac:dyDescent="0.25">
      <c r="A222">
        <v>0</v>
      </c>
    </row>
  </sheetData>
  <autoFilter ref="A2:T213" xr:uid="{AE51DD0E-924A-4285-8440-5C5F0E81289A}">
    <filterColumn colId="1">
      <filters blank="1">
        <filter val="3"/>
        <filter val="4"/>
        <filter val="5"/>
      </filters>
    </filterColumn>
    <filterColumn colId="12">
      <filters blank="1"/>
    </filterColumn>
  </autoFilter>
  <sortState xmlns:xlrd2="http://schemas.microsoft.com/office/spreadsheetml/2017/richdata2" ref="A37:C90">
    <sortCondition ref="B37:B90"/>
    <sortCondition ref="C37:C90" customList="Sword,Claymore,Spear,Catalyst,Bow"/>
  </sortState>
  <mergeCells count="8">
    <mergeCell ref="G1:M1"/>
    <mergeCell ref="O1:T1"/>
    <mergeCell ref="A1:A2"/>
    <mergeCell ref="B1:B2"/>
    <mergeCell ref="C1:C2"/>
    <mergeCell ref="D1:D2"/>
    <mergeCell ref="E1:E2"/>
    <mergeCell ref="F1:F2"/>
  </mergeCells>
  <conditionalFormatting sqref="D3:F213">
    <cfRule type="containsText" dxfId="678" priority="1" operator="containsText" text="Natlan">
      <formula>NOT(ISERROR(SEARCH("Natlan",D3)))</formula>
    </cfRule>
    <cfRule type="containsText" dxfId="677" priority="2" operator="containsText" text="Fontaine">
      <formula>NOT(ISERROR(SEARCH("Fontaine",D3)))</formula>
    </cfRule>
    <cfRule type="containsText" dxfId="676" priority="3" operator="containsText" text="Sumeru">
      <formula>NOT(ISERROR(SEARCH("Sumeru",D3)))</formula>
    </cfRule>
    <cfRule type="containsText" dxfId="675" priority="6" operator="containsText" text="Mondstadt">
      <formula>NOT(ISERROR(SEARCH("Mondstadt",D3)))</formula>
    </cfRule>
    <cfRule type="containsText" dxfId="674" priority="22" operator="containsText" text="Liyue">
      <formula>NOT(ISERROR(SEARCH("Liyue",D3)))</formula>
    </cfRule>
    <cfRule type="containsText" dxfId="673" priority="29" operator="containsText" text="Inazuma">
      <formula>NOT(ISERROR(SEARCH("Inazuma",D3)))</formula>
    </cfRule>
  </conditionalFormatting>
  <conditionalFormatting sqref="G3:T213">
    <cfRule type="containsText" dxfId="672" priority="4" operator="containsText" text="d">
      <formula>NOT(ISERROR(SEARCH("d",G3)))</formula>
    </cfRule>
    <cfRule type="containsText" dxfId="671" priority="5" operator="containsText" text="i">
      <formula>NOT(ISERROR(SEARCH("i",G3)))</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DAAA7-67AC-4093-B1CA-F853D0D78F52}">
  <sheetPr codeName="Sheet210">
    <tabColor rgb="FFDEC8EE"/>
  </sheetPr>
  <dimension ref="A1:H20"/>
  <sheetViews>
    <sheetView zoomScaleNormal="100" workbookViewId="0">
      <selection activeCell="G4" sqref="G4"/>
    </sheetView>
  </sheetViews>
  <sheetFormatPr defaultColWidth="8.85546875" defaultRowHeight="15" x14ac:dyDescent="0.25"/>
  <cols>
    <col min="1" max="1" width="19" bestFit="1" customWidth="1"/>
    <col min="2" max="2" width="26.85546875" bestFit="1" customWidth="1"/>
    <col min="3" max="3" width="7.42578125" bestFit="1" customWidth="1"/>
    <col min="5" max="5" width="19" bestFit="1" customWidth="1"/>
    <col min="6" max="6" width="26.85546875" bestFit="1" customWidth="1"/>
    <col min="7" max="7" width="9.140625" bestFit="1" customWidth="1"/>
    <col min="8" max="8" width="10.7109375" bestFit="1" customWidth="1"/>
    <col min="10" max="10" width="27.42578125" bestFit="1" customWidth="1"/>
    <col min="11" max="11" width="9.140625" bestFit="1" customWidth="1"/>
  </cols>
  <sheetData>
    <row r="1" spans="1:8" ht="15.75" thickBot="1" x14ac:dyDescent="0.3">
      <c r="A1" s="11" t="s">
        <v>196</v>
      </c>
      <c r="B1" s="27" t="s">
        <v>153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B6</f>
        <v>0</v>
      </c>
      <c r="H4" s="33" t="s">
        <v>202</v>
      </c>
    </row>
    <row r="5" spans="1:8" ht="15.75" thickBot="1" x14ac:dyDescent="0.3">
      <c r="A5" s="13" t="s">
        <v>203</v>
      </c>
      <c r="B5" s="26">
        <v>90</v>
      </c>
      <c r="E5" s="232" t="s">
        <v>204</v>
      </c>
      <c r="F5" s="233"/>
      <c r="G5" s="16">
        <f>SUM(B7,C20)</f>
        <v>0</v>
      </c>
      <c r="H5" s="34" t="s">
        <v>202</v>
      </c>
    </row>
    <row r="6" spans="1:8" x14ac:dyDescent="0.25">
      <c r="A6" s="12" t="s">
        <v>201</v>
      </c>
      <c r="B6" s="15">
        <f>VLOOKUP(B5,Levelling_Materials,3,FALSE)-VLOOKUP(B4,Levelling_Materials,3,FALSE)</f>
        <v>0</v>
      </c>
      <c r="E6" s="227" t="s">
        <v>205</v>
      </c>
      <c r="F6" s="2" t="str">
        <f t="shared" ref="F6:G9" si="0">B12</f>
        <v>Brilliant Diamond Sliver</v>
      </c>
      <c r="G6" s="15">
        <f t="shared" si="0"/>
        <v>0</v>
      </c>
      <c r="H6" s="34" t="s">
        <v>202</v>
      </c>
    </row>
    <row r="7" spans="1:8" ht="15.75" thickBot="1" x14ac:dyDescent="0.3">
      <c r="A7" s="13" t="s">
        <v>204</v>
      </c>
      <c r="B7" s="16">
        <f>VLOOKUP(B5,Levelling_Materials,5,FALSE)-VLOOKUP(B4,Levelling_Materials,5,FALSE)</f>
        <v>0</v>
      </c>
      <c r="E7" s="234"/>
      <c r="F7" s="1" t="str">
        <f t="shared" si="0"/>
        <v>Brilliant Diamond Fragment</v>
      </c>
      <c r="G7" s="17">
        <f t="shared" si="0"/>
        <v>0</v>
      </c>
      <c r="H7" s="34" t="s">
        <v>202</v>
      </c>
    </row>
    <row r="8" spans="1:8" ht="15.75" thickBot="1" x14ac:dyDescent="0.3">
      <c r="E8" s="234"/>
      <c r="F8" s="1" t="str">
        <f t="shared" si="0"/>
        <v>Brilliant Diamond Chunk</v>
      </c>
      <c r="G8" s="17">
        <f t="shared" si="0"/>
        <v>0</v>
      </c>
      <c r="H8" s="34" t="s">
        <v>202</v>
      </c>
    </row>
    <row r="9" spans="1:8" ht="15.75" thickBot="1" x14ac:dyDescent="0.3">
      <c r="A9" s="171" t="s">
        <v>149</v>
      </c>
      <c r="B9" s="231"/>
      <c r="C9" s="172"/>
      <c r="E9" s="228"/>
      <c r="F9" s="1" t="str">
        <f t="shared" si="0"/>
        <v>Brilliant Diamond Gemstone</v>
      </c>
      <c r="G9" s="17">
        <f t="shared" si="0"/>
        <v>0</v>
      </c>
      <c r="H9" s="34" t="s">
        <v>202</v>
      </c>
    </row>
    <row r="10" spans="1:8" ht="15.75" thickBot="1" x14ac:dyDescent="0.3">
      <c r="A10" s="173" t="s">
        <v>206</v>
      </c>
      <c r="B10" s="202"/>
      <c r="C10" s="43">
        <v>6</v>
      </c>
      <c r="E10" s="184" t="s">
        <v>207</v>
      </c>
      <c r="F10" s="2" t="str">
        <f>B16</f>
        <v>Damaged Mask</v>
      </c>
      <c r="G10" s="15">
        <f>SUM(C16)</f>
        <v>0</v>
      </c>
      <c r="H10" s="34" t="s">
        <v>202</v>
      </c>
    </row>
    <row r="11" spans="1:8" ht="15.75" thickBot="1" x14ac:dyDescent="0.3">
      <c r="A11" s="173" t="s">
        <v>208</v>
      </c>
      <c r="B11" s="202"/>
      <c r="C11" s="43">
        <v>6</v>
      </c>
      <c r="E11" s="185"/>
      <c r="F11" s="1" t="str">
        <f>B17</f>
        <v>Stained Mask</v>
      </c>
      <c r="G11" s="17">
        <f t="shared" ref="G11:G12" si="1">SUM(C17)</f>
        <v>0</v>
      </c>
      <c r="H11" s="34" t="s">
        <v>202</v>
      </c>
    </row>
    <row r="12" spans="1:8" ht="15.75" thickBot="1" x14ac:dyDescent="0.3">
      <c r="A12" s="188" t="s">
        <v>205</v>
      </c>
      <c r="B12" s="2" t="str">
        <f>_xlfn.CONCAT("Brilliant Diamond", " Sliver")</f>
        <v>Brilliant Diamond Sliver</v>
      </c>
      <c r="C12" s="15">
        <f>VLOOKUP(C11,Required_Ascension_Materials,2,FALSE)-VLOOKUP(C10,Required_Ascension_Materials,2,FALSE)</f>
        <v>0</v>
      </c>
      <c r="E12" s="186"/>
      <c r="F12" s="9" t="str">
        <f>B18</f>
        <v>Ominous Mask</v>
      </c>
      <c r="G12" s="16">
        <f t="shared" si="1"/>
        <v>0</v>
      </c>
      <c r="H12" s="34" t="s">
        <v>202</v>
      </c>
    </row>
    <row r="13" spans="1:8" ht="15.75" thickBot="1" x14ac:dyDescent="0.3">
      <c r="A13" s="182"/>
      <c r="B13" s="1" t="str">
        <f>_xlfn.CONCAT("Brilliant Diamond", " Fragment")</f>
        <v>Brilliant Diamond Fragment</v>
      </c>
      <c r="C13" s="17">
        <f>VLOOKUP(C11,Required_Ascension_Materials,3,FALSE)-VLOOKUP(C10,Required_Ascension_Materials,3,FALSE)</f>
        <v>0</v>
      </c>
      <c r="E13" s="11" t="s">
        <v>209</v>
      </c>
      <c r="F13" s="7" t="str">
        <f>B19</f>
        <v>Windwheel Aster</v>
      </c>
      <c r="G13" s="24">
        <f>C19</f>
        <v>0</v>
      </c>
      <c r="H13" s="34" t="s">
        <v>202</v>
      </c>
    </row>
    <row r="14" spans="1:8" x14ac:dyDescent="0.25">
      <c r="A14" s="182"/>
      <c r="B14" s="1" t="str">
        <f>_xlfn.CONCAT("Brilliant Diamond", " Chunk")</f>
        <v>Brilliant Diamond Chunk</v>
      </c>
      <c r="C14" s="17">
        <f>VLOOKUP(C11,Required_Ascension_Materials,4,FALSE)-VLOOKUP(C10,Required_Ascension_Materials,4,FALSE)</f>
        <v>0</v>
      </c>
    </row>
    <row r="15" spans="1:8" ht="15.75" thickBot="1" x14ac:dyDescent="0.3">
      <c r="A15" s="182"/>
      <c r="B15" s="1" t="str">
        <f>_xlfn.CONCAT("Brilliant Diamond", " Gemstone")</f>
        <v>Brilliant Diamond Gemstone</v>
      </c>
      <c r="C15" s="17">
        <f>VLOOKUP(C11,Required_Ascension_Materials,5,FALSE)-VLOOKUP(C10,Required_Ascension_Materials,5,FALSE)</f>
        <v>0</v>
      </c>
    </row>
    <row r="16" spans="1:8" x14ac:dyDescent="0.25">
      <c r="A16" s="184" t="s">
        <v>207</v>
      </c>
      <c r="B16" s="2" t="str">
        <f>VLOOKUP("Hilichurl",Common_Mob_Drops,2,FALSE)</f>
        <v>Damaged Mask</v>
      </c>
      <c r="C16" s="15">
        <f>VLOOKUP(C11,Required_Ascension_Materials,7,FALSE)-VLOOKUP(C10,Required_Ascension_Materials,7,FALSE)</f>
        <v>0</v>
      </c>
    </row>
    <row r="17" spans="1:3" x14ac:dyDescent="0.25">
      <c r="A17" s="185"/>
      <c r="B17" s="1" t="str">
        <f>VLOOKUP("Hilichurl",Common_Mob_Drops,3,FALSE)</f>
        <v>Stained Mask</v>
      </c>
      <c r="C17" s="17">
        <f>VLOOKUP(C11,Required_Ascension_Materials,8,FALSE)-VLOOKUP(C10,Required_Ascension_Materials,8,FALSE)</f>
        <v>0</v>
      </c>
    </row>
    <row r="18" spans="1:3" ht="15.75" thickBot="1" x14ac:dyDescent="0.3">
      <c r="A18" s="186"/>
      <c r="B18" s="9" t="str">
        <f>VLOOKUP("Hilichurl",Common_Mob_Drops,4,FALSE)</f>
        <v>Ominous Mask</v>
      </c>
      <c r="C18" s="16">
        <f>VLOOKUP(C11,Required_Ascension_Materials,9,FALSE)-VLOOKUP(C10,Required_Ascension_Materials,9,FALSE)</f>
        <v>0</v>
      </c>
    </row>
    <row r="19" spans="1:3" ht="15.75" thickBot="1" x14ac:dyDescent="0.3">
      <c r="A19" s="11" t="s">
        <v>210</v>
      </c>
      <c r="B19" s="7" t="s">
        <v>211</v>
      </c>
      <c r="C19" s="24">
        <f>VLOOKUP(C11,Required_Ascension_Materials,10,FALSE)-VLOOKUP(C10,Required_Ascension_Materials,10,FALSE)</f>
        <v>0</v>
      </c>
    </row>
    <row r="20" spans="1:3" ht="15.75" thickBot="1" x14ac:dyDescent="0.3">
      <c r="A20" s="21" t="s">
        <v>204</v>
      </c>
      <c r="B20" s="22" t="s">
        <v>204</v>
      </c>
      <c r="C20" s="23">
        <f>VLOOKUP(C11,Required_Ascension_Materials,11,FALSE)-VLOOKUP(C10,Required_Ascension_Materials,11,FALSE)</f>
        <v>0</v>
      </c>
    </row>
  </sheetData>
  <mergeCells count="11">
    <mergeCell ref="A11:B11"/>
    <mergeCell ref="E10:E12"/>
    <mergeCell ref="A12:A15"/>
    <mergeCell ref="A16:A18"/>
    <mergeCell ref="A3:B3"/>
    <mergeCell ref="E3:G3"/>
    <mergeCell ref="E4:F4"/>
    <mergeCell ref="E5:F5"/>
    <mergeCell ref="A9:C9"/>
    <mergeCell ref="A10:B10"/>
    <mergeCell ref="E6:E9"/>
  </mergeCells>
  <conditionalFormatting sqref="H4:H13">
    <cfRule type="containsText" dxfId="670" priority="1" operator="containsText" text="Done">
      <formula>NOT(ISERROR(SEARCH("Done",H4)))</formula>
    </cfRule>
    <cfRule type="containsText" dxfId="669" priority="2" operator="containsText" text="In Progress">
      <formula>NOT(ISERROR(SEARCH("In Progress",H4)))</formula>
    </cfRule>
  </conditionalFormatting>
  <dataValidations disablePrompts="1" count="4">
    <dataValidation type="list" allowBlank="1" showInputMessage="1" showErrorMessage="1" sqref="C10:C11" xr:uid="{941AB0F0-156E-4BEC-8EC5-EC07C903A2BA}">
      <formula1>"0,1,2,3,4,5,6"</formula1>
    </dataValidation>
    <dataValidation type="list" allowBlank="1" showInputMessage="1" showErrorMessage="1" sqref="B1" xr:uid="{066ECEBB-ED8A-49F3-AE1A-9FA563A6A6D7}">
      <formula1>Character_Name_List</formula1>
    </dataValidation>
    <dataValidation type="list" operator="equal" allowBlank="1" showInputMessage="1" showErrorMessage="1" sqref="B4:B5" xr:uid="{0DD66850-2A81-4D62-96E2-5466C7E438CC}">
      <formula1>"1,20,40,50,60,70,80,90"</formula1>
    </dataValidation>
    <dataValidation type="list" allowBlank="1" showInputMessage="1" showErrorMessage="1" sqref="H4:H13" xr:uid="{51304E2B-9E3C-48F0-B97D-A8E09440A624}">
      <formula1>"In Progress, Done"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921D7-6BAF-4E69-9486-D3844DF9DA09}">
  <sheetPr codeName="Sheet211">
    <tabColor rgb="FFDEC8EE"/>
  </sheetPr>
  <dimension ref="A1:M20"/>
  <sheetViews>
    <sheetView zoomScale="130" zoomScaleNormal="130" workbookViewId="0">
      <selection activeCell="B6" sqref="B6"/>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 min="10" max="10" width="18" bestFit="1" customWidth="1"/>
    <col min="11" max="11" width="23.5703125" bestFit="1" customWidth="1"/>
    <col min="12" max="12" width="20.7109375" bestFit="1" customWidth="1"/>
    <col min="13" max="13" width="10.7109375" bestFit="1" customWidth="1"/>
  </cols>
  <sheetData>
    <row r="1" spans="1:13" ht="15.75" thickBot="1" x14ac:dyDescent="0.3">
      <c r="A1" s="11" t="s">
        <v>212</v>
      </c>
      <c r="B1" s="27" t="s">
        <v>154</v>
      </c>
    </row>
    <row r="2" spans="1:13" ht="15.75" thickBot="1" x14ac:dyDescent="0.3"/>
    <row r="3" spans="1:13" ht="15.75" thickBot="1" x14ac:dyDescent="0.3">
      <c r="A3" s="171" t="s">
        <v>150</v>
      </c>
      <c r="B3" s="172"/>
      <c r="D3" s="171" t="s">
        <v>151</v>
      </c>
      <c r="E3" s="172"/>
      <c r="G3" s="171" t="s">
        <v>152</v>
      </c>
      <c r="H3" s="172"/>
      <c r="J3" s="171" t="s">
        <v>198</v>
      </c>
      <c r="K3" s="231"/>
      <c r="L3" s="172"/>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84" t="s">
        <v>207</v>
      </c>
      <c r="K5" s="2" t="str">
        <f>D17</f>
        <v>Divining Scroll</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Freedom</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Freedom</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Freedom</v>
      </c>
      <c r="H6" s="17">
        <f>IF(AND(H$4&lt;2,H$5&gt;=2),3,0)</f>
        <v>0</v>
      </c>
      <c r="J6" s="185"/>
      <c r="K6" s="1" t="str">
        <f>D18</f>
        <v>Sealed Scroll</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Freedom</v>
      </c>
      <c r="B7" s="17">
        <f>IF(AND(B$4&lt;5,B$5&gt;=5),6,0)</f>
        <v>0</v>
      </c>
      <c r="D7" s="14" t="str" cm="1">
        <f t="array" ref="D7">_xlfn.CONCAT("Guide to ",_xlfn.XLOOKUP(_xlfn.CONCAT(_xlfn.XLOOKUP($B$1&amp;2,INDEX(Traveller_List,,1)&amp;INDEX(Traveller_List,,3),INDEX(Traveller_List,,4),,0,1)," 1"),INDEX(Character_Talent_Materials,,1),INDEX(Character_Talent_Materials,,2),,0,1))</f>
        <v>Guide to Freedom</v>
      </c>
      <c r="E7" s="17">
        <f>IF(AND(E$4&lt;5,E$5&gt;=5),6,0)</f>
        <v>0</v>
      </c>
      <c r="G7" s="14" t="str" cm="1">
        <f t="array" ref="G7">_xlfn.CONCAT("Guide to ",_xlfn.XLOOKUP(_xlfn.CONCAT(_xlfn.XLOOKUP($B$1&amp;3,INDEX(Traveller_List,,1)&amp;INDEX(Traveller_List,,3),INDEX(Traveller_List,,4),,0,1)," 1"),INDEX(Character_Talent_Materials,,1),INDEX(Character_Talent_Materials,,2),,0,1))</f>
        <v>Guide to Freedom</v>
      </c>
      <c r="H7" s="17">
        <f>IF(AND(H$4&lt;5,H$5&gt;=5),6,0)</f>
        <v>0</v>
      </c>
      <c r="J7" s="186"/>
      <c r="K7" s="9" t="str">
        <f>D19</f>
        <v>Forbidden Scroll</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Freedom</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Freedom</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Freedom</v>
      </c>
      <c r="H8" s="16">
        <f>IF(AND(H$4&lt;8,H$5&gt;=8),6,0)</f>
        <v>0</v>
      </c>
      <c r="J8" s="40" t="s">
        <v>216</v>
      </c>
      <c r="K8" s="2" t="str">
        <f>A6</f>
        <v>Teachings of Freedom</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Resistance</v>
      </c>
      <c r="B9" s="128">
        <f>0</f>
        <v>0</v>
      </c>
      <c r="D9" s="20" t="str" cm="1">
        <f t="array" ref="D9">_xlfn.CONCAT("Teachings of ",_xlfn.XLOOKUP(_xlfn.CONCAT(_xlfn.XLOOKUP($B$1&amp;2,INDEX(Traveller_List,,1)&amp;INDEX(Traveller_List,,3),INDEX(Traveller_List,,4),,0,1)," 2"),INDEX(Character_Talent_Materials,,1),INDEX(Character_Talent_Materials,,2),,0,1))</f>
        <v>Teachings of Resistance</v>
      </c>
      <c r="E9" s="128">
        <f>0</f>
        <v>0</v>
      </c>
      <c r="G9" s="20" t="str" cm="1">
        <f t="array" ref="G9">_xlfn.CONCAT("Teachings of ",_xlfn.XLOOKUP(_xlfn.CONCAT(_xlfn.XLOOKUP($B$1&amp;3,INDEX(Traveller_List,,1)&amp;INDEX(Traveller_List,,3),INDEX(Traveller_List,,4),,0,1)," 2"),INDEX(Character_Talent_Materials,,1),INDEX(Character_Talent_Materials,,2),,0,1))</f>
        <v>Teachings of Resistance</v>
      </c>
      <c r="H9" s="128">
        <f>0</f>
        <v>0</v>
      </c>
      <c r="J9" s="169"/>
      <c r="K9" s="5" t="str">
        <f t="shared" ref="K9:K16" si="1">A7</f>
        <v>Guide to Freedom</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Resistance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Resistance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Resistance</v>
      </c>
      <c r="H10" s="17">
        <f>IF(AND(H$4&lt;3,H$5&gt;=3),2,0)+IF(AND(H$4&lt;6,H$5&gt;=6),9,0)</f>
        <v>0</v>
      </c>
      <c r="J10" s="169"/>
      <c r="K10" s="5" t="str">
        <f t="shared" si="1"/>
        <v>Philosophies of Freedom</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Resistance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Resistance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Resistance</v>
      </c>
      <c r="H11" s="16">
        <f>IF(AND(H$4&lt;9,H$5&gt;=9),12,0)</f>
        <v>0</v>
      </c>
      <c r="J11" s="169"/>
      <c r="K11" s="5" t="str">
        <f t="shared" si="1"/>
        <v>Teachings of Resistance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Ballad</v>
      </c>
      <c r="B12" s="128">
        <f>0</f>
        <v>0</v>
      </c>
      <c r="D12" s="20" t="str" cm="1">
        <f t="array" ref="D12">_xlfn.CONCAT("Teachings of ",_xlfn.XLOOKUP(_xlfn.CONCAT(_xlfn.XLOOKUP($B$1&amp;2,INDEX(Traveller_List,,1)&amp;INDEX(Traveller_List,,3),INDEX(Traveller_List,,4),,0,1)," 3"),INDEX(Character_Talent_Materials,,1),INDEX(Character_Talent_Materials,,2),,0,1))</f>
        <v>Teachings of Ballad</v>
      </c>
      <c r="E12" s="128">
        <f>0</f>
        <v>0</v>
      </c>
      <c r="G12" s="20" t="str" cm="1">
        <f t="array" ref="G12">_xlfn.CONCAT("Teachings of ",_xlfn.XLOOKUP(_xlfn.CONCAT(_xlfn.XLOOKUP($B$1&amp;3,INDEX(Traveller_List,,1)&amp;INDEX(Traveller_List,,3),INDEX(Traveller_List,,4),,0,1)," 3"),INDEX(Character_Talent_Materials,,1),INDEX(Character_Talent_Materials,,2),,0,1))</f>
        <v>Teachings of Ballad</v>
      </c>
      <c r="H12" s="128">
        <f>0</f>
        <v>0</v>
      </c>
      <c r="J12" s="169"/>
      <c r="K12" s="5" t="str">
        <f t="shared" si="1"/>
        <v>Guide to Resistance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Ballad</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Ballad</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Ballad</v>
      </c>
      <c r="H13" s="17">
        <f>IF(AND(H$4&lt;4,H$5&gt;=4),4,0)</f>
        <v>0</v>
      </c>
      <c r="J13" s="169"/>
      <c r="K13" s="5" t="str">
        <f t="shared" si="1"/>
        <v>Philosophies of Resistance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Ballad</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Ballad</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Ballad</v>
      </c>
      <c r="H14" s="16">
        <f>IF(AND(H$4&lt;7,H$5&gt;=7),4,0)+IF(AND(H$4&lt;10,H$5&gt;=10),16,0)</f>
        <v>0</v>
      </c>
      <c r="J14" s="169"/>
      <c r="K14" s="5" t="str">
        <f t="shared" si="1"/>
        <v>Teachings of Ballad</v>
      </c>
      <c r="L14" s="128">
        <f t="shared" si="2"/>
        <v>0</v>
      </c>
      <c r="M14" s="34" t="s">
        <v>202</v>
      </c>
    </row>
    <row r="15" spans="1:13" ht="15.75" thickBot="1" x14ac:dyDescent="0.3">
      <c r="A15" s="11" t="str" cm="1">
        <f t="array" ref="A15">VLOOKUP(_xlfn.XLOOKUP($B$1&amp;1,INDEX(Traveller_List,,1)&amp;INDEX(Traveller_List,,3),INDEX(Traveller_List,,5),,0,1),Weekly_Boss_Mats,2,FALSE)</f>
        <v>Dvalin's Sigh</v>
      </c>
      <c r="B15" s="24">
        <f>VLOOKUP(B5,Required_Talent_Materials,5,FALSE)-VLOOKUP(B4,Required_Talent_Materials,5,FALSE)</f>
        <v>0</v>
      </c>
      <c r="D15" s="11" t="str" cm="1">
        <f t="array" ref="D15">VLOOKUP(_xlfn.XLOOKUP($B$1&amp;2,INDEX(Traveller_List,,1)&amp;INDEX(Traveller_List,,3),INDEX(Traveller_List,,5),,0,1),Weekly_Boss_Mats,2,FALSE)</f>
        <v>Dvalin's Sigh</v>
      </c>
      <c r="E15" s="24">
        <f>VLOOKUP(E5,Required_Talent_Materials,5,FALSE)-VLOOKUP(E4,Required_Talent_Materials,5,FALSE)</f>
        <v>0</v>
      </c>
      <c r="G15" s="11" t="str" cm="1">
        <f t="array" ref="G15">VLOOKUP(_xlfn.XLOOKUP($B$1&amp;3,INDEX(Traveller_List,,1)&amp;INDEX(Traveller_List,,3),INDEX(Traveller_List,,5),,0,1),Weekly_Boss_Mats,2,FALSE)</f>
        <v>Dvalin's Sigh</v>
      </c>
      <c r="H15" s="24">
        <f>VLOOKUP(H5,Required_Talent_Materials,5,FALSE)-VLOOKUP(H4,Required_Talent_Materials,5,FALSE)</f>
        <v>0</v>
      </c>
      <c r="J15" s="41"/>
      <c r="K15" s="1" t="str">
        <f t="shared" si="1"/>
        <v>Guide to Ballad</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Ballad</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Divining Scroll</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Divining Scroll</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Divining Scroll</v>
      </c>
      <c r="H17" s="128">
        <f>VLOOKUP(H5,Required_Talent_Materials,7,FALSE)-VLOOKUP(H4,Required_Talent_Materials,7,FALSE)</f>
        <v>0</v>
      </c>
      <c r="J17" s="11" t="s">
        <v>177</v>
      </c>
      <c r="K17" s="7" t="str">
        <f>G9</f>
        <v>Teachings of Resistance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Sealed Scroll</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Sealed Scroll</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Sealed Scroll</v>
      </c>
      <c r="H18" s="17">
        <f>VLOOKUP(H5,Required_Talent_Materials,8,FALSE)-VLOOKUP(H4,Required_Talent_Materials,8,FALSE)</f>
        <v>0</v>
      </c>
      <c r="J18" s="171"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Forbidden Scroll</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Forbidden Scroll</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Forbidden Scroll</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A3:B3"/>
    <mergeCell ref="J3:L3"/>
    <mergeCell ref="J4:K4"/>
    <mergeCell ref="J5:J7"/>
    <mergeCell ref="J18:K18"/>
    <mergeCell ref="D3:E3"/>
    <mergeCell ref="G3:H3"/>
  </mergeCells>
  <conditionalFormatting sqref="M4:M18">
    <cfRule type="containsText" dxfId="668" priority="1" operator="containsText" text="Done">
      <formula>NOT(ISERROR(SEARCH("Done",M4)))</formula>
    </cfRule>
    <cfRule type="containsText" dxfId="667" priority="2" operator="containsText" text="In Progress">
      <formula>NOT(ISERROR(SEARCH("In Progress",M4)))</formula>
    </cfRule>
  </conditionalFormatting>
  <dataValidations count="3">
    <dataValidation type="list" allowBlank="1" showInputMessage="1" showErrorMessage="1" sqref="B4:B5 E4:E5 H4:H5" xr:uid="{B5034B91-3832-4325-9CEE-9CD88B56A180}">
      <formula1>"1,2,3,4,5,6,7,8,9,10"</formula1>
    </dataValidation>
    <dataValidation type="list" allowBlank="1" showInputMessage="1" showErrorMessage="1" sqref="B1" xr:uid="{F46CABDC-4320-4115-9675-673B95BB9CA0}">
      <formula1>Character_Name_List</formula1>
    </dataValidation>
    <dataValidation type="list" allowBlank="1" showInputMessage="1" showErrorMessage="1" sqref="M4:M18" xr:uid="{257B674A-6CCE-4C64-9B0A-B8C48D62F1DC}">
      <formula1>"In Progress, Done"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251-4710-4377-A051-FB93A22F4BA4}">
  <sheetPr codeName="Sheet212">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157</v>
      </c>
    </row>
    <row r="2" spans="1:13" ht="15.75" thickBot="1" x14ac:dyDescent="0.3"/>
    <row r="3" spans="1:13" ht="15.75" thickBot="1" x14ac:dyDescent="0.3">
      <c r="A3" s="171" t="s">
        <v>150</v>
      </c>
      <c r="B3" s="172"/>
      <c r="D3" s="171" t="s">
        <v>151</v>
      </c>
      <c r="E3" s="172"/>
      <c r="G3" s="171" t="s">
        <v>152</v>
      </c>
      <c r="H3" s="172"/>
      <c r="J3" s="171" t="s">
        <v>198</v>
      </c>
      <c r="K3" s="231"/>
      <c r="L3" s="172"/>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84" t="s">
        <v>207</v>
      </c>
      <c r="K5" s="2" t="str">
        <f>D17</f>
        <v>Firm Arrowhead</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Prosperity</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Prosperity</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Prosperity</v>
      </c>
      <c r="H6" s="17">
        <f>IF(AND(H$4&lt;2,H$5&gt;=2),3,0)</f>
        <v>0</v>
      </c>
      <c r="J6" s="185"/>
      <c r="K6" s="1" t="str">
        <f>D18</f>
        <v>Sharp Arrowhead</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Prosperity</v>
      </c>
      <c r="B7" s="17">
        <f>IF(AND(B$4&lt;5,B$5&gt;=5),6,0)</f>
        <v>0</v>
      </c>
      <c r="D7" s="14" t="str" cm="1">
        <f t="array" ref="D7">_xlfn.CONCAT("Guide to ",_xlfn.XLOOKUP(_xlfn.CONCAT(_xlfn.XLOOKUP($B$1&amp;2,INDEX(Traveller_List,,1)&amp;INDEX(Traveller_List,,3),INDEX(Traveller_List,,4),,0,1)," 1"),INDEX(Character_Talent_Materials,,1),INDEX(Character_Talent_Materials,,2),,0,1))</f>
        <v>Guide to Prosperity</v>
      </c>
      <c r="E7" s="17">
        <f>IF(AND(E$4&lt;5,E$5&gt;=5),6,0)</f>
        <v>0</v>
      </c>
      <c r="G7" s="14" t="str" cm="1">
        <f t="array" ref="G7">_xlfn.CONCAT("Guide to ",_xlfn.XLOOKUP(_xlfn.CONCAT(_xlfn.XLOOKUP($B$1&amp;3,INDEX(Traveller_List,,1)&amp;INDEX(Traveller_List,,3),INDEX(Traveller_List,,4),,0,1)," 1"),INDEX(Character_Talent_Materials,,1),INDEX(Character_Talent_Materials,,2),,0,1))</f>
        <v>Guide to Prosperity</v>
      </c>
      <c r="H7" s="17">
        <f>IF(AND(H$4&lt;5,H$5&gt;=5),6,0)</f>
        <v>0</v>
      </c>
      <c r="J7" s="186"/>
      <c r="K7" s="9" t="str">
        <f>D19</f>
        <v>Weathered Arrowhead</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Prosperity</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Prosperity</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Prosperity</v>
      </c>
      <c r="H8" s="16">
        <f>IF(AND(H$4&lt;8,H$5&gt;=8),6,0)</f>
        <v>0</v>
      </c>
      <c r="J8" s="40" t="s">
        <v>216</v>
      </c>
      <c r="K8" s="2" t="str">
        <f>A6</f>
        <v>Teachings of Prosperity</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Diligence</v>
      </c>
      <c r="B9" s="128">
        <f>0</f>
        <v>0</v>
      </c>
      <c r="D9" s="20" t="str" cm="1">
        <f t="array" ref="D9">_xlfn.CONCAT("Teachings of ",_xlfn.XLOOKUP(_xlfn.CONCAT(_xlfn.XLOOKUP($B$1&amp;2,INDEX(Traveller_List,,1)&amp;INDEX(Traveller_List,,3),INDEX(Traveller_List,,4),,0,1)," 2"),INDEX(Character_Talent_Materials,,1),INDEX(Character_Talent_Materials,,2),,0,1))</f>
        <v>Teachings of Diligence</v>
      </c>
      <c r="E9" s="128">
        <f>0</f>
        <v>0</v>
      </c>
      <c r="G9" s="20" t="str" cm="1">
        <f t="array" ref="G9">_xlfn.CONCAT("Teachings of ",_xlfn.XLOOKUP(_xlfn.CONCAT(_xlfn.XLOOKUP($B$1&amp;3,INDEX(Traveller_List,,1)&amp;INDEX(Traveller_List,,3),INDEX(Traveller_List,,4),,0,1)," 2"),INDEX(Character_Talent_Materials,,1),INDEX(Character_Talent_Materials,,2),,0,1))</f>
        <v>Teachings of Diligence</v>
      </c>
      <c r="H9" s="128">
        <f>0</f>
        <v>0</v>
      </c>
      <c r="J9" s="169"/>
      <c r="K9" s="5" t="str">
        <f t="shared" ref="K9:K16" si="1">A7</f>
        <v>Guide to Prosperity</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Diligence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Diligence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Diligence</v>
      </c>
      <c r="H10" s="17">
        <f>IF(AND(H$4&lt;3,H$5&gt;=3),2,0)+IF(AND(H$4&lt;6,H$5&gt;=6),9,0)</f>
        <v>0</v>
      </c>
      <c r="J10" s="169"/>
      <c r="K10" s="5" t="str">
        <f t="shared" si="1"/>
        <v>Philosophies of Prosperity</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Diligence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Diligence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Diligence</v>
      </c>
      <c r="H11" s="16">
        <f>IF(AND(H$4&lt;9,H$5&gt;=9),12,0)</f>
        <v>0</v>
      </c>
      <c r="J11" s="169"/>
      <c r="K11" s="5" t="str">
        <f t="shared" si="1"/>
        <v>Teachings of Diligence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Gold</v>
      </c>
      <c r="B12" s="128">
        <f>0</f>
        <v>0</v>
      </c>
      <c r="D12" s="20" t="str" cm="1">
        <f t="array" ref="D12">_xlfn.CONCAT("Teachings of ",_xlfn.XLOOKUP(_xlfn.CONCAT(_xlfn.XLOOKUP($B$1&amp;2,INDEX(Traveller_List,,1)&amp;INDEX(Traveller_List,,3),INDEX(Traveller_List,,4),,0,1)," 3"),INDEX(Character_Talent_Materials,,1),INDEX(Character_Talent_Materials,,2),,0,1))</f>
        <v>Teachings of Gold</v>
      </c>
      <c r="E12" s="128">
        <f>0</f>
        <v>0</v>
      </c>
      <c r="G12" s="20" t="str" cm="1">
        <f t="array" ref="G12">_xlfn.CONCAT("Teachings of ",_xlfn.XLOOKUP(_xlfn.CONCAT(_xlfn.XLOOKUP($B$1&amp;3,INDEX(Traveller_List,,1)&amp;INDEX(Traveller_List,,3),INDEX(Traveller_List,,4),,0,1)," 3"),INDEX(Character_Talent_Materials,,1),INDEX(Character_Talent_Materials,,2),,0,1))</f>
        <v>Teachings of Gold</v>
      </c>
      <c r="H12" s="128">
        <f>0</f>
        <v>0</v>
      </c>
      <c r="J12" s="169"/>
      <c r="K12" s="5" t="str">
        <f t="shared" si="1"/>
        <v>Guide to Diligence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Gold</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Gold</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Gold</v>
      </c>
      <c r="H13" s="17">
        <f>IF(AND(H$4&lt;4,H$5&gt;=4),4,0)</f>
        <v>0</v>
      </c>
      <c r="J13" s="169"/>
      <c r="K13" s="5" t="str">
        <f t="shared" si="1"/>
        <v>Philosophies of Diligence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Gold</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Gold</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Gold</v>
      </c>
      <c r="H14" s="16">
        <f>IF(AND(H$4&lt;7,H$5&gt;=7),4,0)+IF(AND(H$4&lt;10,H$5&gt;=10),16,0)</f>
        <v>0</v>
      </c>
      <c r="J14" s="169"/>
      <c r="K14" s="5" t="str">
        <f t="shared" si="1"/>
        <v>Teachings of Gold</v>
      </c>
      <c r="L14" s="128">
        <f t="shared" si="2"/>
        <v>0</v>
      </c>
      <c r="M14" s="34" t="s">
        <v>202</v>
      </c>
    </row>
    <row r="15" spans="1:13" ht="15.75" thickBot="1" x14ac:dyDescent="0.3">
      <c r="A15" s="11" t="str" cm="1">
        <f t="array" ref="A15">VLOOKUP(_xlfn.XLOOKUP($B$1&amp;1,INDEX(Traveller_List,,1)&amp;INDEX(Traveller_List,,3),INDEX(Traveller_List,,5),,0,1),Weekly_Boss_Mats,2,FALSE)</f>
        <v>Dvalin's Sigh</v>
      </c>
      <c r="B15" s="24">
        <f>VLOOKUP(B5,Required_Talent_Materials,5,FALSE)-VLOOKUP(B4,Required_Talent_Materials,5,FALSE)</f>
        <v>0</v>
      </c>
      <c r="D15" s="11" t="str" cm="1">
        <f t="array" ref="D15">VLOOKUP(_xlfn.XLOOKUP($B$1&amp;2,INDEX(Traveller_List,,1)&amp;INDEX(Traveller_List,,3),INDEX(Traveller_List,,5),,0,1),Weekly_Boss_Mats,2,FALSE)</f>
        <v>Ring of Boreas</v>
      </c>
      <c r="E15" s="24">
        <f>VLOOKUP(E5,Required_Talent_Materials,5,FALSE)-VLOOKUP(E4,Required_Talent_Materials,5,FALSE)</f>
        <v>0</v>
      </c>
      <c r="G15" s="11" t="str" cm="1">
        <f t="array" ref="G15">VLOOKUP(_xlfn.XLOOKUP($B$1&amp;3,INDEX(Traveller_List,,1)&amp;INDEX(Traveller_List,,3),INDEX(Traveller_List,,5),,0,1),Weekly_Boss_Mats,2,FALSE)</f>
        <v>Ring of Boreas</v>
      </c>
      <c r="H15" s="24">
        <f>VLOOKUP(H5,Required_Talent_Materials,5,FALSE)-VLOOKUP(H4,Required_Talent_Materials,5,FALSE)</f>
        <v>0</v>
      </c>
      <c r="J15" s="41"/>
      <c r="K15" s="1" t="str">
        <f t="shared" si="1"/>
        <v>Guide to Gold</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Gold</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Divining Scroll</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Firm Arrowhead</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Firm Arrowhead</v>
      </c>
      <c r="H17" s="128">
        <f>VLOOKUP(H5,Required_Talent_Materials,7,FALSE)-VLOOKUP(H4,Required_Talent_Materials,7,FALSE)</f>
        <v>0</v>
      </c>
      <c r="J17" s="11" t="s">
        <v>177</v>
      </c>
      <c r="K17" s="7" t="str">
        <f>G9</f>
        <v>Teachings of Diligence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Sealed Scroll</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Sharp Arrowhead</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Sharp Arrowhead</v>
      </c>
      <c r="H18" s="17">
        <f>VLOOKUP(H5,Required_Talent_Materials,8,FALSE)-VLOOKUP(H4,Required_Talent_Materials,8,FALSE)</f>
        <v>0</v>
      </c>
      <c r="J18" s="171"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Forbidden Scroll</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Weathered Arrowhead</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Weathered Arrowhead</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66" priority="1" operator="containsText" text="Done">
      <formula>NOT(ISERROR(SEARCH("Done",M4)))</formula>
    </cfRule>
    <cfRule type="containsText" dxfId="665" priority="2" operator="containsText" text="In Progress">
      <formula>NOT(ISERROR(SEARCH("In Progress",M4)))</formula>
    </cfRule>
  </conditionalFormatting>
  <dataValidations count="3">
    <dataValidation type="list" allowBlank="1" showInputMessage="1" showErrorMessage="1" sqref="B1" xr:uid="{65E725A7-BAE7-4E3A-A391-1D5DE32ADF61}">
      <formula1>Character_Name_List</formula1>
    </dataValidation>
    <dataValidation type="list" allowBlank="1" showInputMessage="1" showErrorMessage="1" sqref="E4:E5 B4:B5 H4:H5" xr:uid="{773D4DDF-8406-4D2F-BDF2-4D902111A4FD}">
      <formula1>"1,2,3,4,5,6,7,8,9,10"</formula1>
    </dataValidation>
    <dataValidation type="list" allowBlank="1" showInputMessage="1" showErrorMessage="1" sqref="M4:M18" xr:uid="{78E5BCE7-7AAE-46BF-B931-9729842BC093}">
      <formula1>"In Progress, Done"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E6C88-1F81-4495-B899-E149479612EE}">
  <sheetPr codeName="Sheet213">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160</v>
      </c>
    </row>
    <row r="2" spans="1:13" ht="15.75" thickBot="1" x14ac:dyDescent="0.3"/>
    <row r="3" spans="1:13" ht="15.75" thickBot="1" x14ac:dyDescent="0.3">
      <c r="A3" s="171" t="s">
        <v>150</v>
      </c>
      <c r="B3" s="172"/>
      <c r="D3" s="171" t="s">
        <v>151</v>
      </c>
      <c r="E3" s="172"/>
      <c r="G3" s="171" t="s">
        <v>152</v>
      </c>
      <c r="H3" s="172"/>
      <c r="J3" s="171" t="s">
        <v>198</v>
      </c>
      <c r="K3" s="231"/>
      <c r="L3" s="172"/>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84" t="s">
        <v>207</v>
      </c>
      <c r="K5" s="2" t="str">
        <f>D17</f>
        <v>Old Nobushi</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Transience</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Transience</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Transience</v>
      </c>
      <c r="H6" s="17">
        <f>IF(AND(H$4&lt;2,H$5&gt;=2),3,0)</f>
        <v>0</v>
      </c>
      <c r="J6" s="185"/>
      <c r="K6" s="1" t="str">
        <f>D18</f>
        <v>Kageuchi Nobushi</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Transience</v>
      </c>
      <c r="B7" s="17">
        <f>IF(AND(B$4&lt;5,B$5&gt;=5),6,0)</f>
        <v>0</v>
      </c>
      <c r="D7" s="14" t="str" cm="1">
        <f t="array" ref="D7">_xlfn.CONCAT("Guide to ",_xlfn.XLOOKUP(_xlfn.CONCAT(_xlfn.XLOOKUP($B$1&amp;2,INDEX(Traveller_List,,1)&amp;INDEX(Traveller_List,,3),INDEX(Traveller_List,,4),,0,1)," 1"),INDEX(Character_Talent_Materials,,1),INDEX(Character_Talent_Materials,,2),,0,1))</f>
        <v>Guide to Transience</v>
      </c>
      <c r="E7" s="17">
        <f>IF(AND(E$4&lt;5,E$5&gt;=5),6,0)</f>
        <v>0</v>
      </c>
      <c r="G7" s="14" t="str" cm="1">
        <f t="array" ref="G7">_xlfn.CONCAT("Guide to ",_xlfn.XLOOKUP(_xlfn.CONCAT(_xlfn.XLOOKUP($B$1&amp;3,INDEX(Traveller_List,,1)&amp;INDEX(Traveller_List,,3),INDEX(Traveller_List,,4),,0,1)," 1"),INDEX(Character_Talent_Materials,,1),INDEX(Character_Talent_Materials,,2),,0,1))</f>
        <v>Guide to Transience</v>
      </c>
      <c r="H7" s="17">
        <f>IF(AND(H$4&lt;5,H$5&gt;=5),6,0)</f>
        <v>0</v>
      </c>
      <c r="J7" s="186"/>
      <c r="K7" s="9" t="str">
        <f>D19</f>
        <v>Famed Nobushi</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Transience</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Transience</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Transience</v>
      </c>
      <c r="H8" s="16">
        <f>IF(AND(H$4&lt;8,H$5&gt;=8),6,0)</f>
        <v>0</v>
      </c>
      <c r="J8" s="40" t="s">
        <v>216</v>
      </c>
      <c r="K8" s="2" t="str">
        <f>A6</f>
        <v>Teachings of Transience</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Elegance</v>
      </c>
      <c r="B9" s="128">
        <f>0</f>
        <v>0</v>
      </c>
      <c r="D9" s="20" t="str" cm="1">
        <f t="array" ref="D9">_xlfn.CONCAT("Teachings of ",_xlfn.XLOOKUP(_xlfn.CONCAT(_xlfn.XLOOKUP($B$1&amp;2,INDEX(Traveller_List,,1)&amp;INDEX(Traveller_List,,3),INDEX(Traveller_List,,4),,0,1)," 2"),INDEX(Character_Talent_Materials,,1),INDEX(Character_Talent_Materials,,2),,0,1))</f>
        <v>Teachings of Elegance</v>
      </c>
      <c r="E9" s="128">
        <f>0</f>
        <v>0</v>
      </c>
      <c r="G9" s="20" t="str" cm="1">
        <f t="array" ref="G9">_xlfn.CONCAT("Teachings of ",_xlfn.XLOOKUP(_xlfn.CONCAT(_xlfn.XLOOKUP($B$1&amp;3,INDEX(Traveller_List,,1)&amp;INDEX(Traveller_List,,3),INDEX(Traveller_List,,4),,0,1)," 2"),INDEX(Character_Talent_Materials,,1),INDEX(Character_Talent_Materials,,2),,0,1))</f>
        <v>Teachings of Elegance</v>
      </c>
      <c r="H9" s="128">
        <f>0</f>
        <v>0</v>
      </c>
      <c r="J9" s="169"/>
      <c r="K9" s="5" t="str">
        <f t="shared" ref="K9:K16" si="1">A7</f>
        <v>Guide to Transience</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Elegance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Elegance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Elegance</v>
      </c>
      <c r="H10" s="17">
        <f>IF(AND(H$4&lt;3,H$5&gt;=3),2,0)+IF(AND(H$4&lt;6,H$5&gt;=6),9,0)</f>
        <v>0</v>
      </c>
      <c r="J10" s="169"/>
      <c r="K10" s="5" t="str">
        <f t="shared" si="1"/>
        <v>Philosophies of Transience</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Elegance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Elegance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Elegance</v>
      </c>
      <c r="H11" s="16">
        <f>IF(AND(H$4&lt;9,H$5&gt;=9),12,0)</f>
        <v>0</v>
      </c>
      <c r="J11" s="169"/>
      <c r="K11" s="5" t="str">
        <f t="shared" si="1"/>
        <v>Teachings of Elegance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Light</v>
      </c>
      <c r="B12" s="128">
        <f>0</f>
        <v>0</v>
      </c>
      <c r="D12" s="20" t="str" cm="1">
        <f t="array" ref="D12">_xlfn.CONCAT("Teachings of ",_xlfn.XLOOKUP(_xlfn.CONCAT(_xlfn.XLOOKUP($B$1&amp;2,INDEX(Traveller_List,,1)&amp;INDEX(Traveller_List,,3),INDEX(Traveller_List,,4),,0,1)," 3"),INDEX(Character_Talent_Materials,,1),INDEX(Character_Talent_Materials,,2),,0,1))</f>
        <v>Teachings of Light</v>
      </c>
      <c r="E12" s="128">
        <f>0</f>
        <v>0</v>
      </c>
      <c r="G12" s="20" t="str" cm="1">
        <f t="array" ref="G12">_xlfn.CONCAT("Teachings of ",_xlfn.XLOOKUP(_xlfn.CONCAT(_xlfn.XLOOKUP($B$1&amp;3,INDEX(Traveller_List,,1)&amp;INDEX(Traveller_List,,3),INDEX(Traveller_List,,4),,0,1)," 3"),INDEX(Character_Talent_Materials,,1),INDEX(Character_Talent_Materials,,2),,0,1))</f>
        <v>Teachings of Light</v>
      </c>
      <c r="H12" s="128">
        <f>0</f>
        <v>0</v>
      </c>
      <c r="J12" s="169"/>
      <c r="K12" s="5" t="str">
        <f t="shared" si="1"/>
        <v>Guide to Elegance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Light</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Light</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Light</v>
      </c>
      <c r="H13" s="17">
        <f>IF(AND(H$4&lt;4,H$5&gt;=4),4,0)</f>
        <v>0</v>
      </c>
      <c r="J13" s="169"/>
      <c r="K13" s="5" t="str">
        <f t="shared" si="1"/>
        <v>Philosophies of Elegance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Light</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Light</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Light</v>
      </c>
      <c r="H14" s="16">
        <f>IF(AND(H$4&lt;7,H$5&gt;=7),4,0)+IF(AND(H$4&lt;10,H$5&gt;=10),16,0)</f>
        <v>0</v>
      </c>
      <c r="J14" s="169"/>
      <c r="K14" s="5" t="str">
        <f t="shared" si="1"/>
        <v>Teachings of Light</v>
      </c>
      <c r="L14" s="128">
        <f t="shared" si="2"/>
        <v>0</v>
      </c>
      <c r="M14" s="34" t="s">
        <v>202</v>
      </c>
    </row>
    <row r="15" spans="1:13" ht="15.75" thickBot="1" x14ac:dyDescent="0.3">
      <c r="A15" s="11" t="str" cm="1">
        <f t="array" ref="A15">VLOOKUP(_xlfn.XLOOKUP($B$1&amp;1,INDEX(Traveller_List,,1)&amp;INDEX(Traveller_List,,3),INDEX(Traveller_List,,5),,0,1),Weekly_Boss_Mats,2,FALSE)</f>
        <v>Dragon Lord's Crown</v>
      </c>
      <c r="B15" s="24">
        <f>VLOOKUP(B5,Required_Talent_Materials,5,FALSE)-VLOOKUP(B4,Required_Talent_Materials,5,FALSE)</f>
        <v>0</v>
      </c>
      <c r="D15" s="11" t="str" cm="1">
        <f t="array" ref="D15">VLOOKUP(_xlfn.XLOOKUP($B$1&amp;2,INDEX(Traveller_List,,1)&amp;INDEX(Traveller_List,,3),INDEX(Traveller_List,,5),,0,1),Weekly_Boss_Mats,2,FALSE)</f>
        <v>Dragon Lord's Crown</v>
      </c>
      <c r="E15" s="24">
        <f>VLOOKUP(E5,Required_Talent_Materials,5,FALSE)-VLOOKUP(E4,Required_Talent_Materials,5,FALSE)</f>
        <v>0</v>
      </c>
      <c r="G15" s="11" t="str" cm="1">
        <f t="array" ref="G15">VLOOKUP(_xlfn.XLOOKUP($B$1&amp;3,INDEX(Traveller_List,,1)&amp;INDEX(Traveller_List,,3),INDEX(Traveller_List,,5),,0,1),Weekly_Boss_Mats,2,FALSE)</f>
        <v>Dragon Lord's Crown</v>
      </c>
      <c r="H15" s="24">
        <f>VLOOKUP(H5,Required_Talent_Materials,5,FALSE)-VLOOKUP(H4,Required_Talent_Materials,5,FALSE)</f>
        <v>0</v>
      </c>
      <c r="J15" s="41"/>
      <c r="K15" s="1" t="str">
        <f t="shared" si="1"/>
        <v>Guide to Light</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Light</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Old Nobushi</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Old Nobushi</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Old Nobushi</v>
      </c>
      <c r="H17" s="128">
        <f>VLOOKUP(H5,Required_Talent_Materials,7,FALSE)-VLOOKUP(H4,Required_Talent_Materials,7,FALSE)</f>
        <v>0</v>
      </c>
      <c r="J17" s="11" t="s">
        <v>177</v>
      </c>
      <c r="K17" s="7" t="str">
        <f>G9</f>
        <v>Teachings of Elegance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Kageuchi Nobushi</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Kageuchi Nobushi</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Kageuchi Nobushi</v>
      </c>
      <c r="H18" s="17">
        <f>VLOOKUP(H5,Required_Talent_Materials,8,FALSE)-VLOOKUP(H4,Required_Talent_Materials,8,FALSE)</f>
        <v>0</v>
      </c>
      <c r="J18" s="171"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Famed Nobushi</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Famed Nobushi</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Famed Nobushi</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64" priority="1" operator="containsText" text="Done">
      <formula>NOT(ISERROR(SEARCH("Done",M4)))</formula>
    </cfRule>
    <cfRule type="containsText" dxfId="663" priority="2" operator="containsText" text="In Progress">
      <formula>NOT(ISERROR(SEARCH("In Progress",M4)))</formula>
    </cfRule>
  </conditionalFormatting>
  <dataValidations count="3">
    <dataValidation type="list" allowBlank="1" showInputMessage="1" showErrorMessage="1" sqref="E4:E5 B4:B5 H4:H5" xr:uid="{8A2F3FCA-4889-4129-A861-3A6106A324F2}">
      <formula1>"1,2,3,4,5,6,7,8,9,10"</formula1>
    </dataValidation>
    <dataValidation type="list" allowBlank="1" showInputMessage="1" showErrorMessage="1" sqref="B1" xr:uid="{69FFF309-BF10-4255-BB53-BD18D4D86AD1}">
      <formula1>Character_Name_List</formula1>
    </dataValidation>
    <dataValidation type="list" allowBlank="1" showInputMessage="1" showErrorMessage="1" sqref="M4:M18" xr:uid="{1647C15C-E4E7-4C93-9D6D-AEBCCBBF6CD5}">
      <formula1>"In Progress, Done"</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62426-DFB4-4774-88D2-5247DB24890F}">
  <sheetPr codeName="Sheet214">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163</v>
      </c>
    </row>
    <row r="2" spans="1:13" ht="15.75" thickBot="1" x14ac:dyDescent="0.3"/>
    <row r="3" spans="1:13" ht="15.75" thickBot="1" x14ac:dyDescent="0.3">
      <c r="A3" s="171" t="s">
        <v>150</v>
      </c>
      <c r="B3" s="172"/>
      <c r="D3" s="171" t="s">
        <v>151</v>
      </c>
      <c r="E3" s="172"/>
      <c r="G3" s="171" t="s">
        <v>152</v>
      </c>
      <c r="H3" s="172"/>
      <c r="J3" s="171" t="s">
        <v>198</v>
      </c>
      <c r="K3" s="231"/>
      <c r="L3" s="172"/>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84" t="s">
        <v>207</v>
      </c>
      <c r="K5" s="2" t="str">
        <f>D17</f>
        <v>Fungal Spores</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Admonition</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Admonition</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Admonition</v>
      </c>
      <c r="H6" s="17">
        <f>IF(AND(H$4&lt;2,H$5&gt;=2),3,0)</f>
        <v>0</v>
      </c>
      <c r="J6" s="185"/>
      <c r="K6" s="1" t="str">
        <f>D18</f>
        <v>Luminescent Pollen</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Admonition</v>
      </c>
      <c r="B7" s="17">
        <f>IF(AND(B$4&lt;5,B$5&gt;=5),6,0)</f>
        <v>0</v>
      </c>
      <c r="D7" s="14" t="str" cm="1">
        <f t="array" ref="D7">_xlfn.CONCAT("Guide to ",_xlfn.XLOOKUP(_xlfn.CONCAT(_xlfn.XLOOKUP($B$1&amp;2,INDEX(Traveller_List,,1)&amp;INDEX(Traveller_List,,3),INDEX(Traveller_List,,4),,0,1)," 1"),INDEX(Character_Talent_Materials,,1),INDEX(Character_Talent_Materials,,2),,0,1))</f>
        <v>Guide to Admonition</v>
      </c>
      <c r="E7" s="17">
        <f>IF(AND(E$4&lt;5,E$5&gt;=5),6,0)</f>
        <v>0</v>
      </c>
      <c r="G7" s="14" t="str" cm="1">
        <f t="array" ref="G7">_xlfn.CONCAT("Guide to ",_xlfn.XLOOKUP(_xlfn.CONCAT(_xlfn.XLOOKUP($B$1&amp;3,INDEX(Traveller_List,,1)&amp;INDEX(Traveller_List,,3),INDEX(Traveller_List,,4),,0,1)," 1"),INDEX(Character_Talent_Materials,,1),INDEX(Character_Talent_Materials,,2),,0,1))</f>
        <v>Guide to Admonition</v>
      </c>
      <c r="H7" s="17">
        <f>IF(AND(H$4&lt;5,H$5&gt;=5),6,0)</f>
        <v>0</v>
      </c>
      <c r="J7" s="186"/>
      <c r="K7" s="9" t="str">
        <f>D19</f>
        <v>Crystalline Cyst Dust</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Admonition</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Admonition</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Admonition</v>
      </c>
      <c r="H8" s="16">
        <f>IF(AND(H$4&lt;8,H$5&gt;=8),6,0)</f>
        <v>0</v>
      </c>
      <c r="J8" s="40" t="s">
        <v>216</v>
      </c>
      <c r="K8" s="2" t="str">
        <f>A6</f>
        <v>Teachings of Admonition</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Ingenuity</v>
      </c>
      <c r="B9" s="128">
        <f>0</f>
        <v>0</v>
      </c>
      <c r="D9" s="20" t="str" cm="1">
        <f t="array" ref="D9">_xlfn.CONCAT("Teachings of ",_xlfn.XLOOKUP(_xlfn.CONCAT(_xlfn.XLOOKUP($B$1&amp;2,INDEX(Traveller_List,,1)&amp;INDEX(Traveller_List,,3),INDEX(Traveller_List,,4),,0,1)," 2"),INDEX(Character_Talent_Materials,,1),INDEX(Character_Talent_Materials,,2),,0,1))</f>
        <v>Teachings of Ingenuity</v>
      </c>
      <c r="E9" s="128">
        <f>0</f>
        <v>0</v>
      </c>
      <c r="G9" s="20" t="str" cm="1">
        <f t="array" ref="G9">_xlfn.CONCAT("Teachings of ",_xlfn.XLOOKUP(_xlfn.CONCAT(_xlfn.XLOOKUP($B$1&amp;3,INDEX(Traveller_List,,1)&amp;INDEX(Traveller_List,,3),INDEX(Traveller_List,,4),,0,1)," 2"),INDEX(Character_Talent_Materials,,1),INDEX(Character_Talent_Materials,,2),,0,1))</f>
        <v>Teachings of Ingenuity</v>
      </c>
      <c r="H9" s="128">
        <f>0</f>
        <v>0</v>
      </c>
      <c r="J9" s="169"/>
      <c r="K9" s="5" t="str">
        <f t="shared" ref="K9:K16" si="1">A7</f>
        <v>Guide to Admonition</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Ingenuity</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Ingenuity</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Ingenuity</v>
      </c>
      <c r="H10" s="17">
        <f>IF(AND(H$4&lt;3,H$5&gt;=3),2,0)+IF(AND(H$4&lt;6,H$5&gt;=6),9,0)</f>
        <v>0</v>
      </c>
      <c r="J10" s="169"/>
      <c r="K10" s="5" t="str">
        <f t="shared" si="1"/>
        <v>Philosophies of Admonition</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Ingenuity</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Ingenuity</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Ingenuity</v>
      </c>
      <c r="H11" s="16">
        <f>IF(AND(H$4&lt;9,H$5&gt;=9),12,0)</f>
        <v>0</v>
      </c>
      <c r="J11" s="169"/>
      <c r="K11" s="5" t="str">
        <f t="shared" si="1"/>
        <v>Teachings of Ingenuity</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Praxis</v>
      </c>
      <c r="B12" s="128">
        <f>0</f>
        <v>0</v>
      </c>
      <c r="D12" s="20" t="str" cm="1">
        <f t="array" ref="D12">_xlfn.CONCAT("Teachings of ",_xlfn.XLOOKUP(_xlfn.CONCAT(_xlfn.XLOOKUP($B$1&amp;2,INDEX(Traveller_List,,1)&amp;INDEX(Traveller_List,,3),INDEX(Traveller_List,,4),,0,1)," 3"),INDEX(Character_Talent_Materials,,1),INDEX(Character_Talent_Materials,,2),,0,1))</f>
        <v>Teachings of Praxis</v>
      </c>
      <c r="E12" s="128">
        <f>0</f>
        <v>0</v>
      </c>
      <c r="G12" s="20" t="str" cm="1">
        <f t="array" ref="G12">_xlfn.CONCAT("Teachings of ",_xlfn.XLOOKUP(_xlfn.CONCAT(_xlfn.XLOOKUP($B$1&amp;3,INDEX(Traveller_List,,1)&amp;INDEX(Traveller_List,,3),INDEX(Traveller_List,,4),,0,1)," 3"),INDEX(Character_Talent_Materials,,1),INDEX(Character_Talent_Materials,,2),,0,1))</f>
        <v>Teachings of Praxis</v>
      </c>
      <c r="H12" s="128">
        <f>0</f>
        <v>0</v>
      </c>
      <c r="J12" s="169"/>
      <c r="K12" s="5" t="str">
        <f t="shared" si="1"/>
        <v>Guide to Ingenuity</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Praxis</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Praxis</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Praxis</v>
      </c>
      <c r="H13" s="17">
        <f>IF(AND(H$4&lt;4,H$5&gt;=4),4,0)</f>
        <v>0</v>
      </c>
      <c r="J13" s="169"/>
      <c r="K13" s="5" t="str">
        <f t="shared" si="1"/>
        <v>Philosophies of Ingenuity</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Praxis</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Praxis</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Praxis</v>
      </c>
      <c r="H14" s="16">
        <f>IF(AND(H$4&lt;7,H$5&gt;=7),4,0)+IF(AND(H$4&lt;10,H$5&gt;=10),16,0)</f>
        <v>0</v>
      </c>
      <c r="J14" s="169"/>
      <c r="K14" s="5" t="str">
        <f t="shared" si="1"/>
        <v>Teachings of Praxis</v>
      </c>
      <c r="L14" s="128">
        <f t="shared" si="2"/>
        <v>0</v>
      </c>
      <c r="M14" s="34" t="s">
        <v>202</v>
      </c>
    </row>
    <row r="15" spans="1:13" ht="15.75" thickBot="1" x14ac:dyDescent="0.3">
      <c r="A15" s="11" t="str" cm="1">
        <f t="array" ref="A15">VLOOKUP(_xlfn.XLOOKUP($B$1&amp;1,INDEX(Traveller_List,,1)&amp;INDEX(Traveller_List,,3),INDEX(Traveller_List,,5),,0,1),Weekly_Boss_Mats,2,FALSE)</f>
        <v>Mudra of the Malefic General</v>
      </c>
      <c r="B15" s="24">
        <f>VLOOKUP(B5,Required_Talent_Materials,5,FALSE)-VLOOKUP(B4,Required_Talent_Materials,5,FALSE)</f>
        <v>0</v>
      </c>
      <c r="D15" s="11" t="str" cm="1">
        <f t="array" ref="D15">VLOOKUP(_xlfn.XLOOKUP($B$1&amp;2,INDEX(Traveller_List,,1)&amp;INDEX(Traveller_List,,3),INDEX(Traveller_List,,5),,0,1),Weekly_Boss_Mats,2,FALSE)</f>
        <v>Mudra of the Malefic General</v>
      </c>
      <c r="E15" s="24">
        <f>VLOOKUP(E5,Required_Talent_Materials,5,FALSE)-VLOOKUP(E4,Required_Talent_Materials,5,FALSE)</f>
        <v>0</v>
      </c>
      <c r="G15" s="11" t="str" cm="1">
        <f t="array" ref="G15">VLOOKUP(_xlfn.XLOOKUP($B$1&amp;3,INDEX(Traveller_List,,1)&amp;INDEX(Traveller_List,,3),INDEX(Traveller_List,,5),,0,1),Weekly_Boss_Mats,2,FALSE)</f>
        <v>Mudra of the Malefic General</v>
      </c>
      <c r="H15" s="24">
        <f>VLOOKUP(H5,Required_Talent_Materials,5,FALSE)-VLOOKUP(H4,Required_Talent_Materials,5,FALSE)</f>
        <v>0</v>
      </c>
      <c r="J15" s="41"/>
      <c r="K15" s="1" t="str">
        <f t="shared" si="1"/>
        <v>Guide to Praxis</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Praxis</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Fungal Spores</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Fungal Spores</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Fungal Spores</v>
      </c>
      <c r="H17" s="128">
        <f>VLOOKUP(H5,Required_Talent_Materials,7,FALSE)-VLOOKUP(H4,Required_Talent_Materials,7,FALSE)</f>
        <v>0</v>
      </c>
      <c r="J17" s="11" t="s">
        <v>177</v>
      </c>
      <c r="K17" s="7" t="str">
        <f>G9</f>
        <v>Teachings of Ingenuity</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Luminescent Pollen</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Luminescent Pollen</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Luminescent Pollen</v>
      </c>
      <c r="H18" s="17">
        <f>VLOOKUP(H5,Required_Talent_Materials,8,FALSE)-VLOOKUP(H4,Required_Talent_Materials,8,FALSE)</f>
        <v>0</v>
      </c>
      <c r="J18" s="171"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Crystalline Cyst Dust</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Crystalline Cyst Dust</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Crystalline Cyst Dust</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62" priority="1" operator="containsText" text="Done">
      <formula>NOT(ISERROR(SEARCH("Done",M4)))</formula>
    </cfRule>
    <cfRule type="containsText" dxfId="661" priority="2" operator="containsText" text="In Progress">
      <formula>NOT(ISERROR(SEARCH("In Progress",M4)))</formula>
    </cfRule>
  </conditionalFormatting>
  <dataValidations count="3">
    <dataValidation type="list" allowBlank="1" showInputMessage="1" showErrorMessage="1" sqref="B1" xr:uid="{184984B4-2C77-4836-BF06-046BE1A9DF25}">
      <formula1>Character_Name_List</formula1>
    </dataValidation>
    <dataValidation type="list" allowBlank="1" showInputMessage="1" showErrorMessage="1" sqref="B4:B5 E4:E5 H4:H5" xr:uid="{B8FADC60-D714-45DF-8E70-55BC3E1A74CB}">
      <formula1>"1,2,3,4,5,6,7,8,9,10"</formula1>
    </dataValidation>
    <dataValidation type="list" allowBlank="1" showInputMessage="1" showErrorMessage="1" sqref="M4:M18" xr:uid="{463017C4-DD0C-4E24-B4AD-E4770706F5D3}">
      <formula1>"In Progress, Done"</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CE1AF-28A7-41D2-BEF1-9B883032BFB8}">
  <sheetPr codeName="Sheet198">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166</v>
      </c>
    </row>
    <row r="2" spans="1:13" ht="15.75" thickBot="1" x14ac:dyDescent="0.3"/>
    <row r="3" spans="1:13" ht="15.75" thickBot="1" x14ac:dyDescent="0.3">
      <c r="A3" s="171" t="s">
        <v>150</v>
      </c>
      <c r="B3" s="172"/>
      <c r="D3" s="171" t="s">
        <v>151</v>
      </c>
      <c r="E3" s="172"/>
      <c r="G3" s="171" t="s">
        <v>152</v>
      </c>
      <c r="H3" s="172"/>
      <c r="J3" s="171" t="s">
        <v>198</v>
      </c>
      <c r="K3" s="231"/>
      <c r="L3" s="172"/>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84" t="s">
        <v>207</v>
      </c>
      <c r="K5" s="2" t="str">
        <f>D17</f>
        <v>Transoceanic Pearl</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Equity</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Equity</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Equity</v>
      </c>
      <c r="H6" s="17">
        <f>IF(AND(H$4&lt;2,H$5&gt;=2),3,0)</f>
        <v>0</v>
      </c>
      <c r="J6" s="185"/>
      <c r="K6" s="1" t="str">
        <f>D18</f>
        <v>Transoceanic Chunk</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Equity</v>
      </c>
      <c r="B7" s="17">
        <f>IF(AND(B$4&lt;5,B$5&gt;=5),6,0)</f>
        <v>0</v>
      </c>
      <c r="D7" s="14" t="str" cm="1">
        <f t="array" ref="D7">_xlfn.CONCAT("Guide to ",_xlfn.XLOOKUP(_xlfn.CONCAT(_xlfn.XLOOKUP($B$1&amp;2,INDEX(Traveller_List,,1)&amp;INDEX(Traveller_List,,3),INDEX(Traveller_List,,4),,0,1)," 1"),INDEX(Character_Talent_Materials,,1),INDEX(Character_Talent_Materials,,2),,0,1))</f>
        <v>Guide to Equity</v>
      </c>
      <c r="E7" s="17">
        <f>IF(AND(E$4&lt;5,E$5&gt;=5),6,0)</f>
        <v>0</v>
      </c>
      <c r="G7" s="14" t="str" cm="1">
        <f t="array" ref="G7">_xlfn.CONCAT("Guide to ",_xlfn.XLOOKUP(_xlfn.CONCAT(_xlfn.XLOOKUP($B$1&amp;3,INDEX(Traveller_List,,1)&amp;INDEX(Traveller_List,,3),INDEX(Traveller_List,,4),,0,1)," 1"),INDEX(Character_Talent_Materials,,1),INDEX(Character_Talent_Materials,,2),,0,1))</f>
        <v>Guide to Equity</v>
      </c>
      <c r="H7" s="17">
        <f>IF(AND(H$4&lt;5,H$5&gt;=5),6,0)</f>
        <v>0</v>
      </c>
      <c r="J7" s="186"/>
      <c r="K7" s="9" t="str">
        <f>D19</f>
        <v>Xenochromatic Crystal</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Equity</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Equity</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Equity</v>
      </c>
      <c r="H8" s="16">
        <f>IF(AND(H$4&lt;8,H$5&gt;=8),6,0)</f>
        <v>0</v>
      </c>
      <c r="J8" s="40" t="s">
        <v>216</v>
      </c>
      <c r="K8" s="2" t="str">
        <f>A6</f>
        <v>Teachings of Equity</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Justice</v>
      </c>
      <c r="B9" s="128">
        <f>0</f>
        <v>0</v>
      </c>
      <c r="D9" s="20" t="str" cm="1">
        <f t="array" ref="D9">_xlfn.CONCAT("Teachings of ",_xlfn.XLOOKUP(_xlfn.CONCAT(_xlfn.XLOOKUP($B$1&amp;2,INDEX(Traveller_List,,1)&amp;INDEX(Traveller_List,,3),INDEX(Traveller_List,,4),,0,1)," 2"),INDEX(Character_Talent_Materials,,1),INDEX(Character_Talent_Materials,,2),,0,1))</f>
        <v>Teachings of Justice</v>
      </c>
      <c r="E9" s="128">
        <f>0</f>
        <v>0</v>
      </c>
      <c r="G9" s="20" t="str" cm="1">
        <f t="array" ref="G9">_xlfn.CONCAT("Teachings of ",_xlfn.XLOOKUP(_xlfn.CONCAT(_xlfn.XLOOKUP($B$1&amp;3,INDEX(Traveller_List,,1)&amp;INDEX(Traveller_List,,3),INDEX(Traveller_List,,4),,0,1)," 2"),INDEX(Character_Talent_Materials,,1),INDEX(Character_Talent_Materials,,2),,0,1))</f>
        <v>Teachings of Justice</v>
      </c>
      <c r="H9" s="128">
        <f>0</f>
        <v>0</v>
      </c>
      <c r="J9" s="169"/>
      <c r="K9" s="5" t="str">
        <f t="shared" ref="K9:K16" si="1">A7</f>
        <v>Guide to Equity</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Justice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Justice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Justice</v>
      </c>
      <c r="H10" s="17">
        <f>IF(AND(H$4&lt;3,H$5&gt;=3),2,0)+IF(AND(H$4&lt;6,H$5&gt;=6),9,0)</f>
        <v>0</v>
      </c>
      <c r="J10" s="169"/>
      <c r="K10" s="5" t="str">
        <f t="shared" si="1"/>
        <v>Philosophies of Equity</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Justice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Justice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Justice</v>
      </c>
      <c r="H11" s="16">
        <f>IF(AND(H$4&lt;9,H$5&gt;=9),12,0)</f>
        <v>0</v>
      </c>
      <c r="J11" s="169"/>
      <c r="K11" s="5" t="str">
        <f t="shared" si="1"/>
        <v>Teachings of Justice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Order</v>
      </c>
      <c r="B12" s="128">
        <f>0</f>
        <v>0</v>
      </c>
      <c r="D12" s="20" t="str" cm="1">
        <f t="array" ref="D12">_xlfn.CONCAT("Teachings of ",_xlfn.XLOOKUP(_xlfn.CONCAT(_xlfn.XLOOKUP($B$1&amp;2,INDEX(Traveller_List,,1)&amp;INDEX(Traveller_List,,3),INDEX(Traveller_List,,4),,0,1)," 3"),INDEX(Character_Talent_Materials,,1),INDEX(Character_Talent_Materials,,2),,0,1))</f>
        <v>Teachings of Order</v>
      </c>
      <c r="E12" s="128">
        <f>0</f>
        <v>0</v>
      </c>
      <c r="G12" s="20" t="str" cm="1">
        <f t="array" ref="G12">_xlfn.CONCAT("Teachings of ",_xlfn.XLOOKUP(_xlfn.CONCAT(_xlfn.XLOOKUP($B$1&amp;3,INDEX(Traveller_List,,1)&amp;INDEX(Traveller_List,,3),INDEX(Traveller_List,,4),,0,1)," 3"),INDEX(Character_Talent_Materials,,1),INDEX(Character_Talent_Materials,,2),,0,1))</f>
        <v>Teachings of Order</v>
      </c>
      <c r="H12" s="128">
        <f>0</f>
        <v>0</v>
      </c>
      <c r="J12" s="169"/>
      <c r="K12" s="5" t="str">
        <f t="shared" si="1"/>
        <v>Guide to Justice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Order</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Order</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Order</v>
      </c>
      <c r="H13" s="17">
        <f>IF(AND(H$4&lt;4,H$5&gt;=4),4,0)</f>
        <v>0</v>
      </c>
      <c r="J13" s="169"/>
      <c r="K13" s="5" t="str">
        <f t="shared" si="1"/>
        <v>Philosophies of Justice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Order</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Order</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Order</v>
      </c>
      <c r="H14" s="16">
        <f>IF(AND(H$4&lt;7,H$5&gt;=7),4,0)+IF(AND(H$4&lt;10,H$5&gt;=10),16,0)</f>
        <v>0</v>
      </c>
      <c r="J14" s="169"/>
      <c r="K14" s="5" t="str">
        <f t="shared" si="1"/>
        <v>Teachings of Order</v>
      </c>
      <c r="L14" s="128">
        <f t="shared" si="2"/>
        <v>0</v>
      </c>
      <c r="M14" s="34" t="s">
        <v>202</v>
      </c>
    </row>
    <row r="15" spans="1:13" ht="15.75" thickBot="1" x14ac:dyDescent="0.3">
      <c r="A15" s="11" t="str" cm="1">
        <f t="array" ref="A15">VLOOKUP(_xlfn.XLOOKUP($B$1&amp;1,INDEX(Traveller_List,,1)&amp;INDEX(Traveller_List,,3),INDEX(Traveller_List,,5),,0,1),Weekly_Boss_Mats,2,FALSE)</f>
        <v>Worldspan Fern</v>
      </c>
      <c r="B15" s="24">
        <f>VLOOKUP(B5,Required_Talent_Materials,5,FALSE)-VLOOKUP(B4,Required_Talent_Materials,5,FALSE)</f>
        <v>0</v>
      </c>
      <c r="D15" s="11" t="str" cm="1">
        <f t="array" ref="D15">VLOOKUP(_xlfn.XLOOKUP($B$1&amp;2,INDEX(Traveller_List,,1)&amp;INDEX(Traveller_List,,3),INDEX(Traveller_List,,5),,0,1),Weekly_Boss_Mats,2,FALSE)</f>
        <v>Worldspan Fern</v>
      </c>
      <c r="E15" s="24">
        <f>VLOOKUP(E5,Required_Talent_Materials,5,FALSE)-VLOOKUP(E4,Required_Talent_Materials,5,FALSE)</f>
        <v>0</v>
      </c>
      <c r="G15" s="11" t="str" cm="1">
        <f t="array" ref="G15">VLOOKUP(_xlfn.XLOOKUP($B$1&amp;3,INDEX(Traveller_List,,1)&amp;INDEX(Traveller_List,,3),INDEX(Traveller_List,,5),,0,1),Weekly_Boss_Mats,2,FALSE)</f>
        <v>Worldspan Fern</v>
      </c>
      <c r="H15" s="24">
        <f>VLOOKUP(H5,Required_Talent_Materials,5,FALSE)-VLOOKUP(H4,Required_Talent_Materials,5,FALSE)</f>
        <v>0</v>
      </c>
      <c r="J15" s="41"/>
      <c r="K15" s="1" t="str">
        <f t="shared" si="1"/>
        <v>Guide to Order</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Order</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Transoceanic Pearl</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Transoceanic Pearl</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Transoceanic Pearl</v>
      </c>
      <c r="H17" s="128">
        <f>VLOOKUP(H5,Required_Talent_Materials,7,FALSE)-VLOOKUP(H4,Required_Talent_Materials,7,FALSE)</f>
        <v>0</v>
      </c>
      <c r="J17" s="11" t="s">
        <v>177</v>
      </c>
      <c r="K17" s="7" t="str">
        <f>G9</f>
        <v>Teachings of Justice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Transoceanic Chunk</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Transoceanic Chunk</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Transoceanic Chunk</v>
      </c>
      <c r="H18" s="17">
        <f>VLOOKUP(H5,Required_Talent_Materials,8,FALSE)-VLOOKUP(H4,Required_Talent_Materials,8,FALSE)</f>
        <v>0</v>
      </c>
      <c r="J18" s="171"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Xenochromatic Crystal</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Xenochromatic Crystal</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Xenochromatic Crystal</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60" priority="1" operator="containsText" text="Done">
      <formula>NOT(ISERROR(SEARCH("Done",M4)))</formula>
    </cfRule>
    <cfRule type="containsText" dxfId="659" priority="2" operator="containsText" text="In Progress">
      <formula>NOT(ISERROR(SEARCH("In Progress",M4)))</formula>
    </cfRule>
  </conditionalFormatting>
  <dataValidations count="3">
    <dataValidation type="list" allowBlank="1" showInputMessage="1" showErrorMessage="1" sqref="B4:B5 E4:E5 H4:H5" xr:uid="{86BC873F-3D46-45DD-84BD-67AE5EE2CECD}">
      <formula1>"1,2,3,4,5,6,7,8,9,10"</formula1>
    </dataValidation>
    <dataValidation type="list" allowBlank="1" showInputMessage="1" showErrorMessage="1" sqref="B1" xr:uid="{03B18E5D-7957-4A42-9C9E-1EDBED3EBF43}">
      <formula1>Character_Name_List</formula1>
    </dataValidation>
    <dataValidation type="list" allowBlank="1" showInputMessage="1" showErrorMessage="1" sqref="M4:M18" xr:uid="{28618439-8765-4F63-8927-A19A597EB235}">
      <formula1>"In Progress, Done"</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64BE2-FA2A-4F01-9D40-AFCA0BEB7B7F}">
  <sheetPr codeName="Sheet308">
    <tabColor rgb="FFDEC8EE"/>
  </sheetPr>
  <dimension ref="A1:M20"/>
  <sheetViews>
    <sheetView zoomScaleNormal="100" workbookViewId="0">
      <selection activeCell="L25" sqref="L25"/>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518</v>
      </c>
    </row>
    <row r="2" spans="1:13" ht="15.75" thickBot="1" x14ac:dyDescent="0.3"/>
    <row r="3" spans="1:13" ht="15.75" thickBot="1" x14ac:dyDescent="0.3">
      <c r="A3" s="171" t="s">
        <v>150</v>
      </c>
      <c r="B3" s="172"/>
      <c r="D3" s="171" t="s">
        <v>151</v>
      </c>
      <c r="E3" s="172"/>
      <c r="G3" s="171" t="s">
        <v>152</v>
      </c>
      <c r="H3" s="172"/>
      <c r="J3" s="171" t="s">
        <v>198</v>
      </c>
      <c r="K3" s="231"/>
      <c r="L3" s="172"/>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84" t="s">
        <v>207</v>
      </c>
      <c r="K5" s="2" t="str">
        <f>D17</f>
        <v>Sentry’s Wooden Whistle</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Contention</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Contention</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Contention</v>
      </c>
      <c r="H6" s="17">
        <f>IF(AND(H$4&lt;2,H$5&gt;=2),3,0)</f>
        <v>0</v>
      </c>
      <c r="J6" s="185"/>
      <c r="K6" s="1" t="str">
        <f>D18</f>
        <v>Warrior’s Metal Whistle</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Contention</v>
      </c>
      <c r="B7" s="17">
        <f>IF(AND(B$4&lt;5,B$5&gt;=5),6,0)</f>
        <v>0</v>
      </c>
      <c r="D7" s="14" t="str" cm="1">
        <f t="array" ref="D7">_xlfn.CONCAT("Guide to ",_xlfn.XLOOKUP(_xlfn.CONCAT(_xlfn.XLOOKUP($B$1&amp;2,INDEX(Traveller_List,,1)&amp;INDEX(Traveller_List,,3),INDEX(Traveller_List,,4),,0,1)," 1"),INDEX(Character_Talent_Materials,,1),INDEX(Character_Talent_Materials,,2),,0,1))</f>
        <v>Guide to Contention</v>
      </c>
      <c r="E7" s="17">
        <f>IF(AND(E$4&lt;5,E$5&gt;=5),6,0)</f>
        <v>0</v>
      </c>
      <c r="G7" s="14" t="str" cm="1">
        <f t="array" ref="G7">_xlfn.CONCAT("Guide to ",_xlfn.XLOOKUP(_xlfn.CONCAT(_xlfn.XLOOKUP($B$1&amp;3,INDEX(Traveller_List,,1)&amp;INDEX(Traveller_List,,3),INDEX(Traveller_List,,4),,0,1)," 1"),INDEX(Character_Talent_Materials,,1),INDEX(Character_Talent_Materials,,2),,0,1))</f>
        <v>Guide to Contention</v>
      </c>
      <c r="H7" s="17">
        <f>IF(AND(H$4&lt;5,H$5&gt;=5),6,0)</f>
        <v>0</v>
      </c>
      <c r="J7" s="186"/>
      <c r="K7" s="9" t="str">
        <f>D19</f>
        <v>Saurian-Crowned Warrior’s Golden Whistle</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Contention</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Contention</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Contention</v>
      </c>
      <c r="H8" s="16">
        <f>IF(AND(H$4&lt;8,H$5&gt;=8),6,0)</f>
        <v>0</v>
      </c>
      <c r="J8" s="40" t="s">
        <v>216</v>
      </c>
      <c r="K8" s="2" t="str">
        <f>A6</f>
        <v>Teachings of Contention</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Kindling</v>
      </c>
      <c r="B9" s="128">
        <f>0</f>
        <v>0</v>
      </c>
      <c r="D9" s="20" t="str" cm="1">
        <f t="array" ref="D9">_xlfn.CONCAT("Teachings of ",_xlfn.XLOOKUP(_xlfn.CONCAT(_xlfn.XLOOKUP($B$1&amp;2,INDEX(Traveller_List,,1)&amp;INDEX(Traveller_List,,3),INDEX(Traveller_List,,4),,0,1)," 2"),INDEX(Character_Talent_Materials,,1),INDEX(Character_Talent_Materials,,2),,0,1))</f>
        <v>Teachings of Kindling</v>
      </c>
      <c r="E9" s="128">
        <f>0</f>
        <v>0</v>
      </c>
      <c r="G9" s="20" t="str" cm="1">
        <f t="array" ref="G9">_xlfn.CONCAT("Teachings of ",_xlfn.XLOOKUP(_xlfn.CONCAT(_xlfn.XLOOKUP($B$1&amp;3,INDEX(Traveller_List,,1)&amp;INDEX(Traveller_List,,3),INDEX(Traveller_List,,4),,0,1)," 2"),INDEX(Character_Talent_Materials,,1),INDEX(Character_Talent_Materials,,2),,0,1))</f>
        <v>Teachings of Kindling</v>
      </c>
      <c r="H9" s="128">
        <f>0</f>
        <v>0</v>
      </c>
      <c r="J9" s="169"/>
      <c r="K9" s="5" t="str">
        <f t="shared" ref="K9:K16" si="1">A7</f>
        <v>Guide to Contention</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Kindling</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Kindling</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Kindling</v>
      </c>
      <c r="H10" s="17">
        <f>IF(AND(H$4&lt;3,H$5&gt;=3),2,0)+IF(AND(H$4&lt;6,H$5&gt;=6),9,0)</f>
        <v>0</v>
      </c>
      <c r="J10" s="169"/>
      <c r="K10" s="5" t="str">
        <f t="shared" si="1"/>
        <v>Philosophies of Contention</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Kindling</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Kindling</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Kindling</v>
      </c>
      <c r="H11" s="16">
        <f>IF(AND(H$4&lt;9,H$5&gt;=9),12,0)</f>
        <v>0</v>
      </c>
      <c r="J11" s="169"/>
      <c r="K11" s="5" t="str">
        <f t="shared" si="1"/>
        <v>Teachings of Kindling</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Conflict</v>
      </c>
      <c r="B12" s="128">
        <f>0</f>
        <v>0</v>
      </c>
      <c r="D12" s="20" t="str" cm="1">
        <f t="array" ref="D12">_xlfn.CONCAT("Teachings of ",_xlfn.XLOOKUP(_xlfn.CONCAT(_xlfn.XLOOKUP($B$1&amp;2,INDEX(Traveller_List,,1)&amp;INDEX(Traveller_List,,3),INDEX(Traveller_List,,4),,0,1)," 3"),INDEX(Character_Talent_Materials,,1),INDEX(Character_Talent_Materials,,2),,0,1))</f>
        <v>Teachings of Conflict</v>
      </c>
      <c r="E12" s="128">
        <f>0</f>
        <v>0</v>
      </c>
      <c r="G12" s="20" t="str" cm="1">
        <f t="array" ref="G12">_xlfn.CONCAT("Teachings of ",_xlfn.XLOOKUP(_xlfn.CONCAT(_xlfn.XLOOKUP($B$1&amp;3,INDEX(Traveller_List,,1)&amp;INDEX(Traveller_List,,3),INDEX(Traveller_List,,4),,0,1)," 3"),INDEX(Character_Talent_Materials,,1),INDEX(Character_Talent_Materials,,2),,0,1))</f>
        <v>Teachings of Conflict</v>
      </c>
      <c r="H12" s="128">
        <f>0</f>
        <v>0</v>
      </c>
      <c r="J12" s="169"/>
      <c r="K12" s="5" t="str">
        <f t="shared" si="1"/>
        <v>Guide to Kindling</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Conflict</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Conflict</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Conflict</v>
      </c>
      <c r="H13" s="17">
        <f>IF(AND(H$4&lt;4,H$5&gt;=4),4,0)</f>
        <v>0</v>
      </c>
      <c r="J13" s="169"/>
      <c r="K13" s="5" t="str">
        <f t="shared" si="1"/>
        <v>Philosophies of Kindling</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Conflict</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Conflict</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Conflict</v>
      </c>
      <c r="H14" s="16">
        <f>IF(AND(H$4&lt;7,H$5&gt;=7),4,0)+IF(AND(H$4&lt;10,H$5&gt;=10),16,0)</f>
        <v>0</v>
      </c>
      <c r="J14" s="169"/>
      <c r="K14" s="5" t="str">
        <f t="shared" si="1"/>
        <v>Teachings of Conflict</v>
      </c>
      <c r="L14" s="128">
        <f t="shared" si="2"/>
        <v>0</v>
      </c>
      <c r="M14" s="34" t="s">
        <v>202</v>
      </c>
    </row>
    <row r="15" spans="1:13" ht="15.75" thickBot="1" x14ac:dyDescent="0.3">
      <c r="A15" s="11" t="s">
        <v>885</v>
      </c>
      <c r="B15" s="24">
        <f>VLOOKUP(B5,Required_Talent_Materials,5,FALSE)-VLOOKUP(B4,Required_Talent_Materials,5,FALSE)</f>
        <v>0</v>
      </c>
      <c r="D15" s="11" t="s">
        <v>885</v>
      </c>
      <c r="E15" s="24">
        <f>VLOOKUP(E5,Required_Talent_Materials,5,FALSE)-VLOOKUP(E4,Required_Talent_Materials,5,FALSE)</f>
        <v>0</v>
      </c>
      <c r="G15" s="11" t="s">
        <v>885</v>
      </c>
      <c r="H15" s="24">
        <f>VLOOKUP(H5,Required_Talent_Materials,5,FALSE)-VLOOKUP(H4,Required_Talent_Materials,5,FALSE)</f>
        <v>0</v>
      </c>
      <c r="J15" s="41"/>
      <c r="K15" s="1" t="str">
        <f t="shared" si="1"/>
        <v>Guide to Conflict</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Conflict</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Sentry’s Wooden Whistle</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Sentry’s Wooden Whistle</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Sentry’s Wooden Whistle</v>
      </c>
      <c r="H17" s="128">
        <f>VLOOKUP(H5,Required_Talent_Materials,7,FALSE)-VLOOKUP(H4,Required_Talent_Materials,7,FALSE)</f>
        <v>0</v>
      </c>
      <c r="J17" s="11" t="s">
        <v>177</v>
      </c>
      <c r="K17" s="7" t="str">
        <f>G9</f>
        <v>Teachings of Kindling</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Warrior’s Metal Whistle</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Warrior’s Metal Whistle</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Warrior’s Metal Whistle</v>
      </c>
      <c r="H18" s="17">
        <f>VLOOKUP(H5,Required_Talent_Materials,8,FALSE)-VLOOKUP(H4,Required_Talent_Materials,8,FALSE)</f>
        <v>0</v>
      </c>
      <c r="J18" s="171"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Saurian-Crowned Warrior’s Golden Whistle</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Saurian-Crowned Warrior’s Golden Whistle</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Saurian-Crowned Warrior’s Golden Whistle</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58" priority="1" operator="containsText" text="Done">
      <formula>NOT(ISERROR(SEARCH("Done",M4)))</formula>
    </cfRule>
    <cfRule type="containsText" dxfId="657" priority="2" operator="containsText" text="In Progress">
      <formula>NOT(ISERROR(SEARCH("In Progress",M4)))</formula>
    </cfRule>
  </conditionalFormatting>
  <dataValidations count="3">
    <dataValidation type="list" allowBlank="1" showInputMessage="1" showErrorMessage="1" sqref="B1" xr:uid="{029D8A48-051B-4578-8703-FC4815242EE9}">
      <formula1>Character_Name_List</formula1>
    </dataValidation>
    <dataValidation type="list" allowBlank="1" showInputMessage="1" showErrorMessage="1" sqref="B4:B5 E4:E5 H4:H5" xr:uid="{63659232-1190-472F-9DBA-663874B6D727}">
      <formula1>"1,2,3,4,5,6,7,8,9,10"</formula1>
    </dataValidation>
    <dataValidation type="list" allowBlank="1" showInputMessage="1" showErrorMessage="1" sqref="M4:M18" xr:uid="{78104A39-8DDD-4274-863A-4728E47DA4C2}">
      <formula1>"In Progress, Done"</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0362D-9BD2-4883-A33A-7B651A90E822}">
  <sheetPr codeName="Sheet7">
    <tabColor theme="9" tint="0.59999389629810485"/>
  </sheetPr>
  <dimension ref="A1:K40"/>
  <sheetViews>
    <sheetView workbookViewId="0">
      <selection activeCell="I32" sqref="I3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1</v>
      </c>
      <c r="E4" s="12" t="s">
        <v>200</v>
      </c>
      <c r="F4" s="28">
        <v>1</v>
      </c>
      <c r="H4" s="222" t="s">
        <v>201</v>
      </c>
      <c r="I4" s="223"/>
      <c r="J4" s="15">
        <f>B6</f>
        <v>0</v>
      </c>
      <c r="K4" s="33" t="s">
        <v>214</v>
      </c>
    </row>
    <row r="5" spans="1:11" ht="15.75" thickBot="1" x14ac:dyDescent="0.3">
      <c r="A5" s="13" t="s">
        <v>203</v>
      </c>
      <c r="B5" s="26">
        <v>1</v>
      </c>
      <c r="E5" s="13" t="s">
        <v>203</v>
      </c>
      <c r="F5" s="29">
        <v>1</v>
      </c>
      <c r="H5" s="232" t="s">
        <v>204</v>
      </c>
      <c r="I5" s="233"/>
      <c r="J5" s="16">
        <f>SUM(B7,C21,F14,F27,F40)</f>
        <v>0</v>
      </c>
      <c r="K5" s="34" t="s">
        <v>214</v>
      </c>
    </row>
    <row r="6" spans="1:11" x14ac:dyDescent="0.25">
      <c r="A6" s="12" t="s">
        <v>201</v>
      </c>
      <c r="B6" s="15">
        <f>VLOOKUP(B5,Levelling_Materials,3,FALSE)-VLOOKUP(B4,Levelling_Materials,3,FALSE)</f>
        <v>0</v>
      </c>
      <c r="E6" s="14" t="e">
        <f>_xlfn.CONCAT("Teachings of ", VLOOKUP(VLOOKUP(B1,Character_List,7,FALSE),Character_Talent_Materials,2,FALSE))</f>
        <v>#N/A</v>
      </c>
      <c r="F6" s="17">
        <f>VLOOKUP(F5,Required_Talent_Materials,2,FALSE)-VLOOKUP(F4,Required_Talent_Materials,2,FALSE)</f>
        <v>0</v>
      </c>
      <c r="H6" s="184" t="s">
        <v>215</v>
      </c>
      <c r="I6" s="2" t="e">
        <f t="shared" ref="I6:J10" si="0">B12</f>
        <v>#N/A</v>
      </c>
      <c r="J6" s="15">
        <f t="shared" si="0"/>
        <v>0</v>
      </c>
      <c r="K6" s="34" t="s">
        <v>214</v>
      </c>
    </row>
    <row r="7" spans="1:11" ht="15.75" thickBot="1" x14ac:dyDescent="0.3">
      <c r="A7" s="13" t="s">
        <v>204</v>
      </c>
      <c r="B7" s="16">
        <f>VLOOKUP(B5,Levelling_Materials,5,FALSE)-VLOOKUP(B4,Levelling_Materials,5,FALSE)</f>
        <v>0</v>
      </c>
      <c r="E7" s="14" t="e">
        <f>_xlfn.CONCAT("Guide to ", VLOOKUP(VLOOKUP(B1,Character_List,7,FALSE),Character_Talent_Materials,2,FALSE))</f>
        <v>#N/A</v>
      </c>
      <c r="F7" s="17">
        <f>VLOOKUP(F5,Required_Talent_Materials,3,FALSE)-VLOOKUP(F4,Required_Talent_Materials,3,FALSE)</f>
        <v>0</v>
      </c>
      <c r="H7" s="185"/>
      <c r="I7" s="1" t="e">
        <f t="shared" si="0"/>
        <v>#N/A</v>
      </c>
      <c r="J7" s="17">
        <f t="shared" si="0"/>
        <v>0</v>
      </c>
      <c r="K7" s="34" t="s">
        <v>214</v>
      </c>
    </row>
    <row r="8" spans="1:11" ht="15.75" thickBot="1" x14ac:dyDescent="0.3">
      <c r="E8" s="14" t="e">
        <f>_xlfn.CONCAT("Philosophies of ", VLOOKUP(VLOOKUP(B1,Character_List,7,FALSE),Character_Talent_Materials,2,FALSE))</f>
        <v>#N/A</v>
      </c>
      <c r="F8" s="17">
        <f>VLOOKUP(F5,Required_Talent_Materials,4,FALSE)-VLOOKUP(F4,Required_Talent_Materials,4,FALSE)</f>
        <v>0</v>
      </c>
      <c r="H8" s="185"/>
      <c r="I8" s="1" t="e">
        <f t="shared" si="0"/>
        <v>#N/A</v>
      </c>
      <c r="J8" s="17">
        <f t="shared" si="0"/>
        <v>0</v>
      </c>
      <c r="K8" s="34" t="s">
        <v>214</v>
      </c>
    </row>
    <row r="9" spans="1:11" ht="15.75" thickBot="1" x14ac:dyDescent="0.3">
      <c r="A9" s="171" t="s">
        <v>149</v>
      </c>
      <c r="B9" s="231"/>
      <c r="C9" s="172"/>
      <c r="E9" s="14" t="e">
        <f>VLOOKUP(VLOOKUP(B1,Character_List,8,FALSE),Weekly_Boss_Mats,2,FALSE)</f>
        <v>#N/A</v>
      </c>
      <c r="F9" s="17">
        <f>VLOOKUP(F5,Required_Talent_Materials,5,FALSE)-VLOOKUP(F4,Required_Talent_Materials,5,FALSE)</f>
        <v>0</v>
      </c>
      <c r="H9" s="185"/>
      <c r="I9" s="1" t="e">
        <f t="shared" si="0"/>
        <v>#N/A</v>
      </c>
      <c r="J9" s="17">
        <f t="shared" si="0"/>
        <v>0</v>
      </c>
      <c r="K9" s="34" t="s">
        <v>214</v>
      </c>
    </row>
    <row r="10" spans="1:11" ht="15.75" thickBot="1" x14ac:dyDescent="0.3">
      <c r="A10" s="173" t="s">
        <v>206</v>
      </c>
      <c r="B10" s="202"/>
      <c r="C10" s="43">
        <v>0</v>
      </c>
      <c r="E10" s="14" t="s">
        <v>213</v>
      </c>
      <c r="F10" s="17">
        <f>VLOOKUP(F5,Required_Talent_Materials,6,FALSE)-VLOOKUP(F4,Required_Talent_Materials,6,FALSE)</f>
        <v>0</v>
      </c>
      <c r="H10" s="186"/>
      <c r="I10" s="9" t="e">
        <f t="shared" si="0"/>
        <v>#N/A</v>
      </c>
      <c r="J10" s="16">
        <f t="shared" si="0"/>
        <v>0</v>
      </c>
      <c r="K10" s="34" t="s">
        <v>214</v>
      </c>
    </row>
    <row r="11" spans="1:11" ht="15.75" thickBot="1" x14ac:dyDescent="0.3">
      <c r="A11" s="173" t="s">
        <v>208</v>
      </c>
      <c r="B11" s="202"/>
      <c r="C11" s="43">
        <v>0</v>
      </c>
      <c r="E11" s="14" t="e">
        <f>VLOOKUP(VLOOKUP(B1,Character_List,5,FALSE),Common_Mob_Drops,2,FALSE)</f>
        <v>#N/A</v>
      </c>
      <c r="F11" s="17">
        <f>VLOOKUP(F5,Required_Talent_Materials,7,FALSE)-VLOOKUP(F4,Required_Talent_Materials,7,FALSE)</f>
        <v>0</v>
      </c>
      <c r="H11" s="184" t="s">
        <v>207</v>
      </c>
      <c r="I11" s="2" t="e">
        <f>B17</f>
        <v>#N/A</v>
      </c>
      <c r="J11" s="15">
        <f>SUM(C17,F11,F24,F37)</f>
        <v>0</v>
      </c>
      <c r="K11" s="34" t="s">
        <v>214</v>
      </c>
    </row>
    <row r="12" spans="1:11" x14ac:dyDescent="0.25">
      <c r="A12" s="188" t="s">
        <v>215</v>
      </c>
      <c r="B12" s="2" t="e">
        <f>_xlfn.CONCAT(VLOOKUP(VLOOKUP(B1,Character_List,2,FALSE),Boss_Mob_Drops,2,FALSE), " Sliver")</f>
        <v>#N/A</v>
      </c>
      <c r="C12" s="15">
        <f>VLOOKUP(C11,Required_Ascension_Materials,2,FALSE)-VLOOKUP(C10,Required_Ascension_Materials,2,FALSE)</f>
        <v>0</v>
      </c>
      <c r="E12" s="14" t="e">
        <f>VLOOKUP(VLOOKUP(B1,Character_List,5,FALSE),Common_Mob_Drops,3,FALSE)</f>
        <v>#N/A</v>
      </c>
      <c r="F12" s="17">
        <f>VLOOKUP(F5,Required_Talent_Materials,8,FALSE)-VLOOKUP(F4,Required_Talent_Materials,8,FALSE)</f>
        <v>0</v>
      </c>
      <c r="H12" s="185"/>
      <c r="I12" s="1" t="e">
        <f>B18</f>
        <v>#N/A</v>
      </c>
      <c r="J12" s="17">
        <f>SUM(C18,F12,F25,F38)</f>
        <v>0</v>
      </c>
      <c r="K12" s="34" t="s">
        <v>214</v>
      </c>
    </row>
    <row r="13" spans="1:11" ht="15.75" thickBot="1" x14ac:dyDescent="0.3">
      <c r="A13" s="182"/>
      <c r="B13" s="1" t="e">
        <f>_xlfn.CONCAT(VLOOKUP(VLOOKUP(B1,Character_List,2,FALSE),Boss_Mob_Drops,2,FALSE), " Fragment")</f>
        <v>#N/A</v>
      </c>
      <c r="C13" s="17">
        <f>VLOOKUP(C11,Required_Ascension_Materials,3,FALSE)-VLOOKUP(C10,Required_Ascension_Materials,3,FALSE)</f>
        <v>0</v>
      </c>
      <c r="E13" s="14" t="e">
        <f>VLOOKUP(VLOOKUP(B1,Character_List,5,FALSE),Common_Mob_Drops,4,FALSE)</f>
        <v>#N/A</v>
      </c>
      <c r="F13" s="17">
        <f>VLOOKUP(F5,Required_Talent_Materials,9,FALSE)-VLOOKUP(F4,Required_Talent_Materials,9,FALSE)</f>
        <v>0</v>
      </c>
      <c r="H13" s="186"/>
      <c r="I13" s="9" t="e">
        <f>B19</f>
        <v>#N/A</v>
      </c>
      <c r="J13" s="16">
        <f>SUM(C19,F13,F26,F39)</f>
        <v>0</v>
      </c>
      <c r="K13" s="34" t="s">
        <v>214</v>
      </c>
    </row>
    <row r="14" spans="1:11" ht="15.75" thickBot="1" x14ac:dyDescent="0.3">
      <c r="A14" s="182"/>
      <c r="B14" s="1" t="e">
        <f>_xlfn.CONCAT(VLOOKUP(VLOOKUP(B1,Character_List,2,FALSE),Boss_Mob_Drops,2,FALSE), " Chunk")</f>
        <v>#N/A</v>
      </c>
      <c r="C14" s="17">
        <f>VLOOKUP(C11,Required_Ascension_Materials,4,FALSE)-VLOOKUP(C10,Required_Ascension_Materials,4,FALSE)</f>
        <v>0</v>
      </c>
      <c r="E14" s="13" t="s">
        <v>204</v>
      </c>
      <c r="F14" s="16">
        <f>VLOOKUP(F5,Required_Talent_Materials,10,FALSE)-VLOOKUP(F4,Required_Talent_Materials,10,FALSE)</f>
        <v>0</v>
      </c>
      <c r="H14" s="11" t="s">
        <v>209</v>
      </c>
      <c r="I14" s="7" t="e">
        <f>B20</f>
        <v>#N/A</v>
      </c>
      <c r="J14" s="24">
        <f>C20</f>
        <v>0</v>
      </c>
      <c r="K14" s="34" t="s">
        <v>214</v>
      </c>
    </row>
    <row r="15" spans="1:11" ht="15.75" thickBot="1" x14ac:dyDescent="0.3">
      <c r="A15" s="182"/>
      <c r="B15" s="1" t="e">
        <f>_xlfn.CONCAT(VLOOKUP(VLOOKUP(B1,Character_List,2,FALSE),Boss_Mob_Drops,2,FALSE), " Gemstone")</f>
        <v>#N/A</v>
      </c>
      <c r="C15" s="17">
        <f>VLOOKUP(C11,Required_Ascension_Materials,5,FALSE)-VLOOKUP(C10,Required_Ascension_Materials,5,FALSE)</f>
        <v>0</v>
      </c>
      <c r="H15" s="184" t="s">
        <v>216</v>
      </c>
      <c r="I15" s="2" t="e">
        <f>E6</f>
        <v>#N/A</v>
      </c>
      <c r="J15" s="15">
        <f>SUM(F6,F19,F32)</f>
        <v>0</v>
      </c>
      <c r="K15" s="34" t="s">
        <v>214</v>
      </c>
    </row>
    <row r="16" spans="1:11" ht="15.75" thickBot="1" x14ac:dyDescent="0.3">
      <c r="A16" s="183"/>
      <c r="B16" s="9" t="e">
        <f>VLOOKUP(B1,Character_List,4,FALSE)</f>
        <v>#N/A</v>
      </c>
      <c r="C16" s="16">
        <f>VLOOKUP(C11,Required_Ascension_Materials,6,FALSE)-VLOOKUP(C10,Required_Ascension_Materials,6,FALSE)</f>
        <v>0</v>
      </c>
      <c r="E16" s="171" t="s">
        <v>151</v>
      </c>
      <c r="F16" s="172"/>
      <c r="H16" s="185"/>
      <c r="I16" s="1" t="e">
        <f>E7</f>
        <v>#N/A</v>
      </c>
      <c r="J16" s="17">
        <f>SUM(F7,F20,F33)</f>
        <v>0</v>
      </c>
      <c r="K16" s="34" t="s">
        <v>214</v>
      </c>
    </row>
    <row r="17" spans="1:11" ht="15.75" thickBot="1" x14ac:dyDescent="0.3">
      <c r="A17" s="184" t="s">
        <v>207</v>
      </c>
      <c r="B17" s="2" t="e">
        <f>VLOOKUP(VLOOKUP(B1,Character_List,5,FALSE),Common_Mob_Drops,2,FALSE)</f>
        <v>#N/A</v>
      </c>
      <c r="C17" s="15">
        <f>VLOOKUP(C11,Required_Ascension_Materials,7,FALSE)-VLOOKUP(C10,Required_Ascension_Materials,7,FALSE)</f>
        <v>0</v>
      </c>
      <c r="E17" s="12" t="s">
        <v>200</v>
      </c>
      <c r="F17" s="28">
        <v>1</v>
      </c>
      <c r="H17" s="186"/>
      <c r="I17" s="9" t="e">
        <f>E8</f>
        <v>#N/A</v>
      </c>
      <c r="J17" s="16">
        <f>SUM(F8,F21,F34)</f>
        <v>0</v>
      </c>
      <c r="K17" s="34" t="s">
        <v>214</v>
      </c>
    </row>
    <row r="18" spans="1:11" ht="15.75" thickBot="1" x14ac:dyDescent="0.3">
      <c r="A18" s="185"/>
      <c r="B18" s="1" t="e">
        <f>VLOOKUP(VLOOKUP(B1,Character_List,5,FALSE),Common_Mob_Drops,3,FALSE)</f>
        <v>#N/A</v>
      </c>
      <c r="C18" s="17">
        <f>VLOOKUP(C11,Required_Ascension_Materials,8,FALSE)-VLOOKUP(C10,Required_Ascension_Materials,8,FALSE)</f>
        <v>0</v>
      </c>
      <c r="E18" s="13" t="s">
        <v>203</v>
      </c>
      <c r="F18" s="29">
        <v>1</v>
      </c>
      <c r="H18" s="11" t="s">
        <v>177</v>
      </c>
      <c r="I18" s="7" t="e">
        <f>E9</f>
        <v>#N/A</v>
      </c>
      <c r="J18" s="24">
        <f>SUM(F9,F22,F35)</f>
        <v>0</v>
      </c>
      <c r="K18" s="34" t="s">
        <v>214</v>
      </c>
    </row>
    <row r="19" spans="1:11" ht="15.75" thickBot="1" x14ac:dyDescent="0.3">
      <c r="A19" s="186"/>
      <c r="B19" s="9" t="e">
        <f>VLOOKUP(VLOOKUP(B1,Character_List,5,FALSE),Common_Mob_Drops,4,FALSE)</f>
        <v>#N/A</v>
      </c>
      <c r="C19" s="16">
        <f>VLOOKUP(C11,Required_Ascension_Materials,9,FALSE)-VLOOKUP(C10,Required_Ascension_Materials,9,FALSE)</f>
        <v>0</v>
      </c>
      <c r="E19" s="14" t="e">
        <f>_xlfn.CONCAT("Teachings of ", VLOOKUP(VLOOKUP(B1,Character_List,7,FALSE),Character_Talent_Materials,2,FALSE))</f>
        <v>#N/A</v>
      </c>
      <c r="F19" s="17">
        <f>VLOOKUP(F18,Required_Talent_Materials,2,FALSE)-VLOOKUP(F17,Required_Talent_Materials,2,FALSE)</f>
        <v>0</v>
      </c>
      <c r="H19" s="171" t="s">
        <v>213</v>
      </c>
      <c r="I19" s="231"/>
      <c r="J19" s="24">
        <f>SUM(F10,F23,F36)</f>
        <v>0</v>
      </c>
      <c r="K19" s="35" t="s">
        <v>214</v>
      </c>
    </row>
    <row r="20" spans="1:11" ht="15.75" thickBot="1" x14ac:dyDescent="0.3">
      <c r="A20" s="11" t="s">
        <v>210</v>
      </c>
      <c r="B20" s="7" t="e">
        <f>VLOOKUP(B1,Character_List,6,FALSE)</f>
        <v>#N/A</v>
      </c>
      <c r="C20" s="24">
        <f>VLOOKUP(C11,Required_Ascension_Materials,10,FALSE)-VLOOKUP(C10,Required_Ascension_Materials,10,FALSE)</f>
        <v>0</v>
      </c>
      <c r="E20" s="14" t="e">
        <f>_xlfn.CONCAT("Guide to ", VLOOKUP(VLOOKUP(B1,Character_List,7,FALSE),Character_Talent_Materials,2,FALSE))</f>
        <v>#N/A</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e">
        <f>_xlfn.CONCAT("Philosophies of ", VLOOKUP(VLOOKUP(B1,Character_List,7,FALSE),Character_Talent_Materials,2,FALSE))</f>
        <v>#N/A</v>
      </c>
      <c r="F21" s="17">
        <f>VLOOKUP(F18,Required_Talent_Materials,4,FALSE)-VLOOKUP(F17,Required_Talent_Materials,4,FALSE)</f>
        <v>0</v>
      </c>
    </row>
    <row r="22" spans="1:11" x14ac:dyDescent="0.25">
      <c r="E22" s="14" t="e">
        <f>VLOOKUP(VLOOKUP(B1,Character_List,8,FALSE),Weekly_Boss_Mats,2,FALSE)</f>
        <v>#N/A</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0</v>
      </c>
    </row>
    <row r="25" spans="1:11" x14ac:dyDescent="0.25">
      <c r="E25" s="14" t="e">
        <f>VLOOKUP(VLOOKUP(B1,Character_List,5,FALSE),Common_Mob_Drops,3,FALSE)</f>
        <v>#N/A</v>
      </c>
      <c r="F25" s="17">
        <f>VLOOKUP(F18,Required_Talent_Materials,8,FALSE)-VLOOKUP(F17,Required_Talent_Materials,8,FALSE)</f>
        <v>0</v>
      </c>
    </row>
    <row r="26" spans="1:11" x14ac:dyDescent="0.25">
      <c r="E26" s="14" t="e">
        <f>VLOOKUP(VLOOKUP(B1,Character_List,5,FALSE),Common_Mob_Drops,4,FALSE)</f>
        <v>#N/A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1</v>
      </c>
    </row>
    <row r="31" spans="1:11" ht="15.75" thickBot="1" x14ac:dyDescent="0.3">
      <c r="E31" s="13" t="s">
        <v>203</v>
      </c>
      <c r="F31" s="29">
        <v>1</v>
      </c>
    </row>
    <row r="32" spans="1:11" x14ac:dyDescent="0.25">
      <c r="E32" s="14" t="e">
        <f>_xlfn.CONCAT("Teachings of ", VLOOKUP(VLOOKUP(B1,Character_List,7,FALSE),Character_Talent_Materials,2,FALSE))</f>
        <v>#N/A</v>
      </c>
      <c r="F32" s="17">
        <f>VLOOKUP(F31,Required_Talent_Materials,2,FALSE)-VLOOKUP(F30,Required_Talent_Materials,2,FALSE)</f>
        <v>0</v>
      </c>
    </row>
    <row r="33" spans="5:6" x14ac:dyDescent="0.25">
      <c r="E33" s="14" t="e">
        <f>_xlfn.CONCAT("Guide to ", VLOOKUP(VLOOKUP(B1,Character_List,7,FALSE),Character_Talent_Materials,2,FALSE))</f>
        <v>#N/A</v>
      </c>
      <c r="F33" s="17">
        <f>VLOOKUP(F31,Required_Talent_Materials,3,FALSE)-VLOOKUP(F30,Required_Talent_Materials,3,FALSE)</f>
        <v>0</v>
      </c>
    </row>
    <row r="34" spans="5:6" x14ac:dyDescent="0.25">
      <c r="E34" s="14" t="e">
        <f>_xlfn.CONCAT("Philosophies of ", VLOOKUP(VLOOKUP(B1,Character_List,7,FALSE),Character_Talent_Materials,2,FALSE))</f>
        <v>#N/A</v>
      </c>
      <c r="F34" s="17">
        <f>VLOOKUP(F31,Required_Talent_Materials,4,FALSE)-VLOOKUP(F30,Required_Talent_Materials,4,FALSE)</f>
        <v>0</v>
      </c>
    </row>
    <row r="35" spans="5:6" x14ac:dyDescent="0.25">
      <c r="E35" s="14" t="e">
        <f>VLOOKUP(VLOOKUP(B1,Character_List,8,FALSE),Weekly_Boss_Mats,2,FALSE)</f>
        <v>#N/A</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0</v>
      </c>
    </row>
    <row r="38" spans="5:6" x14ac:dyDescent="0.25">
      <c r="E38" s="14" t="e">
        <f>VLOOKUP(VLOOKUP(B1,Character_List,5,FALSE),Common_Mob_Drops,3,FALSE)</f>
        <v>#N/A</v>
      </c>
      <c r="F38" s="17">
        <f>VLOOKUP(F31,Required_Talent_Materials,8,FALSE)-VLOOKUP(F30,Required_Talent_Materials,8,FALSE)</f>
        <v>0</v>
      </c>
    </row>
    <row r="39" spans="5:6" x14ac:dyDescent="0.25">
      <c r="E39" s="14" t="e">
        <f>VLOOKUP(VLOOKUP(B1,Character_List,5,FALSE),Common_Mob_Drops,4,FALSE)</f>
        <v>#N/A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H15:H17"/>
    <mergeCell ref="E16:F16"/>
    <mergeCell ref="A17:A19"/>
    <mergeCell ref="H19:I19"/>
    <mergeCell ref="A12:A16"/>
    <mergeCell ref="H6:H10"/>
    <mergeCell ref="A9:C9"/>
    <mergeCell ref="A10:B10"/>
    <mergeCell ref="A3:B3"/>
    <mergeCell ref="E3:F3"/>
    <mergeCell ref="H3:J3"/>
    <mergeCell ref="H4:I4"/>
    <mergeCell ref="H5:I5"/>
  </mergeCells>
  <conditionalFormatting sqref="K4:K19">
    <cfRule type="containsText" dxfId="656" priority="1" operator="containsText" text="Done">
      <formula>NOT(ISERROR(SEARCH("Done",K4)))</formula>
    </cfRule>
    <cfRule type="containsText" dxfId="655" priority="2" operator="containsText" text="In Progress">
      <formula>NOT(ISERROR(SEARCH("In Progress",K4)))</formula>
    </cfRule>
  </conditionalFormatting>
  <dataValidations count="5">
    <dataValidation type="list" operator="equal" allowBlank="1" showInputMessage="1" showErrorMessage="1" sqref="B4:B5" xr:uid="{082C7B3B-801A-42E9-9EC7-9C5558041189}">
      <formula1>"1,20,40,50,60,70,80,90"</formula1>
    </dataValidation>
    <dataValidation type="list" allowBlank="1" showInputMessage="1" showErrorMessage="1" sqref="F4:F5 F17:F18 F30:F31" xr:uid="{B53B0E8B-F0C3-42B7-8670-174756B41AE9}">
      <formula1>"1,2,3,4,5,6,7,8,9,10"</formula1>
    </dataValidation>
    <dataValidation type="list" allowBlank="1" showInputMessage="1" showErrorMessage="1" sqref="B1" xr:uid="{B4BA8EF2-AB97-4147-9521-21C4ACC0B1D3}">
      <formula1>Character_Name_List</formula1>
    </dataValidation>
    <dataValidation type="list" allowBlank="1" showInputMessage="1" showErrorMessage="1" sqref="K4:K19" xr:uid="{A2972FC1-CBE5-4638-A0B0-4B2AD170D616}">
      <formula1>"In Progress, Done"</formula1>
    </dataValidation>
    <dataValidation type="list" allowBlank="1" showInputMessage="1" showErrorMessage="1" sqref="C10:C11" xr:uid="{0CF8914D-68A9-4C7C-9907-D50F22D642EC}">
      <formula1>"0,1,2,3,4,5,6"</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835CB-F286-4619-A19A-C8D74EF90CDC}">
  <sheetPr codeName="Sheet8">
    <tabColor theme="9" tint="0.59999389629810485"/>
  </sheetPr>
  <dimension ref="A1:K40"/>
  <sheetViews>
    <sheetView workbookViewId="0">
      <selection activeCell="I23" sqref="I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217</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Dvalin's Sigh</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Everflame Seed</v>
      </c>
      <c r="J10" s="16">
        <f t="shared" si="0"/>
        <v>0</v>
      </c>
      <c r="K10" s="34" t="s">
        <v>202</v>
      </c>
    </row>
    <row r="11" spans="1:11" ht="15.75" thickBot="1" x14ac:dyDescent="0.3">
      <c r="A11" s="173" t="s">
        <v>208</v>
      </c>
      <c r="B11" s="202"/>
      <c r="C11" s="43">
        <v>6</v>
      </c>
      <c r="E11" s="14" t="str">
        <f>VLOOKUP(VLOOKUP(B1,Character_List,5,FALSE),Common_Mob_Drops,2,FALSE)</f>
        <v>Firm Arrowhead</v>
      </c>
      <c r="F11" s="17">
        <f>VLOOKUP(F5,Required_Talent_Materials,7,FALSE)-VLOOKUP(F4,Required_Talent_Materials,7,FALSE)</f>
        <v>0</v>
      </c>
      <c r="H11" s="184" t="s">
        <v>207</v>
      </c>
      <c r="I11" s="2" t="str">
        <f>B17</f>
        <v>Firm Arrowhead</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85"/>
      <c r="I12" s="1" t="str">
        <f>B18</f>
        <v>Sharp Arrowhead</v>
      </c>
      <c r="J12" s="17">
        <f>SUM(C18,F12,F25,F38)</f>
        <v>0</v>
      </c>
      <c r="K12" s="34" t="s">
        <v>202</v>
      </c>
    </row>
    <row r="13" spans="1:11" ht="15.75" thickBot="1" x14ac:dyDescent="0.3">
      <c r="A13" s="182"/>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86"/>
      <c r="I13" s="9" t="str">
        <f>B19</f>
        <v>Weathered Arrowhead</v>
      </c>
      <c r="J13" s="16">
        <f>SUM(C19,F13,F26,F39)</f>
        <v>0</v>
      </c>
      <c r="K13" s="34" t="s">
        <v>202</v>
      </c>
    </row>
    <row r="14" spans="1:11" ht="15.75" thickBot="1" x14ac:dyDescent="0.3">
      <c r="A14" s="182"/>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Small Lamp Grass</v>
      </c>
      <c r="J14" s="24">
        <f>C20</f>
        <v>0</v>
      </c>
      <c r="K14" s="34" t="s">
        <v>202</v>
      </c>
    </row>
    <row r="15" spans="1:11" ht="15.75" thickBot="1" x14ac:dyDescent="0.3">
      <c r="A15" s="182"/>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Freedom</v>
      </c>
      <c r="J15" s="15">
        <f>SUM(F6,F19,F32)</f>
        <v>0</v>
      </c>
      <c r="K15" s="34" t="s">
        <v>202</v>
      </c>
    </row>
    <row r="16" spans="1:11" ht="15.75" thickBot="1" x14ac:dyDescent="0.3">
      <c r="A16" s="183"/>
      <c r="B16" s="9" t="str">
        <f>VLOOKUP(B1,Character_List,4,FALSE)</f>
        <v>Everflame Seed</v>
      </c>
      <c r="C16" s="16">
        <f>VLOOKUP(C11,Required_Ascension_Materials,6,FALSE)-VLOOKUP(C10,Required_Ascension_Materials,6,FALSE)</f>
        <v>0</v>
      </c>
      <c r="E16" s="171" t="s">
        <v>151</v>
      </c>
      <c r="F16" s="172"/>
      <c r="H16" s="185"/>
      <c r="I16" s="1" t="str">
        <f>E7</f>
        <v>Guide to Freedom</v>
      </c>
      <c r="J16" s="17">
        <f>SUM(F7,F20,F33)</f>
        <v>0</v>
      </c>
      <c r="K16" s="34" t="s">
        <v>202</v>
      </c>
    </row>
    <row r="17" spans="1:11" ht="15.75" thickBot="1" x14ac:dyDescent="0.3">
      <c r="A17" s="184" t="s">
        <v>207</v>
      </c>
      <c r="B17" s="2" t="str">
        <f>VLOOKUP(VLOOKUP(B1,Character_List,5,FALSE),Common_Mob_Drops,2,FALSE)</f>
        <v>Firm Arrowhead</v>
      </c>
      <c r="C17" s="15">
        <f>VLOOKUP(C11,Required_Ascension_Materials,7,FALSE)-VLOOKUP(C10,Required_Ascension_Materials,7,FALSE)</f>
        <v>0</v>
      </c>
      <c r="E17" s="12" t="s">
        <v>200</v>
      </c>
      <c r="F17" s="28">
        <v>9</v>
      </c>
      <c r="H17" s="186"/>
      <c r="I17" s="9" t="str">
        <f>E8</f>
        <v>Philosophies of Freedom</v>
      </c>
      <c r="J17" s="16">
        <f>SUM(F8,F21,F34)</f>
        <v>0</v>
      </c>
      <c r="K17" s="34" t="s">
        <v>202</v>
      </c>
    </row>
    <row r="18" spans="1:11" ht="15.75" thickBot="1" x14ac:dyDescent="0.3">
      <c r="A18" s="185"/>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Dvalin's Sigh</v>
      </c>
      <c r="J18" s="24">
        <f>SUM(F9,F22,F35)</f>
        <v>0</v>
      </c>
      <c r="K18" s="34" t="s">
        <v>202</v>
      </c>
    </row>
    <row r="19" spans="1:11" ht="15.75" thickBot="1" x14ac:dyDescent="0.3">
      <c r="A19" s="186"/>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Small Lamp Grass</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Dvalin's Sigh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Dvalin's Sigh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 ref="A12:A16"/>
  </mergeCells>
  <conditionalFormatting sqref="K4:K19">
    <cfRule type="containsText" dxfId="654" priority="1" operator="containsText" text="Done">
      <formula>NOT(ISERROR(SEARCH("Done",K4)))</formula>
    </cfRule>
    <cfRule type="containsText" dxfId="653" priority="2" operator="containsText" text="In Progress">
      <formula>NOT(ISERROR(SEARCH("In Progress",K4)))</formula>
    </cfRule>
  </conditionalFormatting>
  <dataValidations count="5">
    <dataValidation type="list" allowBlank="1" showInputMessage="1" showErrorMessage="1" sqref="C10:C11" xr:uid="{78B5C80F-A288-4312-B74D-8E802A247F58}">
      <formula1>"0,1,2,3,4,5,6"</formula1>
    </dataValidation>
    <dataValidation type="list" allowBlank="1" showInputMessage="1" showErrorMessage="1" sqref="K4:K19" xr:uid="{CBF210C6-F76B-42CA-9239-AB2732BC3270}">
      <formula1>"In Progress, Done"</formula1>
    </dataValidation>
    <dataValidation type="list" allowBlank="1" showInputMessage="1" showErrorMessage="1" sqref="B1" xr:uid="{443C3D8E-833A-4653-BC2F-8574825F85CA}">
      <formula1>Character_Name_List</formula1>
    </dataValidation>
    <dataValidation type="list" allowBlank="1" showInputMessage="1" showErrorMessage="1" sqref="F4:F5 F17:F18 F30:F31" xr:uid="{F01766C4-3593-4460-AEC9-AF6D8D037633}">
      <formula1>"1,2,3,4,5,6,7,8,9,10"</formula1>
    </dataValidation>
    <dataValidation type="list" operator="equal" allowBlank="1" showInputMessage="1" showErrorMessage="1" sqref="B4:B5" xr:uid="{CE32AA2E-B627-4219-AAB6-EBDE7516DE89}">
      <formula1>"1,20,40,50,60,70,80,90"</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C18F9-F1F5-4880-9158-5194AECB5157}">
  <sheetPr codeName="Sheet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218</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Dvalin's Claw</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Lightning Prism</v>
      </c>
      <c r="J10" s="16">
        <f t="shared" si="0"/>
        <v>0</v>
      </c>
      <c r="K10" s="34" t="s">
        <v>202</v>
      </c>
    </row>
    <row r="11" spans="1:11" ht="15.75" thickBot="1" x14ac:dyDescent="0.3">
      <c r="A11" s="173" t="s">
        <v>208</v>
      </c>
      <c r="B11" s="202"/>
      <c r="C11" s="43">
        <v>6</v>
      </c>
      <c r="E11" s="14" t="str">
        <f>VLOOKUP(VLOOKUP(B1,Character_List,5,FALSE),Common_Mob_Drops,2,FALSE)</f>
        <v>Slime Condensate</v>
      </c>
      <c r="F11" s="17">
        <f>VLOOKUP(F5,Required_Talent_Materials,7,FALSE)-VLOOKUP(F4,Required_Talent_Materials,7,FALSE)</f>
        <v>0</v>
      </c>
      <c r="H11" s="184" t="s">
        <v>207</v>
      </c>
      <c r="I11" s="2" t="str">
        <f>B17</f>
        <v>Slime Condensate</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5"/>
      <c r="I12" s="1" t="str">
        <f>B18</f>
        <v>Slime Secretions</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6"/>
      <c r="I13" s="9" t="str">
        <f>B19</f>
        <v>Slime Concentrate</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Valberry</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Ballad</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171" t="s">
        <v>151</v>
      </c>
      <c r="F16" s="172"/>
      <c r="H16" s="185"/>
      <c r="I16" s="1" t="str">
        <f>E7</f>
        <v>Guide to Ballad</v>
      </c>
      <c r="J16" s="17">
        <f>SUM(F7,F20,F33)</f>
        <v>0</v>
      </c>
      <c r="K16" s="34" t="s">
        <v>202</v>
      </c>
    </row>
    <row r="17" spans="1:11" ht="15.75" thickBot="1" x14ac:dyDescent="0.3">
      <c r="A17" s="184" t="s">
        <v>207</v>
      </c>
      <c r="B17" s="2" t="str">
        <f>VLOOKUP(VLOOKUP(B1,Character_List,5,FALSE),Common_Mob_Drops,2,FALSE)</f>
        <v>Slime Condensate</v>
      </c>
      <c r="C17" s="15">
        <f>VLOOKUP(C11,Required_Ascension_Materials,7,FALSE)-VLOOKUP(C10,Required_Ascension_Materials,7,FALSE)</f>
        <v>0</v>
      </c>
      <c r="E17" s="12" t="s">
        <v>200</v>
      </c>
      <c r="F17" s="28">
        <v>9</v>
      </c>
      <c r="H17" s="186"/>
      <c r="I17" s="9" t="str">
        <f>E8</f>
        <v>Philosophies of Ballad</v>
      </c>
      <c r="J17" s="16">
        <f>SUM(F8,F21,F34)</f>
        <v>0</v>
      </c>
      <c r="K17" s="34" t="s">
        <v>202</v>
      </c>
    </row>
    <row r="18" spans="1:11" ht="15.75" thickBot="1" x14ac:dyDescent="0.3">
      <c r="A18" s="185"/>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86"/>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Valberry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52" priority="1" operator="containsText" text="Done">
      <formula>NOT(ISERROR(SEARCH("Done",K4)))</formula>
    </cfRule>
    <cfRule type="containsText" dxfId="651" priority="2" operator="containsText" text="In Progress">
      <formula>NOT(ISERROR(SEARCH("In Progress",K4)))</formula>
    </cfRule>
  </conditionalFormatting>
  <dataValidations count="5">
    <dataValidation type="list" operator="equal" allowBlank="1" showInputMessage="1" showErrorMessage="1" sqref="B4:B5" xr:uid="{504EBC2D-B5F1-4BC8-9B8E-0C53A7C79279}">
      <formula1>"1,20,40,50,60,70,80,90"</formula1>
    </dataValidation>
    <dataValidation type="list" allowBlank="1" showInputMessage="1" showErrorMessage="1" sqref="F4:F5 F17:F18 F30:F31" xr:uid="{957BFE11-DD42-43F4-BDCC-D8701D66543F}">
      <formula1>"1,2,3,4,5,6,7,8,9,10"</formula1>
    </dataValidation>
    <dataValidation type="list" allowBlank="1" showInputMessage="1" showErrorMessage="1" sqref="B1" xr:uid="{1AFA1B19-6437-400F-8CEB-B47FD758D0D4}">
      <formula1>Character_Name_List</formula1>
    </dataValidation>
    <dataValidation type="list" allowBlank="1" showInputMessage="1" showErrorMessage="1" sqref="K4:K19" xr:uid="{9557D166-C276-49A5-B378-A9AC31A98A4A}">
      <formula1>"In Progress, Done"</formula1>
    </dataValidation>
    <dataValidation type="list" allowBlank="1" showInputMessage="1" showErrorMessage="1" sqref="C10:C11" xr:uid="{09EF3B3F-A0AF-4914-8298-78FD814724C9}">
      <formula1>"0,1,2,3,4,5,6"</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CB567-BA2B-424B-9056-5E1A4399D976}">
  <sheetPr codeName="Sheet1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219</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Dvalin's Claw</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Lightning Prism</v>
      </c>
      <c r="J10" s="16">
        <f t="shared" si="0"/>
        <v>0</v>
      </c>
      <c r="K10" s="34" t="s">
        <v>202</v>
      </c>
    </row>
    <row r="11" spans="1:11" ht="15.75" thickBot="1" x14ac:dyDescent="0.3">
      <c r="A11" s="173" t="s">
        <v>208</v>
      </c>
      <c r="B11" s="202"/>
      <c r="C11" s="43">
        <v>6</v>
      </c>
      <c r="E11" s="14" t="str">
        <f>VLOOKUP(VLOOKUP(B1,Character_List,5,FALSE),Common_Mob_Drops,2,FALSE)</f>
        <v>Damaged Mask</v>
      </c>
      <c r="F11" s="17">
        <f>VLOOKUP(F5,Required_Talent_Materials,7,FALSE)-VLOOKUP(F4,Required_Talent_Materials,7,FALSE)</f>
        <v>0</v>
      </c>
      <c r="H11" s="184" t="s">
        <v>207</v>
      </c>
      <c r="I11" s="2" t="str">
        <f>B17</f>
        <v>Damaged Mask</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5"/>
      <c r="I12" s="1" t="str">
        <f>B18</f>
        <v>Stained Mask</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6"/>
      <c r="I13" s="9" t="str">
        <f>B19</f>
        <v>Ominous Mask</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Wolfhook</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Resistance</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171" t="s">
        <v>151</v>
      </c>
      <c r="F16" s="172"/>
      <c r="H16" s="185"/>
      <c r="I16" s="1" t="str">
        <f>E7</f>
        <v>Guide to Resistance</v>
      </c>
      <c r="J16" s="17">
        <f>SUM(F7,F20,F33)</f>
        <v>0</v>
      </c>
      <c r="K16" s="34" t="s">
        <v>202</v>
      </c>
    </row>
    <row r="17" spans="1:11" ht="15.75" thickBot="1" x14ac:dyDescent="0.3">
      <c r="A17" s="184" t="s">
        <v>207</v>
      </c>
      <c r="B17" s="2" t="str">
        <f>VLOOKUP(VLOOKUP(B1,Character_List,5,FALSE),Common_Mob_Drops,2,FALSE)</f>
        <v>Damaged Mask</v>
      </c>
      <c r="C17" s="15">
        <f>VLOOKUP(C11,Required_Ascension_Materials,7,FALSE)-VLOOKUP(C10,Required_Ascension_Materials,7,FALSE)</f>
        <v>0</v>
      </c>
      <c r="E17" s="12" t="s">
        <v>200</v>
      </c>
      <c r="F17" s="28">
        <v>9</v>
      </c>
      <c r="H17" s="186"/>
      <c r="I17" s="9" t="str">
        <f>E8</f>
        <v>Philosophies of Resistance</v>
      </c>
      <c r="J17" s="16">
        <f>SUM(F8,F21,F34)</f>
        <v>0</v>
      </c>
      <c r="K17" s="34" t="s">
        <v>202</v>
      </c>
    </row>
    <row r="18" spans="1:11" ht="15.75" thickBot="1" x14ac:dyDescent="0.3">
      <c r="A18" s="185"/>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86"/>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Wolfhook</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50" priority="1" operator="containsText" text="Done">
      <formula>NOT(ISERROR(SEARCH("Done",K4)))</formula>
    </cfRule>
    <cfRule type="containsText" dxfId="649" priority="2" operator="containsText" text="In Progress">
      <formula>NOT(ISERROR(SEARCH("In Progress",K4)))</formula>
    </cfRule>
  </conditionalFormatting>
  <dataValidations count="5">
    <dataValidation type="list" allowBlank="1" showInputMessage="1" showErrorMessage="1" sqref="C10:C11" xr:uid="{7752E95A-7715-4339-B45E-3845E24EC1F3}">
      <formula1>"0,1,2,3,4,5,6"</formula1>
    </dataValidation>
    <dataValidation type="list" allowBlank="1" showInputMessage="1" showErrorMessage="1" sqref="K4:K19" xr:uid="{4998ECE9-6C4A-4413-AFA0-76EC42EB14D9}">
      <formula1>"In Progress, Done"</formula1>
    </dataValidation>
    <dataValidation type="list" allowBlank="1" showInputMessage="1" showErrorMessage="1" sqref="B1" xr:uid="{5A4291FE-A493-44DD-A053-3C0DF0C7B331}">
      <formula1>Character_Name_List</formula1>
    </dataValidation>
    <dataValidation type="list" allowBlank="1" showInputMessage="1" showErrorMessage="1" sqref="F4:F5 F17:F18 F30:F31" xr:uid="{3DB7BAD5-071C-4C47-87F0-1F07290F2429}">
      <formula1>"1,2,3,4,5,6,7,8,9,10"</formula1>
    </dataValidation>
    <dataValidation type="list" operator="equal" allowBlank="1" showInputMessage="1" showErrorMessage="1" sqref="B4:B5" xr:uid="{6F936DDB-C1E6-4DAC-9232-B353462D8932}">
      <formula1>"1,20,40,50,60,70,80,90"</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839CE-3786-45E3-AFC7-975F8E0DE4EC}">
  <sheetPr codeName="Sheet1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220</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Dvalin's Claw</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Everflame Seed</v>
      </c>
      <c r="J10" s="16">
        <f t="shared" si="0"/>
        <v>0</v>
      </c>
      <c r="K10" s="34" t="s">
        <v>202</v>
      </c>
    </row>
    <row r="11" spans="1:11" ht="15.75" thickBot="1" x14ac:dyDescent="0.3">
      <c r="A11" s="173" t="s">
        <v>208</v>
      </c>
      <c r="B11" s="202"/>
      <c r="C11" s="43">
        <v>6</v>
      </c>
      <c r="E11" s="14" t="str">
        <f>VLOOKUP(VLOOKUP(B1,Character_List,5,FALSE),Common_Mob_Drops,2,FALSE)</f>
        <v>Slime Condensate</v>
      </c>
      <c r="F11" s="17">
        <f>VLOOKUP(F5,Required_Talent_Materials,7,FALSE)-VLOOKUP(F4,Required_Talent_Materials,7,FALSE)</f>
        <v>0</v>
      </c>
      <c r="H11" s="184" t="s">
        <v>207</v>
      </c>
      <c r="I11" s="2" t="str">
        <f>B17</f>
        <v>Slime Condensate</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5"/>
      <c r="I12" s="1" t="str">
        <f>B18</f>
        <v>Slime Secretions</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6"/>
      <c r="I13" s="9" t="str">
        <f>B19</f>
        <v>Slime Concentrate</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Jueyun Chili</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Diligence</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171" t="s">
        <v>151</v>
      </c>
      <c r="F16" s="172"/>
      <c r="H16" s="185"/>
      <c r="I16" s="1" t="str">
        <f>E7</f>
        <v>Guide to Diligence</v>
      </c>
      <c r="J16" s="17">
        <f>SUM(F7,F20,F33)</f>
        <v>0</v>
      </c>
      <c r="K16" s="34" t="s">
        <v>202</v>
      </c>
    </row>
    <row r="17" spans="1:11" ht="15.75" thickBot="1" x14ac:dyDescent="0.3">
      <c r="A17" s="184" t="s">
        <v>207</v>
      </c>
      <c r="B17" s="2" t="str">
        <f>VLOOKUP(VLOOKUP(B1,Character_List,5,FALSE),Common_Mob_Drops,2,FALSE)</f>
        <v>Slime Condensate</v>
      </c>
      <c r="C17" s="15">
        <f>VLOOKUP(C11,Required_Ascension_Materials,7,FALSE)-VLOOKUP(C10,Required_Ascension_Materials,7,FALSE)</f>
        <v>0</v>
      </c>
      <c r="E17" s="12" t="s">
        <v>200</v>
      </c>
      <c r="F17" s="28">
        <v>9</v>
      </c>
      <c r="H17" s="186"/>
      <c r="I17" s="9" t="str">
        <f>E8</f>
        <v>Philosophies of Diligence</v>
      </c>
      <c r="J17" s="16">
        <f>SUM(F8,F21,F34)</f>
        <v>0</v>
      </c>
      <c r="K17" s="34" t="s">
        <v>202</v>
      </c>
    </row>
    <row r="18" spans="1:11" ht="15.75" thickBot="1" x14ac:dyDescent="0.3">
      <c r="A18" s="185"/>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86"/>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Jueyun Chili</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48" priority="1" operator="containsText" text="Done">
      <formula>NOT(ISERROR(SEARCH("Done",K4)))</formula>
    </cfRule>
    <cfRule type="containsText" dxfId="647" priority="2" operator="containsText" text="In Progress">
      <formula>NOT(ISERROR(SEARCH("In Progress",K4)))</formula>
    </cfRule>
  </conditionalFormatting>
  <dataValidations count="5">
    <dataValidation type="list" operator="equal" allowBlank="1" showInputMessage="1" showErrorMessage="1" sqref="B4:B5" xr:uid="{3C3EC029-7389-402A-B733-30037D02A79D}">
      <formula1>"1,20,40,50,60,70,80,90"</formula1>
    </dataValidation>
    <dataValidation type="list" allowBlank="1" showInputMessage="1" showErrorMessage="1" sqref="F4:F5 F17:F18 F30:F31" xr:uid="{1E5A34D0-9075-419A-9EEF-200E1AAD75E0}">
      <formula1>"1,2,3,4,5,6,7,8,9,10"</formula1>
    </dataValidation>
    <dataValidation type="list" allowBlank="1" showInputMessage="1" showErrorMessage="1" sqref="B1" xr:uid="{70ADFE97-FEB6-4842-8D4F-46CD4E5E988B}">
      <formula1>Character_Name_List</formula1>
    </dataValidation>
    <dataValidation type="list" allowBlank="1" showInputMessage="1" showErrorMessage="1" sqref="K4:K19" xr:uid="{B4BA9D91-A46E-4F3F-B8E3-A8A4DF8F6B81}">
      <formula1>"In Progress, Done"</formula1>
    </dataValidation>
    <dataValidation type="list" allowBlank="1" showInputMessage="1" showErrorMessage="1" sqref="C10:C11" xr:uid="{D5DD9125-727B-4D47-826A-7284041979FC}">
      <formula1>"0,1,2,3,4,5,6"</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B4F62-8BC6-4418-930B-4BD51B6F434D}">
  <sheetPr codeName="Sheet1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221</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Dvalin's Sigh</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Lightning Prism</v>
      </c>
      <c r="J10" s="16">
        <f t="shared" si="0"/>
        <v>0</v>
      </c>
      <c r="K10" s="34" t="s">
        <v>202</v>
      </c>
    </row>
    <row r="11" spans="1:11" ht="15.75" thickBot="1" x14ac:dyDescent="0.3">
      <c r="A11" s="173" t="s">
        <v>208</v>
      </c>
      <c r="B11" s="202"/>
      <c r="C11" s="43">
        <v>6</v>
      </c>
      <c r="E11" s="14" t="str">
        <f>VLOOKUP(VLOOKUP(B1,Character_List,5,FALSE),Common_Mob_Drops,2,FALSE)</f>
        <v>Treasure Hoarder Insignia</v>
      </c>
      <c r="F11" s="17">
        <f>VLOOKUP(F5,Required_Talent_Materials,7,FALSE)-VLOOKUP(F4,Required_Talent_Materials,7,FALSE)</f>
        <v>0</v>
      </c>
      <c r="H11" s="184" t="s">
        <v>207</v>
      </c>
      <c r="I11" s="2" t="str">
        <f>B17</f>
        <v>Treasure Hoarder Insignia</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5"/>
      <c r="I12" s="1" t="str">
        <f>B18</f>
        <v>Silver Raven Insignia</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6"/>
      <c r="I13" s="9" t="str">
        <f>B19</f>
        <v>Golden Raven Insignia</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Noctilucous Jade</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Gold</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171" t="s">
        <v>151</v>
      </c>
      <c r="F16" s="172"/>
      <c r="H16" s="185"/>
      <c r="I16" s="1" t="str">
        <f>E7</f>
        <v>Guide to Gold</v>
      </c>
      <c r="J16" s="17">
        <f>SUM(F7,F20,F33)</f>
        <v>0</v>
      </c>
      <c r="K16" s="34" t="s">
        <v>202</v>
      </c>
    </row>
    <row r="17" spans="1:11" ht="15.75" thickBot="1" x14ac:dyDescent="0.3">
      <c r="A17" s="184" t="s">
        <v>207</v>
      </c>
      <c r="B17" s="2" t="str">
        <f>VLOOKUP(VLOOKUP(B1,Character_List,5,FALSE),Common_Mob_Drops,2,FALSE)</f>
        <v>Treasure Hoarder Insignia</v>
      </c>
      <c r="C17" s="15">
        <f>VLOOKUP(C11,Required_Ascension_Materials,7,FALSE)-VLOOKUP(C10,Required_Ascension_Materials,7,FALSE)</f>
        <v>0</v>
      </c>
      <c r="E17" s="12" t="s">
        <v>200</v>
      </c>
      <c r="F17" s="28">
        <v>9</v>
      </c>
      <c r="H17" s="186"/>
      <c r="I17" s="9" t="str">
        <f>E8</f>
        <v>Philosophies of Gold</v>
      </c>
      <c r="J17" s="16">
        <f>SUM(F8,F21,F34)</f>
        <v>0</v>
      </c>
      <c r="K17" s="34" t="s">
        <v>202</v>
      </c>
    </row>
    <row r="18" spans="1:11" ht="15.75" thickBot="1" x14ac:dyDescent="0.3">
      <c r="A18" s="185"/>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Dvalin's Sigh</v>
      </c>
      <c r="J18" s="24">
        <f>SUM(F9,F22,F35)</f>
        <v>0</v>
      </c>
      <c r="K18" s="34" t="s">
        <v>202</v>
      </c>
    </row>
    <row r="19" spans="1:11" ht="15.75" thickBot="1" x14ac:dyDescent="0.3">
      <c r="A19" s="186"/>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Noctilucous Jade</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Dvalin's Sigh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Dvalin's Sigh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46" priority="1" operator="containsText" text="Done">
      <formula>NOT(ISERROR(SEARCH("Done",K4)))</formula>
    </cfRule>
    <cfRule type="containsText" dxfId="645" priority="2" operator="containsText" text="In Progress">
      <formula>NOT(ISERROR(SEARCH("In Progress",K4)))</formula>
    </cfRule>
  </conditionalFormatting>
  <dataValidations count="5">
    <dataValidation type="list" allowBlank="1" showInputMessage="1" showErrorMessage="1" sqref="C10:C11" xr:uid="{2567F47C-4902-4D08-AC95-9D2FD96FB8BF}">
      <formula1>"0,1,2,3,4,5,6"</formula1>
    </dataValidation>
    <dataValidation type="list" allowBlank="1" showInputMessage="1" showErrorMessage="1" sqref="K4:K19" xr:uid="{AF915371-7582-4313-92DC-3679FAC124E7}">
      <formula1>"In Progress, Done"</formula1>
    </dataValidation>
    <dataValidation type="list" allowBlank="1" showInputMessage="1" showErrorMessage="1" sqref="B1" xr:uid="{470CFCDD-D1D4-4DCC-B100-6C22682FC140}">
      <formula1>Character_Name_List</formula1>
    </dataValidation>
    <dataValidation type="list" allowBlank="1" showInputMessage="1" showErrorMessage="1" sqref="F4:F5 F17:F18 F30:F31" xr:uid="{6D229555-26FA-40DB-95C1-DC0AF6BF6661}">
      <formula1>"1,2,3,4,5,6,7,8,9,10"</formula1>
    </dataValidation>
    <dataValidation type="list" operator="equal" allowBlank="1" showInputMessage="1" showErrorMessage="1" sqref="B4:B5" xr:uid="{B89A2EAD-76F6-4017-AA89-386E0031F48E}">
      <formula1>"1,20,40,50,60,70,80,90"</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2277F-D0D8-416D-B70C-0F22C8CAFD48}">
  <sheetPr codeName="Sheet13">
    <tabColor theme="9" tint="0.59999389629810485"/>
  </sheetPr>
  <dimension ref="A1:K40"/>
  <sheetViews>
    <sheetView workbookViewId="0">
      <selection activeCell="I29" sqref="I2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222</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Dvalin's Plume</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Everflame Seed</v>
      </c>
      <c r="J10" s="16">
        <f t="shared" si="0"/>
        <v>0</v>
      </c>
      <c r="K10" s="34" t="s">
        <v>202</v>
      </c>
    </row>
    <row r="11" spans="1:11" ht="15.75" thickBot="1" x14ac:dyDescent="0.3">
      <c r="A11" s="173" t="s">
        <v>208</v>
      </c>
      <c r="B11" s="202"/>
      <c r="C11" s="43">
        <v>6</v>
      </c>
      <c r="E11" s="14" t="str">
        <f>VLOOKUP(VLOOKUP(B1,Character_List,5,FALSE),Common_Mob_Drops,2,FALSE)</f>
        <v>Treasure Hoarder Insignia</v>
      </c>
      <c r="F11" s="17">
        <f>VLOOKUP(F5,Required_Talent_Materials,7,FALSE)-VLOOKUP(F4,Required_Talent_Materials,7,FALSE)</f>
        <v>0</v>
      </c>
      <c r="H11" s="184"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5"/>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6"/>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Windwheel Aster</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Resistance</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171" t="s">
        <v>151</v>
      </c>
      <c r="F16" s="172"/>
      <c r="H16" s="185"/>
      <c r="I16" s="1" t="str">
        <f>E7</f>
        <v>Guide to Resistance</v>
      </c>
      <c r="J16" s="17">
        <f>SUM(F7,F20,F33)</f>
        <v>0</v>
      </c>
      <c r="K16" s="34" t="s">
        <v>202</v>
      </c>
    </row>
    <row r="17" spans="1:11" ht="15.75" thickBot="1" x14ac:dyDescent="0.3">
      <c r="A17" s="184" t="s">
        <v>207</v>
      </c>
      <c r="B17" s="2" t="str">
        <f>VLOOKUP(VLOOKUP(B1,Character_List,5,FALSE),Common_Mob_Drops,2,FALSE)</f>
        <v>Treasure Hoarder Insignia</v>
      </c>
      <c r="C17" s="15">
        <f>VLOOKUP(C11,Required_Ascension_Materials,7,FALSE)-VLOOKUP(C10,Required_Ascension_Materials,7,FALSE)</f>
        <v>0</v>
      </c>
      <c r="E17" s="12" t="s">
        <v>200</v>
      </c>
      <c r="F17" s="28">
        <v>9</v>
      </c>
      <c r="H17" s="186"/>
      <c r="I17" s="9" t="str">
        <f>E8</f>
        <v>Philosophies of Resistance</v>
      </c>
      <c r="J17" s="16">
        <f>SUM(F8,F21,F34)</f>
        <v>0</v>
      </c>
      <c r="K17" s="34" t="s">
        <v>202</v>
      </c>
    </row>
    <row r="18" spans="1:11" ht="15.75" thickBot="1" x14ac:dyDescent="0.3">
      <c r="A18" s="185"/>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Dvalin's Plume</v>
      </c>
      <c r="J18" s="24">
        <f>SUM(F9,F22,F35)</f>
        <v>0</v>
      </c>
      <c r="K18" s="34" t="s">
        <v>202</v>
      </c>
    </row>
    <row r="19" spans="1:11" ht="15.75" thickBot="1" x14ac:dyDescent="0.3">
      <c r="A19" s="186"/>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Windwheel Aster</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Plume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Plume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44" priority="1" operator="containsText" text="Done">
      <formula>NOT(ISERROR(SEARCH("Done",K4)))</formula>
    </cfRule>
    <cfRule type="containsText" dxfId="643" priority="2" operator="containsText" text="In Progress">
      <formula>NOT(ISERROR(SEARCH("In Progress",K4)))</formula>
    </cfRule>
  </conditionalFormatting>
  <dataValidations count="5">
    <dataValidation type="list" operator="equal" allowBlank="1" showInputMessage="1" showErrorMessage="1" sqref="B4:B5" xr:uid="{864ABD6D-67B2-4098-8011-E67B03E204AE}">
      <formula1>"1,20,40,50,60,70,80,90"</formula1>
    </dataValidation>
    <dataValidation type="list" allowBlank="1" showInputMessage="1" showErrorMessage="1" sqref="F4:F5 F17:F18 F30:F31" xr:uid="{AF273B7B-3076-4899-A237-55E317321833}">
      <formula1>"1,2,3,4,5,6,7,8,9,10"</formula1>
    </dataValidation>
    <dataValidation type="list" allowBlank="1" showInputMessage="1" showErrorMessage="1" sqref="B1" xr:uid="{81A23B55-8616-4DCA-ABA7-14F17B101F02}">
      <formula1>Character_Name_List</formula1>
    </dataValidation>
    <dataValidation type="list" allowBlank="1" showInputMessage="1" showErrorMessage="1" sqref="K4:K19" xr:uid="{CD31F532-715C-41FA-A76A-A8A692722C20}">
      <formula1>"In Progress, Done"</formula1>
    </dataValidation>
    <dataValidation type="list" allowBlank="1" showInputMessage="1" showErrorMessage="1" sqref="C10:C11" xr:uid="{3469FD69-0C3A-4D2D-AC14-23A81B8C5C4D}">
      <formula1>"0,1,2,3,4,5,6"</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ADCD0-6390-4CE7-BA78-EB53E205D46F}">
  <sheetPr codeName="Sheet1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223</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84"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85"/>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85"/>
      <c r="I8" s="1" t="str">
        <f t="shared" si="0"/>
        <v>Prithiva Topaz Chunk</v>
      </c>
      <c r="J8" s="17">
        <f t="shared" si="0"/>
        <v>0</v>
      </c>
      <c r="K8" s="34" t="s">
        <v>202</v>
      </c>
    </row>
    <row r="9" spans="1:11" ht="15.75" thickBot="1" x14ac:dyDescent="0.3">
      <c r="A9" s="171" t="s">
        <v>149</v>
      </c>
      <c r="B9" s="231"/>
      <c r="C9" s="172"/>
      <c r="E9" s="14" t="str">
        <f>VLOOKUP(VLOOKUP(B1,Character_List,8,FALSE),Weekly_Boss_Mats,2,FALSE)</f>
        <v>Dvalin's Claw</v>
      </c>
      <c r="F9" s="17">
        <f>VLOOKUP(F5,Required_Talent_Materials,5,FALSE)-VLOOKUP(F4,Required_Talent_Materials,5,FALSE)</f>
        <v>0</v>
      </c>
      <c r="H9" s="185"/>
      <c r="I9" s="1" t="str">
        <f t="shared" si="0"/>
        <v>Prithiva Topaz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Basalt Pillar</v>
      </c>
      <c r="J10" s="16">
        <f t="shared" si="0"/>
        <v>0</v>
      </c>
      <c r="K10" s="34" t="s">
        <v>202</v>
      </c>
    </row>
    <row r="11" spans="1:11" ht="15.75" thickBot="1" x14ac:dyDescent="0.3">
      <c r="A11" s="173" t="s">
        <v>208</v>
      </c>
      <c r="B11" s="202"/>
      <c r="C11" s="43">
        <v>6</v>
      </c>
      <c r="E11" s="14" t="str">
        <f>VLOOKUP(VLOOKUP(B1,Character_List,5,FALSE),Common_Mob_Drops,2,FALSE)</f>
        <v>Damaged Mask</v>
      </c>
      <c r="F11" s="17">
        <f>VLOOKUP(F5,Required_Talent_Materials,7,FALSE)-VLOOKUP(F4,Required_Talent_Materials,7,FALSE)</f>
        <v>0</v>
      </c>
      <c r="H11" s="184" t="s">
        <v>207</v>
      </c>
      <c r="I11" s="2" t="str">
        <f>B17</f>
        <v>Damaged Mask</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5"/>
      <c r="I12" s="1" t="str">
        <f>B18</f>
        <v>Stained Mask</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6"/>
      <c r="I13" s="9" t="str">
        <f>B19</f>
        <v>Ominous Mask</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Valberry</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84" t="s">
        <v>216</v>
      </c>
      <c r="I15" s="2" t="str">
        <f>E6</f>
        <v>Teachings of Resistance</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171" t="s">
        <v>151</v>
      </c>
      <c r="F16" s="172"/>
      <c r="H16" s="185"/>
      <c r="I16" s="1" t="str">
        <f>E7</f>
        <v>Guide to Resistance</v>
      </c>
      <c r="J16" s="17">
        <f>SUM(F7,F20,F33)</f>
        <v>0</v>
      </c>
      <c r="K16" s="34" t="s">
        <v>202</v>
      </c>
    </row>
    <row r="17" spans="1:11" ht="15.75" thickBot="1" x14ac:dyDescent="0.3">
      <c r="A17" s="184" t="s">
        <v>207</v>
      </c>
      <c r="B17" s="2" t="str">
        <f>VLOOKUP(VLOOKUP(B1,Character_List,5,FALSE),Common_Mob_Drops,2,FALSE)</f>
        <v>Damaged Mask</v>
      </c>
      <c r="C17" s="15">
        <f>VLOOKUP(C11,Required_Ascension_Materials,7,FALSE)-VLOOKUP(C10,Required_Ascension_Materials,7,FALSE)</f>
        <v>0</v>
      </c>
      <c r="E17" s="12" t="s">
        <v>200</v>
      </c>
      <c r="F17" s="28">
        <v>9</v>
      </c>
      <c r="H17" s="186"/>
      <c r="I17" s="9" t="str">
        <f>E8</f>
        <v>Philosophies of Resistance</v>
      </c>
      <c r="J17" s="16">
        <f>SUM(F8,F21,F34)</f>
        <v>0</v>
      </c>
      <c r="K17" s="34" t="s">
        <v>202</v>
      </c>
    </row>
    <row r="18" spans="1:11" ht="15.75" thickBot="1" x14ac:dyDescent="0.3">
      <c r="A18" s="185"/>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86"/>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Valberry</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42" priority="1" operator="containsText" text="Done">
      <formula>NOT(ISERROR(SEARCH("Done",K4)))</formula>
    </cfRule>
    <cfRule type="containsText" dxfId="641" priority="2" operator="containsText" text="In Progress">
      <formula>NOT(ISERROR(SEARCH("In Progress",K4)))</formula>
    </cfRule>
  </conditionalFormatting>
  <dataValidations count="5">
    <dataValidation type="list" allowBlank="1" showInputMessage="1" showErrorMessage="1" sqref="C10:C11" xr:uid="{951583BC-7DF1-4044-8C30-93843B233808}">
      <formula1>"0,1,2,3,4,5,6"</formula1>
    </dataValidation>
    <dataValidation type="list" allowBlank="1" showInputMessage="1" showErrorMessage="1" sqref="K4:K19" xr:uid="{D50988F1-05C7-470E-A183-ACE25C19A76C}">
      <formula1>"In Progress, Done"</formula1>
    </dataValidation>
    <dataValidation type="list" allowBlank="1" showInputMessage="1" showErrorMessage="1" sqref="B1" xr:uid="{650613A1-249B-41BE-B51F-AAA0A42FFFBB}">
      <formula1>Character_Name_List</formula1>
    </dataValidation>
    <dataValidation type="list" allowBlank="1" showInputMessage="1" showErrorMessage="1" sqref="F4:F5 F17:F18 F30:F31" xr:uid="{118EBE9A-BBD9-4B7E-A9AB-B848EC89EF86}">
      <formula1>"1,2,3,4,5,6,7,8,9,10"</formula1>
    </dataValidation>
    <dataValidation type="list" operator="equal" allowBlank="1" showInputMessage="1" showErrorMessage="1" sqref="B4:B5" xr:uid="{8409EE8F-4656-4DA0-98F3-70CEF5C693D3}">
      <formula1>"1,20,40,50,60,70,80,90"</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1CA72-0E93-4EEC-8798-2EC40A67B9D6}">
  <sheetPr codeName="Sheet1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224</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Dvalin's Sigh</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Hoarfrost Core</v>
      </c>
      <c r="J10" s="16">
        <f t="shared" si="0"/>
        <v>0</v>
      </c>
      <c r="K10" s="34" t="s">
        <v>202</v>
      </c>
    </row>
    <row r="11" spans="1:11" ht="15.75" thickBot="1" x14ac:dyDescent="0.3">
      <c r="A11" s="173" t="s">
        <v>208</v>
      </c>
      <c r="B11" s="202"/>
      <c r="C11" s="43">
        <v>6</v>
      </c>
      <c r="E11" s="14" t="str">
        <f>VLOOKUP(VLOOKUP(B1,Character_List,5,FALSE),Common_Mob_Drops,2,FALSE)</f>
        <v>Damaged Mask</v>
      </c>
      <c r="F11" s="17">
        <f>VLOOKUP(F5,Required_Talent_Materials,7,FALSE)-VLOOKUP(F4,Required_Talent_Materials,7,FALSE)</f>
        <v>0</v>
      </c>
      <c r="H11" s="184" t="s">
        <v>207</v>
      </c>
      <c r="I11" s="2" t="str">
        <f>B17</f>
        <v>Damaged Mask</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5"/>
      <c r="I12" s="1" t="str">
        <f>B18</f>
        <v>Stained Mask</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6"/>
      <c r="I13" s="9" t="str">
        <f>B19</f>
        <v>Ominous Mask</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Cor Lapis</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Diligence</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171" t="s">
        <v>151</v>
      </c>
      <c r="F16" s="172"/>
      <c r="H16" s="185"/>
      <c r="I16" s="1" t="str">
        <f>E7</f>
        <v>Guide to Diligence</v>
      </c>
      <c r="J16" s="17">
        <f>SUM(F7,F20,F33)</f>
        <v>0</v>
      </c>
      <c r="K16" s="34" t="s">
        <v>202</v>
      </c>
    </row>
    <row r="17" spans="1:11" ht="15.75" thickBot="1" x14ac:dyDescent="0.3">
      <c r="A17" s="184" t="s">
        <v>207</v>
      </c>
      <c r="B17" s="2" t="str">
        <f>VLOOKUP(VLOOKUP(B1,Character_List,5,FALSE),Common_Mob_Drops,2,FALSE)</f>
        <v>Damaged Mask</v>
      </c>
      <c r="C17" s="15">
        <f>VLOOKUP(C11,Required_Ascension_Materials,7,FALSE)-VLOOKUP(C10,Required_Ascension_Materials,7,FALSE)</f>
        <v>0</v>
      </c>
      <c r="E17" s="12" t="s">
        <v>200</v>
      </c>
      <c r="F17" s="28">
        <v>9</v>
      </c>
      <c r="H17" s="186"/>
      <c r="I17" s="9" t="str">
        <f>E8</f>
        <v>Philosophies of Diligence</v>
      </c>
      <c r="J17" s="16">
        <f>SUM(F8,F21,F34)</f>
        <v>0</v>
      </c>
      <c r="K17" s="34" t="s">
        <v>202</v>
      </c>
    </row>
    <row r="18" spans="1:11" ht="15.75" thickBot="1" x14ac:dyDescent="0.3">
      <c r="A18" s="185"/>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Sigh</v>
      </c>
      <c r="J18" s="24">
        <f>SUM(F9,F22,F35)</f>
        <v>0</v>
      </c>
      <c r="K18" s="34" t="s">
        <v>202</v>
      </c>
    </row>
    <row r="19" spans="1:11" ht="15.75" thickBot="1" x14ac:dyDescent="0.3">
      <c r="A19" s="186"/>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Cor Lapis</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Dvalin's Sigh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Dvalin's Sigh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40" priority="1" operator="containsText" text="Done">
      <formula>NOT(ISERROR(SEARCH("Done",K4)))</formula>
    </cfRule>
    <cfRule type="containsText" dxfId="639" priority="2" operator="containsText" text="In Progress">
      <formula>NOT(ISERROR(SEARCH("In Progress",K4)))</formula>
    </cfRule>
  </conditionalFormatting>
  <dataValidations count="5">
    <dataValidation type="list" allowBlank="1" showInputMessage="1" showErrorMessage="1" sqref="C10:C11" xr:uid="{B9861459-83BA-4946-B152-A3C1FC32C9A2}">
      <formula1>"0,1,2,3,4,5,6"</formula1>
    </dataValidation>
    <dataValidation type="list" allowBlank="1" showInputMessage="1" showErrorMessage="1" sqref="K4:K19" xr:uid="{2A69811E-11AA-4068-B55B-13B044B7CD1C}">
      <formula1>"In Progress, Done"</formula1>
    </dataValidation>
    <dataValidation type="list" allowBlank="1" showInputMessage="1" showErrorMessage="1" sqref="B1" xr:uid="{AB43915C-C113-40B2-AC6E-E92E66CBA9B1}">
      <formula1>Character_Name_List</formula1>
    </dataValidation>
    <dataValidation type="list" allowBlank="1" showInputMessage="1" showErrorMessage="1" sqref="F4:F5 F17:F18 F30:F31" xr:uid="{3F04F9A0-D137-49BC-A030-4F18BCED6EAA}">
      <formula1>"1,2,3,4,5,6,7,8,9,10"</formula1>
    </dataValidation>
    <dataValidation type="list" operator="equal" allowBlank="1" showInputMessage="1" showErrorMessage="1" sqref="B4:B5" xr:uid="{1F5CE71B-5DF7-4E21-AA68-FBF7768D7083}">
      <formula1>"1,20,40,50,60,70,80,90"</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8791D-1A76-47AD-8BED-4000C9864047}">
  <sheetPr codeName="Sheet1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225</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84"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85"/>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85"/>
      <c r="I8" s="1" t="str">
        <f t="shared" si="0"/>
        <v>Vayuda Turquoise Chunk</v>
      </c>
      <c r="J8" s="17">
        <f t="shared" si="0"/>
        <v>0</v>
      </c>
      <c r="K8" s="34" t="s">
        <v>202</v>
      </c>
    </row>
    <row r="9" spans="1:11" ht="15.75" thickBot="1" x14ac:dyDescent="0.3">
      <c r="A9" s="171" t="s">
        <v>149</v>
      </c>
      <c r="B9" s="231"/>
      <c r="C9" s="172"/>
      <c r="E9" s="14" t="str">
        <f>VLOOKUP(VLOOKUP(B1,Character_List,8,FALSE),Weekly_Boss_Mats,2,FALSE)</f>
        <v>Dvalin's Plume</v>
      </c>
      <c r="F9" s="17">
        <f>VLOOKUP(F5,Required_Talent_Materials,5,FALSE)-VLOOKUP(F4,Required_Talent_Materials,5,FALSE)</f>
        <v>0</v>
      </c>
      <c r="H9" s="185"/>
      <c r="I9" s="1" t="str">
        <f t="shared" si="0"/>
        <v>Vayuda Turquoise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Hurricane Seed</v>
      </c>
      <c r="J10" s="16">
        <f t="shared" si="0"/>
        <v>0</v>
      </c>
      <c r="K10" s="34" t="s">
        <v>202</v>
      </c>
    </row>
    <row r="11" spans="1:11" ht="15.75" thickBot="1" x14ac:dyDescent="0.3">
      <c r="A11" s="173" t="s">
        <v>208</v>
      </c>
      <c r="B11" s="202"/>
      <c r="C11" s="43">
        <v>6</v>
      </c>
      <c r="E11" s="14" t="str">
        <f>VLOOKUP(VLOOKUP(B1,Character_List,5,FALSE),Common_Mob_Drops,2,FALSE)</f>
        <v>Damaged Mask</v>
      </c>
      <c r="F11" s="17">
        <f>VLOOKUP(F5,Required_Talent_Materials,7,FALSE)-VLOOKUP(F4,Required_Talent_Materials,7,FALSE)</f>
        <v>0</v>
      </c>
      <c r="H11" s="184" t="s">
        <v>207</v>
      </c>
      <c r="I11" s="2" t="str">
        <f>B17</f>
        <v>Damaged Mask</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5"/>
      <c r="I12" s="1" t="str">
        <f>B18</f>
        <v>Stained Mask</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6"/>
      <c r="I13" s="9" t="str">
        <f>B19</f>
        <v>Ominous Mask</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Dandelion Seed</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84" t="s">
        <v>216</v>
      </c>
      <c r="I15" s="2" t="str">
        <f>E6</f>
        <v>Teachings of Resistance</v>
      </c>
      <c r="J15" s="15">
        <f>SUM(F6,F19,F32)</f>
        <v>0</v>
      </c>
      <c r="K15" s="34" t="s">
        <v>202</v>
      </c>
    </row>
    <row r="16" spans="1:11" ht="15.75" thickBot="1" x14ac:dyDescent="0.3">
      <c r="A16" s="42"/>
      <c r="B16" s="9" t="str">
        <f>VLOOKUP(B1,Character_List,4,FALSE)</f>
        <v>Hurricane Seed</v>
      </c>
      <c r="C16" s="16">
        <f>VLOOKUP(C11,Required_Ascension_Materials,6,FALSE)-VLOOKUP(C10,Required_Ascension_Materials,6,FALSE)</f>
        <v>0</v>
      </c>
      <c r="E16" s="171" t="s">
        <v>151</v>
      </c>
      <c r="F16" s="172"/>
      <c r="H16" s="185"/>
      <c r="I16" s="1" t="str">
        <f>E7</f>
        <v>Guide to Resistance</v>
      </c>
      <c r="J16" s="17">
        <f>SUM(F7,F20,F33)</f>
        <v>0</v>
      </c>
      <c r="K16" s="34" t="s">
        <v>202</v>
      </c>
    </row>
    <row r="17" spans="1:11" ht="15.75" thickBot="1" x14ac:dyDescent="0.3">
      <c r="A17" s="184" t="s">
        <v>207</v>
      </c>
      <c r="B17" s="2" t="str">
        <f>VLOOKUP(VLOOKUP(B1,Character_List,5,FALSE),Common_Mob_Drops,2,FALSE)</f>
        <v>Damaged Mask</v>
      </c>
      <c r="C17" s="15">
        <f>VLOOKUP(C11,Required_Ascension_Materials,7,FALSE)-VLOOKUP(C10,Required_Ascension_Materials,7,FALSE)</f>
        <v>0</v>
      </c>
      <c r="E17" s="12" t="s">
        <v>200</v>
      </c>
      <c r="F17" s="28">
        <v>9</v>
      </c>
      <c r="H17" s="186"/>
      <c r="I17" s="9" t="str">
        <f>E8</f>
        <v>Philosophies of Resistance</v>
      </c>
      <c r="J17" s="16">
        <f>SUM(F8,F21,F34)</f>
        <v>0</v>
      </c>
      <c r="K17" s="34" t="s">
        <v>202</v>
      </c>
    </row>
    <row r="18" spans="1:11" ht="15.75" thickBot="1" x14ac:dyDescent="0.3">
      <c r="A18" s="185"/>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Plume</v>
      </c>
      <c r="J18" s="24">
        <f>SUM(F9,F22,F35)</f>
        <v>0</v>
      </c>
      <c r="K18" s="34" t="s">
        <v>202</v>
      </c>
    </row>
    <row r="19" spans="1:11" ht="15.75" thickBot="1" x14ac:dyDescent="0.3">
      <c r="A19" s="186"/>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Dandelion Seed</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Plume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Plume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38" priority="1" operator="containsText" text="Done">
      <formula>NOT(ISERROR(SEARCH("Done",K4)))</formula>
    </cfRule>
    <cfRule type="containsText" dxfId="637" priority="2" operator="containsText" text="In Progress">
      <formula>NOT(ISERROR(SEARCH("In Progress",K4)))</formula>
    </cfRule>
  </conditionalFormatting>
  <dataValidations count="5">
    <dataValidation type="list" allowBlank="1" showInputMessage="1" showErrorMessage="1" sqref="C10:C11" xr:uid="{224C7BC1-BCAF-4A50-ABA3-89763A0F0B34}">
      <formula1>"0,1,2,3,4,5,6"</formula1>
    </dataValidation>
    <dataValidation type="list" allowBlank="1" showInputMessage="1" showErrorMessage="1" sqref="K4:K19" xr:uid="{D8632695-D4F3-49AE-B504-59A0A21FB6FC}">
      <formula1>"In Progress, Done"</formula1>
    </dataValidation>
    <dataValidation type="list" allowBlank="1" showInputMessage="1" showErrorMessage="1" sqref="B1" xr:uid="{D2D82357-FCDD-4246-82D7-D2A689F2E0C8}">
      <formula1>Character_Name_List</formula1>
    </dataValidation>
    <dataValidation type="list" allowBlank="1" showInputMessage="1" showErrorMessage="1" sqref="F4:F5 F17:F18 F30:F31" xr:uid="{4CBDA2CB-B0B3-4908-80B3-3FB07B61284D}">
      <formula1>"1,2,3,4,5,6,7,8,9,10"</formula1>
    </dataValidation>
    <dataValidation type="list" operator="equal" allowBlank="1" showInputMessage="1" showErrorMessage="1" sqref="B4:B5" xr:uid="{463E998E-5205-4758-9965-F6CC86A980D6}">
      <formula1>"1,20,40,50,60,70,80,90"</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31AD3-0293-4919-A6D5-FCB6AAE96190}">
  <sheetPr codeName="Sheet17">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226</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Dvalin's Plume</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Everflame Seed</v>
      </c>
      <c r="J10" s="16">
        <f t="shared" si="0"/>
        <v>0</v>
      </c>
      <c r="K10" s="34" t="s">
        <v>202</v>
      </c>
    </row>
    <row r="11" spans="1:11" ht="15.75" thickBot="1" x14ac:dyDescent="0.3">
      <c r="A11" s="173" t="s">
        <v>208</v>
      </c>
      <c r="B11" s="202"/>
      <c r="C11" s="43">
        <v>6</v>
      </c>
      <c r="E11" s="14" t="str">
        <f>VLOOKUP(VLOOKUP(B1,Character_List,5,FALSE),Common_Mob_Drops,2,FALSE)</f>
        <v>Recruit's Insignia</v>
      </c>
      <c r="F11" s="17">
        <f>VLOOKUP(F5,Required_Talent_Materials,7,FALSE)-VLOOKUP(F4,Required_Talent_Materials,7,FALSE)</f>
        <v>0</v>
      </c>
      <c r="H11" s="184" t="s">
        <v>207</v>
      </c>
      <c r="I11" s="2" t="str">
        <f>B17</f>
        <v>Recruit's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5"/>
      <c r="I12" s="1" t="str">
        <f>B18</f>
        <v>Sergeant's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6"/>
      <c r="I13" s="9" t="str">
        <f>B19</f>
        <v>Lieutenant's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Small Lamp Grass</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Resistance</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171" t="s">
        <v>151</v>
      </c>
      <c r="F16" s="172"/>
      <c r="H16" s="185"/>
      <c r="I16" s="1" t="str">
        <f>E7</f>
        <v>Guide to Resistance</v>
      </c>
      <c r="J16" s="17">
        <f>SUM(F7,F20,F33)</f>
        <v>0</v>
      </c>
      <c r="K16" s="34" t="s">
        <v>202</v>
      </c>
    </row>
    <row r="17" spans="1:11" ht="15.75" thickBot="1" x14ac:dyDescent="0.3">
      <c r="A17" s="184" t="s">
        <v>207</v>
      </c>
      <c r="B17" s="2" t="str">
        <f>VLOOKUP(VLOOKUP(B1,Character_List,5,FALSE),Common_Mob_Drops,2,FALSE)</f>
        <v>Recruit's Insignia</v>
      </c>
      <c r="C17" s="15">
        <f>VLOOKUP(C11,Required_Ascension_Materials,7,FALSE)-VLOOKUP(C10,Required_Ascension_Materials,7,FALSE)</f>
        <v>0</v>
      </c>
      <c r="E17" s="12" t="s">
        <v>200</v>
      </c>
      <c r="F17" s="28">
        <v>9</v>
      </c>
      <c r="H17" s="186"/>
      <c r="I17" s="9" t="str">
        <f>E8</f>
        <v>Philosophies of Resistance</v>
      </c>
      <c r="J17" s="16">
        <f>SUM(F8,F21,F34)</f>
        <v>0</v>
      </c>
      <c r="K17" s="34" t="s">
        <v>202</v>
      </c>
    </row>
    <row r="18" spans="1:11" ht="15.75" thickBot="1" x14ac:dyDescent="0.3">
      <c r="A18" s="185"/>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Dvalin's Plume</v>
      </c>
      <c r="J18" s="24">
        <f>SUM(F9,F22,F35)</f>
        <v>0</v>
      </c>
      <c r="K18" s="34" t="s">
        <v>202</v>
      </c>
    </row>
    <row r="19" spans="1:11" ht="15.75" thickBot="1" x14ac:dyDescent="0.3">
      <c r="A19" s="186"/>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Small Lamp Grass</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Plume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Plume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36" priority="1" operator="containsText" text="Done">
      <formula>NOT(ISERROR(SEARCH("Done",K4)))</formula>
    </cfRule>
    <cfRule type="containsText" dxfId="635" priority="2" operator="containsText" text="In Progress">
      <formula>NOT(ISERROR(SEARCH("In Progress",K4)))</formula>
    </cfRule>
  </conditionalFormatting>
  <dataValidations count="5">
    <dataValidation type="list" operator="equal" allowBlank="1" showInputMessage="1" showErrorMessage="1" sqref="B4:B5" xr:uid="{99EFCBDC-D1B3-4CCF-B273-D2D02607B341}">
      <formula1>"1,20,40,50,60,70,80,90"</formula1>
    </dataValidation>
    <dataValidation type="list" allowBlank="1" showInputMessage="1" showErrorMessage="1" sqref="F4:F5 F17:F18 F30:F31" xr:uid="{202856BD-F1F2-4362-A918-E6832213A97D}">
      <formula1>"1,2,3,4,5,6,7,8,9,10"</formula1>
    </dataValidation>
    <dataValidation type="list" allowBlank="1" showInputMessage="1" showErrorMessage="1" sqref="B1" xr:uid="{6CBE9C28-E077-499C-B4A2-3EBCF95FB9FC}">
      <formula1>Character_Name_List</formula1>
    </dataValidation>
    <dataValidation type="list" allowBlank="1" showInputMessage="1" showErrorMessage="1" sqref="K4:K19" xr:uid="{39A8DF5C-C0A0-4978-BB29-C1183F72BE6D}">
      <formula1>"In Progress, Done"</formula1>
    </dataValidation>
    <dataValidation type="list" allowBlank="1" showInputMessage="1" showErrorMessage="1" sqref="C10:C11" xr:uid="{99CCC0F3-ABFD-43CC-A69C-EBDA4F94B619}">
      <formula1>"0,1,2,3,4,5,6"</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8D13C-15B1-4104-A2E3-E8A1EDDF3BA7}">
  <sheetPr codeName="Sheet1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227</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Spirit Locket of Boreas</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Hoarfrost Core</v>
      </c>
      <c r="J10" s="16">
        <f t="shared" si="0"/>
        <v>0</v>
      </c>
      <c r="K10" s="34" t="s">
        <v>202</v>
      </c>
    </row>
    <row r="11" spans="1:11" ht="15.75" thickBot="1" x14ac:dyDescent="0.3">
      <c r="A11" s="173" t="s">
        <v>208</v>
      </c>
      <c r="B11" s="202"/>
      <c r="C11" s="43">
        <v>6</v>
      </c>
      <c r="E11" s="14" t="str">
        <f>VLOOKUP(VLOOKUP(B1,Character_List,5,FALSE),Common_Mob_Drops,2,FALSE)</f>
        <v>Treasure Hoarder Insignia</v>
      </c>
      <c r="F11" s="17">
        <f>VLOOKUP(F5,Required_Talent_Materials,7,FALSE)-VLOOKUP(F4,Required_Talent_Materials,7,FALSE)</f>
        <v>0</v>
      </c>
      <c r="H11" s="184" t="s">
        <v>207</v>
      </c>
      <c r="I11" s="2" t="str">
        <f>B17</f>
        <v>Treasure Hoarder Insignia</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5"/>
      <c r="I12" s="1" t="str">
        <f>B18</f>
        <v>Silver Raven Insignia</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6"/>
      <c r="I13" s="9" t="str">
        <f>B19</f>
        <v>Golden Raven Insignia</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Calla Lily</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Ballad</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171" t="s">
        <v>151</v>
      </c>
      <c r="F16" s="172"/>
      <c r="H16" s="185"/>
      <c r="I16" s="1" t="str">
        <f>E7</f>
        <v>Guide to Ballad</v>
      </c>
      <c r="J16" s="17">
        <f>SUM(F7,F20,F33)</f>
        <v>0</v>
      </c>
      <c r="K16" s="34" t="s">
        <v>202</v>
      </c>
    </row>
    <row r="17" spans="1:11" ht="15.75" thickBot="1" x14ac:dyDescent="0.3">
      <c r="A17" s="184" t="s">
        <v>207</v>
      </c>
      <c r="B17" s="2" t="str">
        <f>VLOOKUP(VLOOKUP(B1,Character_List,5,FALSE),Common_Mob_Drops,2,FALSE)</f>
        <v>Treasure Hoarder Insignia</v>
      </c>
      <c r="C17" s="15">
        <f>VLOOKUP(C11,Required_Ascension_Materials,7,FALSE)-VLOOKUP(C10,Required_Ascension_Materials,7,FALSE)</f>
        <v>0</v>
      </c>
      <c r="E17" s="12" t="s">
        <v>200</v>
      </c>
      <c r="F17" s="28">
        <v>9</v>
      </c>
      <c r="H17" s="186"/>
      <c r="I17" s="9" t="str">
        <f>E8</f>
        <v>Philosophies of Ballad</v>
      </c>
      <c r="J17" s="16">
        <f>SUM(F8,F21,F34)</f>
        <v>0</v>
      </c>
      <c r="K17" s="34" t="s">
        <v>202</v>
      </c>
    </row>
    <row r="18" spans="1:11" ht="15.75" thickBot="1" x14ac:dyDescent="0.3">
      <c r="A18" s="185"/>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86"/>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Calla Lily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34" priority="1" operator="containsText" text="Done">
      <formula>NOT(ISERROR(SEARCH("Done",K4)))</formula>
    </cfRule>
    <cfRule type="containsText" dxfId="633" priority="2" operator="containsText" text="In Progress">
      <formula>NOT(ISERROR(SEARCH("In Progress",K4)))</formula>
    </cfRule>
  </conditionalFormatting>
  <dataValidations count="5">
    <dataValidation type="list" allowBlank="1" showInputMessage="1" showErrorMessage="1" sqref="C10:C11" xr:uid="{15521FCE-979A-4C36-A066-7096E50D6FCD}">
      <formula1>"0,1,2,3,4,5,6"</formula1>
    </dataValidation>
    <dataValidation type="list" allowBlank="1" showInputMessage="1" showErrorMessage="1" sqref="K4:K19" xr:uid="{8733B0CB-F84B-4738-98F8-7C56866BE5DF}">
      <formula1>"In Progress, Done"</formula1>
    </dataValidation>
    <dataValidation type="list" allowBlank="1" showInputMessage="1" showErrorMessage="1" sqref="B1" xr:uid="{E2F41DBE-209A-49D0-ADC0-93E304714244}">
      <formula1>Character_Name_List</formula1>
    </dataValidation>
    <dataValidation type="list" allowBlank="1" showInputMessage="1" showErrorMessage="1" sqref="F4:F5 F17:F18 F30:F31" xr:uid="{D1306F84-206E-46A8-8265-5A8F2A74EB2E}">
      <formula1>"1,2,3,4,5,6,7,8,9,10"</formula1>
    </dataValidation>
    <dataValidation type="list" operator="equal" allowBlank="1" showInputMessage="1" showErrorMessage="1" sqref="B4:B5" xr:uid="{DD9C2034-3749-4E09-B1B6-EB0FD13A2BC3}">
      <formula1>"1,20,40,50,60,70,80,90"</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2E2D9-7FEF-4B42-A2B0-1C1B3C026F73}">
  <sheetPr codeName="Sheet1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228</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84"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85"/>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85"/>
      <c r="I8" s="1" t="str">
        <f t="shared" si="0"/>
        <v>Varunada Lazurite Chunk</v>
      </c>
      <c r="J8" s="17">
        <f t="shared" si="0"/>
        <v>0</v>
      </c>
      <c r="K8" s="34" t="s">
        <v>202</v>
      </c>
    </row>
    <row r="9" spans="1:11" ht="15.75" thickBot="1" x14ac:dyDescent="0.3">
      <c r="A9" s="171" t="s">
        <v>149</v>
      </c>
      <c r="B9" s="231"/>
      <c r="C9" s="172"/>
      <c r="E9" s="14" t="str">
        <f>VLOOKUP(VLOOKUP(B1,Character_List,8,FALSE),Weekly_Boss_Mats,2,FALSE)</f>
        <v>Ring of Boreas</v>
      </c>
      <c r="F9" s="17">
        <f>VLOOKUP(F5,Required_Talent_Materials,5,FALSE)-VLOOKUP(F4,Required_Talent_Materials,5,FALSE)</f>
        <v>0</v>
      </c>
      <c r="H9" s="185"/>
      <c r="I9" s="1" t="str">
        <f t="shared" si="0"/>
        <v>Varunada Lazurite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Cleansing Heart</v>
      </c>
      <c r="J10" s="16">
        <f t="shared" si="0"/>
        <v>0</v>
      </c>
      <c r="K10" s="34" t="s">
        <v>202</v>
      </c>
    </row>
    <row r="11" spans="1:11" ht="15.75" thickBot="1" x14ac:dyDescent="0.3">
      <c r="A11" s="173" t="s">
        <v>208</v>
      </c>
      <c r="B11" s="202"/>
      <c r="C11" s="43">
        <v>6</v>
      </c>
      <c r="E11" s="14" t="str">
        <f>VLOOKUP(VLOOKUP(B1,Character_List,5,FALSE),Common_Mob_Drops,2,FALSE)</f>
        <v>Divining Scroll</v>
      </c>
      <c r="F11" s="17">
        <f>VLOOKUP(F5,Required_Talent_Materials,7,FALSE)-VLOOKUP(F4,Required_Talent_Materials,7,FALSE)</f>
        <v>0</v>
      </c>
      <c r="H11" s="184" t="s">
        <v>207</v>
      </c>
      <c r="I11" s="2" t="str">
        <f>B17</f>
        <v>Divining Scroll</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5"/>
      <c r="I12" s="1" t="str">
        <f>B18</f>
        <v>Sealed Scroll</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6"/>
      <c r="I13" s="9" t="str">
        <f>B19</f>
        <v>Forbidden Scroll</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Philanemo Mushroom</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84" t="s">
        <v>216</v>
      </c>
      <c r="I15" s="2" t="str">
        <f>E6</f>
        <v>Teachings of Freedom</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171" t="s">
        <v>151</v>
      </c>
      <c r="F16" s="172"/>
      <c r="H16" s="185"/>
      <c r="I16" s="1" t="str">
        <f>E7</f>
        <v>Guide to Freedom</v>
      </c>
      <c r="J16" s="17">
        <f>SUM(F7,F20,F33)</f>
        <v>0</v>
      </c>
      <c r="K16" s="34" t="s">
        <v>202</v>
      </c>
    </row>
    <row r="17" spans="1:11" ht="15.75" thickBot="1" x14ac:dyDescent="0.3">
      <c r="A17" s="184" t="s">
        <v>207</v>
      </c>
      <c r="B17" s="2" t="str">
        <f>VLOOKUP(VLOOKUP(B1,Character_List,5,FALSE),Common_Mob_Drops,2,FALSE)</f>
        <v>Divining Scroll</v>
      </c>
      <c r="C17" s="15">
        <f>VLOOKUP(C11,Required_Ascension_Materials,7,FALSE)-VLOOKUP(C10,Required_Ascension_Materials,7,FALSE)</f>
        <v>0</v>
      </c>
      <c r="E17" s="12" t="s">
        <v>200</v>
      </c>
      <c r="F17" s="28">
        <v>9</v>
      </c>
      <c r="H17" s="186"/>
      <c r="I17" s="9" t="str">
        <f>E8</f>
        <v>Philosophies of Freedom</v>
      </c>
      <c r="J17" s="16">
        <f>SUM(F8,F21,F34)</f>
        <v>0</v>
      </c>
      <c r="K17" s="34" t="s">
        <v>202</v>
      </c>
    </row>
    <row r="18" spans="1:11" ht="15.75" thickBot="1" x14ac:dyDescent="0.3">
      <c r="A18" s="185"/>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86"/>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Philanemo Mushroom</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32" priority="1" operator="containsText" text="Done">
      <formula>NOT(ISERROR(SEARCH("Done",K4)))</formula>
    </cfRule>
    <cfRule type="containsText" dxfId="631" priority="2" operator="containsText" text="In Progress">
      <formula>NOT(ISERROR(SEARCH("In Progress",K4)))</formula>
    </cfRule>
  </conditionalFormatting>
  <dataValidations count="5">
    <dataValidation type="list" operator="equal" allowBlank="1" showInputMessage="1" showErrorMessage="1" sqref="B4:B5" xr:uid="{9A8D7773-E573-45D1-870F-0D78BA0A105E}">
      <formula1>"1,20,40,50,60,70,80,90"</formula1>
    </dataValidation>
    <dataValidation type="list" allowBlank="1" showInputMessage="1" showErrorMessage="1" sqref="F4:F5 F17:F18 F30:F31" xr:uid="{EE07061B-87DB-4C3D-A37F-C875630A7BF1}">
      <formula1>"1,2,3,4,5,6,7,8,9,10"</formula1>
    </dataValidation>
    <dataValidation type="list" allowBlank="1" showInputMessage="1" showErrorMessage="1" sqref="B1" xr:uid="{F5AA4785-39EC-4FA5-AC37-46E0441B229B}">
      <formula1>Character_Name_List</formula1>
    </dataValidation>
    <dataValidation type="list" allowBlank="1" showInputMessage="1" showErrorMessage="1" sqref="K4:K19" xr:uid="{2B37002F-23A4-468F-896C-AA00836E2A34}">
      <formula1>"In Progress, Done"</formula1>
    </dataValidation>
    <dataValidation type="list" allowBlank="1" showInputMessage="1" showErrorMessage="1" sqref="C10:C11" xr:uid="{E286B521-A8A8-4AB7-9BAF-4C104F17E9F3}">
      <formula1>"0,1,2,3,4,5,6"</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C5344-1C44-4188-A916-79B6789CFB51}">
  <sheetPr codeName="Sheet2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229</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84"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85"/>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85"/>
      <c r="I8" s="1" t="str">
        <f t="shared" si="0"/>
        <v>Varunada Lazurite Chunk</v>
      </c>
      <c r="J8" s="17">
        <f t="shared" si="0"/>
        <v>0</v>
      </c>
      <c r="K8" s="34" t="s">
        <v>202</v>
      </c>
    </row>
    <row r="9" spans="1:11" ht="15.75" thickBot="1" x14ac:dyDescent="0.3">
      <c r="A9" s="171" t="s">
        <v>149</v>
      </c>
      <c r="B9" s="231"/>
      <c r="C9" s="172"/>
      <c r="E9" s="14" t="str">
        <f>VLOOKUP(VLOOKUP(B1,Character_List,8,FALSE),Weekly_Boss_Mats,2,FALSE)</f>
        <v>Tail of Boreas</v>
      </c>
      <c r="F9" s="17">
        <f>VLOOKUP(F5,Required_Talent_Materials,5,FALSE)-VLOOKUP(F4,Required_Talent_Materials,5,FALSE)</f>
        <v>0</v>
      </c>
      <c r="H9" s="185"/>
      <c r="I9" s="1" t="str">
        <f t="shared" si="0"/>
        <v>Varunada Lazurite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Cleansing Heart</v>
      </c>
      <c r="J10" s="16">
        <f t="shared" si="0"/>
        <v>0</v>
      </c>
      <c r="K10" s="34" t="s">
        <v>202</v>
      </c>
    </row>
    <row r="11" spans="1:11" ht="15.75" thickBot="1" x14ac:dyDescent="0.3">
      <c r="A11" s="173" t="s">
        <v>208</v>
      </c>
      <c r="B11" s="202"/>
      <c r="C11" s="43">
        <v>6</v>
      </c>
      <c r="E11" s="14" t="str">
        <f>VLOOKUP(VLOOKUP(B1,Character_List,5,FALSE),Common_Mob_Drops,2,FALSE)</f>
        <v>Damaged Mask</v>
      </c>
      <c r="F11" s="17">
        <f>VLOOKUP(F5,Required_Talent_Materials,7,FALSE)-VLOOKUP(F4,Required_Talent_Materials,7,FALSE)</f>
        <v>0</v>
      </c>
      <c r="H11" s="184" t="s">
        <v>207</v>
      </c>
      <c r="I11" s="2" t="str">
        <f>B17</f>
        <v>Damaged Mask</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5"/>
      <c r="I12" s="1" t="str">
        <f>B18</f>
        <v>Stained Mask</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6"/>
      <c r="I13" s="9" t="str">
        <f>B19</f>
        <v>Ominous Mask</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Silk Flower</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84" t="s">
        <v>216</v>
      </c>
      <c r="I15" s="2" t="str">
        <f>E6</f>
        <v>Teachings of Gold</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171" t="s">
        <v>151</v>
      </c>
      <c r="F16" s="172"/>
      <c r="H16" s="185"/>
      <c r="I16" s="1" t="str">
        <f>E7</f>
        <v>Guide to Gold</v>
      </c>
      <c r="J16" s="17">
        <f>SUM(F7,F20,F33)</f>
        <v>0</v>
      </c>
      <c r="K16" s="34" t="s">
        <v>202</v>
      </c>
    </row>
    <row r="17" spans="1:11" ht="15.75" thickBot="1" x14ac:dyDescent="0.3">
      <c r="A17" s="184" t="s">
        <v>207</v>
      </c>
      <c r="B17" s="2" t="str">
        <f>VLOOKUP(VLOOKUP(B1,Character_List,5,FALSE),Common_Mob_Drops,2,FALSE)</f>
        <v>Damaged Mask</v>
      </c>
      <c r="C17" s="15">
        <f>VLOOKUP(C11,Required_Ascension_Materials,7,FALSE)-VLOOKUP(C10,Required_Ascension_Materials,7,FALSE)</f>
        <v>0</v>
      </c>
      <c r="E17" s="12" t="s">
        <v>200</v>
      </c>
      <c r="F17" s="28">
        <v>9</v>
      </c>
      <c r="H17" s="186"/>
      <c r="I17" s="9" t="str">
        <f>E8</f>
        <v>Philosophies of Gold</v>
      </c>
      <c r="J17" s="16">
        <f>SUM(F8,F21,F34)</f>
        <v>0</v>
      </c>
      <c r="K17" s="34" t="s">
        <v>202</v>
      </c>
    </row>
    <row r="18" spans="1:11" ht="15.75" thickBot="1" x14ac:dyDescent="0.3">
      <c r="A18" s="185"/>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Tail of Boreas</v>
      </c>
      <c r="J18" s="24">
        <f>SUM(F9,F22,F35)</f>
        <v>0</v>
      </c>
      <c r="K18" s="34" t="s">
        <v>202</v>
      </c>
    </row>
    <row r="19" spans="1:11" ht="15.75" thickBot="1" x14ac:dyDescent="0.3">
      <c r="A19" s="186"/>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Silk Flower</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Tail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Tail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30" priority="1" operator="containsText" text="Done">
      <formula>NOT(ISERROR(SEARCH("Done",K4)))</formula>
    </cfRule>
    <cfRule type="containsText" dxfId="629" priority="2" operator="containsText" text="In Progress">
      <formula>NOT(ISERROR(SEARCH("In Progress",K4)))</formula>
    </cfRule>
  </conditionalFormatting>
  <dataValidations count="5">
    <dataValidation type="list" allowBlank="1" showInputMessage="1" showErrorMessage="1" sqref="C10:C11" xr:uid="{8EB7827B-EBFB-4454-B3C3-939CBFD9B921}">
      <formula1>"0,1,2,3,4,5,6"</formula1>
    </dataValidation>
    <dataValidation type="list" allowBlank="1" showInputMessage="1" showErrorMessage="1" sqref="K4:K19" xr:uid="{984FEBAC-7A4D-462D-AFEE-C619DD8B7667}">
      <formula1>"In Progress, Done"</formula1>
    </dataValidation>
    <dataValidation type="list" allowBlank="1" showInputMessage="1" showErrorMessage="1" sqref="B1" xr:uid="{937D2301-6FA6-40B3-A666-DAD23D583A70}">
      <formula1>Character_Name_List</formula1>
    </dataValidation>
    <dataValidation type="list" allowBlank="1" showInputMessage="1" showErrorMessage="1" sqref="F4:F5 F17:F18 F30:F31" xr:uid="{F1756FF2-2641-43C8-ADF9-4CFF1EC56356}">
      <formula1>"1,2,3,4,5,6,7,8,9,10"</formula1>
    </dataValidation>
    <dataValidation type="list" operator="equal" allowBlank="1" showInputMessage="1" showErrorMessage="1" sqref="B4:B5" xr:uid="{48C31AEE-1362-4CDD-922A-4AF56C4F79C6}">
      <formula1>"1,20,40,50,60,70,80,90"</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01AF3-3385-4C2B-B352-52413F6A6ECF}">
  <sheetPr codeName="Sheet2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230</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84"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85"/>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85"/>
      <c r="I8" s="1" t="str">
        <f t="shared" si="0"/>
        <v>Prithiva Topaz Chunk</v>
      </c>
      <c r="J8" s="17">
        <f t="shared" si="0"/>
        <v>0</v>
      </c>
      <c r="K8" s="34" t="s">
        <v>202</v>
      </c>
    </row>
    <row r="9" spans="1:11" ht="15.75" thickBot="1" x14ac:dyDescent="0.3">
      <c r="A9" s="171" t="s">
        <v>149</v>
      </c>
      <c r="B9" s="231"/>
      <c r="C9" s="172"/>
      <c r="E9" s="14" t="str">
        <f>VLOOKUP(VLOOKUP(B1,Character_List,8,FALSE),Weekly_Boss_Mats,2,FALSE)</f>
        <v>Spirit Locket of Boreas</v>
      </c>
      <c r="F9" s="17">
        <f>VLOOKUP(F5,Required_Talent_Materials,5,FALSE)-VLOOKUP(F4,Required_Talent_Materials,5,FALSE)</f>
        <v>0</v>
      </c>
      <c r="H9" s="185"/>
      <c r="I9" s="1" t="str">
        <f t="shared" si="0"/>
        <v>Prithiva Topaz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Basalt Pillar</v>
      </c>
      <c r="J10" s="16">
        <f t="shared" si="0"/>
        <v>0</v>
      </c>
      <c r="K10" s="34" t="s">
        <v>202</v>
      </c>
    </row>
    <row r="11" spans="1:11" ht="15.75" thickBot="1" x14ac:dyDescent="0.3">
      <c r="A11" s="173" t="s">
        <v>208</v>
      </c>
      <c r="B11" s="202"/>
      <c r="C11" s="43">
        <v>6</v>
      </c>
      <c r="E11" s="14" t="str">
        <f>VLOOKUP(VLOOKUP(B1,Character_List,5,FALSE),Common_Mob_Drops,2,FALSE)</f>
        <v>Recruit's Insignia</v>
      </c>
      <c r="F11" s="17">
        <f>VLOOKUP(F5,Required_Talent_Materials,7,FALSE)-VLOOKUP(F4,Required_Talent_Materials,7,FALSE)</f>
        <v>0</v>
      </c>
      <c r="H11" s="184" t="s">
        <v>207</v>
      </c>
      <c r="I11" s="2" t="str">
        <f>B17</f>
        <v>Recruit's Insignia</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5"/>
      <c r="I12" s="1" t="str">
        <f>B18</f>
        <v>Sergeant's Insignia</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6"/>
      <c r="I13" s="9" t="str">
        <f>B19</f>
        <v>Lieutenant's Insignia</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Glaze Lily</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84" t="s">
        <v>216</v>
      </c>
      <c r="I15" s="2" t="str">
        <f>E6</f>
        <v>Teachings of Prosperity</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171" t="s">
        <v>151</v>
      </c>
      <c r="F16" s="172"/>
      <c r="H16" s="185"/>
      <c r="I16" s="1" t="str">
        <f>E7</f>
        <v>Guide to Prosperity</v>
      </c>
      <c r="J16" s="17">
        <f>SUM(F7,F20,F33)</f>
        <v>0</v>
      </c>
      <c r="K16" s="34" t="s">
        <v>202</v>
      </c>
    </row>
    <row r="17" spans="1:11" ht="15.75" thickBot="1" x14ac:dyDescent="0.3">
      <c r="A17" s="184" t="s">
        <v>207</v>
      </c>
      <c r="B17" s="2" t="str">
        <f>VLOOKUP(VLOOKUP(B1,Character_List,5,FALSE),Common_Mob_Drops,2,FALSE)</f>
        <v>Recruit's Insignia</v>
      </c>
      <c r="C17" s="15">
        <f>VLOOKUP(C11,Required_Ascension_Materials,7,FALSE)-VLOOKUP(C10,Required_Ascension_Materials,7,FALSE)</f>
        <v>0</v>
      </c>
      <c r="E17" s="12" t="s">
        <v>200</v>
      </c>
      <c r="F17" s="28">
        <v>9</v>
      </c>
      <c r="H17" s="186"/>
      <c r="I17" s="9" t="str">
        <f>E8</f>
        <v>Philosophies of Prosperity</v>
      </c>
      <c r="J17" s="16">
        <f>SUM(F8,F21,F34)</f>
        <v>0</v>
      </c>
      <c r="K17" s="34" t="s">
        <v>202</v>
      </c>
    </row>
    <row r="18" spans="1:11" ht="15.75" thickBot="1" x14ac:dyDescent="0.3">
      <c r="A18" s="185"/>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86"/>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Glaze Lily</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28" priority="1" operator="containsText" text="Done">
      <formula>NOT(ISERROR(SEARCH("Done",K4)))</formula>
    </cfRule>
    <cfRule type="containsText" dxfId="627" priority="2" operator="containsText" text="In Progress">
      <formula>NOT(ISERROR(SEARCH("In Progress",K4)))</formula>
    </cfRule>
  </conditionalFormatting>
  <dataValidations count="5">
    <dataValidation type="list" operator="equal" allowBlank="1" showInputMessage="1" showErrorMessage="1" sqref="B4:B5" xr:uid="{F796E7AB-9EF1-464F-9325-0A5990779B30}">
      <formula1>"1,20,40,50,60,70,80,90"</formula1>
    </dataValidation>
    <dataValidation type="list" allowBlank="1" showInputMessage="1" showErrorMessage="1" sqref="F4:F5 F17:F18 F30:F31" xr:uid="{44B381B9-C376-41A1-ABA8-A7234E9C2584}">
      <formula1>"1,2,3,4,5,6,7,8,9,10"</formula1>
    </dataValidation>
    <dataValidation type="list" allowBlank="1" showInputMessage="1" showErrorMessage="1" sqref="B1" xr:uid="{30D2E1BC-22ED-4651-952E-881D4BA63BA2}">
      <formula1>Character_Name_List</formula1>
    </dataValidation>
    <dataValidation type="list" allowBlank="1" showInputMessage="1" showErrorMessage="1" sqref="K4:K19" xr:uid="{AC962EE5-FBEF-43EB-8A7C-E638AD1B865E}">
      <formula1>"In Progress, Done"</formula1>
    </dataValidation>
    <dataValidation type="list" allowBlank="1" showInputMessage="1" showErrorMessage="1" sqref="C10:C11" xr:uid="{97859403-5A7D-41A9-9B45-CEF2D1061218}">
      <formula1>"0,1,2,3,4,5,6"</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5C9F3-A8C3-42F9-A116-3FF4D046AAA9}">
  <sheetPr codeName="Sheet2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231</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Spirit Locket of Boreas</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Lightning Prism</v>
      </c>
      <c r="J10" s="16">
        <f t="shared" si="0"/>
        <v>0</v>
      </c>
      <c r="K10" s="34" t="s">
        <v>202</v>
      </c>
    </row>
    <row r="11" spans="1:11" ht="15.75" thickBot="1" x14ac:dyDescent="0.3">
      <c r="A11" s="173" t="s">
        <v>208</v>
      </c>
      <c r="B11" s="202"/>
      <c r="C11" s="43">
        <v>6</v>
      </c>
      <c r="E11" s="14" t="str">
        <f>VLOOKUP(VLOOKUP(B1,Character_List,5,FALSE),Common_Mob_Drops,2,FALSE)</f>
        <v>Firm Arrowhead</v>
      </c>
      <c r="F11" s="17">
        <f>VLOOKUP(F5,Required_Talent_Materials,7,FALSE)-VLOOKUP(F4,Required_Talent_Materials,7,FALSE)</f>
        <v>0</v>
      </c>
      <c r="H11" s="184" t="s">
        <v>207</v>
      </c>
      <c r="I11" s="2" t="str">
        <f>B17</f>
        <v>Firm Arrowhead</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85"/>
      <c r="I12" s="1" t="str">
        <f>B18</f>
        <v>Sharp Arrowhead</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86"/>
      <c r="I13" s="9" t="str">
        <f>B19</f>
        <v>Weathered Arrowhead</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Small Lamp Grass</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Ballad</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171" t="s">
        <v>151</v>
      </c>
      <c r="F16" s="172"/>
      <c r="H16" s="185"/>
      <c r="I16" s="1" t="str">
        <f>E7</f>
        <v>Guide to Ballad</v>
      </c>
      <c r="J16" s="17">
        <f>SUM(F7,F20,F33)</f>
        <v>0</v>
      </c>
      <c r="K16" s="34" t="s">
        <v>202</v>
      </c>
    </row>
    <row r="17" spans="1:11" ht="15.75" thickBot="1" x14ac:dyDescent="0.3">
      <c r="A17" s="184" t="s">
        <v>207</v>
      </c>
      <c r="B17" s="2" t="str">
        <f>VLOOKUP(VLOOKUP(B1,Character_List,5,FALSE),Common_Mob_Drops,2,FALSE)</f>
        <v>Firm Arrowhead</v>
      </c>
      <c r="C17" s="15">
        <f>VLOOKUP(C11,Required_Ascension_Materials,7,FALSE)-VLOOKUP(C10,Required_Ascension_Materials,7,FALSE)</f>
        <v>0</v>
      </c>
      <c r="E17" s="12" t="s">
        <v>200</v>
      </c>
      <c r="F17" s="28">
        <v>9</v>
      </c>
      <c r="H17" s="186"/>
      <c r="I17" s="9" t="str">
        <f>E8</f>
        <v>Philosophies of Ballad</v>
      </c>
      <c r="J17" s="16">
        <f>SUM(F8,F21,F34)</f>
        <v>0</v>
      </c>
      <c r="K17" s="34" t="s">
        <v>202</v>
      </c>
    </row>
    <row r="18" spans="1:11" ht="15.75" thickBot="1" x14ac:dyDescent="0.3">
      <c r="A18" s="185"/>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86"/>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Small Lamp Grass</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26" priority="1" operator="containsText" text="Done">
      <formula>NOT(ISERROR(SEARCH("Done",K4)))</formula>
    </cfRule>
    <cfRule type="containsText" dxfId="625" priority="2" operator="containsText" text="In Progress">
      <formula>NOT(ISERROR(SEARCH("In Progress",K4)))</formula>
    </cfRule>
  </conditionalFormatting>
  <dataValidations count="5">
    <dataValidation type="list" allowBlank="1" showInputMessage="1" showErrorMessage="1" sqref="C10:C11" xr:uid="{B5F6F223-48F2-49BD-B4B3-6D4128859DA5}">
      <formula1>"0,1,2,3,4,5,6"</formula1>
    </dataValidation>
    <dataValidation type="list" allowBlank="1" showInputMessage="1" showErrorMessage="1" sqref="K4:K19" xr:uid="{91F068EE-E3E1-4D0C-9DBD-FA98E95FC5B9}">
      <formula1>"In Progress, Done"</formula1>
    </dataValidation>
    <dataValidation type="list" allowBlank="1" showInputMessage="1" showErrorMessage="1" sqref="B1" xr:uid="{8755A4E4-2D74-4855-BF42-A2FA08DCE92B}">
      <formula1>Character_Name_List</formula1>
    </dataValidation>
    <dataValidation type="list" allowBlank="1" showInputMessage="1" showErrorMessage="1" sqref="F4:F5 F17:F18 F30:F31" xr:uid="{79E98E45-4372-4AE1-BB47-CA74F59D1D22}">
      <formula1>"1,2,3,4,5,6,7,8,9,10"</formula1>
    </dataValidation>
    <dataValidation type="list" operator="equal" allowBlank="1" showInputMessage="1" showErrorMessage="1" sqref="B4:B5" xr:uid="{81DDE594-032C-43C2-BD78-569D92AD9D6D}">
      <formula1>"1,20,40,50,60,70,80,90"</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EBA81-95B9-4AAB-AC68-B2DF152B8AAF}">
  <sheetPr codeName="Sheet2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232</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84"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85"/>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85"/>
      <c r="I8" s="1" t="str">
        <f t="shared" si="0"/>
        <v>Vayuda Turquoise Chunk</v>
      </c>
      <c r="J8" s="17">
        <f t="shared" si="0"/>
        <v>0</v>
      </c>
      <c r="K8" s="34" t="s">
        <v>202</v>
      </c>
    </row>
    <row r="9" spans="1:11" ht="15.75" thickBot="1" x14ac:dyDescent="0.3">
      <c r="A9" s="171" t="s">
        <v>149</v>
      </c>
      <c r="B9" s="231"/>
      <c r="C9" s="172"/>
      <c r="E9" s="14" t="str">
        <f>VLOOKUP(VLOOKUP(B1,Character_List,8,FALSE),Weekly_Boss_Mats,2,FALSE)</f>
        <v>Spirit Locket of Boreas</v>
      </c>
      <c r="F9" s="17">
        <f>VLOOKUP(F5,Required_Talent_Materials,5,FALSE)-VLOOKUP(F4,Required_Talent_Materials,5,FALSE)</f>
        <v>0</v>
      </c>
      <c r="H9" s="185"/>
      <c r="I9" s="1" t="str">
        <f t="shared" si="0"/>
        <v>Vayuda Turquoise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Hurricane Seed</v>
      </c>
      <c r="J10" s="16">
        <f t="shared" si="0"/>
        <v>0</v>
      </c>
      <c r="K10" s="34" t="s">
        <v>202</v>
      </c>
    </row>
    <row r="11" spans="1:11" ht="15.75" thickBot="1" x14ac:dyDescent="0.3">
      <c r="A11" s="173" t="s">
        <v>208</v>
      </c>
      <c r="B11" s="202"/>
      <c r="C11" s="43">
        <v>6</v>
      </c>
      <c r="E11" s="14" t="str">
        <f>VLOOKUP(VLOOKUP(B1,Character_List,5,FALSE),Common_Mob_Drops,2,FALSE)</f>
        <v>Whopperflower</v>
      </c>
      <c r="F11" s="17">
        <f>VLOOKUP(F5,Required_Talent_Materials,7,FALSE)-VLOOKUP(F4,Required_Talent_Materials,7,FALSE)</f>
        <v>0</v>
      </c>
      <c r="H11" s="184" t="s">
        <v>207</v>
      </c>
      <c r="I11" s="2" t="str">
        <f>B17</f>
        <v>Whopperflower</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5"/>
      <c r="I12" s="1" t="str">
        <f>B18</f>
        <v>Shimmering Nectar</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6"/>
      <c r="I13" s="9" t="str">
        <f>B19</f>
        <v>Energy Nectar</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Windwheel Aster</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84" t="s">
        <v>216</v>
      </c>
      <c r="I15" s="2" t="str">
        <f>E6</f>
        <v>Teachings of Freedom</v>
      </c>
      <c r="J15" s="15">
        <f>SUM(F6,F19,F32)</f>
        <v>0</v>
      </c>
      <c r="K15" s="34" t="s">
        <v>202</v>
      </c>
    </row>
    <row r="16" spans="1:11" ht="15.75" thickBot="1" x14ac:dyDescent="0.3">
      <c r="A16" s="42"/>
      <c r="B16" s="9" t="str">
        <f>VLOOKUP(B1,Character_List,4,FALSE)</f>
        <v>Hurricane Seed</v>
      </c>
      <c r="C16" s="16">
        <f>VLOOKUP(C11,Required_Ascension_Materials,6,FALSE)-VLOOKUP(C10,Required_Ascension_Materials,6,FALSE)</f>
        <v>0</v>
      </c>
      <c r="E16" s="171" t="s">
        <v>151</v>
      </c>
      <c r="F16" s="172"/>
      <c r="H16" s="185"/>
      <c r="I16" s="1" t="str">
        <f>E7</f>
        <v>Guide to Freedom</v>
      </c>
      <c r="J16" s="17">
        <f>SUM(F7,F20,F33)</f>
        <v>0</v>
      </c>
      <c r="K16" s="34" t="s">
        <v>202</v>
      </c>
    </row>
    <row r="17" spans="1:11" ht="15.75" thickBot="1" x14ac:dyDescent="0.3">
      <c r="A17" s="184" t="s">
        <v>207</v>
      </c>
      <c r="B17" s="2" t="str">
        <f>VLOOKUP(VLOOKUP(B1,Character_List,5,FALSE),Common_Mob_Drops,2,FALSE)</f>
        <v>Whopperflower</v>
      </c>
      <c r="C17" s="15">
        <f>VLOOKUP(C11,Required_Ascension_Materials,7,FALSE)-VLOOKUP(C10,Required_Ascension_Materials,7,FALSE)</f>
        <v>0</v>
      </c>
      <c r="E17" s="12" t="s">
        <v>200</v>
      </c>
      <c r="F17" s="28">
        <v>9</v>
      </c>
      <c r="H17" s="186"/>
      <c r="I17" s="9" t="str">
        <f>E8</f>
        <v>Philosophies of Freedom</v>
      </c>
      <c r="J17" s="16">
        <f>SUM(F8,F21,F34)</f>
        <v>0</v>
      </c>
      <c r="K17" s="34" t="s">
        <v>202</v>
      </c>
    </row>
    <row r="18" spans="1:11" ht="15.75" thickBot="1" x14ac:dyDescent="0.3">
      <c r="A18" s="185"/>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86"/>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Windwheel Aster</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24" priority="1" operator="containsText" text="Done">
      <formula>NOT(ISERROR(SEARCH("Done",K4)))</formula>
    </cfRule>
    <cfRule type="containsText" dxfId="623" priority="2" operator="containsText" text="In Progress">
      <formula>NOT(ISERROR(SEARCH("In Progress",K4)))</formula>
    </cfRule>
  </conditionalFormatting>
  <dataValidations count="5">
    <dataValidation type="list" allowBlank="1" showInputMessage="1" showErrorMessage="1" sqref="C10:C11" xr:uid="{A2DD8FC9-1004-4E0D-B4ED-645C4FA5FAA3}">
      <formula1>"0,1,2,3,4,5,6"</formula1>
    </dataValidation>
    <dataValidation type="list" allowBlank="1" showInputMessage="1" showErrorMessage="1" sqref="K4:K19" xr:uid="{720BEE47-B560-41D9-A508-4643BEDC6248}">
      <formula1>"In Progress, Done"</formula1>
    </dataValidation>
    <dataValidation type="list" allowBlank="1" showInputMessage="1" showErrorMessage="1" sqref="B1" xr:uid="{D2F58A08-E2E4-4866-80A4-25872A1F2F9B}">
      <formula1>Character_Name_List</formula1>
    </dataValidation>
    <dataValidation type="list" allowBlank="1" showInputMessage="1" showErrorMessage="1" sqref="F4:F5 F17:F18 F30:F31" xr:uid="{C5F730A5-4034-4309-B263-34967184A556}">
      <formula1>"1,2,3,4,5,6,7,8,9,10"</formula1>
    </dataValidation>
    <dataValidation type="list" operator="equal" allowBlank="1" showInputMessage="1" showErrorMessage="1" sqref="B4:B5" xr:uid="{39731F0A-2149-4C0B-B3D2-240C68470167}">
      <formula1>"1,20,40,50,60,70,80,90"</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1BBEB-C12E-44B9-A11D-68302F5CB874}">
  <sheetPr codeName="Sheet2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233</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Tail of Boreas</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Hoarfrost Core</v>
      </c>
      <c r="J10" s="16">
        <f t="shared" si="0"/>
        <v>0</v>
      </c>
      <c r="K10" s="34" t="s">
        <v>202</v>
      </c>
    </row>
    <row r="11" spans="1:11" ht="15.75" thickBot="1" x14ac:dyDescent="0.3">
      <c r="A11" s="173" t="s">
        <v>208</v>
      </c>
      <c r="B11" s="202"/>
      <c r="C11" s="43">
        <v>6</v>
      </c>
      <c r="E11" s="14" t="str">
        <f>VLOOKUP(VLOOKUP(B1,Character_List,5,FALSE),Common_Mob_Drops,2,FALSE)</f>
        <v>Divining Scroll</v>
      </c>
      <c r="F11" s="17">
        <f>VLOOKUP(F5,Required_Talent_Materials,7,FALSE)-VLOOKUP(F4,Required_Talent_Materials,7,FALSE)</f>
        <v>0</v>
      </c>
      <c r="H11" s="184" t="s">
        <v>207</v>
      </c>
      <c r="I11" s="2" t="str">
        <f>B17</f>
        <v>Divining Scroll</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5"/>
      <c r="I12" s="1" t="str">
        <f>B18</f>
        <v>Sealed Scroll</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6"/>
      <c r="I13" s="9" t="str">
        <f>B19</f>
        <v>Forbidden Scroll</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Violetgrass</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Prosperity</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171" t="s">
        <v>151</v>
      </c>
      <c r="F16" s="172"/>
      <c r="H16" s="185"/>
      <c r="I16" s="1" t="str">
        <f>E7</f>
        <v>Guide to Prosperity</v>
      </c>
      <c r="J16" s="17">
        <f>SUM(F7,F20,F33)</f>
        <v>0</v>
      </c>
      <c r="K16" s="34" t="s">
        <v>202</v>
      </c>
    </row>
    <row r="17" spans="1:11" ht="15.75" thickBot="1" x14ac:dyDescent="0.3">
      <c r="A17" s="184" t="s">
        <v>207</v>
      </c>
      <c r="B17" s="2" t="str">
        <f>VLOOKUP(VLOOKUP(B1,Character_List,5,FALSE),Common_Mob_Drops,2,FALSE)</f>
        <v>Divining Scroll</v>
      </c>
      <c r="C17" s="15">
        <f>VLOOKUP(C11,Required_Ascension_Materials,7,FALSE)-VLOOKUP(C10,Required_Ascension_Materials,7,FALSE)</f>
        <v>0</v>
      </c>
      <c r="E17" s="12" t="s">
        <v>200</v>
      </c>
      <c r="F17" s="28">
        <v>9</v>
      </c>
      <c r="H17" s="186"/>
      <c r="I17" s="9" t="str">
        <f>E8</f>
        <v>Philosophies of Prosperity</v>
      </c>
      <c r="J17" s="16">
        <f>SUM(F8,F21,F34)</f>
        <v>0</v>
      </c>
      <c r="K17" s="34" t="s">
        <v>202</v>
      </c>
    </row>
    <row r="18" spans="1:11" ht="15.75" thickBot="1" x14ac:dyDescent="0.3">
      <c r="A18" s="185"/>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Tail of Boreas</v>
      </c>
      <c r="J18" s="24">
        <f>SUM(F9,F22,F35)</f>
        <v>0</v>
      </c>
      <c r="K18" s="34" t="s">
        <v>202</v>
      </c>
    </row>
    <row r="19" spans="1:11" ht="15.75" thickBot="1" x14ac:dyDescent="0.3">
      <c r="A19" s="186"/>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Violetgrass</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Tail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Tail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22" priority="1" operator="containsText" text="Done">
      <formula>NOT(ISERROR(SEARCH("Done",K4)))</formula>
    </cfRule>
    <cfRule type="containsText" dxfId="621" priority="2" operator="containsText" text="In Progress">
      <formula>NOT(ISERROR(SEARCH("In Progress",K4)))</formula>
    </cfRule>
  </conditionalFormatting>
  <dataValidations count="5">
    <dataValidation type="list" operator="equal" allowBlank="1" showInputMessage="1" showErrorMessage="1" sqref="B4:B5" xr:uid="{4B88FAAD-7346-470D-9750-959B2BE3C9A3}">
      <formula1>"1,20,40,50,60,70,80,90"</formula1>
    </dataValidation>
    <dataValidation type="list" allowBlank="1" showInputMessage="1" showErrorMessage="1" sqref="F4:F5 F17:F18 F30:F31" xr:uid="{7A0B5D4C-1F7F-4F05-ADB8-D8A0A22FBD3D}">
      <formula1>"1,2,3,4,5,6,7,8,9,10"</formula1>
    </dataValidation>
    <dataValidation type="list" allowBlank="1" showInputMessage="1" showErrorMessage="1" sqref="B1" xr:uid="{30D69527-4760-4B43-90C2-13EFF35604C3}">
      <formula1>Character_Name_List</formula1>
    </dataValidation>
    <dataValidation type="list" allowBlank="1" showInputMessage="1" showErrorMessage="1" sqref="K4:K19" xr:uid="{5D828C68-1DBC-4691-807D-8290144A5462}">
      <formula1>"In Progress, Done"</formula1>
    </dataValidation>
    <dataValidation type="list" allowBlank="1" showInputMessage="1" showErrorMessage="1" sqref="C10:C11" xr:uid="{C200E121-06D2-4136-ADB0-CE3DCC2F5955}">
      <formula1>"0,1,2,3,4,5,6"</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E99FE-06F5-4CD6-A9DD-1AF3068DE9EE}">
  <sheetPr codeName="Sheet2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234</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84"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85"/>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85"/>
      <c r="I8" s="1" t="str">
        <f t="shared" si="0"/>
        <v>Varunada Lazurite Chunk</v>
      </c>
      <c r="J8" s="17">
        <f t="shared" si="0"/>
        <v>0</v>
      </c>
      <c r="K8" s="34" t="s">
        <v>202</v>
      </c>
    </row>
    <row r="9" spans="1:11" ht="15.75" thickBot="1" x14ac:dyDescent="0.3">
      <c r="A9" s="171" t="s">
        <v>149</v>
      </c>
      <c r="B9" s="231"/>
      <c r="C9" s="172"/>
      <c r="E9" s="14" t="str">
        <f>VLOOKUP(VLOOKUP(B1,Character_List,8,FALSE),Weekly_Boss_Mats,2,FALSE)</f>
        <v>Ring of Boreas</v>
      </c>
      <c r="F9" s="17">
        <f>VLOOKUP(F5,Required_Talent_Materials,5,FALSE)-VLOOKUP(F4,Required_Talent_Materials,5,FALSE)</f>
        <v>0</v>
      </c>
      <c r="H9" s="185"/>
      <c r="I9" s="1" t="str">
        <f t="shared" si="0"/>
        <v>Varunada Lazurite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Cleansing Heart</v>
      </c>
      <c r="J10" s="16">
        <f t="shared" si="0"/>
        <v>0</v>
      </c>
      <c r="K10" s="34" t="s">
        <v>202</v>
      </c>
    </row>
    <row r="11" spans="1:11" ht="15.75" thickBot="1" x14ac:dyDescent="0.3">
      <c r="A11" s="173" t="s">
        <v>208</v>
      </c>
      <c r="B11" s="202"/>
      <c r="C11" s="43">
        <v>6</v>
      </c>
      <c r="E11" s="14" t="str">
        <f>VLOOKUP(VLOOKUP(B1,Character_List,5,FALSE),Common_Mob_Drops,2,FALSE)</f>
        <v>Whopperflower</v>
      </c>
      <c r="F11" s="17">
        <f>VLOOKUP(F5,Required_Talent_Materials,7,FALSE)-VLOOKUP(F4,Required_Talent_Materials,7,FALSE)</f>
        <v>0</v>
      </c>
      <c r="H11" s="184" t="s">
        <v>207</v>
      </c>
      <c r="I11" s="2" t="str">
        <f>B17</f>
        <v>Whopperflower</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5"/>
      <c r="I12" s="1" t="str">
        <f>B18</f>
        <v>Shimmering Nectar</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6"/>
      <c r="I13" s="9" t="str">
        <f>B19</f>
        <v>Energy Nectar</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Philanemo Mushroom</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84" t="s">
        <v>216</v>
      </c>
      <c r="I15" s="2" t="str">
        <f>E6</f>
        <v>Teachings of Resistance</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171" t="s">
        <v>151</v>
      </c>
      <c r="F16" s="172"/>
      <c r="H16" s="185"/>
      <c r="I16" s="1" t="str">
        <f>E7</f>
        <v>Guide to Resistance</v>
      </c>
      <c r="J16" s="17">
        <f>SUM(F7,F20,F33)</f>
        <v>0</v>
      </c>
      <c r="K16" s="34" t="s">
        <v>202</v>
      </c>
    </row>
    <row r="17" spans="1:11" ht="15.75" thickBot="1" x14ac:dyDescent="0.3">
      <c r="A17" s="184" t="s">
        <v>207</v>
      </c>
      <c r="B17" s="2" t="str">
        <f>VLOOKUP(VLOOKUP(B1,Character_List,5,FALSE),Common_Mob_Drops,2,FALSE)</f>
        <v>Whopperflower</v>
      </c>
      <c r="C17" s="15">
        <f>VLOOKUP(C11,Required_Ascension_Materials,7,FALSE)-VLOOKUP(C10,Required_Ascension_Materials,7,FALSE)</f>
        <v>0</v>
      </c>
      <c r="E17" s="12" t="s">
        <v>200</v>
      </c>
      <c r="F17" s="28">
        <v>9</v>
      </c>
      <c r="H17" s="186"/>
      <c r="I17" s="9" t="str">
        <f>E8</f>
        <v>Philosophies of Resistance</v>
      </c>
      <c r="J17" s="16">
        <f>SUM(F8,F21,F34)</f>
        <v>0</v>
      </c>
      <c r="K17" s="34" t="s">
        <v>202</v>
      </c>
    </row>
    <row r="18" spans="1:11" ht="15.75" thickBot="1" x14ac:dyDescent="0.3">
      <c r="A18" s="185"/>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86"/>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Philanemo Mushroom</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20" priority="1" operator="containsText" text="Done">
      <formula>NOT(ISERROR(SEARCH("Done",K4)))</formula>
    </cfRule>
    <cfRule type="containsText" dxfId="619" priority="2" operator="containsText" text="In Progress">
      <formula>NOT(ISERROR(SEARCH("In Progress",K4)))</formula>
    </cfRule>
  </conditionalFormatting>
  <dataValidations count="5">
    <dataValidation type="list" operator="equal" allowBlank="1" showInputMessage="1" showErrorMessage="1" sqref="B4:B5" xr:uid="{180492FD-CE6A-45B9-9267-C90ED13E11DB}">
      <formula1>"1,20,40,50,60,70,80,90"</formula1>
    </dataValidation>
    <dataValidation type="list" allowBlank="1" showInputMessage="1" showErrorMessage="1" sqref="F4:F5 F17:F18 F30:F31" xr:uid="{DC7740FB-4CAA-4F1C-B7D5-0293E3C04A02}">
      <formula1>"1,2,3,4,5,6,7,8,9,10"</formula1>
    </dataValidation>
    <dataValidation type="list" allowBlank="1" showInputMessage="1" showErrorMessage="1" sqref="B1" xr:uid="{C2179E93-A4F5-42FF-BBA3-B022D5836FB5}">
      <formula1>Character_Name_List</formula1>
    </dataValidation>
    <dataValidation type="list" allowBlank="1" showInputMessage="1" showErrorMessage="1" sqref="K4:K19" xr:uid="{78220AF3-9EDB-49B7-B150-C542872BDA04}">
      <formula1>"In Progress, Done"</formula1>
    </dataValidation>
    <dataValidation type="list" allowBlank="1" showInputMessage="1" showErrorMessage="1" sqref="C10:C11" xr:uid="{D088BB34-9734-4646-8294-FB330CA0012A}">
      <formula1>"0,1,2,3,4,5,6"</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761B4-A21C-4A7A-8E05-7E81808B14D4}">
  <sheetPr codeName="Sheet2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235</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Ring of Boreas</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Lightning Prism</v>
      </c>
      <c r="J10" s="16">
        <f t="shared" si="0"/>
        <v>0</v>
      </c>
      <c r="K10" s="34" t="s">
        <v>202</v>
      </c>
    </row>
    <row r="11" spans="1:11" ht="15.75" thickBot="1" x14ac:dyDescent="0.3">
      <c r="A11" s="173" t="s">
        <v>208</v>
      </c>
      <c r="B11" s="202"/>
      <c r="C11" s="43">
        <v>6</v>
      </c>
      <c r="E11" s="14" t="str">
        <f>VLOOKUP(VLOOKUP(B1,Character_List,5,FALSE),Common_Mob_Drops,2,FALSE)</f>
        <v>Whopperflower</v>
      </c>
      <c r="F11" s="17">
        <f>VLOOKUP(F5,Required_Talent_Materials,7,FALSE)-VLOOKUP(F4,Required_Talent_Materials,7,FALSE)</f>
        <v>0</v>
      </c>
      <c r="H11" s="184" t="s">
        <v>207</v>
      </c>
      <c r="I11" s="2" t="str">
        <f>B17</f>
        <v>Whopperflower</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5"/>
      <c r="I12" s="1" t="str">
        <f>B18</f>
        <v>Shimmering Nectar</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6"/>
      <c r="I13" s="9" t="str">
        <f>B19</f>
        <v>Energy Nectar</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Cor Lapis</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Prosperity</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171" t="s">
        <v>151</v>
      </c>
      <c r="F16" s="172"/>
      <c r="H16" s="185"/>
      <c r="I16" s="1" t="str">
        <f>E7</f>
        <v>Guide to Prosperity</v>
      </c>
      <c r="J16" s="17">
        <f>SUM(F7,F20,F33)</f>
        <v>0</v>
      </c>
      <c r="K16" s="34" t="s">
        <v>202</v>
      </c>
    </row>
    <row r="17" spans="1:11" ht="15.75" thickBot="1" x14ac:dyDescent="0.3">
      <c r="A17" s="184" t="s">
        <v>207</v>
      </c>
      <c r="B17" s="2" t="str">
        <f>VLOOKUP(VLOOKUP(B1,Character_List,5,FALSE),Common_Mob_Drops,2,FALSE)</f>
        <v>Whopperflower</v>
      </c>
      <c r="C17" s="15">
        <f>VLOOKUP(C11,Required_Ascension_Materials,7,FALSE)-VLOOKUP(C10,Required_Ascension_Materials,7,FALSE)</f>
        <v>0</v>
      </c>
      <c r="E17" s="12" t="s">
        <v>200</v>
      </c>
      <c r="F17" s="28">
        <v>9</v>
      </c>
      <c r="H17" s="186"/>
      <c r="I17" s="9" t="str">
        <f>E8</f>
        <v>Philosophies of Prosperity</v>
      </c>
      <c r="J17" s="16">
        <f>SUM(F8,F21,F34)</f>
        <v>0</v>
      </c>
      <c r="K17" s="34" t="s">
        <v>202</v>
      </c>
    </row>
    <row r="18" spans="1:11" ht="15.75" thickBot="1" x14ac:dyDescent="0.3">
      <c r="A18" s="185"/>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86"/>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Cor Lapis</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18" priority="1" operator="containsText" text="Done">
      <formula>NOT(ISERROR(SEARCH("Done",K4)))</formula>
    </cfRule>
    <cfRule type="containsText" dxfId="617" priority="2" operator="containsText" text="In Progress">
      <formula>NOT(ISERROR(SEARCH("In Progress",K4)))</formula>
    </cfRule>
  </conditionalFormatting>
  <dataValidations count="5">
    <dataValidation type="list" allowBlank="1" showInputMessage="1" showErrorMessage="1" sqref="C10:C11" xr:uid="{24E58FAF-AF8F-47B7-86EE-FEDBC170831E}">
      <formula1>"0,1,2,3,4,5,6"</formula1>
    </dataValidation>
    <dataValidation type="list" allowBlank="1" showInputMessage="1" showErrorMessage="1" sqref="K4:K19" xr:uid="{258A60C8-F84D-4974-A73E-6005A8A16430}">
      <formula1>"In Progress, Done"</formula1>
    </dataValidation>
    <dataValidation type="list" allowBlank="1" showInputMessage="1" showErrorMessage="1" sqref="B1" xr:uid="{48BF656B-ACAC-4422-8F11-C47D64F8A516}">
      <formula1>Character_Name_List</formula1>
    </dataValidation>
    <dataValidation type="list" allowBlank="1" showInputMessage="1" showErrorMessage="1" sqref="F4:F5 F17:F18 F30:F31" xr:uid="{5A5B3D20-F402-42A6-A0C8-46DAD72DAA50}">
      <formula1>"1,2,3,4,5,6,7,8,9,10"</formula1>
    </dataValidation>
    <dataValidation type="list" operator="equal" allowBlank="1" showInputMessage="1" showErrorMessage="1" sqref="B4:B5" xr:uid="{63FB5105-FD12-4A8D-B54E-9FA5FFDD604F}">
      <formula1>"1,20,40,50,60,70,80,90"</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E241C-20A0-4155-96BD-45D62DA1FAD3}">
  <sheetPr codeName="Sheet27">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236</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4"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5"/>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85"/>
      <c r="I8" s="1" t="str">
        <f t="shared" si="0"/>
        <v>Vayuda Turquoise Chunk</v>
      </c>
      <c r="J8" s="17">
        <f t="shared" si="0"/>
        <v>0</v>
      </c>
      <c r="K8" s="34" t="s">
        <v>202</v>
      </c>
    </row>
    <row r="9" spans="1:11" ht="15.75" thickBot="1" x14ac:dyDescent="0.3">
      <c r="A9" s="171" t="s">
        <v>149</v>
      </c>
      <c r="B9" s="231"/>
      <c r="C9" s="172"/>
      <c r="E9" s="14" t="str">
        <f>VLOOKUP(VLOOKUP(B1,Character_List,8,FALSE),Weekly_Boss_Mats,2,FALSE)</f>
        <v>Tail of Boreas</v>
      </c>
      <c r="F9" s="17">
        <f>VLOOKUP(F5,Required_Talent_Materials,5,FALSE)-VLOOKUP(F4,Required_Talent_Materials,5,FALSE)</f>
        <v>0</v>
      </c>
      <c r="H9" s="185"/>
      <c r="I9" s="1" t="str">
        <f t="shared" si="0"/>
        <v>Vayuda Turquoise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Hurricane Seed</v>
      </c>
      <c r="J10" s="16">
        <f t="shared" si="0"/>
        <v>0</v>
      </c>
      <c r="K10" s="34" t="s">
        <v>202</v>
      </c>
    </row>
    <row r="11" spans="1:11" ht="15.75" thickBot="1" x14ac:dyDescent="0.3">
      <c r="A11" s="173" t="s">
        <v>208</v>
      </c>
      <c r="B11" s="202"/>
      <c r="C11" s="43">
        <v>6</v>
      </c>
      <c r="E11" s="14" t="str">
        <f>VLOOKUP(VLOOKUP(B1,Character_List,5,FALSE),Common_Mob_Drops,2,FALSE)</f>
        <v>Slime Condensate</v>
      </c>
      <c r="F11" s="17">
        <f>VLOOKUP(F5,Required_Talent_Materials,7,FALSE)-VLOOKUP(F4,Required_Talent_Materials,7,FALSE)</f>
        <v>0</v>
      </c>
      <c r="H11" s="184" t="s">
        <v>207</v>
      </c>
      <c r="I11" s="2" t="str">
        <f>B17</f>
        <v>Slime Condensate</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5"/>
      <c r="I12" s="1" t="str">
        <f>B18</f>
        <v>Slime Secretions</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6"/>
      <c r="I13" s="9" t="str">
        <f>B19</f>
        <v>Slime Concentrate</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Cecilia</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84" t="s">
        <v>216</v>
      </c>
      <c r="I15" s="2" t="str">
        <f>E6</f>
        <v>Teachings of Ballad</v>
      </c>
      <c r="J15" s="15">
        <f>SUM(F6,F19,F32)</f>
        <v>0</v>
      </c>
      <c r="K15" s="34" t="s">
        <v>202</v>
      </c>
    </row>
    <row r="16" spans="1:11" ht="15.75" thickBot="1" x14ac:dyDescent="0.3">
      <c r="A16" s="42"/>
      <c r="B16" s="9" t="str">
        <f>VLOOKUP(B1,Character_List,4,FALSE)</f>
        <v>Hurricane Seed</v>
      </c>
      <c r="C16" s="16">
        <f>VLOOKUP(C11,Required_Ascension_Materials,6,FALSE)-VLOOKUP(C10,Required_Ascension_Materials,6,FALSE)</f>
        <v>0</v>
      </c>
      <c r="E16" s="171" t="s">
        <v>151</v>
      </c>
      <c r="F16" s="172"/>
      <c r="H16" s="185"/>
      <c r="I16" s="1" t="str">
        <f>E7</f>
        <v>Guide to Ballad</v>
      </c>
      <c r="J16" s="17">
        <f>SUM(F7,F20,F33)</f>
        <v>0</v>
      </c>
      <c r="K16" s="34" t="s">
        <v>202</v>
      </c>
    </row>
    <row r="17" spans="1:11" ht="15.75" thickBot="1" x14ac:dyDescent="0.3">
      <c r="A17" s="184" t="s">
        <v>207</v>
      </c>
      <c r="B17" s="2" t="str">
        <f>VLOOKUP(VLOOKUP(B1,Character_List,5,FALSE),Common_Mob_Drops,2,FALSE)</f>
        <v>Slime Condensate</v>
      </c>
      <c r="C17" s="15">
        <f>VLOOKUP(C11,Required_Ascension_Materials,7,FALSE)-VLOOKUP(C10,Required_Ascension_Materials,7,FALSE)</f>
        <v>0</v>
      </c>
      <c r="E17" s="12" t="s">
        <v>200</v>
      </c>
      <c r="F17" s="28">
        <v>9</v>
      </c>
      <c r="H17" s="186"/>
      <c r="I17" s="9" t="str">
        <f>E8</f>
        <v>Philosophies of Ballad</v>
      </c>
      <c r="J17" s="16">
        <f>SUM(F8,F21,F34)</f>
        <v>0</v>
      </c>
      <c r="K17" s="34" t="s">
        <v>202</v>
      </c>
    </row>
    <row r="18" spans="1:11" ht="15.75" thickBot="1" x14ac:dyDescent="0.3">
      <c r="A18" s="185"/>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Tail of Boreas</v>
      </c>
      <c r="J18" s="24">
        <f>SUM(F9,F22,F35)</f>
        <v>0</v>
      </c>
      <c r="K18" s="34" t="s">
        <v>202</v>
      </c>
    </row>
    <row r="19" spans="1:11" ht="15.75" thickBot="1" x14ac:dyDescent="0.3">
      <c r="A19" s="186"/>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Cecilia</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Tail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Tail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16" priority="1" operator="containsText" text="Done">
      <formula>NOT(ISERROR(SEARCH("Done",K4)))</formula>
    </cfRule>
    <cfRule type="containsText" dxfId="615" priority="2" operator="containsText" text="In Progress">
      <formula>NOT(ISERROR(SEARCH("In Progress",K4)))</formula>
    </cfRule>
  </conditionalFormatting>
  <dataValidations count="5">
    <dataValidation type="list" allowBlank="1" showInputMessage="1" showErrorMessage="1" sqref="C10:C11" xr:uid="{081723E5-29C5-4773-8BA5-21A268086546}">
      <formula1>"0,1,2,3,4,5,6"</formula1>
    </dataValidation>
    <dataValidation type="list" allowBlank="1" showInputMessage="1" showErrorMessage="1" sqref="K4:K19" xr:uid="{BC72D0F1-3AB4-49D5-A104-A7766F0BC7A5}">
      <formula1>"In Progress, Done"</formula1>
    </dataValidation>
    <dataValidation type="list" allowBlank="1" showInputMessage="1" showErrorMessage="1" sqref="B1" xr:uid="{05B081AB-16EB-450C-8D77-1DDB45E33B54}">
      <formula1>Character_Name_List</formula1>
    </dataValidation>
    <dataValidation type="list" allowBlank="1" showInputMessage="1" showErrorMessage="1" sqref="F4:F5 F17:F18 F30:F31" xr:uid="{9F8AC804-8B11-455B-85AD-22331636D783}">
      <formula1>"1,2,3,4,5,6,7,8,9,10"</formula1>
    </dataValidation>
    <dataValidation type="list" operator="equal" allowBlank="1" showInputMessage="1" showErrorMessage="1" sqref="B4:B5" xr:uid="{6CD674EF-DF54-49BF-BD91-C410C7E6BDB6}">
      <formula1>"1,20,40,50,60,70,80,90"</formula1>
    </dataValidation>
  </dataValidation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2CA2A-1097-45A8-A1FD-F78A958CE612}">
  <sheetPr codeName="Sheet2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237</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Ring of Boreas</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Everflame Seed</v>
      </c>
      <c r="J10" s="16">
        <f t="shared" si="0"/>
        <v>0</v>
      </c>
      <c r="K10" s="34" t="s">
        <v>202</v>
      </c>
    </row>
    <row r="11" spans="1:11" ht="15.75" thickBot="1" x14ac:dyDescent="0.3">
      <c r="A11" s="173" t="s">
        <v>208</v>
      </c>
      <c r="B11" s="202"/>
      <c r="C11" s="43">
        <v>6</v>
      </c>
      <c r="E11" s="14" t="str">
        <f>VLOOKUP(VLOOKUP(B1,Character_List,5,FALSE),Common_Mob_Drops,2,FALSE)</f>
        <v>Divining Scroll</v>
      </c>
      <c r="F11" s="17">
        <f>VLOOKUP(F5,Required_Talent_Materials,7,FALSE)-VLOOKUP(F4,Required_Talent_Materials,7,FALSE)</f>
        <v>0</v>
      </c>
      <c r="H11" s="184" t="s">
        <v>207</v>
      </c>
      <c r="I11" s="2" t="str">
        <f>B17</f>
        <v>Divining Scroll</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5"/>
      <c r="I12" s="1" t="str">
        <f>B18</f>
        <v>Sealed Scroll</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6"/>
      <c r="I13" s="9" t="str">
        <f>B19</f>
        <v>Forbidden Scroll</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Philanemo Mushroom</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Freedom</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171" t="s">
        <v>151</v>
      </c>
      <c r="F16" s="172"/>
      <c r="H16" s="185"/>
      <c r="I16" s="1" t="str">
        <f>E7</f>
        <v>Guide to Freedom</v>
      </c>
      <c r="J16" s="17">
        <f>SUM(F7,F20,F33)</f>
        <v>0</v>
      </c>
      <c r="K16" s="34" t="s">
        <v>202</v>
      </c>
    </row>
    <row r="17" spans="1:11" ht="15.75" thickBot="1" x14ac:dyDescent="0.3">
      <c r="A17" s="184" t="s">
        <v>207</v>
      </c>
      <c r="B17" s="2" t="str">
        <f>VLOOKUP(VLOOKUP(B1,Character_List,5,FALSE),Common_Mob_Drops,2,FALSE)</f>
        <v>Divining Scroll</v>
      </c>
      <c r="C17" s="15">
        <f>VLOOKUP(C11,Required_Ascension_Materials,7,FALSE)-VLOOKUP(C10,Required_Ascension_Materials,7,FALSE)</f>
        <v>0</v>
      </c>
      <c r="E17" s="12" t="s">
        <v>200</v>
      </c>
      <c r="F17" s="28">
        <v>9</v>
      </c>
      <c r="H17" s="186"/>
      <c r="I17" s="9" t="str">
        <f>E8</f>
        <v>Philosophies of Freedom</v>
      </c>
      <c r="J17" s="16">
        <f>SUM(F8,F21,F34)</f>
        <v>0</v>
      </c>
      <c r="K17" s="34" t="s">
        <v>202</v>
      </c>
    </row>
    <row r="18" spans="1:11" ht="15.75" thickBot="1" x14ac:dyDescent="0.3">
      <c r="A18" s="185"/>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86"/>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Philanemo Mushroom</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14" priority="1" operator="containsText" text="Done">
      <formula>NOT(ISERROR(SEARCH("Done",K4)))</formula>
    </cfRule>
    <cfRule type="containsText" dxfId="613" priority="2" operator="containsText" text="In Progress">
      <formula>NOT(ISERROR(SEARCH("In Progress",K4)))</formula>
    </cfRule>
  </conditionalFormatting>
  <dataValidations count="5">
    <dataValidation type="list" operator="equal" allowBlank="1" showInputMessage="1" showErrorMessage="1" sqref="B4:B5" xr:uid="{EDC3CAFB-53D8-4589-B5E0-4DC0132AAB50}">
      <formula1>"1,20,40,50,60,70,80,90"</formula1>
    </dataValidation>
    <dataValidation type="list" allowBlank="1" showInputMessage="1" showErrorMessage="1" sqref="F4:F5 F17:F18 F30:F31" xr:uid="{DE475E95-0D6C-4D12-BC66-5E45CE05711D}">
      <formula1>"1,2,3,4,5,6,7,8,9,10"</formula1>
    </dataValidation>
    <dataValidation type="list" allowBlank="1" showInputMessage="1" showErrorMessage="1" sqref="B1" xr:uid="{04B3EA3B-1C96-4991-9963-1676F18C4680}">
      <formula1>Character_Name_List</formula1>
    </dataValidation>
    <dataValidation type="list" allowBlank="1" showInputMessage="1" showErrorMessage="1" sqref="K4:K19" xr:uid="{80B4EFC6-29A5-401B-87F7-40EEE424E482}">
      <formula1>"In Progress, Done"</formula1>
    </dataValidation>
    <dataValidation type="list" allowBlank="1" showInputMessage="1" showErrorMessage="1" sqref="C10:C11" xr:uid="{4E2CA26C-1CBE-476D-8FEF-E70FCF41D9D4}">
      <formula1>"0,1,2,3,4,5,6"</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25657-1270-4BE2-B710-14D84BEA40E1}">
  <sheetPr codeName="Sheet2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238</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Shard of a Foul Legacy</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Hoarfrost Core</v>
      </c>
      <c r="J10" s="16">
        <f t="shared" si="0"/>
        <v>0</v>
      </c>
      <c r="K10" s="34" t="s">
        <v>202</v>
      </c>
    </row>
    <row r="11" spans="1:11" ht="15.75" thickBot="1" x14ac:dyDescent="0.3">
      <c r="A11" s="173" t="s">
        <v>208</v>
      </c>
      <c r="B11" s="202"/>
      <c r="C11" s="43">
        <v>6</v>
      </c>
      <c r="E11" s="14" t="str">
        <f>VLOOKUP(VLOOKUP(B1,Character_List,5,FALSE),Common_Mob_Drops,2,FALSE)</f>
        <v>Firm Arrowhead</v>
      </c>
      <c r="F11" s="17">
        <f>VLOOKUP(F5,Required_Talent_Materials,7,FALSE)-VLOOKUP(F4,Required_Talent_Materials,7,FALSE)</f>
        <v>0</v>
      </c>
      <c r="H11" s="184" t="s">
        <v>207</v>
      </c>
      <c r="I11" s="2" t="str">
        <f>B17</f>
        <v>Firm Arrowhead</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85"/>
      <c r="I12" s="1" t="str">
        <f>B18</f>
        <v>Sharp Arrowhead</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86"/>
      <c r="I13" s="9" t="str">
        <f>B19</f>
        <v>Weathered Arrowhead</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Calla Lily</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Freedom</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171" t="s">
        <v>151</v>
      </c>
      <c r="F16" s="172"/>
      <c r="H16" s="185"/>
      <c r="I16" s="1" t="str">
        <f>E7</f>
        <v>Guide to Freedom</v>
      </c>
      <c r="J16" s="17">
        <f>SUM(F7,F20,F33)</f>
        <v>0</v>
      </c>
      <c r="K16" s="34" t="s">
        <v>202</v>
      </c>
    </row>
    <row r="17" spans="1:11" ht="15.75" thickBot="1" x14ac:dyDescent="0.3">
      <c r="A17" s="184" t="s">
        <v>207</v>
      </c>
      <c r="B17" s="2" t="str">
        <f>VLOOKUP(VLOOKUP(B1,Character_List,5,FALSE),Common_Mob_Drops,2,FALSE)</f>
        <v>Firm Arrowhead</v>
      </c>
      <c r="C17" s="15">
        <f>VLOOKUP(C11,Required_Ascension_Materials,7,FALSE)-VLOOKUP(C10,Required_Ascension_Materials,7,FALSE)</f>
        <v>0</v>
      </c>
      <c r="E17" s="12" t="s">
        <v>200</v>
      </c>
      <c r="F17" s="28">
        <v>9</v>
      </c>
      <c r="H17" s="186"/>
      <c r="I17" s="9" t="str">
        <f>E8</f>
        <v>Philosophies of Freedom</v>
      </c>
      <c r="J17" s="16">
        <f>SUM(F8,F21,F34)</f>
        <v>0</v>
      </c>
      <c r="K17" s="34" t="s">
        <v>202</v>
      </c>
    </row>
    <row r="18" spans="1:11" ht="15.75" thickBot="1" x14ac:dyDescent="0.3">
      <c r="A18" s="185"/>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Shard of a Foul Legacy</v>
      </c>
      <c r="J18" s="24">
        <f>SUM(F9,F22,F35)</f>
        <v>0</v>
      </c>
      <c r="K18" s="34" t="s">
        <v>202</v>
      </c>
    </row>
    <row r="19" spans="1:11" ht="15.75" thickBot="1" x14ac:dyDescent="0.3">
      <c r="A19" s="186"/>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Calla Lily</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Shard of a Foul Legacy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Shard of a Foul Legacy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12" priority="1" operator="containsText" text="Done">
      <formula>NOT(ISERROR(SEARCH("Done",K4)))</formula>
    </cfRule>
    <cfRule type="containsText" dxfId="611" priority="2" operator="containsText" text="In Progress">
      <formula>NOT(ISERROR(SEARCH("In Progress",K4)))</formula>
    </cfRule>
  </conditionalFormatting>
  <dataValidations count="5">
    <dataValidation type="list" operator="equal" allowBlank="1" showInputMessage="1" showErrorMessage="1" sqref="B4:B5" xr:uid="{FFC6964E-3DC3-43DD-9971-858FF6C5F7DE}">
      <formula1>"1,20,40,50,60,70,80,90"</formula1>
    </dataValidation>
    <dataValidation type="list" allowBlank="1" showInputMessage="1" showErrorMessage="1" sqref="F4:F5 F17:F18 F30:F31" xr:uid="{E05F5929-BB0C-4BB0-8055-6C960584C548}">
      <formula1>"1,2,3,4,5,6,7,8,9,10"</formula1>
    </dataValidation>
    <dataValidation type="list" allowBlank="1" showInputMessage="1" showErrorMessage="1" sqref="B1" xr:uid="{5B8B8451-2FFF-4382-8926-9D250DE814A0}">
      <formula1>Character_Name_List</formula1>
    </dataValidation>
    <dataValidation type="list" allowBlank="1" showInputMessage="1" showErrorMessage="1" sqref="K4:K19" xr:uid="{68C35E35-3A18-4637-B3DD-71C8CD69145F}">
      <formula1>"In Progress, Done"</formula1>
    </dataValidation>
    <dataValidation type="list" allowBlank="1" showInputMessage="1" showErrorMessage="1" sqref="C10:C11" xr:uid="{24F3C2EE-0E43-40F0-A32D-96468A847679}">
      <formula1>"0,1,2,3,4,5,6"</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A688E-229D-4A1C-AEF8-1277A47F6463}">
  <sheetPr codeName="Sheet3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239</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84"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85"/>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85"/>
      <c r="I8" s="1" t="str">
        <f t="shared" si="0"/>
        <v>Varunada Lazurite Chunk</v>
      </c>
      <c r="J8" s="17">
        <f t="shared" si="0"/>
        <v>0</v>
      </c>
      <c r="K8" s="34" t="s">
        <v>202</v>
      </c>
    </row>
    <row r="9" spans="1:11" ht="15.75" thickBot="1" x14ac:dyDescent="0.3">
      <c r="A9" s="171" t="s">
        <v>149</v>
      </c>
      <c r="B9" s="231"/>
      <c r="C9" s="172"/>
      <c r="E9" s="14" t="str">
        <f>VLOOKUP(VLOOKUP(B1,Character_List,8,FALSE),Weekly_Boss_Mats,2,FALSE)</f>
        <v>Shard of a Foul Legacy</v>
      </c>
      <c r="F9" s="17">
        <f>VLOOKUP(F5,Required_Talent_Materials,5,FALSE)-VLOOKUP(F4,Required_Talent_Materials,5,FALSE)</f>
        <v>0</v>
      </c>
      <c r="H9" s="185"/>
      <c r="I9" s="1" t="str">
        <f t="shared" si="0"/>
        <v>Varunada Lazurite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Cleansing Heart</v>
      </c>
      <c r="J10" s="16">
        <f t="shared" si="0"/>
        <v>0</v>
      </c>
      <c r="K10" s="34" t="s">
        <v>202</v>
      </c>
    </row>
    <row r="11" spans="1:11" ht="15.75" thickBot="1" x14ac:dyDescent="0.3">
      <c r="A11" s="173" t="s">
        <v>208</v>
      </c>
      <c r="B11" s="202"/>
      <c r="C11" s="43">
        <v>6</v>
      </c>
      <c r="E11" s="14" t="str">
        <f>VLOOKUP(VLOOKUP(B1,Character_List,5,FALSE),Common_Mob_Drops,2,FALSE)</f>
        <v>Recruit's Insignia</v>
      </c>
      <c r="F11" s="17">
        <f>VLOOKUP(F5,Required_Talent_Materials,7,FALSE)-VLOOKUP(F4,Required_Talent_Materials,7,FALSE)</f>
        <v>0</v>
      </c>
      <c r="H11" s="184" t="s">
        <v>207</v>
      </c>
      <c r="I11" s="2" t="str">
        <f>B17</f>
        <v>Recruit's Insignia</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5"/>
      <c r="I12" s="1" t="str">
        <f>B18</f>
        <v>Sergeant's Insignia</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6"/>
      <c r="I13" s="9" t="str">
        <f>B19</f>
        <v>Lieutenant's Insignia</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Starconch</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84" t="s">
        <v>216</v>
      </c>
      <c r="I15" s="2" t="str">
        <f>E6</f>
        <v>Teachings of Freedom</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171" t="s">
        <v>151</v>
      </c>
      <c r="F16" s="172"/>
      <c r="H16" s="185"/>
      <c r="I16" s="1" t="str">
        <f>E7</f>
        <v>Guide to Freedom</v>
      </c>
      <c r="J16" s="17">
        <f>SUM(F7,F20,F33)</f>
        <v>0</v>
      </c>
      <c r="K16" s="34" t="s">
        <v>202</v>
      </c>
    </row>
    <row r="17" spans="1:11" ht="15.75" thickBot="1" x14ac:dyDescent="0.3">
      <c r="A17" s="184" t="s">
        <v>207</v>
      </c>
      <c r="B17" s="2" t="str">
        <f>VLOOKUP(VLOOKUP(B1,Character_List,5,FALSE),Common_Mob_Drops,2,FALSE)</f>
        <v>Recruit's Insignia</v>
      </c>
      <c r="C17" s="15">
        <f>VLOOKUP(C11,Required_Ascension_Materials,7,FALSE)-VLOOKUP(C10,Required_Ascension_Materials,7,FALSE)</f>
        <v>0</v>
      </c>
      <c r="E17" s="12" t="s">
        <v>200</v>
      </c>
      <c r="F17" s="28">
        <v>9</v>
      </c>
      <c r="H17" s="186"/>
      <c r="I17" s="9" t="str">
        <f>E8</f>
        <v>Philosophies of Freedom</v>
      </c>
      <c r="J17" s="16">
        <f>SUM(F8,F21,F34)</f>
        <v>0</v>
      </c>
      <c r="K17" s="34" t="s">
        <v>202</v>
      </c>
    </row>
    <row r="18" spans="1:11" ht="15.75" thickBot="1" x14ac:dyDescent="0.3">
      <c r="A18" s="185"/>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Shard of a Foul Legacy</v>
      </c>
      <c r="J18" s="24">
        <f>SUM(F9,F22,F35)</f>
        <v>0</v>
      </c>
      <c r="K18" s="34" t="s">
        <v>202</v>
      </c>
    </row>
    <row r="19" spans="1:11" ht="15.75" thickBot="1" x14ac:dyDescent="0.3">
      <c r="A19" s="186"/>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Starconch</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Shard of a Foul Legacy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Shard of a Foul Legacy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10" priority="1" operator="containsText" text="Done">
      <formula>NOT(ISERROR(SEARCH("Done",K4)))</formula>
    </cfRule>
    <cfRule type="containsText" dxfId="609" priority="2" operator="containsText" text="In Progress">
      <formula>NOT(ISERROR(SEARCH("In Progress",K4)))</formula>
    </cfRule>
  </conditionalFormatting>
  <dataValidations count="5">
    <dataValidation type="list" operator="equal" allowBlank="1" showInputMessage="1" showErrorMessage="1" sqref="B4:B5" xr:uid="{93EBE881-BC08-43B0-A7A6-E828A8DB9853}">
      <formula1>"1,20,40,50,60,70,80,90"</formula1>
    </dataValidation>
    <dataValidation type="list" allowBlank="1" showInputMessage="1" showErrorMessage="1" sqref="F4:F5 F17:F18 F30:F31" xr:uid="{31D71A91-ADA7-4F58-9183-67C3BC61F5C5}">
      <formula1>"1,2,3,4,5,6,7,8,9,10"</formula1>
    </dataValidation>
    <dataValidation type="list" allowBlank="1" showInputMessage="1" showErrorMessage="1" sqref="B1" xr:uid="{4DA9F613-0A8D-4A12-8229-EC713C8076CD}">
      <formula1>Character_Name_List</formula1>
    </dataValidation>
    <dataValidation type="list" allowBlank="1" showInputMessage="1" showErrorMessage="1" sqref="K4:K19" xr:uid="{D5020A3E-5073-46E4-B592-8410E6500320}">
      <formula1>"In Progress, Done"</formula1>
    </dataValidation>
    <dataValidation type="list" allowBlank="1" showInputMessage="1" showErrorMessage="1" sqref="C10:C11" xr:uid="{FB09FC3D-2F25-41E0-8713-4D8AD442E1F6}">
      <formula1>"0,1,2,3,4,5,6"</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B4721-EC38-457B-9ABB-B206E3AEFDE3}">
  <sheetPr codeName="Sheet3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240</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Tusk of Monoceros Caeli</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Everflame Seed</v>
      </c>
      <c r="J10" s="16">
        <f t="shared" si="0"/>
        <v>0</v>
      </c>
      <c r="K10" s="34" t="s">
        <v>202</v>
      </c>
    </row>
    <row r="11" spans="1:11" ht="15.75" thickBot="1" x14ac:dyDescent="0.3">
      <c r="A11" s="173" t="s">
        <v>208</v>
      </c>
      <c r="B11" s="202"/>
      <c r="C11" s="43">
        <v>6</v>
      </c>
      <c r="E11" s="14" t="str">
        <f>VLOOKUP(VLOOKUP(B1,Character_List,5,FALSE),Common_Mob_Drops,2,FALSE)</f>
        <v>Treasure Hoarder Insignia</v>
      </c>
      <c r="F11" s="17">
        <f>VLOOKUP(F5,Required_Talent_Materials,7,FALSE)-VLOOKUP(F4,Required_Talent_Materials,7,FALSE)</f>
        <v>0</v>
      </c>
      <c r="H11" s="184"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5"/>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6"/>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Violetgrass</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Gold</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171" t="s">
        <v>151</v>
      </c>
      <c r="F16" s="172"/>
      <c r="H16" s="185"/>
      <c r="I16" s="1" t="str">
        <f>E7</f>
        <v>Guide to Gold</v>
      </c>
      <c r="J16" s="17">
        <f>SUM(F7,F20,F33)</f>
        <v>0</v>
      </c>
      <c r="K16" s="34" t="s">
        <v>202</v>
      </c>
    </row>
    <row r="17" spans="1:11" ht="15.75" thickBot="1" x14ac:dyDescent="0.3">
      <c r="A17" s="184" t="s">
        <v>207</v>
      </c>
      <c r="B17" s="2" t="str">
        <f>VLOOKUP(VLOOKUP(B1,Character_List,5,FALSE),Common_Mob_Drops,2,FALSE)</f>
        <v>Treasure Hoarder Insignia</v>
      </c>
      <c r="C17" s="15">
        <f>VLOOKUP(C11,Required_Ascension_Materials,7,FALSE)-VLOOKUP(C10,Required_Ascension_Materials,7,FALSE)</f>
        <v>0</v>
      </c>
      <c r="E17" s="12" t="s">
        <v>200</v>
      </c>
      <c r="F17" s="28">
        <v>9</v>
      </c>
      <c r="H17" s="186"/>
      <c r="I17" s="9" t="str">
        <f>E8</f>
        <v>Philosophies of Gold</v>
      </c>
      <c r="J17" s="16">
        <f>SUM(F8,F21,F34)</f>
        <v>0</v>
      </c>
      <c r="K17" s="34" t="s">
        <v>202</v>
      </c>
    </row>
    <row r="18" spans="1:11" ht="15.75" thickBot="1" x14ac:dyDescent="0.3">
      <c r="A18" s="185"/>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Tusk of Monoceros Caeli</v>
      </c>
      <c r="J18" s="24">
        <f>SUM(F9,F22,F35)</f>
        <v>0</v>
      </c>
      <c r="K18" s="34" t="s">
        <v>202</v>
      </c>
    </row>
    <row r="19" spans="1:11" ht="15.75" thickBot="1" x14ac:dyDescent="0.3">
      <c r="A19" s="186"/>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Violetgrass</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Tusk of Monoceros Caeli</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Tusk of Monoceros Caeli</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08" priority="1" operator="containsText" text="Done">
      <formula>NOT(ISERROR(SEARCH("Done",K4)))</formula>
    </cfRule>
    <cfRule type="containsText" dxfId="607" priority="2" operator="containsText" text="In Progress">
      <formula>NOT(ISERROR(SEARCH("In Progress",K4)))</formula>
    </cfRule>
  </conditionalFormatting>
  <dataValidations count="5">
    <dataValidation type="list" allowBlank="1" showInputMessage="1" showErrorMessage="1" sqref="C10:C11" xr:uid="{8E044374-8C49-4030-9CDD-84D53C44A515}">
      <formula1>"0,1,2,3,4,5,6"</formula1>
    </dataValidation>
    <dataValidation type="list" allowBlank="1" showInputMessage="1" showErrorMessage="1" sqref="K4:K19" xr:uid="{5AF78A39-C6A3-412B-84EC-1019E681F8F1}">
      <formula1>"In Progress, Done"</formula1>
    </dataValidation>
    <dataValidation type="list" allowBlank="1" showInputMessage="1" showErrorMessage="1" sqref="B1" xr:uid="{2EC59F5D-521C-495E-9A0F-3C40A337526F}">
      <formula1>Character_Name_List</formula1>
    </dataValidation>
    <dataValidation type="list" allowBlank="1" showInputMessage="1" showErrorMessage="1" sqref="F4:F5 F17:F18 F30:F31" xr:uid="{C8FF893B-7C9D-4F6F-AFAE-8B6B5F86D71F}">
      <formula1>"1,2,3,4,5,6,7,8,9,10"</formula1>
    </dataValidation>
    <dataValidation type="list" operator="equal" allowBlank="1" showInputMessage="1" showErrorMessage="1" sqref="B4:B5" xr:uid="{992A9030-14CC-44BA-B6F8-D22A5F8E4C3E}">
      <formula1>"1,20,40,50,60,70,80,90"</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74092-DC82-41F2-8928-875E3B46CD2C}">
  <sheetPr codeName="Sheet3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241</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84"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85"/>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85"/>
      <c r="I8" s="1" t="str">
        <f t="shared" si="0"/>
        <v>Prithiva Topaz Chunk</v>
      </c>
      <c r="J8" s="17">
        <f t="shared" si="0"/>
        <v>0</v>
      </c>
      <c r="K8" s="34" t="s">
        <v>202</v>
      </c>
    </row>
    <row r="9" spans="1:11" ht="15.75" thickBot="1" x14ac:dyDescent="0.3">
      <c r="A9" s="171" t="s">
        <v>149</v>
      </c>
      <c r="B9" s="231"/>
      <c r="C9" s="172"/>
      <c r="E9" s="14" t="str">
        <f>VLOOKUP(VLOOKUP(B1,Character_List,8,FALSE),Weekly_Boss_Mats,2,FALSE)</f>
        <v>Tusk of Monoceros Caeli</v>
      </c>
      <c r="F9" s="17">
        <f>VLOOKUP(F5,Required_Talent_Materials,5,FALSE)-VLOOKUP(F4,Required_Talent_Materials,5,FALSE)</f>
        <v>0</v>
      </c>
      <c r="H9" s="185"/>
      <c r="I9" s="1" t="str">
        <f t="shared" si="0"/>
        <v>Prithiva Topaz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Basalt Pillar</v>
      </c>
      <c r="J10" s="16">
        <f t="shared" si="0"/>
        <v>0</v>
      </c>
      <c r="K10" s="34" t="s">
        <v>202</v>
      </c>
    </row>
    <row r="11" spans="1:11" ht="15.75" thickBot="1" x14ac:dyDescent="0.3">
      <c r="A11" s="173" t="s">
        <v>208</v>
      </c>
      <c r="B11" s="202"/>
      <c r="C11" s="43">
        <v>6</v>
      </c>
      <c r="E11" s="14" t="str">
        <f>VLOOKUP(VLOOKUP(B1,Character_List,5,FALSE),Common_Mob_Drops,2,FALSE)</f>
        <v>Slime Condensate</v>
      </c>
      <c r="F11" s="17">
        <f>VLOOKUP(F5,Required_Talent_Materials,7,FALSE)-VLOOKUP(F4,Required_Talent_Materials,7,FALSE)</f>
        <v>0</v>
      </c>
      <c r="H11" s="184" t="s">
        <v>207</v>
      </c>
      <c r="I11" s="2" t="str">
        <f>B17</f>
        <v>Slime Condensate</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5"/>
      <c r="I12" s="1" t="str">
        <f>B18</f>
        <v>Slime Secretions</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6"/>
      <c r="I13" s="9" t="str">
        <f>B19</f>
        <v>Slime Concentrate</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Cor Lapis</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84" t="s">
        <v>216</v>
      </c>
      <c r="I15" s="2" t="str">
        <f>E6</f>
        <v>Teachings of Gold</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171" t="s">
        <v>151</v>
      </c>
      <c r="F16" s="172"/>
      <c r="H16" s="185"/>
      <c r="I16" s="1" t="str">
        <f>E7</f>
        <v>Guide to Gold</v>
      </c>
      <c r="J16" s="17">
        <f>SUM(F7,F20,F33)</f>
        <v>0</v>
      </c>
      <c r="K16" s="34" t="s">
        <v>202</v>
      </c>
    </row>
    <row r="17" spans="1:11" ht="15.75" thickBot="1" x14ac:dyDescent="0.3">
      <c r="A17" s="184" t="s">
        <v>207</v>
      </c>
      <c r="B17" s="2" t="str">
        <f>VLOOKUP(VLOOKUP(B1,Character_List,5,FALSE),Common_Mob_Drops,2,FALSE)</f>
        <v>Slime Condensate</v>
      </c>
      <c r="C17" s="15">
        <f>VLOOKUP(C11,Required_Ascension_Materials,7,FALSE)-VLOOKUP(C10,Required_Ascension_Materials,7,FALSE)</f>
        <v>0</v>
      </c>
      <c r="E17" s="12" t="s">
        <v>200</v>
      </c>
      <c r="F17" s="28">
        <v>9</v>
      </c>
      <c r="H17" s="186"/>
      <c r="I17" s="9" t="str">
        <f>E8</f>
        <v>Philosophies of Gold</v>
      </c>
      <c r="J17" s="16">
        <f>SUM(F8,F21,F34)</f>
        <v>0</v>
      </c>
      <c r="K17" s="34" t="s">
        <v>202</v>
      </c>
    </row>
    <row r="18" spans="1:11" ht="15.75" thickBot="1" x14ac:dyDescent="0.3">
      <c r="A18" s="185"/>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Tusk of Monoceros Caeli</v>
      </c>
      <c r="J18" s="24">
        <f>SUM(F9,F22,F35)</f>
        <v>0</v>
      </c>
      <c r="K18" s="34" t="s">
        <v>202</v>
      </c>
    </row>
    <row r="19" spans="1:11" ht="15.75" thickBot="1" x14ac:dyDescent="0.3">
      <c r="A19" s="186"/>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Cor Lapis</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Tusk of Monoceros Caeli</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Tusk of Monoceros Caeli</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06" priority="1" operator="containsText" text="Done">
      <formula>NOT(ISERROR(SEARCH("Done",K4)))</formula>
    </cfRule>
    <cfRule type="containsText" dxfId="605" priority="2" operator="containsText" text="In Progress">
      <formula>NOT(ISERROR(SEARCH("In Progress",K4)))</formula>
    </cfRule>
  </conditionalFormatting>
  <dataValidations count="5">
    <dataValidation type="list" operator="equal" allowBlank="1" showInputMessage="1" showErrorMessage="1" sqref="B4:B5" xr:uid="{1F372194-BA6D-4448-B467-2F9F8860E350}">
      <formula1>"1,20,40,50,60,70,80,90"</formula1>
    </dataValidation>
    <dataValidation type="list" allowBlank="1" showInputMessage="1" showErrorMessage="1" sqref="F4:F5 F17:F18 F30:F31" xr:uid="{4C05B9EF-3177-46C7-854F-8594CF3A67C9}">
      <formula1>"1,2,3,4,5,6,7,8,9,10"</formula1>
    </dataValidation>
    <dataValidation type="list" allowBlank="1" showInputMessage="1" showErrorMessage="1" sqref="B1" xr:uid="{91A7DBEB-7926-4D75-B2EC-BB9B42A4AF4C}">
      <formula1>Character_Name_List</formula1>
    </dataValidation>
    <dataValidation type="list" allowBlank="1" showInputMessage="1" showErrorMessage="1" sqref="K4:K19" xr:uid="{BECE11FE-B888-42CC-A4C5-7541500022A5}">
      <formula1>"In Progress, Done"</formula1>
    </dataValidation>
    <dataValidation type="list" allowBlank="1" showInputMessage="1" showErrorMessage="1" sqref="C10:C11" xr:uid="{1EBDC621-C22C-4BAD-AE45-988596DBFCCE}">
      <formula1>"0,1,2,3,4,5,6"</formula1>
    </dataValidation>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1025-55B7-4027-A7B8-E0E2003126CF}">
  <sheetPr codeName="Sheet3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242</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4"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5"/>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85"/>
      <c r="I8" s="1" t="str">
        <f t="shared" si="0"/>
        <v>Prithiva Topaz Chunk</v>
      </c>
      <c r="J8" s="17">
        <f t="shared" si="0"/>
        <v>0</v>
      </c>
      <c r="K8" s="34" t="s">
        <v>202</v>
      </c>
    </row>
    <row r="9" spans="1:11" ht="15.75" thickBot="1" x14ac:dyDescent="0.3">
      <c r="A9" s="171" t="s">
        <v>149</v>
      </c>
      <c r="B9" s="231"/>
      <c r="C9" s="172"/>
      <c r="E9" s="14" t="str">
        <f>VLOOKUP(VLOOKUP(B1,Character_List,8,FALSE),Weekly_Boss_Mats,2,FALSE)</f>
        <v>Tusk of Monoceros Caeli</v>
      </c>
      <c r="F9" s="17">
        <f>VLOOKUP(F5,Required_Talent_Materials,5,FALSE)-VLOOKUP(F4,Required_Talent_Materials,5,FALSE)</f>
        <v>0</v>
      </c>
      <c r="H9" s="185"/>
      <c r="I9" s="1" t="str">
        <f t="shared" si="0"/>
        <v>Prithiva Topaz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Basalt Pillar</v>
      </c>
      <c r="J10" s="16">
        <f t="shared" si="0"/>
        <v>0</v>
      </c>
      <c r="K10" s="34" t="s">
        <v>202</v>
      </c>
    </row>
    <row r="11" spans="1:11" ht="15.75" thickBot="1" x14ac:dyDescent="0.3">
      <c r="A11" s="173" t="s">
        <v>208</v>
      </c>
      <c r="B11" s="202"/>
      <c r="C11" s="43">
        <v>6</v>
      </c>
      <c r="E11" s="14" t="str">
        <f>VLOOKUP(VLOOKUP(B1,Character_List,5,FALSE),Common_Mob_Drops,2,FALSE)</f>
        <v>Divining Scroll</v>
      </c>
      <c r="F11" s="17">
        <f>VLOOKUP(F5,Required_Talent_Materials,7,FALSE)-VLOOKUP(F4,Required_Talent_Materials,7,FALSE)</f>
        <v>0</v>
      </c>
      <c r="H11" s="184" t="s">
        <v>207</v>
      </c>
      <c r="I11" s="2" t="str">
        <f>B17</f>
        <v>Divining Scroll</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5"/>
      <c r="I12" s="1" t="str">
        <f>B18</f>
        <v>Sealed Scroll</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6"/>
      <c r="I13" s="9" t="str">
        <f>B19</f>
        <v>Forbidden Scroll</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Cecilia</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84" t="s">
        <v>216</v>
      </c>
      <c r="I15" s="2" t="str">
        <f>E6</f>
        <v>Teachings of Ballad</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171" t="s">
        <v>151</v>
      </c>
      <c r="F16" s="172"/>
      <c r="H16" s="185"/>
      <c r="I16" s="1" t="str">
        <f>E7</f>
        <v>Guide to Ballad</v>
      </c>
      <c r="J16" s="17">
        <f>SUM(F7,F20,F33)</f>
        <v>0</v>
      </c>
      <c r="K16" s="34" t="s">
        <v>202</v>
      </c>
    </row>
    <row r="17" spans="1:11" ht="15.75" thickBot="1" x14ac:dyDescent="0.3">
      <c r="A17" s="184" t="s">
        <v>207</v>
      </c>
      <c r="B17" s="2" t="str">
        <f>VLOOKUP(VLOOKUP(B1,Character_List,5,FALSE),Common_Mob_Drops,2,FALSE)</f>
        <v>Divining Scroll</v>
      </c>
      <c r="C17" s="15">
        <f>VLOOKUP(C11,Required_Ascension_Materials,7,FALSE)-VLOOKUP(C10,Required_Ascension_Materials,7,FALSE)</f>
        <v>0</v>
      </c>
      <c r="E17" s="12" t="s">
        <v>200</v>
      </c>
      <c r="F17" s="28">
        <v>9</v>
      </c>
      <c r="H17" s="186"/>
      <c r="I17" s="9" t="str">
        <f>E8</f>
        <v>Philosophies of Ballad</v>
      </c>
      <c r="J17" s="16">
        <f>SUM(F8,F21,F34)</f>
        <v>0</v>
      </c>
      <c r="K17" s="34" t="s">
        <v>202</v>
      </c>
    </row>
    <row r="18" spans="1:11" ht="15.75" thickBot="1" x14ac:dyDescent="0.3">
      <c r="A18" s="185"/>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Tusk of Monoceros Caeli</v>
      </c>
      <c r="J18" s="24">
        <f>SUM(F9,F22,F35)</f>
        <v>0</v>
      </c>
      <c r="K18" s="34" t="s">
        <v>202</v>
      </c>
    </row>
    <row r="19" spans="1:11" ht="15.75" thickBot="1" x14ac:dyDescent="0.3">
      <c r="A19" s="186"/>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Cecilia</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Tusk of Monoceros Caeli</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Tusk of Monoceros Caeli</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04" priority="1" operator="containsText" text="Done">
      <formula>NOT(ISERROR(SEARCH("Done",K4)))</formula>
    </cfRule>
    <cfRule type="containsText" dxfId="603" priority="2" operator="containsText" text="In Progress">
      <formula>NOT(ISERROR(SEARCH("In Progress",K4)))</formula>
    </cfRule>
  </conditionalFormatting>
  <dataValidations count="5">
    <dataValidation type="list" allowBlank="1" showInputMessage="1" showErrorMessage="1" sqref="C10:C11" xr:uid="{7B26D65B-25A4-43BD-8C89-A2C368315B03}">
      <formula1>"0,1,2,3,4,5,6"</formula1>
    </dataValidation>
    <dataValidation type="list" allowBlank="1" showInputMessage="1" showErrorMessage="1" sqref="K4:K19" xr:uid="{FFBCB546-08F5-4E70-85E6-0E04F68E43A7}">
      <formula1>"In Progress, Done"</formula1>
    </dataValidation>
    <dataValidation type="list" allowBlank="1" showInputMessage="1" showErrorMessage="1" sqref="B1" xr:uid="{A6294F5A-B6DD-4FA0-8A33-65D370281F4C}">
      <formula1>Character_Name_List</formula1>
    </dataValidation>
    <dataValidation type="list" allowBlank="1" showInputMessage="1" showErrorMessage="1" sqref="F4:F5 F17:F18 F30:F31" xr:uid="{6A2DF433-73F3-4A1E-B38D-4931D7B4582D}">
      <formula1>"1,2,3,4,5,6,7,8,9,10"</formula1>
    </dataValidation>
    <dataValidation type="list" operator="equal" allowBlank="1" showInputMessage="1" showErrorMessage="1" sqref="B4:B5" xr:uid="{F70BD5E3-E7D9-490D-8D69-CB55179C6A0F}">
      <formula1>"1,20,40,50,60,70,80,90"</formula1>
    </dataValidation>
  </dataValidation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E621-D77B-4CC7-A317-4FF9820DAAD2}">
  <sheetPr codeName="Sheet3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243</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Shadow of the Warrior</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Hoarfrost Core</v>
      </c>
      <c r="J10" s="16">
        <f t="shared" si="0"/>
        <v>0</v>
      </c>
      <c r="K10" s="34" t="s">
        <v>202</v>
      </c>
    </row>
    <row r="11" spans="1:11" ht="15.75" thickBot="1" x14ac:dyDescent="0.3">
      <c r="A11" s="173" t="s">
        <v>208</v>
      </c>
      <c r="B11" s="202"/>
      <c r="C11" s="43">
        <v>6</v>
      </c>
      <c r="E11" s="14" t="str">
        <f>VLOOKUP(VLOOKUP(B1,Character_List,5,FALSE),Common_Mob_Drops,2,FALSE)</f>
        <v>Whopperflower</v>
      </c>
      <c r="F11" s="17">
        <f>VLOOKUP(F5,Required_Talent_Materials,7,FALSE)-VLOOKUP(F4,Required_Talent_Materials,7,FALSE)</f>
        <v>0</v>
      </c>
      <c r="H11" s="184" t="s">
        <v>207</v>
      </c>
      <c r="I11" s="2" t="str">
        <f>B17</f>
        <v>Whopperflower</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5"/>
      <c r="I12" s="1" t="str">
        <f>B18</f>
        <v>Shimmering Nectar</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6"/>
      <c r="I13" s="9" t="str">
        <f>B19</f>
        <v>Energy Nectar</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Qingxin</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Diligence</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171" t="s">
        <v>151</v>
      </c>
      <c r="F16" s="172"/>
      <c r="H16" s="185"/>
      <c r="I16" s="1" t="str">
        <f>E7</f>
        <v>Guide to Diligence</v>
      </c>
      <c r="J16" s="17">
        <f>SUM(F7,F20,F33)</f>
        <v>0</v>
      </c>
      <c r="K16" s="34" t="s">
        <v>202</v>
      </c>
    </row>
    <row r="17" spans="1:11" ht="15.75" thickBot="1" x14ac:dyDescent="0.3">
      <c r="A17" s="184" t="s">
        <v>207</v>
      </c>
      <c r="B17" s="2" t="str">
        <f>VLOOKUP(VLOOKUP(B1,Character_List,5,FALSE),Common_Mob_Drops,2,FALSE)</f>
        <v>Whopperflower</v>
      </c>
      <c r="C17" s="15">
        <f>VLOOKUP(C11,Required_Ascension_Materials,7,FALSE)-VLOOKUP(C10,Required_Ascension_Materials,7,FALSE)</f>
        <v>0</v>
      </c>
      <c r="E17" s="12" t="s">
        <v>200</v>
      </c>
      <c r="F17" s="28">
        <v>9</v>
      </c>
      <c r="H17" s="186"/>
      <c r="I17" s="9" t="str">
        <f>E8</f>
        <v>Philosophies of Diligence</v>
      </c>
      <c r="J17" s="16">
        <f>SUM(F8,F21,F34)</f>
        <v>0</v>
      </c>
      <c r="K17" s="34" t="s">
        <v>202</v>
      </c>
    </row>
    <row r="18" spans="1:11" ht="15.75" thickBot="1" x14ac:dyDescent="0.3">
      <c r="A18" s="185"/>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Shadow of the Warrior</v>
      </c>
      <c r="J18" s="24">
        <f>SUM(F9,F22,F35)</f>
        <v>0</v>
      </c>
      <c r="K18" s="34" t="s">
        <v>202</v>
      </c>
    </row>
    <row r="19" spans="1:11" ht="15.75" thickBot="1" x14ac:dyDescent="0.3">
      <c r="A19" s="186"/>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Qingxin</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Shadow of the Warrior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Shadow of the Warrior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02" priority="1" operator="containsText" text="Done">
      <formula>NOT(ISERROR(SEARCH("Done",K4)))</formula>
    </cfRule>
    <cfRule type="containsText" dxfId="601" priority="2" operator="containsText" text="In Progress">
      <formula>NOT(ISERROR(SEARCH("In Progress",K4)))</formula>
    </cfRule>
  </conditionalFormatting>
  <dataValidations count="5">
    <dataValidation type="list" operator="equal" allowBlank="1" showInputMessage="1" showErrorMessage="1" sqref="B4:B5" xr:uid="{2C831648-EE3C-456E-8410-34B9FA0761E6}">
      <formula1>"1,20,40,50,60,70,80,90"</formula1>
    </dataValidation>
    <dataValidation type="list" allowBlank="1" showInputMessage="1" showErrorMessage="1" sqref="F4:F5 F17:F18 F30:F31" xr:uid="{2F8D7209-D91B-4756-A003-8BECD545E312}">
      <formula1>"1,2,3,4,5,6,7,8,9,10"</formula1>
    </dataValidation>
    <dataValidation type="list" allowBlank="1" showInputMessage="1" showErrorMessage="1" sqref="B1" xr:uid="{BCD17F4C-0C93-465D-93FF-F51941BB97EA}">
      <formula1>Character_Name_List</formula1>
    </dataValidation>
    <dataValidation type="list" allowBlank="1" showInputMessage="1" showErrorMessage="1" sqref="K4:K19" xr:uid="{9367EB82-4B38-4580-887A-2D9B88CB4CE5}">
      <formula1>"In Progress, Done"</formula1>
    </dataValidation>
    <dataValidation type="list" allowBlank="1" showInputMessage="1" showErrorMessage="1" sqref="C10:C11" xr:uid="{3364872A-AD0E-476F-988E-148BB2A43727}">
      <formula1>"0,1,2,3,4,5,6"</formula1>
    </dataValidation>
  </dataValidation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A884A-3B26-4997-B2E8-E5752DCF44C8}">
  <sheetPr codeName="Sheet3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244</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84"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85"/>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85"/>
      <c r="I8" s="1" t="str">
        <f t="shared" si="0"/>
        <v>Vayuda Turquoise Chunk</v>
      </c>
      <c r="J8" s="17">
        <f t="shared" si="0"/>
        <v>0</v>
      </c>
      <c r="K8" s="34" t="s">
        <v>202</v>
      </c>
    </row>
    <row r="9" spans="1:11" ht="15.75" thickBot="1" x14ac:dyDescent="0.3">
      <c r="A9" s="171" t="s">
        <v>149</v>
      </c>
      <c r="B9" s="231"/>
      <c r="C9" s="172"/>
      <c r="E9" s="14" t="str">
        <f>VLOOKUP(VLOOKUP(B1,Character_List,8,FALSE),Weekly_Boss_Mats,2,FALSE)</f>
        <v>Shadow of the Warrior</v>
      </c>
      <c r="F9" s="17">
        <f>VLOOKUP(F5,Required_Talent_Materials,5,FALSE)-VLOOKUP(F4,Required_Talent_Materials,5,FALSE)</f>
        <v>0</v>
      </c>
      <c r="H9" s="185"/>
      <c r="I9" s="1" t="str">
        <f t="shared" si="0"/>
        <v>Vayuda Turquoise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Juvenile Jade</v>
      </c>
      <c r="J10" s="16">
        <f t="shared" si="0"/>
        <v>0</v>
      </c>
      <c r="K10" s="34" t="s">
        <v>202</v>
      </c>
    </row>
    <row r="11" spans="1:11" ht="15.75" thickBot="1" x14ac:dyDescent="0.3">
      <c r="A11" s="173" t="s">
        <v>208</v>
      </c>
      <c r="B11" s="202"/>
      <c r="C11" s="43">
        <v>6</v>
      </c>
      <c r="E11" s="14" t="str">
        <f>VLOOKUP(VLOOKUP(B1,Character_List,5,FALSE),Common_Mob_Drops,2,FALSE)</f>
        <v>Slime Condensate</v>
      </c>
      <c r="F11" s="17">
        <f>VLOOKUP(F5,Required_Talent_Materials,7,FALSE)-VLOOKUP(F4,Required_Talent_Materials,7,FALSE)</f>
        <v>0</v>
      </c>
      <c r="H11" s="184" t="s">
        <v>207</v>
      </c>
      <c r="I11" s="2" t="str">
        <f>B17</f>
        <v>Slime Condensate</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5"/>
      <c r="I12" s="1" t="str">
        <f>B18</f>
        <v>Slime Secretions</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6"/>
      <c r="I13" s="9" t="str">
        <f>B19</f>
        <v>Slime Concentrate</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Qingxin</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84" t="s">
        <v>216</v>
      </c>
      <c r="I15" s="2" t="str">
        <f>E6</f>
        <v>Teachings of Prosperity</v>
      </c>
      <c r="J15" s="15">
        <f>SUM(F6,F19,F32)</f>
        <v>0</v>
      </c>
      <c r="K15" s="34" t="s">
        <v>202</v>
      </c>
    </row>
    <row r="16" spans="1:11" ht="15.75" thickBot="1" x14ac:dyDescent="0.3">
      <c r="A16" s="42"/>
      <c r="B16" s="9" t="str">
        <f>VLOOKUP(B1,Character_List,4,FALSE)</f>
        <v>Juvenile Jade</v>
      </c>
      <c r="C16" s="16">
        <f>VLOOKUP(C11,Required_Ascension_Materials,6,FALSE)-VLOOKUP(C10,Required_Ascension_Materials,6,FALSE)</f>
        <v>0</v>
      </c>
      <c r="E16" s="171" t="s">
        <v>151</v>
      </c>
      <c r="F16" s="172"/>
      <c r="H16" s="185"/>
      <c r="I16" s="1" t="str">
        <f>E7</f>
        <v>Guide to Prosperity</v>
      </c>
      <c r="J16" s="17">
        <f>SUM(F7,F20,F33)</f>
        <v>0</v>
      </c>
      <c r="K16" s="34" t="s">
        <v>202</v>
      </c>
    </row>
    <row r="17" spans="1:11" ht="15.75" thickBot="1" x14ac:dyDescent="0.3">
      <c r="A17" s="184" t="s">
        <v>207</v>
      </c>
      <c r="B17" s="2" t="str">
        <f>VLOOKUP(VLOOKUP(B1,Character_List,5,FALSE),Common_Mob_Drops,2,FALSE)</f>
        <v>Slime Condensate</v>
      </c>
      <c r="C17" s="15">
        <f>VLOOKUP(C11,Required_Ascension_Materials,7,FALSE)-VLOOKUP(C10,Required_Ascension_Materials,7,FALSE)</f>
        <v>0</v>
      </c>
      <c r="E17" s="12" t="s">
        <v>200</v>
      </c>
      <c r="F17" s="28">
        <v>9</v>
      </c>
      <c r="H17" s="186"/>
      <c r="I17" s="9" t="str">
        <f>E8</f>
        <v>Philosophies of Prosperity</v>
      </c>
      <c r="J17" s="16">
        <f>SUM(F8,F21,F34)</f>
        <v>0</v>
      </c>
      <c r="K17" s="34" t="s">
        <v>202</v>
      </c>
    </row>
    <row r="18" spans="1:11" ht="15.75" thickBot="1" x14ac:dyDescent="0.3">
      <c r="A18" s="185"/>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Shadow of the Warrior</v>
      </c>
      <c r="J18" s="24">
        <f>SUM(F9,F22,F35)</f>
        <v>0</v>
      </c>
      <c r="K18" s="34" t="s">
        <v>202</v>
      </c>
    </row>
    <row r="19" spans="1:11" ht="15.75" thickBot="1" x14ac:dyDescent="0.3">
      <c r="A19" s="186"/>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Qingxin</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Shadow of the Warrior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Shadow of the Warrior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00" priority="1" operator="containsText" text="Done">
      <formula>NOT(ISERROR(SEARCH("Done",K4)))</formula>
    </cfRule>
    <cfRule type="containsText" dxfId="599" priority="2" operator="containsText" text="In Progress">
      <formula>NOT(ISERROR(SEARCH("In Progress",K4)))</formula>
    </cfRule>
  </conditionalFormatting>
  <dataValidations count="5">
    <dataValidation type="list" allowBlank="1" showInputMessage="1" showErrorMessage="1" sqref="C10:C11" xr:uid="{C79A5520-7F01-4659-85C7-53BA64E12AAF}">
      <formula1>"0,1,2,3,4,5,6"</formula1>
    </dataValidation>
    <dataValidation type="list" allowBlank="1" showInputMessage="1" showErrorMessage="1" sqref="K4:K19" xr:uid="{27FE3A22-197D-4022-B13B-E1F5D95FAA4C}">
      <formula1>"In Progress, Done"</formula1>
    </dataValidation>
    <dataValidation type="list" allowBlank="1" showInputMessage="1" showErrorMessage="1" sqref="B1" xr:uid="{220DCA21-5C12-468C-9286-AE5A8DC1995F}">
      <formula1>Character_Name_List</formula1>
    </dataValidation>
    <dataValidation type="list" allowBlank="1" showInputMessage="1" showErrorMessage="1" sqref="F4:F5 F17:F18 F30:F31" xr:uid="{7B5EC0C1-C08E-42F3-84FB-6F5C60EA54A0}">
      <formula1>"1,2,3,4,5,6,7,8,9,10"</formula1>
    </dataValidation>
    <dataValidation type="list" operator="equal" allowBlank="1" showInputMessage="1" showErrorMessage="1" sqref="B4:B5" xr:uid="{E2648859-6CAD-441B-A42B-7A97687EF284}">
      <formula1>"1,20,40,50,60,70,80,90"</formula1>
    </dataValidation>
  </dataValidation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9B6AD-F77A-4E17-B324-D2914595709C}">
  <sheetPr codeName="Sheet3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245</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Shard of a Foul Legacy</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Juvenile Jade</v>
      </c>
      <c r="J10" s="16">
        <f t="shared" si="0"/>
        <v>0</v>
      </c>
      <c r="K10" s="34" t="s">
        <v>202</v>
      </c>
    </row>
    <row r="11" spans="1:11" ht="15.75" thickBot="1" x14ac:dyDescent="0.3">
      <c r="A11" s="173" t="s">
        <v>208</v>
      </c>
      <c r="B11" s="202"/>
      <c r="C11" s="43">
        <v>6</v>
      </c>
      <c r="E11" s="14" t="str">
        <f>VLOOKUP(VLOOKUP(B1,Character_List,5,FALSE),Common_Mob_Drops,2,FALSE)</f>
        <v>Whopperflower</v>
      </c>
      <c r="F11" s="17">
        <f>VLOOKUP(F5,Required_Talent_Materials,7,FALSE)-VLOOKUP(F4,Required_Talent_Materials,7,FALSE)</f>
        <v>0</v>
      </c>
      <c r="H11" s="184" t="s">
        <v>207</v>
      </c>
      <c r="I11" s="2" t="str">
        <f>B17</f>
        <v>Whopperflower</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5"/>
      <c r="I12" s="1" t="str">
        <f>B18</f>
        <v>Shimmering Nectar</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6"/>
      <c r="I13" s="9" t="str">
        <f>B19</f>
        <v>Energy Nectar</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Silk Flower</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Diligence</v>
      </c>
      <c r="J15" s="15">
        <f>SUM(F6,F19,F32)</f>
        <v>0</v>
      </c>
      <c r="K15" s="34" t="s">
        <v>202</v>
      </c>
    </row>
    <row r="16" spans="1:11" ht="15.75" thickBot="1" x14ac:dyDescent="0.3">
      <c r="A16" s="42"/>
      <c r="B16" s="9" t="str">
        <f>VLOOKUP(B1,Character_List,4,FALSE)</f>
        <v>Juvenile Jade</v>
      </c>
      <c r="C16" s="16">
        <f>VLOOKUP(C11,Required_Ascension_Materials,6,FALSE)-VLOOKUP(C10,Required_Ascension_Materials,6,FALSE)</f>
        <v>0</v>
      </c>
      <c r="E16" s="171" t="s">
        <v>151</v>
      </c>
      <c r="F16" s="172"/>
      <c r="H16" s="185"/>
      <c r="I16" s="1" t="str">
        <f>E7</f>
        <v>Guide to Diligence</v>
      </c>
      <c r="J16" s="17">
        <f>SUM(F7,F20,F33)</f>
        <v>0</v>
      </c>
      <c r="K16" s="34" t="s">
        <v>202</v>
      </c>
    </row>
    <row r="17" spans="1:11" ht="15.75" thickBot="1" x14ac:dyDescent="0.3">
      <c r="A17" s="184" t="s">
        <v>207</v>
      </c>
      <c r="B17" s="2" t="str">
        <f>VLOOKUP(VLOOKUP(B1,Character_List,5,FALSE),Common_Mob_Drops,2,FALSE)</f>
        <v>Whopperflower</v>
      </c>
      <c r="C17" s="15">
        <f>VLOOKUP(C11,Required_Ascension_Materials,7,FALSE)-VLOOKUP(C10,Required_Ascension_Materials,7,FALSE)</f>
        <v>0</v>
      </c>
      <c r="E17" s="12" t="s">
        <v>200</v>
      </c>
      <c r="F17" s="28">
        <v>9</v>
      </c>
      <c r="H17" s="186"/>
      <c r="I17" s="9" t="str">
        <f>E8</f>
        <v>Philosophies of Diligence</v>
      </c>
      <c r="J17" s="16">
        <f>SUM(F8,F21,F34)</f>
        <v>0</v>
      </c>
      <c r="K17" s="34" t="s">
        <v>202</v>
      </c>
    </row>
    <row r="18" spans="1:11" ht="15.75" thickBot="1" x14ac:dyDescent="0.3">
      <c r="A18" s="185"/>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Shard of a Foul Legacy</v>
      </c>
      <c r="J18" s="24">
        <f>SUM(F9,F22,F35)</f>
        <v>0</v>
      </c>
      <c r="K18" s="34" t="s">
        <v>202</v>
      </c>
    </row>
    <row r="19" spans="1:11" ht="15.75" thickBot="1" x14ac:dyDescent="0.3">
      <c r="A19" s="186"/>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Silk Flower</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Shard of a Foul Legacy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Shard of a Foul Legacy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98" priority="1" operator="containsText" text="Done">
      <formula>NOT(ISERROR(SEARCH("Done",K4)))</formula>
    </cfRule>
    <cfRule type="containsText" dxfId="597" priority="2" operator="containsText" text="In Progress">
      <formula>NOT(ISERROR(SEARCH("In Progress",K4)))</formula>
    </cfRule>
  </conditionalFormatting>
  <dataValidations count="5">
    <dataValidation type="list" allowBlank="1" showInputMessage="1" showErrorMessage="1" sqref="C10:C11" xr:uid="{A91F2728-B48A-4AD1-9FEE-2F8C2372FE94}">
      <formula1>"0,1,2,3,4,5,6"</formula1>
    </dataValidation>
    <dataValidation type="list" allowBlank="1" showInputMessage="1" showErrorMessage="1" sqref="K4:K19" xr:uid="{7B5FAFFC-43DF-4AB7-BFF5-1C744274BC08}">
      <formula1>"In Progress, Done"</formula1>
    </dataValidation>
    <dataValidation type="list" allowBlank="1" showInputMessage="1" showErrorMessage="1" sqref="B1" xr:uid="{3F3B8A32-F2F9-4E45-8ABD-A2D7DA606FEA}">
      <formula1>Character_Name_List</formula1>
    </dataValidation>
    <dataValidation type="list" allowBlank="1" showInputMessage="1" showErrorMessage="1" sqref="F4:F5 F17:F18 F30:F31" xr:uid="{1D6B61E2-9562-487F-972B-3FE3694D03FB}">
      <formula1>"1,2,3,4,5,6,7,8,9,10"</formula1>
    </dataValidation>
    <dataValidation type="list" operator="equal" allowBlank="1" showInputMessage="1" showErrorMessage="1" sqref="B4:B5" xr:uid="{25661505-4E1C-4F3E-95ED-B11BA54BEF1A}">
      <formula1>"1,20,40,50,60,70,80,90"</formula1>
    </dataValidation>
  </dataValidation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F4994-F6BE-4AD9-9C5D-BC49213F930E}">
  <sheetPr codeName="Sheet37">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246</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Shadow of the Warrior</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Hoarfrost Core</v>
      </c>
      <c r="J10" s="16">
        <f t="shared" si="0"/>
        <v>0</v>
      </c>
      <c r="K10" s="34" t="s">
        <v>202</v>
      </c>
    </row>
    <row r="11" spans="1:11" ht="15.75" thickBot="1" x14ac:dyDescent="0.3">
      <c r="A11" s="173" t="s">
        <v>208</v>
      </c>
      <c r="B11" s="202"/>
      <c r="C11" s="43">
        <v>6</v>
      </c>
      <c r="E11" s="14" t="str">
        <f>VLOOKUP(VLOOKUP(B1,Character_List,5,FALSE),Common_Mob_Drops,2,FALSE)</f>
        <v>Recruit's Insignia</v>
      </c>
      <c r="F11" s="17">
        <f>VLOOKUP(F5,Required_Talent_Materials,7,FALSE)-VLOOKUP(F4,Required_Talent_Materials,7,FALSE)</f>
        <v>0</v>
      </c>
      <c r="H11" s="184" t="s">
        <v>207</v>
      </c>
      <c r="I11" s="2" t="str">
        <f>B17</f>
        <v>Recruit's Insignia</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5"/>
      <c r="I12" s="1" t="str">
        <f>B18</f>
        <v>Sergeant's Insignia</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6"/>
      <c r="I13" s="9" t="str">
        <f>B19</f>
        <v>Lieutenant's Insignia</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Valberry</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Ballad</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171" t="s">
        <v>151</v>
      </c>
      <c r="F16" s="172"/>
      <c r="H16" s="185"/>
      <c r="I16" s="1" t="str">
        <f>E7</f>
        <v>Guide to Ballad</v>
      </c>
      <c r="J16" s="17">
        <f>SUM(F7,F20,F33)</f>
        <v>0</v>
      </c>
      <c r="K16" s="34" t="s">
        <v>202</v>
      </c>
    </row>
    <row r="17" spans="1:11" ht="15.75" thickBot="1" x14ac:dyDescent="0.3">
      <c r="A17" s="184" t="s">
        <v>207</v>
      </c>
      <c r="B17" s="2" t="str">
        <f>VLOOKUP(VLOOKUP(B1,Character_List,5,FALSE),Common_Mob_Drops,2,FALSE)</f>
        <v>Recruit's Insignia</v>
      </c>
      <c r="C17" s="15">
        <f>VLOOKUP(C11,Required_Ascension_Materials,7,FALSE)-VLOOKUP(C10,Required_Ascension_Materials,7,FALSE)</f>
        <v>0</v>
      </c>
      <c r="E17" s="12" t="s">
        <v>200</v>
      </c>
      <c r="F17" s="28">
        <v>9</v>
      </c>
      <c r="H17" s="186"/>
      <c r="I17" s="9" t="str">
        <f>E8</f>
        <v>Philosophies of Ballad</v>
      </c>
      <c r="J17" s="16">
        <f>SUM(F8,F21,F34)</f>
        <v>0</v>
      </c>
      <c r="K17" s="34" t="s">
        <v>202</v>
      </c>
    </row>
    <row r="18" spans="1:11" ht="15.75" thickBot="1" x14ac:dyDescent="0.3">
      <c r="A18" s="185"/>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Shadow of the Warrior</v>
      </c>
      <c r="J18" s="24">
        <f>SUM(F9,F22,F35)</f>
        <v>0</v>
      </c>
      <c r="K18" s="34" t="s">
        <v>202</v>
      </c>
    </row>
    <row r="19" spans="1:11" ht="15.75" thickBot="1" x14ac:dyDescent="0.3">
      <c r="A19" s="186"/>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Valberry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Shadow of the Warrior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Shadow of the Warrior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96" priority="1" operator="containsText" text="Done">
      <formula>NOT(ISERROR(SEARCH("Done",K4)))</formula>
    </cfRule>
    <cfRule type="containsText" dxfId="595" priority="2" operator="containsText" text="In Progress">
      <formula>NOT(ISERROR(SEARCH("In Progress",K4)))</formula>
    </cfRule>
  </conditionalFormatting>
  <dataValidations count="5">
    <dataValidation type="list" operator="equal" allowBlank="1" showInputMessage="1" showErrorMessage="1" sqref="B4:B5" xr:uid="{DBAA5C20-076F-40D9-A628-7315B993EBA9}">
      <formula1>"1,20,40,50,60,70,80,90"</formula1>
    </dataValidation>
    <dataValidation type="list" allowBlank="1" showInputMessage="1" showErrorMessage="1" sqref="F4:F5 F17:F18 F30:F31" xr:uid="{06490AAC-9775-430F-A1CB-B1D5EE8A7C9D}">
      <formula1>"1,2,3,4,5,6,7,8,9,10"</formula1>
    </dataValidation>
    <dataValidation type="list" allowBlank="1" showInputMessage="1" showErrorMessage="1" sqref="B1" xr:uid="{122C10CB-7121-4EF0-9F10-6428BE6AF757}">
      <formula1>Character_Name_List</formula1>
    </dataValidation>
    <dataValidation type="list" allowBlank="1" showInputMessage="1" showErrorMessage="1" sqref="K4:K19" xr:uid="{8909ADC2-B62D-4979-B3BB-342A7A5BB8F1}">
      <formula1>"In Progress, Done"</formula1>
    </dataValidation>
    <dataValidation type="list" allowBlank="1" showInputMessage="1" showErrorMessage="1" sqref="C10:C11" xr:uid="{3FF6A54A-5351-4358-B291-87896D1A755D}">
      <formula1>"0,1,2,3,4,5,6"</formula1>
    </dataValidation>
  </dataValidation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00749-3FB2-42C1-9B7F-26C0FAFFD4B6}">
  <sheetPr codeName="Sheet3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247</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Bloodjade Branch</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Juvenile Jade</v>
      </c>
      <c r="J10" s="16">
        <f t="shared" si="0"/>
        <v>0</v>
      </c>
      <c r="K10" s="34" t="s">
        <v>202</v>
      </c>
    </row>
    <row r="11" spans="1:11" ht="15.75" thickBot="1" x14ac:dyDescent="0.3">
      <c r="A11" s="173" t="s">
        <v>208</v>
      </c>
      <c r="B11" s="202"/>
      <c r="C11" s="43">
        <v>6</v>
      </c>
      <c r="E11" s="14" t="str">
        <f>VLOOKUP(VLOOKUP(B1,Character_List,5,FALSE),Common_Mob_Drops,2,FALSE)</f>
        <v>Treasure Hoarder Insignia</v>
      </c>
      <c r="F11" s="17">
        <f>VLOOKUP(F5,Required_Talent_Materials,7,FALSE)-VLOOKUP(F4,Required_Talent_Materials,7,FALSE)</f>
        <v>0</v>
      </c>
      <c r="H11" s="184"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5"/>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6"/>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Noctilucous Jade</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Gold</v>
      </c>
      <c r="J15" s="15">
        <f>SUM(F6,F19,F32)</f>
        <v>0</v>
      </c>
      <c r="K15" s="34" t="s">
        <v>202</v>
      </c>
    </row>
    <row r="16" spans="1:11" ht="15.75" thickBot="1" x14ac:dyDescent="0.3">
      <c r="A16" s="42"/>
      <c r="B16" s="9" t="str">
        <f>VLOOKUP(B1,Character_List,4,FALSE)</f>
        <v>Juvenile Jade</v>
      </c>
      <c r="C16" s="16">
        <f>VLOOKUP(C11,Required_Ascension_Materials,6,FALSE)-VLOOKUP(C10,Required_Ascension_Materials,6,FALSE)</f>
        <v>0</v>
      </c>
      <c r="E16" s="171" t="s">
        <v>151</v>
      </c>
      <c r="F16" s="172"/>
      <c r="H16" s="185"/>
      <c r="I16" s="1" t="str">
        <f>E7</f>
        <v>Guide to Gold</v>
      </c>
      <c r="J16" s="17">
        <f>SUM(F7,F20,F33)</f>
        <v>0</v>
      </c>
      <c r="K16" s="34" t="s">
        <v>202</v>
      </c>
    </row>
    <row r="17" spans="1:11" ht="15.75" thickBot="1" x14ac:dyDescent="0.3">
      <c r="A17" s="184" t="s">
        <v>207</v>
      </c>
      <c r="B17" s="2" t="str">
        <f>VLOOKUP(VLOOKUP(B1,Character_List,5,FALSE),Common_Mob_Drops,2,FALSE)</f>
        <v>Treasure Hoarder Insignia</v>
      </c>
      <c r="C17" s="15">
        <f>VLOOKUP(C11,Required_Ascension_Materials,7,FALSE)-VLOOKUP(C10,Required_Ascension_Materials,7,FALSE)</f>
        <v>0</v>
      </c>
      <c r="E17" s="12" t="s">
        <v>200</v>
      </c>
      <c r="F17" s="28">
        <v>9</v>
      </c>
      <c r="H17" s="186"/>
      <c r="I17" s="9" t="str">
        <f>E8</f>
        <v>Philosophies of Gold</v>
      </c>
      <c r="J17" s="16">
        <f>SUM(F8,F21,F34)</f>
        <v>0</v>
      </c>
      <c r="K17" s="34" t="s">
        <v>202</v>
      </c>
    </row>
    <row r="18" spans="1:11" ht="15.75" thickBot="1" x14ac:dyDescent="0.3">
      <c r="A18" s="185"/>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Bloodjade Branch</v>
      </c>
      <c r="J18" s="24">
        <f>SUM(F9,F22,F35)</f>
        <v>0</v>
      </c>
      <c r="K18" s="34" t="s">
        <v>202</v>
      </c>
    </row>
    <row r="19" spans="1:11" ht="15.75" thickBot="1" x14ac:dyDescent="0.3">
      <c r="A19" s="186"/>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Noctilucous Jade</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Bloodjade Branch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Bloodjade Branch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94" priority="1" operator="containsText" text="Done">
      <formula>NOT(ISERROR(SEARCH("Done",K4)))</formula>
    </cfRule>
    <cfRule type="containsText" dxfId="593" priority="2" operator="containsText" text="In Progress">
      <formula>NOT(ISERROR(SEARCH("In Progress",K4)))</formula>
    </cfRule>
  </conditionalFormatting>
  <dataValidations count="5">
    <dataValidation type="list" allowBlank="1" showInputMessage="1" showErrorMessage="1" sqref="C10:C11" xr:uid="{322D9FF4-929D-4237-B859-08D7DA9B3F29}">
      <formula1>"0,1,2,3,4,5,6"</formula1>
    </dataValidation>
    <dataValidation type="list" allowBlank="1" showInputMessage="1" showErrorMessage="1" sqref="K4:K19" xr:uid="{34E86EDE-A6EA-4B1E-9A99-9734E4116F92}">
      <formula1>"In Progress, Done"</formula1>
    </dataValidation>
    <dataValidation type="list" allowBlank="1" showInputMessage="1" showErrorMessage="1" sqref="B1" xr:uid="{2B71CA1E-BF92-42CF-BA7A-8F04D3AA2FAE}">
      <formula1>Character_Name_List</formula1>
    </dataValidation>
    <dataValidation type="list" allowBlank="1" showInputMessage="1" showErrorMessage="1" sqref="F4:F5 F17:F18 F30:F31" xr:uid="{7040D620-BB0C-4551-936A-2DE72AA0AEAD}">
      <formula1>"1,2,3,4,5,6,7,8,9,10"</formula1>
    </dataValidation>
    <dataValidation type="list" operator="equal" allowBlank="1" showInputMessage="1" showErrorMessage="1" sqref="B4:B5" xr:uid="{0D00DAEC-F1C5-410E-B151-C8A720F6DDED}">
      <formula1>"1,20,40,50,60,70,80,90"</formula1>
    </dataValidation>
  </dataValidation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E2E1B-1E62-40A1-8155-54A8E210AFBF}">
  <sheetPr codeName="Sheet3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248</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Dragon Lord's Crown</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Crystalline Bloom</v>
      </c>
      <c r="J10" s="16">
        <f t="shared" si="0"/>
        <v>0</v>
      </c>
      <c r="K10" s="34" t="s">
        <v>202</v>
      </c>
    </row>
    <row r="11" spans="1:11" ht="15.75" thickBot="1" x14ac:dyDescent="0.3">
      <c r="A11" s="173" t="s">
        <v>208</v>
      </c>
      <c r="B11" s="202"/>
      <c r="C11" s="43">
        <v>6</v>
      </c>
      <c r="E11" s="14" t="str">
        <f>VLOOKUP(VLOOKUP(B1,Character_List,5,FALSE),Common_Mob_Drops,2,FALSE)</f>
        <v>Damaged Mask</v>
      </c>
      <c r="F11" s="17">
        <f>VLOOKUP(F5,Required_Talent_Materials,7,FALSE)-VLOOKUP(F4,Required_Talent_Materials,7,FALSE)</f>
        <v>0</v>
      </c>
      <c r="H11" s="184" t="s">
        <v>207</v>
      </c>
      <c r="I11" s="2" t="str">
        <f>B17</f>
        <v>Damaged Mask</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5"/>
      <c r="I12" s="1" t="str">
        <f>B18</f>
        <v>Stained Mask</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6"/>
      <c r="I13" s="9" t="str">
        <f>B19</f>
        <v>Ominous Mask</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Dandelion Seed</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Resistance</v>
      </c>
      <c r="J15" s="15">
        <f>SUM(F6,F19,F32)</f>
        <v>0</v>
      </c>
      <c r="K15" s="34" t="s">
        <v>202</v>
      </c>
    </row>
    <row r="16" spans="1:11" ht="15.75" thickBot="1" x14ac:dyDescent="0.3">
      <c r="A16" s="42"/>
      <c r="B16" s="9" t="str">
        <f>VLOOKUP(B1,Character_List,4,FALSE)</f>
        <v>Crystalline Bloom</v>
      </c>
      <c r="C16" s="16">
        <f>VLOOKUP(C11,Required_Ascension_Materials,6,FALSE)-VLOOKUP(C10,Required_Ascension_Materials,6,FALSE)</f>
        <v>0</v>
      </c>
      <c r="E16" s="171" t="s">
        <v>151</v>
      </c>
      <c r="F16" s="172"/>
      <c r="H16" s="185"/>
      <c r="I16" s="1" t="str">
        <f>E7</f>
        <v>Guide to Resistance</v>
      </c>
      <c r="J16" s="17">
        <f>SUM(F7,F20,F33)</f>
        <v>0</v>
      </c>
      <c r="K16" s="34" t="s">
        <v>202</v>
      </c>
    </row>
    <row r="17" spans="1:11" ht="15.75" thickBot="1" x14ac:dyDescent="0.3">
      <c r="A17" s="184" t="s">
        <v>207</v>
      </c>
      <c r="B17" s="2" t="str">
        <f>VLOOKUP(VLOOKUP(B1,Character_List,5,FALSE),Common_Mob_Drops,2,FALSE)</f>
        <v>Damaged Mask</v>
      </c>
      <c r="C17" s="15">
        <f>VLOOKUP(C11,Required_Ascension_Materials,7,FALSE)-VLOOKUP(C10,Required_Ascension_Materials,7,FALSE)</f>
        <v>0</v>
      </c>
      <c r="E17" s="12" t="s">
        <v>200</v>
      </c>
      <c r="F17" s="28">
        <v>9</v>
      </c>
      <c r="H17" s="186"/>
      <c r="I17" s="9" t="str">
        <f>E8</f>
        <v>Philosophies of Resistance</v>
      </c>
      <c r="J17" s="16">
        <f>SUM(F8,F21,F34)</f>
        <v>0</v>
      </c>
      <c r="K17" s="34" t="s">
        <v>202</v>
      </c>
    </row>
    <row r="18" spans="1:11" ht="15.75" thickBot="1" x14ac:dyDescent="0.3">
      <c r="A18" s="185"/>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Dragon Lord's Crown</v>
      </c>
      <c r="J18" s="24">
        <f>SUM(F9,F22,F35)</f>
        <v>0</v>
      </c>
      <c r="K18" s="34" t="s">
        <v>202</v>
      </c>
    </row>
    <row r="19" spans="1:11" ht="15.75" thickBot="1" x14ac:dyDescent="0.3">
      <c r="A19" s="186"/>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Dandelion Seed</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Dragon Lord's Crown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Dragon Lord's Crown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92" priority="1" operator="containsText" text="Done">
      <formula>NOT(ISERROR(SEARCH("Done",K4)))</formula>
    </cfRule>
    <cfRule type="containsText" dxfId="591" priority="2" operator="containsText" text="In Progress">
      <formula>NOT(ISERROR(SEARCH("In Progress",K4)))</formula>
    </cfRule>
  </conditionalFormatting>
  <dataValidations count="5">
    <dataValidation type="list" operator="equal" allowBlank="1" showInputMessage="1" showErrorMessage="1" sqref="B4:B5" xr:uid="{637BC175-EF83-4FE9-8585-192A661C2B16}">
      <formula1>"1,20,40,50,60,70,80,90"</formula1>
    </dataValidation>
    <dataValidation type="list" allowBlank="1" showInputMessage="1" showErrorMessage="1" sqref="F4:F5 F17:F18 F30:F31" xr:uid="{06A72580-E359-4257-B49C-896CD96E50B0}">
      <formula1>"1,2,3,4,5,6,7,8,9,10"</formula1>
    </dataValidation>
    <dataValidation type="list" allowBlank="1" showInputMessage="1" showErrorMessage="1" sqref="B1" xr:uid="{182F6A69-A4D8-4891-849C-5F10254AA318}">
      <formula1>Character_Name_List</formula1>
    </dataValidation>
    <dataValidation type="list" allowBlank="1" showInputMessage="1" showErrorMessage="1" sqref="K4:K19" xr:uid="{8D0BAEFF-FF0B-493E-95CB-4EA752444A36}">
      <formula1>"In Progress, Done"</formula1>
    </dataValidation>
    <dataValidation type="list" allowBlank="1" showInputMessage="1" showErrorMessage="1" sqref="C10:C11" xr:uid="{55C1E786-4612-45D8-9CB4-A0EF7D2D4534}">
      <formula1>"0,1,2,3,4,5,6"</formula1>
    </dataValidation>
  </dataValidation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364A0-94FC-481D-9005-9078AB36A3B1}">
  <sheetPr codeName="Sheet4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249</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4"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5"/>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5"/>
      <c r="I8" s="1" t="str">
        <f t="shared" si="0"/>
        <v>Vayuda Turquoise Chunk</v>
      </c>
      <c r="J8" s="17">
        <f t="shared" si="0"/>
        <v>0</v>
      </c>
      <c r="K8" s="34" t="s">
        <v>202</v>
      </c>
    </row>
    <row r="9" spans="1:11" ht="15.75" thickBot="1" x14ac:dyDescent="0.3">
      <c r="A9" s="171" t="s">
        <v>149</v>
      </c>
      <c r="B9" s="231"/>
      <c r="C9" s="172"/>
      <c r="E9" s="14" t="str">
        <f>VLOOKUP(VLOOKUP(B1,Character_List,8,FALSE),Weekly_Boss_Mats,2,FALSE)</f>
        <v>Gilded Scale</v>
      </c>
      <c r="F9" s="17">
        <f>VLOOKUP(F5,Required_Talent_Materials,5,FALSE)-VLOOKUP(F4,Required_Talent_Materials,5,FALSE)</f>
        <v>0</v>
      </c>
      <c r="H9" s="185"/>
      <c r="I9" s="1" t="str">
        <f t="shared" si="0"/>
        <v>Vayuda Turquoise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Marionette Core</v>
      </c>
      <c r="J10" s="16">
        <f t="shared" si="0"/>
        <v>0</v>
      </c>
      <c r="K10" s="34" t="s">
        <v>202</v>
      </c>
    </row>
    <row r="11" spans="1:11" ht="15.75" thickBot="1" x14ac:dyDescent="0.3">
      <c r="A11" s="173" t="s">
        <v>208</v>
      </c>
      <c r="B11" s="202"/>
      <c r="C11" s="43">
        <v>6</v>
      </c>
      <c r="E11" s="14" t="str">
        <f>VLOOKUP(VLOOKUP(B1,Character_List,5,FALSE),Common_Mob_Drops,2,FALSE)</f>
        <v>Treasure Hoarder Insignia</v>
      </c>
      <c r="F11" s="17">
        <f>VLOOKUP(F5,Required_Talent_Materials,7,FALSE)-VLOOKUP(F4,Required_Talent_Materials,7,FALSE)</f>
        <v>0</v>
      </c>
      <c r="H11" s="184" t="s">
        <v>207</v>
      </c>
      <c r="I11" s="2" t="str">
        <f>B17</f>
        <v>Treasure Hoarder Insignia</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5"/>
      <c r="I12" s="1" t="str">
        <f>B18</f>
        <v>Silver Raven Insignia</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6"/>
      <c r="I13" s="9" t="str">
        <f>B19</f>
        <v>Golden Raven Insignia</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Sea Ganoderma</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84" t="s">
        <v>216</v>
      </c>
      <c r="I15" s="2" t="str">
        <f>E6</f>
        <v>Teachings of Diligence</v>
      </c>
      <c r="J15" s="15">
        <f>SUM(F6,F19,F32)</f>
        <v>0</v>
      </c>
      <c r="K15" s="34" t="s">
        <v>202</v>
      </c>
    </row>
    <row r="16" spans="1:11" ht="15.75" thickBot="1" x14ac:dyDescent="0.3">
      <c r="A16" s="42"/>
      <c r="B16" s="9" t="str">
        <f>VLOOKUP(B1,Character_List,4,FALSE)</f>
        <v>Marionette Core</v>
      </c>
      <c r="C16" s="16">
        <f>VLOOKUP(C11,Required_Ascension_Materials,6,FALSE)-VLOOKUP(C10,Required_Ascension_Materials,6,FALSE)</f>
        <v>0</v>
      </c>
      <c r="E16" s="171" t="s">
        <v>151</v>
      </c>
      <c r="F16" s="172"/>
      <c r="H16" s="185"/>
      <c r="I16" s="1" t="str">
        <f>E7</f>
        <v>Guide to Diligence</v>
      </c>
      <c r="J16" s="17">
        <f>SUM(F7,F20,F33)</f>
        <v>0</v>
      </c>
      <c r="K16" s="34" t="s">
        <v>202</v>
      </c>
    </row>
    <row r="17" spans="1:11" ht="15.75" thickBot="1" x14ac:dyDescent="0.3">
      <c r="A17" s="184" t="s">
        <v>207</v>
      </c>
      <c r="B17" s="2" t="str">
        <f>VLOOKUP(VLOOKUP(B1,Character_List,5,FALSE),Common_Mob_Drops,2,FALSE)</f>
        <v>Treasure Hoarder Insignia</v>
      </c>
      <c r="C17" s="15">
        <f>VLOOKUP(C11,Required_Ascension_Materials,7,FALSE)-VLOOKUP(C10,Required_Ascension_Materials,7,FALSE)</f>
        <v>0</v>
      </c>
      <c r="E17" s="12" t="s">
        <v>200</v>
      </c>
      <c r="F17" s="28">
        <v>9</v>
      </c>
      <c r="H17" s="186"/>
      <c r="I17" s="9" t="str">
        <f>E8</f>
        <v>Philosophies of Diligence</v>
      </c>
      <c r="J17" s="16">
        <f>SUM(F8,F21,F34)</f>
        <v>0</v>
      </c>
      <c r="K17" s="34" t="s">
        <v>202</v>
      </c>
    </row>
    <row r="18" spans="1:11" ht="15.75" thickBot="1" x14ac:dyDescent="0.3">
      <c r="A18" s="185"/>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Gilded Scale</v>
      </c>
      <c r="J18" s="24">
        <f>SUM(F9,F22,F35)</f>
        <v>0</v>
      </c>
      <c r="K18" s="34" t="s">
        <v>202</v>
      </c>
    </row>
    <row r="19" spans="1:11" ht="15.75" thickBot="1" x14ac:dyDescent="0.3">
      <c r="A19" s="186"/>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Sea Ganoderma</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Gilded Scale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Gilded Scale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90" priority="1" operator="containsText" text="Done">
      <formula>NOT(ISERROR(SEARCH("Done",K4)))</formula>
    </cfRule>
    <cfRule type="containsText" dxfId="589" priority="2" operator="containsText" text="In Progress">
      <formula>NOT(ISERROR(SEARCH("In Progress",K4)))</formula>
    </cfRule>
  </conditionalFormatting>
  <dataValidations count="5">
    <dataValidation type="list" operator="equal" allowBlank="1" showInputMessage="1" showErrorMessage="1" sqref="B4:B5" xr:uid="{6481CEA3-4B39-4DF2-8CE6-E7D1ED098A22}">
      <formula1>"1,20,40,50,60,70,80,90"</formula1>
    </dataValidation>
    <dataValidation type="list" allowBlank="1" showInputMessage="1" showErrorMessage="1" sqref="F4:F5 F17:F18 F30:F31" xr:uid="{9ADFEA44-7D4D-4818-A7E5-794ADFAF8983}">
      <formula1>"1,2,3,4,5,6,7,8,9,10"</formula1>
    </dataValidation>
    <dataValidation type="list" allowBlank="1" showInputMessage="1" showErrorMessage="1" sqref="B1" xr:uid="{89A02C81-C012-4CB3-A828-736CCC5849C5}">
      <formula1>Character_Name_List</formula1>
    </dataValidation>
    <dataValidation type="list" allowBlank="1" showInputMessage="1" showErrorMessage="1" sqref="K4:K19" xr:uid="{AE06B44F-2372-403C-8E6B-A9E9016A39A3}">
      <formula1>"In Progress, Done"</formula1>
    </dataValidation>
    <dataValidation type="list" allowBlank="1" showInputMessage="1" showErrorMessage="1" sqref="C10:C11" xr:uid="{98DDD7CD-3C2C-4696-953C-13B65F0C04FE}">
      <formula1>"0,1,2,3,4,5,6"</formula1>
    </dataValidation>
  </dataValidation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EB272-522B-4DA8-8264-8CEFBA8EDCBD}">
  <sheetPr codeName="Sheet4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250</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Bloodjade Branch</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Perpetual Heart</v>
      </c>
      <c r="J10" s="16">
        <f t="shared" si="0"/>
        <v>0</v>
      </c>
      <c r="K10" s="34" t="s">
        <v>202</v>
      </c>
    </row>
    <row r="11" spans="1:11" ht="15.75" thickBot="1" x14ac:dyDescent="0.3">
      <c r="A11" s="173" t="s">
        <v>208</v>
      </c>
      <c r="B11" s="202"/>
      <c r="C11" s="43">
        <v>6</v>
      </c>
      <c r="E11" s="14" t="str">
        <f>VLOOKUP(VLOOKUP(B1,Character_List,5,FALSE),Common_Mob_Drops,2,FALSE)</f>
        <v>Old Nobushi</v>
      </c>
      <c r="F11" s="17">
        <f>VLOOKUP(F5,Required_Talent_Materials,7,FALSE)-VLOOKUP(F4,Required_Talent_Materials,7,FALSE)</f>
        <v>0</v>
      </c>
      <c r="H11" s="184" t="s">
        <v>207</v>
      </c>
      <c r="I11" s="2" t="str">
        <f>B17</f>
        <v>Old Nobushi</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85"/>
      <c r="I12" s="1" t="str">
        <f>B18</f>
        <v>Kageuchi Nobushi</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86"/>
      <c r="I13" s="9" t="str">
        <f>B19</f>
        <v>Famed Nobushi</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Sakura Bloom</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Elegance</v>
      </c>
      <c r="J15" s="15">
        <f>SUM(F6,F19,F32)</f>
        <v>0</v>
      </c>
      <c r="K15" s="34" t="s">
        <v>202</v>
      </c>
    </row>
    <row r="16" spans="1:11" ht="15.75" thickBot="1" x14ac:dyDescent="0.3">
      <c r="A16" s="42"/>
      <c r="B16" s="9" t="str">
        <f>VLOOKUP(B1,Character_List,4,FALSE)</f>
        <v>Perpetual Heart</v>
      </c>
      <c r="C16" s="16">
        <f>VLOOKUP(C11,Required_Ascension_Materials,6,FALSE)-VLOOKUP(C10,Required_Ascension_Materials,6,FALSE)</f>
        <v>0</v>
      </c>
      <c r="E16" s="171" t="s">
        <v>151</v>
      </c>
      <c r="F16" s="172"/>
      <c r="H16" s="185"/>
      <c r="I16" s="1" t="str">
        <f>E7</f>
        <v>Guide to Elegance</v>
      </c>
      <c r="J16" s="17">
        <f>SUM(F7,F20,F33)</f>
        <v>0</v>
      </c>
      <c r="K16" s="34" t="s">
        <v>202</v>
      </c>
    </row>
    <row r="17" spans="1:11" ht="15.75" thickBot="1" x14ac:dyDescent="0.3">
      <c r="A17" s="184" t="s">
        <v>207</v>
      </c>
      <c r="B17" s="2" t="str">
        <f>VLOOKUP(VLOOKUP(B1,Character_List,5,FALSE),Common_Mob_Drops,2,FALSE)</f>
        <v>Old Nobushi</v>
      </c>
      <c r="C17" s="15">
        <f>VLOOKUP(C11,Required_Ascension_Materials,7,FALSE)-VLOOKUP(C10,Required_Ascension_Materials,7,FALSE)</f>
        <v>0</v>
      </c>
      <c r="E17" s="12" t="s">
        <v>200</v>
      </c>
      <c r="F17" s="28">
        <v>9</v>
      </c>
      <c r="H17" s="186"/>
      <c r="I17" s="9" t="str">
        <f>E8</f>
        <v>Philosophies of Elegance</v>
      </c>
      <c r="J17" s="16">
        <f>SUM(F8,F21,F34)</f>
        <v>0</v>
      </c>
      <c r="K17" s="34" t="s">
        <v>202</v>
      </c>
    </row>
    <row r="18" spans="1:11" ht="15.75" thickBot="1" x14ac:dyDescent="0.3">
      <c r="A18" s="185"/>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Bloodjade Branch</v>
      </c>
      <c r="J18" s="24">
        <f>SUM(F9,F22,F35)</f>
        <v>0</v>
      </c>
      <c r="K18" s="34" t="s">
        <v>202</v>
      </c>
    </row>
    <row r="19" spans="1:11" ht="15.75" thickBot="1" x14ac:dyDescent="0.3">
      <c r="A19" s="186"/>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Sakura Bloom</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Bloodjade Branch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Bloodjade Branch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88" priority="1" operator="containsText" text="Done">
      <formula>NOT(ISERROR(SEARCH("Done",K4)))</formula>
    </cfRule>
    <cfRule type="containsText" dxfId="587" priority="2" operator="containsText" text="In Progress">
      <formula>NOT(ISERROR(SEARCH("In Progress",K4)))</formula>
    </cfRule>
  </conditionalFormatting>
  <dataValidations count="5">
    <dataValidation type="list" allowBlank="1" showInputMessage="1" showErrorMessage="1" sqref="C10:C11" xr:uid="{9B204391-1997-4B24-8235-E92B1FDA95A8}">
      <formula1>"0,1,2,3,4,5,6"</formula1>
    </dataValidation>
    <dataValidation type="list" allowBlank="1" showInputMessage="1" showErrorMessage="1" sqref="K4:K19" xr:uid="{8D4C8EC5-E5FC-4EF6-83C2-DC093FBC8236}">
      <formula1>"In Progress, Done"</formula1>
    </dataValidation>
    <dataValidation type="list" allowBlank="1" showInputMessage="1" showErrorMessage="1" sqref="B1" xr:uid="{1A8BA51D-7C2C-4E8D-9380-4D5D51C0300B}">
      <formula1>Character_Name_List</formula1>
    </dataValidation>
    <dataValidation type="list" allowBlank="1" showInputMessage="1" showErrorMessage="1" sqref="F4:F5 F17:F18 F30:F31" xr:uid="{09668346-D631-4EA5-B32D-C9F35BB26E89}">
      <formula1>"1,2,3,4,5,6,7,8,9,10"</formula1>
    </dataValidation>
    <dataValidation type="list" operator="equal" allowBlank="1" showInputMessage="1" showErrorMessage="1" sqref="B4:B5" xr:uid="{BB33B80C-412D-464F-A0B9-6B82F8B9F3F4}">
      <formula1>"1,20,40,50,60,70,80,90"</formula1>
    </dataValidation>
  </dataValidation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40756-DEE0-4871-B5F4-EBB0BE8A65FC}">
  <sheetPr codeName="Sheet4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251</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Dragon Lord's Crown</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Smoldering Pearl</v>
      </c>
      <c r="J10" s="16">
        <f t="shared" si="0"/>
        <v>0</v>
      </c>
      <c r="K10" s="34" t="s">
        <v>202</v>
      </c>
    </row>
    <row r="11" spans="1:11" ht="15.75" thickBot="1" x14ac:dyDescent="0.3">
      <c r="A11" s="173" t="s">
        <v>208</v>
      </c>
      <c r="B11" s="202"/>
      <c r="C11" s="43">
        <v>6</v>
      </c>
      <c r="E11" s="14" t="str">
        <f>VLOOKUP(VLOOKUP(B1,Character_List,5,FALSE),Common_Mob_Drops,2,FALSE)</f>
        <v>Divining Scroll</v>
      </c>
      <c r="F11" s="17">
        <f>VLOOKUP(F5,Required_Talent_Materials,7,FALSE)-VLOOKUP(F4,Required_Talent_Materials,7,FALSE)</f>
        <v>0</v>
      </c>
      <c r="H11" s="184" t="s">
        <v>207</v>
      </c>
      <c r="I11" s="2" t="str">
        <f>B17</f>
        <v>Divining Scroll</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5"/>
      <c r="I12" s="1" t="str">
        <f>B18</f>
        <v>Sealed Scroll</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6"/>
      <c r="I13" s="9" t="str">
        <f>B19</f>
        <v>Forbidden Scroll</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Naku Weed</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Transience</v>
      </c>
      <c r="J15" s="15">
        <f>SUM(F6,F19,F32)</f>
        <v>0</v>
      </c>
      <c r="K15" s="34" t="s">
        <v>202</v>
      </c>
    </row>
    <row r="16" spans="1:11" ht="15.75" thickBot="1" x14ac:dyDescent="0.3">
      <c r="A16" s="42"/>
      <c r="B16" s="9" t="str">
        <f>VLOOKUP(B1,Character_List,4,FALSE)</f>
        <v>Smoldering Pearl</v>
      </c>
      <c r="C16" s="16">
        <f>VLOOKUP(C11,Required_Ascension_Materials,6,FALSE)-VLOOKUP(C10,Required_Ascension_Materials,6,FALSE)</f>
        <v>0</v>
      </c>
      <c r="E16" s="171" t="s">
        <v>151</v>
      </c>
      <c r="F16" s="172"/>
      <c r="H16" s="185"/>
      <c r="I16" s="1" t="str">
        <f>E7</f>
        <v>Guide to Transience</v>
      </c>
      <c r="J16" s="17">
        <f>SUM(F7,F20,F33)</f>
        <v>0</v>
      </c>
      <c r="K16" s="34" t="s">
        <v>202</v>
      </c>
    </row>
    <row r="17" spans="1:11" ht="15.75" thickBot="1" x14ac:dyDescent="0.3">
      <c r="A17" s="184" t="s">
        <v>207</v>
      </c>
      <c r="B17" s="2" t="str">
        <f>VLOOKUP(VLOOKUP(B1,Character_List,5,FALSE),Common_Mob_Drops,2,FALSE)</f>
        <v>Divining Scroll</v>
      </c>
      <c r="C17" s="15">
        <f>VLOOKUP(C11,Required_Ascension_Materials,7,FALSE)-VLOOKUP(C10,Required_Ascension_Materials,7,FALSE)</f>
        <v>0</v>
      </c>
      <c r="E17" s="12" t="s">
        <v>200</v>
      </c>
      <c r="F17" s="28">
        <v>9</v>
      </c>
      <c r="H17" s="186"/>
      <c r="I17" s="9" t="str">
        <f>E8</f>
        <v>Philosophies of Transience</v>
      </c>
      <c r="J17" s="16">
        <f>SUM(F8,F21,F34)</f>
        <v>0</v>
      </c>
      <c r="K17" s="34" t="s">
        <v>202</v>
      </c>
    </row>
    <row r="18" spans="1:11" ht="15.75" thickBot="1" x14ac:dyDescent="0.3">
      <c r="A18" s="185"/>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Dragon Lord's Crown</v>
      </c>
      <c r="J18" s="24">
        <f>SUM(F9,F22,F35)</f>
        <v>0</v>
      </c>
      <c r="K18" s="34" t="s">
        <v>202</v>
      </c>
    </row>
    <row r="19" spans="1:11" ht="15.75" thickBot="1" x14ac:dyDescent="0.3">
      <c r="A19" s="186"/>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Naku Weed</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Dragon Lord's Crown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Dragon Lord's Crown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86" priority="1" operator="containsText" text="Done">
      <formula>NOT(ISERROR(SEARCH("Done",K4)))</formula>
    </cfRule>
    <cfRule type="containsText" dxfId="585" priority="2" operator="containsText" text="In Progress">
      <formula>NOT(ISERROR(SEARCH("In Progress",K4)))</formula>
    </cfRule>
  </conditionalFormatting>
  <dataValidations count="5">
    <dataValidation type="list" operator="equal" allowBlank="1" showInputMessage="1" showErrorMessage="1" sqref="B4:B5" xr:uid="{0694B33C-4738-4C3B-B4F6-DC8AC6F584DA}">
      <formula1>"1,20,40,50,60,70,80,90"</formula1>
    </dataValidation>
    <dataValidation type="list" allowBlank="1" showInputMessage="1" showErrorMessage="1" sqref="F4:F5 F17:F18 F30:F31" xr:uid="{4057E205-4BB9-495A-879C-D1ED5F1FC46D}">
      <formula1>"1,2,3,4,5,6,7,8,9,10"</formula1>
    </dataValidation>
    <dataValidation type="list" allowBlank="1" showInputMessage="1" showErrorMessage="1" sqref="B1" xr:uid="{CBC82603-83D0-48B2-910C-35B4CD47456A}">
      <formula1>Character_Name_List</formula1>
    </dataValidation>
    <dataValidation type="list" allowBlank="1" showInputMessage="1" showErrorMessage="1" sqref="K4:K19" xr:uid="{A2A7A30E-36AF-4AB5-B7CE-4B1282558B69}">
      <formula1>"In Progress, Done"</formula1>
    </dataValidation>
    <dataValidation type="list" allowBlank="1" showInputMessage="1" showErrorMessage="1" sqref="C10:C11" xr:uid="{A21CA89A-AC37-48FD-BD52-B6303B4F3535}">
      <formula1>"0,1,2,3,4,5,6"</formula1>
    </dataValidation>
  </dataValidation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2671F-91A3-4709-BF6A-3D8666019F16}">
  <sheetPr codeName="Sheet4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252</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84"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85"/>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85"/>
      <c r="I8" s="1" t="str">
        <f t="shared" si="0"/>
        <v>Vayuda Turquoise Chunk</v>
      </c>
      <c r="J8" s="17">
        <f t="shared" si="0"/>
        <v>0</v>
      </c>
      <c r="K8" s="34" t="s">
        <v>202</v>
      </c>
    </row>
    <row r="9" spans="1:11" ht="15.75" thickBot="1" x14ac:dyDescent="0.3">
      <c r="A9" s="171" t="s">
        <v>149</v>
      </c>
      <c r="B9" s="231"/>
      <c r="C9" s="172"/>
      <c r="E9" s="14" t="str">
        <f>VLOOKUP(VLOOKUP(B1,Character_List,8,FALSE),Weekly_Boss_Mats,2,FALSE)</f>
        <v>Gilded Scale</v>
      </c>
      <c r="F9" s="17">
        <f>VLOOKUP(F5,Required_Talent_Materials,5,FALSE)-VLOOKUP(F4,Required_Talent_Materials,5,FALSE)</f>
        <v>0</v>
      </c>
      <c r="H9" s="185"/>
      <c r="I9" s="1" t="str">
        <f t="shared" si="0"/>
        <v>Vayuda Turquoise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Marionette Core</v>
      </c>
      <c r="J10" s="16">
        <f t="shared" si="0"/>
        <v>0</v>
      </c>
      <c r="K10" s="34" t="s">
        <v>202</v>
      </c>
    </row>
    <row r="11" spans="1:11" ht="15.75" thickBot="1" x14ac:dyDescent="0.3">
      <c r="A11" s="173" t="s">
        <v>208</v>
      </c>
      <c r="B11" s="202"/>
      <c r="C11" s="43">
        <v>6</v>
      </c>
      <c r="E11" s="14" t="str">
        <f>VLOOKUP(VLOOKUP(B1,Character_List,5,FALSE),Common_Mob_Drops,2,FALSE)</f>
        <v>Whopperflower</v>
      </c>
      <c r="F11" s="17">
        <f>VLOOKUP(F5,Required_Talent_Materials,7,FALSE)-VLOOKUP(F4,Required_Talent_Materials,7,FALSE)</f>
        <v>0</v>
      </c>
      <c r="H11" s="184" t="s">
        <v>207</v>
      </c>
      <c r="I11" s="2" t="str">
        <f>B17</f>
        <v>Whopperflower</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5"/>
      <c r="I12" s="1" t="str">
        <f>B18</f>
        <v>Shimmering Nectar</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6"/>
      <c r="I13" s="9" t="str">
        <f>B19</f>
        <v>Energy Nectar</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Crystal Marrow</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84" t="s">
        <v>216</v>
      </c>
      <c r="I15" s="2" t="str">
        <f>E6</f>
        <v>Teachings of Light</v>
      </c>
      <c r="J15" s="15">
        <f>SUM(F6,F19,F32)</f>
        <v>0</v>
      </c>
      <c r="K15" s="34" t="s">
        <v>202</v>
      </c>
    </row>
    <row r="16" spans="1:11" ht="15.75" thickBot="1" x14ac:dyDescent="0.3">
      <c r="A16" s="42"/>
      <c r="B16" s="9" t="str">
        <f>VLOOKUP(B1,Character_List,4,FALSE)</f>
        <v>Marionette Core</v>
      </c>
      <c r="C16" s="16">
        <f>VLOOKUP(C11,Required_Ascension_Materials,6,FALSE)-VLOOKUP(C10,Required_Ascension_Materials,6,FALSE)</f>
        <v>0</v>
      </c>
      <c r="E16" s="171" t="s">
        <v>151</v>
      </c>
      <c r="F16" s="172"/>
      <c r="H16" s="185"/>
      <c r="I16" s="1" t="str">
        <f>E7</f>
        <v>Guide to Light</v>
      </c>
      <c r="J16" s="17">
        <f>SUM(F7,F20,F33)</f>
        <v>0</v>
      </c>
      <c r="K16" s="34" t="s">
        <v>202</v>
      </c>
    </row>
    <row r="17" spans="1:11" ht="15.75" thickBot="1" x14ac:dyDescent="0.3">
      <c r="A17" s="184" t="s">
        <v>207</v>
      </c>
      <c r="B17" s="2" t="str">
        <f>VLOOKUP(VLOOKUP(B1,Character_List,5,FALSE),Common_Mob_Drops,2,FALSE)</f>
        <v>Whopperflower</v>
      </c>
      <c r="C17" s="15">
        <f>VLOOKUP(C11,Required_Ascension_Materials,7,FALSE)-VLOOKUP(C10,Required_Ascension_Materials,7,FALSE)</f>
        <v>0</v>
      </c>
      <c r="E17" s="12" t="s">
        <v>200</v>
      </c>
      <c r="F17" s="28">
        <v>9</v>
      </c>
      <c r="H17" s="186"/>
      <c r="I17" s="9" t="str">
        <f>E8</f>
        <v>Philosophies of Light</v>
      </c>
      <c r="J17" s="16">
        <f>SUM(F8,F21,F34)</f>
        <v>0</v>
      </c>
      <c r="K17" s="34" t="s">
        <v>202</v>
      </c>
    </row>
    <row r="18" spans="1:11" ht="15.75" thickBot="1" x14ac:dyDescent="0.3">
      <c r="A18" s="185"/>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Gilded Scale</v>
      </c>
      <c r="J18" s="24">
        <f>SUM(F9,F22,F35)</f>
        <v>0</v>
      </c>
      <c r="K18" s="34" t="s">
        <v>202</v>
      </c>
    </row>
    <row r="19" spans="1:11" ht="15.75" thickBot="1" x14ac:dyDescent="0.3">
      <c r="A19" s="186"/>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Crystal Marrow</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Gilded Scale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Gilded Scale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84" priority="1" operator="containsText" text="Done">
      <formula>NOT(ISERROR(SEARCH("Done",K4)))</formula>
    </cfRule>
    <cfRule type="containsText" dxfId="583" priority="2" operator="containsText" text="In Progress">
      <formula>NOT(ISERROR(SEARCH("In Progress",K4)))</formula>
    </cfRule>
  </conditionalFormatting>
  <dataValidations count="5">
    <dataValidation type="list" allowBlank="1" showInputMessage="1" showErrorMessage="1" sqref="C10:C11" xr:uid="{D463A0B2-ABB0-41C7-ADE5-21E129260659}">
      <formula1>"0,1,2,3,4,5,6"</formula1>
    </dataValidation>
    <dataValidation type="list" allowBlank="1" showInputMessage="1" showErrorMessage="1" sqref="K4:K19" xr:uid="{6236E3FE-FBE2-450A-8B00-AD0BBE7220A9}">
      <formula1>"In Progress, Done"</formula1>
    </dataValidation>
    <dataValidation type="list" allowBlank="1" showInputMessage="1" showErrorMessage="1" sqref="B1" xr:uid="{6EC48E5B-DB5F-4B95-A371-C3F12FC97183}">
      <formula1>Character_Name_List</formula1>
    </dataValidation>
    <dataValidation type="list" allowBlank="1" showInputMessage="1" showErrorMessage="1" sqref="F4:F5 F17:F18 F30:F31" xr:uid="{4E5C1B3F-DB74-40C4-B43C-CC535CB93B56}">
      <formula1>"1,2,3,4,5,6,7,8,9,10"</formula1>
    </dataValidation>
    <dataValidation type="list" operator="equal" allowBlank="1" showInputMessage="1" showErrorMessage="1" sqref="B4:B5" xr:uid="{2A6D983E-2767-4CDA-9450-20AFFF1CB667}">
      <formula1>"1,20,40,50,60,70,80,90"</formula1>
    </dataValidation>
  </dataValidation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326E9-6BB5-4233-A172-DDDD9C4744F9}">
  <sheetPr codeName="Sheet4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253</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Molten Moment</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Storm Beads</v>
      </c>
      <c r="J10" s="16">
        <f t="shared" si="0"/>
        <v>0</v>
      </c>
      <c r="K10" s="34" t="s">
        <v>202</v>
      </c>
    </row>
    <row r="11" spans="1:11" ht="15.75" thickBot="1" x14ac:dyDescent="0.3">
      <c r="A11" s="173" t="s">
        <v>208</v>
      </c>
      <c r="B11" s="202"/>
      <c r="C11" s="43">
        <v>6</v>
      </c>
      <c r="E11" s="14" t="str">
        <f>VLOOKUP(VLOOKUP(B1,Character_List,5,FALSE),Common_Mob_Drops,2,FALSE)</f>
        <v>Old Nobushi</v>
      </c>
      <c r="F11" s="17">
        <f>VLOOKUP(F5,Required_Talent_Materials,7,FALSE)-VLOOKUP(F4,Required_Talent_Materials,7,FALSE)</f>
        <v>0</v>
      </c>
      <c r="H11" s="184" t="s">
        <v>207</v>
      </c>
      <c r="I11" s="2" t="str">
        <f>B17</f>
        <v>Old Nobushi</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85"/>
      <c r="I12" s="1" t="str">
        <f>B18</f>
        <v>Kageuchi Nobushi</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86"/>
      <c r="I13" s="9" t="str">
        <f>B19</f>
        <v>Famed Nobushi</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Amakumo Fruit</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Light</v>
      </c>
      <c r="J15" s="15">
        <f>SUM(F6,F19,F32)</f>
        <v>0</v>
      </c>
      <c r="K15" s="34" t="s">
        <v>202</v>
      </c>
    </row>
    <row r="16" spans="1:11" ht="15.75" thickBot="1" x14ac:dyDescent="0.3">
      <c r="A16" s="42"/>
      <c r="B16" s="9" t="str">
        <f>VLOOKUP(B1,Character_List,4,FALSE)</f>
        <v>Storm Beads</v>
      </c>
      <c r="C16" s="16">
        <f>VLOOKUP(C11,Required_Ascension_Materials,6,FALSE)-VLOOKUP(C10,Required_Ascension_Materials,6,FALSE)</f>
        <v>0</v>
      </c>
      <c r="E16" s="171" t="s">
        <v>151</v>
      </c>
      <c r="F16" s="172"/>
      <c r="H16" s="185"/>
      <c r="I16" s="1" t="str">
        <f>E7</f>
        <v>Guide to Light</v>
      </c>
      <c r="J16" s="17">
        <f>SUM(F7,F20,F33)</f>
        <v>0</v>
      </c>
      <c r="K16" s="34" t="s">
        <v>202</v>
      </c>
    </row>
    <row r="17" spans="1:11" ht="15.75" thickBot="1" x14ac:dyDescent="0.3">
      <c r="A17" s="184" t="s">
        <v>207</v>
      </c>
      <c r="B17" s="2" t="str">
        <f>VLOOKUP(VLOOKUP(B1,Character_List,5,FALSE),Common_Mob_Drops,2,FALSE)</f>
        <v>Old Nobushi</v>
      </c>
      <c r="C17" s="15">
        <f>VLOOKUP(C11,Required_Ascension_Materials,7,FALSE)-VLOOKUP(C10,Required_Ascension_Materials,7,FALSE)</f>
        <v>0</v>
      </c>
      <c r="E17" s="12" t="s">
        <v>200</v>
      </c>
      <c r="F17" s="28">
        <v>9</v>
      </c>
      <c r="H17" s="186"/>
      <c r="I17" s="9" t="str">
        <f>E8</f>
        <v>Philosophies of Light</v>
      </c>
      <c r="J17" s="16">
        <f>SUM(F8,F21,F34)</f>
        <v>0</v>
      </c>
      <c r="K17" s="34" t="s">
        <v>202</v>
      </c>
    </row>
    <row r="18" spans="1:11" ht="15.75" thickBot="1" x14ac:dyDescent="0.3">
      <c r="A18" s="185"/>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Molten Moment</v>
      </c>
      <c r="J18" s="24">
        <f>SUM(F9,F22,F35)</f>
        <v>0</v>
      </c>
      <c r="K18" s="34" t="s">
        <v>202</v>
      </c>
    </row>
    <row r="19" spans="1:11" ht="15.75" thickBot="1" x14ac:dyDescent="0.3">
      <c r="A19" s="186"/>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Amakumo Fruit</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Molten Moment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Molten Moment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82" priority="1" operator="containsText" text="Done">
      <formula>NOT(ISERROR(SEARCH("Done",K4)))</formula>
    </cfRule>
    <cfRule type="containsText" dxfId="581" priority="2" operator="containsText" text="In Progress">
      <formula>NOT(ISERROR(SEARCH("In Progress",K4)))</formula>
    </cfRule>
  </conditionalFormatting>
  <dataValidations count="5">
    <dataValidation type="list" allowBlank="1" showInputMessage="1" showErrorMessage="1" sqref="C10:C11" xr:uid="{CCF5A4B1-A560-4C35-AAC9-A7BB5767F220}">
      <formula1>"0,1,2,3,4,5,6"</formula1>
    </dataValidation>
    <dataValidation type="list" allowBlank="1" showInputMessage="1" showErrorMessage="1" sqref="K4:K19" xr:uid="{8C8F7886-E659-4143-A0F8-4314AB2B35D9}">
      <formula1>"In Progress, Done"</formula1>
    </dataValidation>
    <dataValidation type="list" allowBlank="1" showInputMessage="1" showErrorMessage="1" sqref="B1" xr:uid="{71A4F7A7-F30E-4994-8DE7-30ADC4186537}">
      <formula1>Character_Name_List</formula1>
    </dataValidation>
    <dataValidation type="list" allowBlank="1" showInputMessage="1" showErrorMessage="1" sqref="F4:F5 F17:F18 F30:F31" xr:uid="{FBF4B0AD-442A-4AF5-A0BD-2D25EC311866}">
      <formula1>"1,2,3,4,5,6,7,8,9,10"</formula1>
    </dataValidation>
    <dataValidation type="list" operator="equal" allowBlank="1" showInputMessage="1" showErrorMessage="1" sqref="B4:B5" xr:uid="{CB3CC533-16CA-47E3-89F4-697761D88EF3}">
      <formula1>"1,20,40,50,60,70,80,90"</formula1>
    </dataValidation>
  </dataValidation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CACC7-7E23-4561-85F0-FFAD9CCB3D3D}">
  <sheetPr codeName="Sheet45">
    <tabColor theme="9" tint="0.59999389629810485"/>
  </sheetPr>
  <dimension ref="A1:K40"/>
  <sheetViews>
    <sheetView workbookViewId="0">
      <selection activeCell="I50" sqref="I50"/>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254</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Ashen Heart</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Storm Beads</v>
      </c>
      <c r="J10" s="16">
        <f t="shared" si="0"/>
        <v>0</v>
      </c>
      <c r="K10" s="34" t="s">
        <v>202</v>
      </c>
    </row>
    <row r="11" spans="1:11" ht="15.75" thickBot="1" x14ac:dyDescent="0.3">
      <c r="A11" s="173" t="s">
        <v>208</v>
      </c>
      <c r="B11" s="202"/>
      <c r="C11" s="43">
        <v>6</v>
      </c>
      <c r="E11" s="14" t="str">
        <f>VLOOKUP(VLOOKUP(B1,Character_List,5,FALSE),Common_Mob_Drops,2,FALSE)</f>
        <v>Damaged Mask</v>
      </c>
      <c r="F11" s="17">
        <f>VLOOKUP(F5,Required_Talent_Materials,7,FALSE)-VLOOKUP(F4,Required_Talent_Materials,7,FALSE)</f>
        <v>0</v>
      </c>
      <c r="H11" s="184" t="s">
        <v>207</v>
      </c>
      <c r="I11" s="2" t="str">
        <f>B17</f>
        <v>Damaged Mask</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5"/>
      <c r="I12" s="1" t="str">
        <f>B18</f>
        <v>Stained Mask</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6"/>
      <c r="I13" s="9" t="str">
        <f>B19</f>
        <v>Ominous Mask</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Dendrobium</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Elegance</v>
      </c>
      <c r="J15" s="15">
        <f>SUM(F6,F19,F32)</f>
        <v>0</v>
      </c>
      <c r="K15" s="34" t="s">
        <v>202</v>
      </c>
    </row>
    <row r="16" spans="1:11" ht="15.75" thickBot="1" x14ac:dyDescent="0.3">
      <c r="A16" s="42"/>
      <c r="B16" s="9" t="str">
        <f>VLOOKUP(B1,Character_List,4,FALSE)</f>
        <v>Storm Beads</v>
      </c>
      <c r="C16" s="16">
        <f>VLOOKUP(C11,Required_Ascension_Materials,6,FALSE)-VLOOKUP(C10,Required_Ascension_Materials,6,FALSE)</f>
        <v>0</v>
      </c>
      <c r="E16" s="171" t="s">
        <v>151</v>
      </c>
      <c r="F16" s="172"/>
      <c r="H16" s="185"/>
      <c r="I16" s="1" t="str">
        <f>E7</f>
        <v>Guide to Elegance</v>
      </c>
      <c r="J16" s="17">
        <f>SUM(F7,F20,F33)</f>
        <v>0</v>
      </c>
      <c r="K16" s="34" t="s">
        <v>202</v>
      </c>
    </row>
    <row r="17" spans="1:11" ht="15.75" thickBot="1" x14ac:dyDescent="0.3">
      <c r="A17" s="184" t="s">
        <v>207</v>
      </c>
      <c r="B17" s="2" t="str">
        <f>VLOOKUP(VLOOKUP(B1,Character_List,5,FALSE),Common_Mob_Drops,2,FALSE)</f>
        <v>Damaged Mask</v>
      </c>
      <c r="C17" s="15">
        <f>VLOOKUP(C11,Required_Ascension_Materials,7,FALSE)-VLOOKUP(C10,Required_Ascension_Materials,7,FALSE)</f>
        <v>0</v>
      </c>
      <c r="E17" s="12" t="s">
        <v>200</v>
      </c>
      <c r="F17" s="28">
        <v>9</v>
      </c>
      <c r="H17" s="186"/>
      <c r="I17" s="9" t="str">
        <f>E8</f>
        <v>Philosophies of Elegance</v>
      </c>
      <c r="J17" s="16">
        <f>SUM(F8,F21,F34)</f>
        <v>0</v>
      </c>
      <c r="K17" s="34" t="s">
        <v>202</v>
      </c>
    </row>
    <row r="18" spans="1:11" ht="15.75" thickBot="1" x14ac:dyDescent="0.3">
      <c r="A18" s="185"/>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Ashen Heart</v>
      </c>
      <c r="J18" s="24">
        <f>SUM(F9,F22,F35)</f>
        <v>0</v>
      </c>
      <c r="K18" s="34" t="s">
        <v>202</v>
      </c>
    </row>
    <row r="19" spans="1:11" ht="15.75" thickBot="1" x14ac:dyDescent="0.3">
      <c r="A19" s="186"/>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Dendrobium</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Ashen Heart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Ashen Heart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80" priority="1" operator="containsText" text="Done">
      <formula>NOT(ISERROR(SEARCH("Done",K4)))</formula>
    </cfRule>
    <cfRule type="containsText" dxfId="579" priority="2" operator="containsText" text="In Progress">
      <formula>NOT(ISERROR(SEARCH("In Progress",K4)))</formula>
    </cfRule>
  </conditionalFormatting>
  <dataValidations count="5">
    <dataValidation type="list" allowBlank="1" showInputMessage="1" showErrorMessage="1" sqref="C10:C11" xr:uid="{FCD68AFC-6CBE-45A9-9CA9-8A345B8131EA}">
      <formula1>"0,1,2,3,4,5,6"</formula1>
    </dataValidation>
    <dataValidation type="list" allowBlank="1" showInputMessage="1" showErrorMessage="1" sqref="K4:K19" xr:uid="{621D78F6-ED27-4D32-ACFB-015A80E4153E}">
      <formula1>"In Progress, Done"</formula1>
    </dataValidation>
    <dataValidation type="list" allowBlank="1" showInputMessage="1" showErrorMessage="1" sqref="B1" xr:uid="{E0EAFC09-0212-464D-9EAE-F808A8737849}">
      <formula1>Character_Name_List</formula1>
    </dataValidation>
    <dataValidation type="list" allowBlank="1" showInputMessage="1" showErrorMessage="1" sqref="F4:F5 F17:F18 F30:F31" xr:uid="{AC01A277-186E-4ABC-AB5F-E7105855AE86}">
      <formula1>"1,2,3,4,5,6,7,8,9,10"</formula1>
    </dataValidation>
    <dataValidation type="list" operator="equal" allowBlank="1" showInputMessage="1" showErrorMessage="1" sqref="B4:B5" xr:uid="{4FB4823A-E99B-482B-9DCF-1B8EF353084F}">
      <formula1>"1,20,40,50,60,70,80,90"</formula1>
    </dataValidation>
  </dataValidation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D24E8-7E00-4EC3-8264-0B730FF9B0AC}">
  <sheetPr codeName="Sheet46">
    <tabColor theme="9" tint="0.59999389629810485"/>
    <pageSetUpPr autoPageBreaks="0"/>
  </sheetPr>
  <dimension ref="A1:K40"/>
  <sheetViews>
    <sheetView zoomScaleNormal="100" zoomScaleSheetLayoutView="100"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255</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84"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85"/>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85"/>
      <c r="I8" s="1" t="str">
        <f t="shared" si="0"/>
        <v>Varunada Lazurite Chunk</v>
      </c>
      <c r="J8" s="17">
        <f t="shared" si="0"/>
        <v>0</v>
      </c>
      <c r="K8" s="34" t="s">
        <v>202</v>
      </c>
    </row>
    <row r="9" spans="1:11" ht="15.75" thickBot="1" x14ac:dyDescent="0.3">
      <c r="A9" s="171" t="s">
        <v>149</v>
      </c>
      <c r="B9" s="231"/>
      <c r="C9" s="172"/>
      <c r="E9" s="14" t="str">
        <f>VLOOKUP(VLOOKUP(B1,Character_List,8,FALSE),Weekly_Boss_Mats,2,FALSE)</f>
        <v>Hellfire Butterfly</v>
      </c>
      <c r="F9" s="17">
        <f>VLOOKUP(F5,Required_Talent_Materials,5,FALSE)-VLOOKUP(F4,Required_Talent_Materials,5,FALSE)</f>
        <v>0</v>
      </c>
      <c r="H9" s="185"/>
      <c r="I9" s="1" t="str">
        <f t="shared" si="0"/>
        <v>Varunada Lazurite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Dew of Repudiation</v>
      </c>
      <c r="J10" s="16">
        <f t="shared" si="0"/>
        <v>0</v>
      </c>
      <c r="K10" s="34" t="s">
        <v>202</v>
      </c>
    </row>
    <row r="11" spans="1:11" ht="15.75" thickBot="1" x14ac:dyDescent="0.3">
      <c r="A11" s="173" t="s">
        <v>208</v>
      </c>
      <c r="B11" s="202"/>
      <c r="C11" s="43">
        <v>6</v>
      </c>
      <c r="E11" s="14" t="str">
        <f>VLOOKUP(VLOOKUP(B1,Character_List,5,FALSE),Common_Mob_Drops,2,FALSE)</f>
        <v>Spectral Husk</v>
      </c>
      <c r="F11" s="17">
        <f>VLOOKUP(F5,Required_Talent_Materials,7,FALSE)-VLOOKUP(F4,Required_Talent_Materials,7,FALSE)</f>
        <v>0</v>
      </c>
      <c r="H11" s="184" t="s">
        <v>207</v>
      </c>
      <c r="I11" s="2" t="str">
        <f>B17</f>
        <v>Spectral Husk</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85"/>
      <c r="I12" s="1" t="str">
        <f>B18</f>
        <v>Spectral Heart</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86"/>
      <c r="I13" s="9" t="str">
        <f>B19</f>
        <v>Spectral Nucleus</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Sango Pearl</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84" t="s">
        <v>216</v>
      </c>
      <c r="I15" s="2" t="str">
        <f>E6</f>
        <v>Teachings of Transience</v>
      </c>
      <c r="J15" s="15">
        <f>SUM(F6,F19,F32)</f>
        <v>0</v>
      </c>
      <c r="K15" s="34" t="s">
        <v>202</v>
      </c>
    </row>
    <row r="16" spans="1:11" ht="15.75" thickBot="1" x14ac:dyDescent="0.3">
      <c r="A16" s="42"/>
      <c r="B16" s="9" t="str">
        <f>VLOOKUP(B1,Character_List,4,FALSE)</f>
        <v>Dew of Repudiation</v>
      </c>
      <c r="C16" s="16">
        <f>VLOOKUP(C11,Required_Ascension_Materials,6,FALSE)-VLOOKUP(C10,Required_Ascension_Materials,6,FALSE)</f>
        <v>0</v>
      </c>
      <c r="E16" s="171" t="s">
        <v>151</v>
      </c>
      <c r="F16" s="172"/>
      <c r="H16" s="185"/>
      <c r="I16" s="1" t="str">
        <f>E7</f>
        <v>Guide to Transience</v>
      </c>
      <c r="J16" s="17">
        <f>SUM(F7,F20,F33)</f>
        <v>0</v>
      </c>
      <c r="K16" s="34" t="s">
        <v>202</v>
      </c>
    </row>
    <row r="17" spans="1:11" ht="15.75" thickBot="1" x14ac:dyDescent="0.3">
      <c r="A17" s="184" t="s">
        <v>207</v>
      </c>
      <c r="B17" s="2" t="str">
        <f>VLOOKUP(VLOOKUP(B1,Character_List,5,FALSE),Common_Mob_Drops,2,FALSE)</f>
        <v>Spectral Husk</v>
      </c>
      <c r="C17" s="15">
        <f>VLOOKUP(C11,Required_Ascension_Materials,7,FALSE)-VLOOKUP(C10,Required_Ascension_Materials,7,FALSE)</f>
        <v>0</v>
      </c>
      <c r="E17" s="12" t="s">
        <v>200</v>
      </c>
      <c r="F17" s="28">
        <v>9</v>
      </c>
      <c r="H17" s="186"/>
      <c r="I17" s="9" t="str">
        <f>E8</f>
        <v>Philosophies of Transience</v>
      </c>
      <c r="J17" s="16">
        <f>SUM(F8,F21,F34)</f>
        <v>0</v>
      </c>
      <c r="K17" s="34" t="s">
        <v>202</v>
      </c>
    </row>
    <row r="18" spans="1:11" ht="15.75" thickBot="1" x14ac:dyDescent="0.3">
      <c r="A18" s="185"/>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Hellfire Butterfly</v>
      </c>
      <c r="J18" s="24">
        <f>SUM(F9,F22,F35)</f>
        <v>0</v>
      </c>
      <c r="K18" s="34" t="s">
        <v>202</v>
      </c>
    </row>
    <row r="19" spans="1:11" ht="15.75" thickBot="1" x14ac:dyDescent="0.3">
      <c r="A19" s="186"/>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Sango Pearl</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Hellfire Butterfly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Hellfire Butterfly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78" priority="1" operator="containsText" text="Done">
      <formula>NOT(ISERROR(SEARCH("Done",K4)))</formula>
    </cfRule>
    <cfRule type="containsText" dxfId="577" priority="2" operator="containsText" text="In Progress">
      <formula>NOT(ISERROR(SEARCH("In Progress",K4)))</formula>
    </cfRule>
  </conditionalFormatting>
  <dataValidations count="5">
    <dataValidation type="list" allowBlank="1" showInputMessage="1" showErrorMessage="1" sqref="C10:C11" xr:uid="{6B5AE7FA-EA8B-46EF-9276-F779749987E3}">
      <formula1>"0,1,2,3,4,5,6"</formula1>
    </dataValidation>
    <dataValidation type="list" allowBlank="1" showInputMessage="1" showErrorMessage="1" sqref="K4:K19" xr:uid="{702BBA00-77DB-4DFE-B833-476844821168}">
      <formula1>"In Progress, Done"</formula1>
    </dataValidation>
    <dataValidation type="list" allowBlank="1" showInputMessage="1" showErrorMessage="1" sqref="B1" xr:uid="{8B92B195-2C73-4E7E-8015-7881CBE370BD}">
      <formula1>Character_Name_List</formula1>
    </dataValidation>
    <dataValidation type="list" allowBlank="1" showInputMessage="1" showErrorMessage="1" sqref="F4:F5 F17:F18 F30:F31" xr:uid="{DEAF7D69-510D-43EE-838F-D39E2152FC85}">
      <formula1>"1,2,3,4,5,6,7,8,9,10"</formula1>
    </dataValidation>
    <dataValidation type="list" operator="equal" allowBlank="1" showInputMessage="1" showErrorMessage="1" sqref="B4:B5" xr:uid="{0D6AD6A6-535B-4358-BE7D-09B4D35560CA}">
      <formula1>"1,20,40,50,60,70,80,90"</formula1>
    </dataValidation>
  </dataValidations>
  <pageMargins left="0.7" right="0.7" top="0.75" bottom="0.75" header="0.3" footer="0.3"/>
  <pageSetup paperSize="9"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CED1C-41C6-485A-A46E-C39F0C9D4B86}">
  <sheetPr codeName="Sheet47">
    <tabColor theme="9" tint="0.59999389629810485"/>
  </sheetPr>
  <dimension ref="A1:K40"/>
  <sheetViews>
    <sheetView workbookViewId="0">
      <selection activeCell="I26" sqref="I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256</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Hellfire Butterfly</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Smoldering Pearl</v>
      </c>
      <c r="J10" s="16">
        <f t="shared" si="0"/>
        <v>0</v>
      </c>
      <c r="K10" s="34" t="s">
        <v>202</v>
      </c>
    </row>
    <row r="11" spans="1:11" ht="15.75" thickBot="1" x14ac:dyDescent="0.3">
      <c r="A11" s="173" t="s">
        <v>208</v>
      </c>
      <c r="B11" s="202"/>
      <c r="C11" s="43">
        <v>6</v>
      </c>
      <c r="E11" s="14" t="str">
        <f>VLOOKUP(VLOOKUP(B1,Character_List,5,FALSE),Common_Mob_Drops,2,FALSE)</f>
        <v>Treasure Hoarder Insignia</v>
      </c>
      <c r="F11" s="17">
        <f>VLOOKUP(F5,Required_Talent_Materials,7,FALSE)-VLOOKUP(F4,Required_Talent_Materials,7,FALSE)</f>
        <v>0</v>
      </c>
      <c r="H11" s="184"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5"/>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6"/>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Fluorescent Fungus</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Transience</v>
      </c>
      <c r="J15" s="15">
        <f>SUM(F6,F19,F32)</f>
        <v>0</v>
      </c>
      <c r="K15" s="34" t="s">
        <v>202</v>
      </c>
    </row>
    <row r="16" spans="1:11" ht="15.75" thickBot="1" x14ac:dyDescent="0.3">
      <c r="A16" s="42"/>
      <c r="B16" s="9" t="str">
        <f>VLOOKUP(B1,Character_List,4,FALSE)</f>
        <v>Smoldering Pearl</v>
      </c>
      <c r="C16" s="16">
        <f>VLOOKUP(C11,Required_Ascension_Materials,6,FALSE)-VLOOKUP(C10,Required_Ascension_Materials,6,FALSE)</f>
        <v>0</v>
      </c>
      <c r="E16" s="171" t="s">
        <v>151</v>
      </c>
      <c r="F16" s="172"/>
      <c r="H16" s="185"/>
      <c r="I16" s="1" t="str">
        <f>E7</f>
        <v>Guide to Transience</v>
      </c>
      <c r="J16" s="17">
        <f>SUM(F7,F20,F33)</f>
        <v>0</v>
      </c>
      <c r="K16" s="34" t="s">
        <v>202</v>
      </c>
    </row>
    <row r="17" spans="1:11" ht="15.75" thickBot="1" x14ac:dyDescent="0.3">
      <c r="A17" s="184" t="s">
        <v>207</v>
      </c>
      <c r="B17" s="2" t="str">
        <f>VLOOKUP(VLOOKUP(B1,Character_List,5,FALSE),Common_Mob_Drops,2,FALSE)</f>
        <v>Treasure Hoarder Insignia</v>
      </c>
      <c r="C17" s="15">
        <f>VLOOKUP(C11,Required_Ascension_Materials,7,FALSE)-VLOOKUP(C10,Required_Ascension_Materials,7,FALSE)</f>
        <v>0</v>
      </c>
      <c r="E17" s="12" t="s">
        <v>200</v>
      </c>
      <c r="F17" s="28">
        <v>9</v>
      </c>
      <c r="H17" s="186"/>
      <c r="I17" s="9" t="str">
        <f>E8</f>
        <v>Philosophies of Transience</v>
      </c>
      <c r="J17" s="16">
        <f>SUM(F8,F21,F34)</f>
        <v>0</v>
      </c>
      <c r="K17" s="34" t="s">
        <v>202</v>
      </c>
    </row>
    <row r="18" spans="1:11" ht="15.75" thickBot="1" x14ac:dyDescent="0.3">
      <c r="A18" s="185"/>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Hellfire Butterfly</v>
      </c>
      <c r="J18" s="24">
        <f>SUM(F9,F22,F35)</f>
        <v>0</v>
      </c>
      <c r="K18" s="34" t="s">
        <v>202</v>
      </c>
    </row>
    <row r="19" spans="1:11" ht="15.75" thickBot="1" x14ac:dyDescent="0.3">
      <c r="A19" s="186"/>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Fluorescent Fungus</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Hellfire Butterfly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Hellfire Butterfly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76" priority="1" operator="containsText" text="Done">
      <formula>NOT(ISERROR(SEARCH("Done",K4)))</formula>
    </cfRule>
    <cfRule type="containsText" dxfId="575" priority="2" operator="containsText" text="In Progress">
      <formula>NOT(ISERROR(SEARCH("In Progress",K4)))</formula>
    </cfRule>
  </conditionalFormatting>
  <dataValidations count="5">
    <dataValidation type="list" allowBlank="1" showInputMessage="1" showErrorMessage="1" sqref="C10:C11" xr:uid="{647D0325-A39E-4F8A-BCA4-EABB5EC1C43C}">
      <formula1>"0,1,2,3,4,5,6"</formula1>
    </dataValidation>
    <dataValidation type="list" allowBlank="1" showInputMessage="1" showErrorMessage="1" sqref="K4:K19" xr:uid="{876DB2FF-875F-4904-972B-67104A70FF36}">
      <formula1>"In Progress, Done"</formula1>
    </dataValidation>
    <dataValidation type="list" allowBlank="1" showInputMessage="1" showErrorMessage="1" sqref="B1" xr:uid="{D5613123-9D78-4EA2-A7CB-5934716F6783}">
      <formula1>Character_Name_List</formula1>
    </dataValidation>
    <dataValidation type="list" allowBlank="1" showInputMessage="1" showErrorMessage="1" sqref="F4:F5 F17:F18 F30:F31" xr:uid="{6817F8CF-763E-48D8-BBD8-24C3AD73A676}">
      <formula1>"1,2,3,4,5,6,7,8,9,10"</formula1>
    </dataValidation>
    <dataValidation type="list" operator="equal" allowBlank="1" showInputMessage="1" showErrorMessage="1" sqref="B4:B5" xr:uid="{DBAC0354-C8D8-4D42-AECF-1C09BFC3F631}">
      <formula1>"1,20,40,50,60,70,80,90"</formula1>
    </dataValidation>
  </dataValidation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CD6B1-A3C7-4F3F-87A4-2D8A2C19DAC2}">
  <sheetPr codeName="Sheet4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257</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Molten Moment</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Crystalline Bloom</v>
      </c>
      <c r="J10" s="16">
        <f t="shared" si="0"/>
        <v>0</v>
      </c>
      <c r="K10" s="34" t="s">
        <v>202</v>
      </c>
    </row>
    <row r="11" spans="1:11" ht="15.75" thickBot="1" x14ac:dyDescent="0.3">
      <c r="A11" s="173" t="s">
        <v>208</v>
      </c>
      <c r="B11" s="202"/>
      <c r="C11" s="43">
        <v>6</v>
      </c>
      <c r="E11" s="14" t="str">
        <f>VLOOKUP(VLOOKUP(B1,Character_List,5,FALSE),Common_Mob_Drops,2,FALSE)</f>
        <v>Spectral Husk</v>
      </c>
      <c r="F11" s="17">
        <f>VLOOKUP(F5,Required_Talent_Materials,7,FALSE)-VLOOKUP(F4,Required_Talent_Materials,7,FALSE)</f>
        <v>0</v>
      </c>
      <c r="H11" s="184" t="s">
        <v>207</v>
      </c>
      <c r="I11" s="2" t="str">
        <f>B17</f>
        <v>Spectral Husk</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85"/>
      <c r="I12" s="1" t="str">
        <f>B18</f>
        <v>Spectral Heart</v>
      </c>
      <c r="J12" s="17">
        <f>SUM(C18,F12,F25,F38)</f>
        <v>0</v>
      </c>
      <c r="K12" s="34" t="s">
        <v>202</v>
      </c>
    </row>
    <row r="13" spans="1:11" ht="15.75" thickBot="1" x14ac:dyDescent="0.3">
      <c r="A13" s="182"/>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86"/>
      <c r="I13" s="9" t="str">
        <f>B19</f>
        <v>Spectral Nucleus</v>
      </c>
      <c r="J13" s="16">
        <f>SUM(C19,F13,F26,F39)</f>
        <v>0</v>
      </c>
      <c r="K13" s="34" t="s">
        <v>202</v>
      </c>
    </row>
    <row r="14" spans="1:11" ht="15.75" thickBot="1" x14ac:dyDescent="0.3">
      <c r="A14" s="182"/>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Crystal Marrow</v>
      </c>
      <c r="J14" s="24">
        <f>C20</f>
        <v>0</v>
      </c>
      <c r="K14" s="34" t="s">
        <v>202</v>
      </c>
    </row>
    <row r="15" spans="1:11" ht="15.75" thickBot="1" x14ac:dyDescent="0.3">
      <c r="A15" s="182"/>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Freedom</v>
      </c>
      <c r="J15" s="15">
        <f>SUM(F6,F19,F32)</f>
        <v>0</v>
      </c>
      <c r="K15" s="34" t="s">
        <v>202</v>
      </c>
    </row>
    <row r="16" spans="1:11" ht="15.75" thickBot="1" x14ac:dyDescent="0.3">
      <c r="A16" s="183"/>
      <c r="B16" s="9" t="str">
        <f>VLOOKUP(B1,Character_List,4,FALSE)</f>
        <v>Crystalline Bloom</v>
      </c>
      <c r="C16" s="16">
        <f>VLOOKUP(C11,Required_Ascension_Materials,6,FALSE)-VLOOKUP(C10,Required_Ascension_Materials,6,FALSE)</f>
        <v>0</v>
      </c>
      <c r="E16" s="171" t="s">
        <v>151</v>
      </c>
      <c r="F16" s="172"/>
      <c r="H16" s="185"/>
      <c r="I16" s="1" t="str">
        <f>E7</f>
        <v>Guide to Freedom</v>
      </c>
      <c r="J16" s="17">
        <f>SUM(F7,F20,F33)</f>
        <v>0</v>
      </c>
      <c r="K16" s="34" t="s">
        <v>202</v>
      </c>
    </row>
    <row r="17" spans="1:11" ht="15.75" thickBot="1" x14ac:dyDescent="0.3">
      <c r="A17" s="184" t="s">
        <v>207</v>
      </c>
      <c r="B17" s="2" t="str">
        <f>VLOOKUP(VLOOKUP(B1,Character_List,5,FALSE),Common_Mob_Drops,2,FALSE)</f>
        <v>Spectral Husk</v>
      </c>
      <c r="C17" s="15">
        <f>VLOOKUP(C11,Required_Ascension_Materials,7,FALSE)-VLOOKUP(C10,Required_Ascension_Materials,7,FALSE)</f>
        <v>0</v>
      </c>
      <c r="E17" s="12" t="s">
        <v>200</v>
      </c>
      <c r="F17" s="28">
        <v>9</v>
      </c>
      <c r="H17" s="186"/>
      <c r="I17" s="9" t="str">
        <f>E8</f>
        <v>Philosophies of Freedom</v>
      </c>
      <c r="J17" s="16">
        <f>SUM(F8,F21,F34)</f>
        <v>0</v>
      </c>
      <c r="K17" s="34" t="s">
        <v>202</v>
      </c>
    </row>
    <row r="18" spans="1:11" ht="15.75" thickBot="1" x14ac:dyDescent="0.3">
      <c r="A18" s="185"/>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Molten Moment</v>
      </c>
      <c r="J18" s="24">
        <f>SUM(F9,F22,F35)</f>
        <v>0</v>
      </c>
      <c r="K18" s="34" t="s">
        <v>202</v>
      </c>
    </row>
    <row r="19" spans="1:11" ht="15.75" thickBot="1" x14ac:dyDescent="0.3">
      <c r="A19" s="186"/>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Crystal Marrow</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Molten Moment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Molten Moment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 ref="A12:A16"/>
  </mergeCells>
  <conditionalFormatting sqref="K4:K19">
    <cfRule type="containsText" dxfId="574" priority="1" operator="containsText" text="Done">
      <formula>NOT(ISERROR(SEARCH("Done",K4)))</formula>
    </cfRule>
    <cfRule type="containsText" dxfId="573" priority="2" operator="containsText" text="In Progress">
      <formula>NOT(ISERROR(SEARCH("In Progress",K4)))</formula>
    </cfRule>
  </conditionalFormatting>
  <dataValidations count="5">
    <dataValidation type="list" allowBlank="1" showInputMessage="1" showErrorMessage="1" sqref="C10:C11" xr:uid="{7160DCB9-895A-4DEB-BA80-B7F54B91966A}">
      <formula1>"0,1,2,3,4,5,6"</formula1>
    </dataValidation>
    <dataValidation type="list" allowBlank="1" showInputMessage="1" showErrorMessage="1" sqref="K4:K19" xr:uid="{BD1658B8-BF51-4993-9B36-A4D32F24E770}">
      <formula1>"In Progress, Done"</formula1>
    </dataValidation>
    <dataValidation type="list" allowBlank="1" showInputMessage="1" showErrorMessage="1" sqref="B1" xr:uid="{90C2DFD2-E2AF-422E-ABF4-10CB490FA987}">
      <formula1>Character_Name_List</formula1>
    </dataValidation>
    <dataValidation type="list" allowBlank="1" showInputMessage="1" showErrorMessage="1" sqref="F4:F5 F17:F18 F30:F31" xr:uid="{6EC3DBA0-C045-4BE7-8C9C-C9EA6398C03F}">
      <formula1>"1,2,3,4,5,6,7,8,9,10"</formula1>
    </dataValidation>
    <dataValidation type="list" operator="equal" allowBlank="1" showInputMessage="1" showErrorMessage="1" sqref="B4:B5" xr:uid="{70E224F2-4BC0-4A5C-BCC7-3D77BE367F43}">
      <formula1>"1,20,40,50,60,70,80,90"</formula1>
    </dataValidation>
  </dataValidation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63265-6493-49D3-9762-37FCDC87A406}">
  <sheetPr codeName="Sheet49">
    <tabColor theme="9" tint="0.59999389629810485"/>
  </sheetPr>
  <dimension ref="A1:K40"/>
  <sheetViews>
    <sheetView workbookViewId="0">
      <selection activeCell="I30" sqref="I30"/>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258</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84"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85"/>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85"/>
      <c r="I8" s="1" t="str">
        <f t="shared" si="0"/>
        <v>Prithiva Topaz Chunk</v>
      </c>
      <c r="J8" s="17">
        <f t="shared" si="0"/>
        <v>0</v>
      </c>
      <c r="K8" s="34" t="s">
        <v>202</v>
      </c>
    </row>
    <row r="9" spans="1:11" ht="15.75" thickBot="1" x14ac:dyDescent="0.3">
      <c r="A9" s="171" t="s">
        <v>149</v>
      </c>
      <c r="B9" s="231"/>
      <c r="C9" s="172"/>
      <c r="E9" s="14" t="str">
        <f>VLOOKUP(VLOOKUP(B1,Character_List,8,FALSE),Weekly_Boss_Mats,2,FALSE)</f>
        <v>Ashen Heart</v>
      </c>
      <c r="F9" s="17">
        <f>VLOOKUP(F5,Required_Talent_Materials,5,FALSE)-VLOOKUP(F4,Required_Talent_Materials,5,FALSE)</f>
        <v>0</v>
      </c>
      <c r="H9" s="185"/>
      <c r="I9" s="1" t="str">
        <f t="shared" si="0"/>
        <v>Prithiva Topaz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Riftborn Regalia</v>
      </c>
      <c r="J10" s="16">
        <f t="shared" si="0"/>
        <v>0</v>
      </c>
      <c r="K10" s="34" t="s">
        <v>202</v>
      </c>
    </row>
    <row r="11" spans="1:11" ht="15.75" thickBot="1" x14ac:dyDescent="0.3">
      <c r="A11" s="173" t="s">
        <v>208</v>
      </c>
      <c r="B11" s="202"/>
      <c r="C11" s="43">
        <v>6</v>
      </c>
      <c r="E11" s="14" t="str">
        <f>VLOOKUP(VLOOKUP(B1,Character_List,5,FALSE),Common_Mob_Drops,2,FALSE)</f>
        <v>Slime Condensate</v>
      </c>
      <c r="F11" s="17">
        <f>VLOOKUP(F5,Required_Talent_Materials,7,FALSE)-VLOOKUP(F4,Required_Talent_Materials,7,FALSE)</f>
        <v>0</v>
      </c>
      <c r="H11" s="184" t="s">
        <v>207</v>
      </c>
      <c r="I11" s="2" t="str">
        <f>B17</f>
        <v>Slime Condensate</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5"/>
      <c r="I12" s="1" t="str">
        <f>B18</f>
        <v>Slime Secretions</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6"/>
      <c r="I13" s="9" t="str">
        <f>B19</f>
        <v>Slime Concentrate</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Onikabuto</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84" t="s">
        <v>216</v>
      </c>
      <c r="I15" s="2" t="str">
        <f>E6</f>
        <v>Teachings of Elegance</v>
      </c>
      <c r="J15" s="15">
        <f>SUM(F6,F19,F32)</f>
        <v>0</v>
      </c>
      <c r="K15" s="34" t="s">
        <v>202</v>
      </c>
    </row>
    <row r="16" spans="1:11" ht="15.75" thickBot="1" x14ac:dyDescent="0.3">
      <c r="A16" s="42"/>
      <c r="B16" s="9" t="str">
        <f>VLOOKUP(B1,Character_List,4,FALSE)</f>
        <v>Riftborn Regalia</v>
      </c>
      <c r="C16" s="16">
        <f>VLOOKUP(C11,Required_Ascension_Materials,6,FALSE)-VLOOKUP(C10,Required_Ascension_Materials,6,FALSE)</f>
        <v>0</v>
      </c>
      <c r="E16" s="171" t="s">
        <v>151</v>
      </c>
      <c r="F16" s="172"/>
      <c r="H16" s="185"/>
      <c r="I16" s="1" t="str">
        <f>E7</f>
        <v>Guide to Elegance</v>
      </c>
      <c r="J16" s="17">
        <f>SUM(F7,F20,F33)</f>
        <v>0</v>
      </c>
      <c r="K16" s="34" t="s">
        <v>202</v>
      </c>
    </row>
    <row r="17" spans="1:11" ht="15.75" thickBot="1" x14ac:dyDescent="0.3">
      <c r="A17" s="184" t="s">
        <v>207</v>
      </c>
      <c r="B17" s="2" t="str">
        <f>VLOOKUP(VLOOKUP(B1,Character_List,5,FALSE),Common_Mob_Drops,2,FALSE)</f>
        <v>Slime Condensate</v>
      </c>
      <c r="C17" s="15">
        <f>VLOOKUP(C11,Required_Ascension_Materials,7,FALSE)-VLOOKUP(C10,Required_Ascension_Materials,7,FALSE)</f>
        <v>0</v>
      </c>
      <c r="E17" s="12" t="s">
        <v>200</v>
      </c>
      <c r="F17" s="28">
        <v>9</v>
      </c>
      <c r="H17" s="186"/>
      <c r="I17" s="9" t="str">
        <f>E8</f>
        <v>Philosophies of Elegance</v>
      </c>
      <c r="J17" s="16">
        <f>SUM(F8,F21,F34)</f>
        <v>0</v>
      </c>
      <c r="K17" s="34" t="s">
        <v>202</v>
      </c>
    </row>
    <row r="18" spans="1:11" ht="15.75" thickBot="1" x14ac:dyDescent="0.3">
      <c r="A18" s="185"/>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Ashen Heart</v>
      </c>
      <c r="J18" s="24">
        <f>SUM(F9,F22,F35)</f>
        <v>0</v>
      </c>
      <c r="K18" s="34" t="s">
        <v>202</v>
      </c>
    </row>
    <row r="19" spans="1:11" ht="15.75" thickBot="1" x14ac:dyDescent="0.3">
      <c r="A19" s="186"/>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Onikabuto</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Ashen Heart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Ashen Heart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72" priority="1" operator="containsText" text="Done">
      <formula>NOT(ISERROR(SEARCH("Done",K4)))</formula>
    </cfRule>
    <cfRule type="containsText" dxfId="571" priority="2" operator="containsText" text="In Progress">
      <formula>NOT(ISERROR(SEARCH("In Progress",K4)))</formula>
    </cfRule>
  </conditionalFormatting>
  <dataValidations count="5">
    <dataValidation type="list" allowBlank="1" showInputMessage="1" showErrorMessage="1" sqref="C10:C11" xr:uid="{346CA91F-F60A-4F15-8262-EDA507C0561B}">
      <formula1>"0,1,2,3,4,5,6"</formula1>
    </dataValidation>
    <dataValidation type="list" allowBlank="1" showInputMessage="1" showErrorMessage="1" sqref="K4:K19" xr:uid="{97618F72-0D3F-4BBB-82C4-08E6F21A0B4E}">
      <formula1>"In Progress, Done"</formula1>
    </dataValidation>
    <dataValidation type="list" allowBlank="1" showInputMessage="1" showErrorMessage="1" sqref="B1" xr:uid="{41E54B60-4433-4DD4-BA84-D4CE4F5D880A}">
      <formula1>Character_Name_List</formula1>
    </dataValidation>
    <dataValidation type="list" allowBlank="1" showInputMessage="1" showErrorMessage="1" sqref="F4:F5 F17:F18 F30:F31" xr:uid="{DD3184E2-6630-46CB-A0C4-37F28C3B80E6}">
      <formula1>"1,2,3,4,5,6,7,8,9,10"</formula1>
    </dataValidation>
    <dataValidation type="list" operator="equal" allowBlank="1" showInputMessage="1" showErrorMessage="1" sqref="B4:B5" xr:uid="{AC9985DD-B684-4384-A99C-BBBDE607337D}">
      <formula1>"1,20,40,50,60,70,80,90"</formula1>
    </dataValidation>
  </dataValidation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CDAA1-F841-40B0-95E1-58BCC3CC236E}">
  <sheetPr codeName="Sheet50">
    <tabColor theme="9" tint="0.59999389629810485"/>
  </sheetPr>
  <dimension ref="A1:K40"/>
  <sheetViews>
    <sheetView workbookViewId="0">
      <selection activeCell="I21" sqref="I2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259</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84"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85"/>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85"/>
      <c r="I8" s="1" t="str">
        <f t="shared" si="0"/>
        <v>Prithiva Topaz Chunk</v>
      </c>
      <c r="J8" s="17">
        <f t="shared" si="0"/>
        <v>0</v>
      </c>
      <c r="K8" s="34" t="s">
        <v>202</v>
      </c>
    </row>
    <row r="9" spans="1:11" ht="15.75" thickBot="1" x14ac:dyDescent="0.3">
      <c r="A9" s="171" t="s">
        <v>149</v>
      </c>
      <c r="B9" s="231"/>
      <c r="C9" s="172"/>
      <c r="E9" s="14" t="str">
        <f>VLOOKUP(VLOOKUP(B1,Character_List,8,FALSE),Weekly_Boss_Mats,2,FALSE)</f>
        <v>Molten Moment</v>
      </c>
      <c r="F9" s="17">
        <f>VLOOKUP(F5,Required_Talent_Materials,5,FALSE)-VLOOKUP(F4,Required_Talent_Materials,5,FALSE)</f>
        <v>0</v>
      </c>
      <c r="H9" s="185"/>
      <c r="I9" s="1" t="str">
        <f t="shared" si="0"/>
        <v>Prithiva Topaz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Perpetual Heart</v>
      </c>
      <c r="J10" s="16">
        <f t="shared" si="0"/>
        <v>0</v>
      </c>
      <c r="K10" s="34" t="s">
        <v>202</v>
      </c>
    </row>
    <row r="11" spans="1:11" ht="15.75" thickBot="1" x14ac:dyDescent="0.3">
      <c r="A11" s="173" t="s">
        <v>208</v>
      </c>
      <c r="B11" s="202"/>
      <c r="C11" s="43">
        <v>6</v>
      </c>
      <c r="E11" s="14" t="str">
        <f>VLOOKUP(VLOOKUP(B1,Character_List,5,FALSE),Common_Mob_Drops,2,FALSE)</f>
        <v>Spectral Husk</v>
      </c>
      <c r="F11" s="17">
        <f>VLOOKUP(F5,Required_Talent_Materials,7,FALSE)-VLOOKUP(F4,Required_Talent_Materials,7,FALSE)</f>
        <v>0</v>
      </c>
      <c r="H11" s="184" t="s">
        <v>207</v>
      </c>
      <c r="I11" s="2" t="str">
        <f>B17</f>
        <v>Spectral Husk</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85"/>
      <c r="I12" s="1" t="str">
        <f>B18</f>
        <v>Spectral Heart</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86"/>
      <c r="I13" s="9" t="str">
        <f>B19</f>
        <v>Spectral Nucleus</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Sango Pearl</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84" t="s">
        <v>216</v>
      </c>
      <c r="I15" s="2" t="str">
        <f>E6</f>
        <v>Teachings of Light</v>
      </c>
      <c r="J15" s="15">
        <f>SUM(F6,F19,F32)</f>
        <v>0</v>
      </c>
      <c r="K15" s="34" t="s">
        <v>202</v>
      </c>
    </row>
    <row r="16" spans="1:11" ht="15.75" thickBot="1" x14ac:dyDescent="0.3">
      <c r="A16" s="42"/>
      <c r="B16" s="9" t="str">
        <f>VLOOKUP(B1,Character_List,4,FALSE)</f>
        <v>Perpetual Heart</v>
      </c>
      <c r="C16" s="16">
        <f>VLOOKUP(C11,Required_Ascension_Materials,6,FALSE)-VLOOKUP(C10,Required_Ascension_Materials,6,FALSE)</f>
        <v>0</v>
      </c>
      <c r="E16" s="171" t="s">
        <v>151</v>
      </c>
      <c r="F16" s="172"/>
      <c r="H16" s="185"/>
      <c r="I16" s="1" t="str">
        <f>E7</f>
        <v>Guide to Light</v>
      </c>
      <c r="J16" s="17">
        <f>SUM(F7,F20,F33)</f>
        <v>0</v>
      </c>
      <c r="K16" s="34" t="s">
        <v>202</v>
      </c>
    </row>
    <row r="17" spans="1:11" ht="15.75" thickBot="1" x14ac:dyDescent="0.3">
      <c r="A17" s="184" t="s">
        <v>207</v>
      </c>
      <c r="B17" s="2" t="str">
        <f>VLOOKUP(VLOOKUP(B1,Character_List,5,FALSE),Common_Mob_Drops,2,FALSE)</f>
        <v>Spectral Husk</v>
      </c>
      <c r="C17" s="15">
        <f>VLOOKUP(C11,Required_Ascension_Materials,7,FALSE)-VLOOKUP(C10,Required_Ascension_Materials,7,FALSE)</f>
        <v>0</v>
      </c>
      <c r="E17" s="12" t="s">
        <v>200</v>
      </c>
      <c r="F17" s="28">
        <v>9</v>
      </c>
      <c r="H17" s="186"/>
      <c r="I17" s="9" t="str">
        <f>E8</f>
        <v>Philosophies of Light</v>
      </c>
      <c r="J17" s="16">
        <f>SUM(F8,F21,F34)</f>
        <v>0</v>
      </c>
      <c r="K17" s="34" t="s">
        <v>202</v>
      </c>
    </row>
    <row r="18" spans="1:11" ht="15.75" thickBot="1" x14ac:dyDescent="0.3">
      <c r="A18" s="185"/>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Molten Moment</v>
      </c>
      <c r="J18" s="24">
        <f>SUM(F9,F22,F35)</f>
        <v>0</v>
      </c>
      <c r="K18" s="34" t="s">
        <v>202</v>
      </c>
    </row>
    <row r="19" spans="1:11" ht="15.75" thickBot="1" x14ac:dyDescent="0.3">
      <c r="A19" s="186"/>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Sango Pearl</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Molten Moment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Molten Moment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70" priority="1" operator="containsText" text="Done">
      <formula>NOT(ISERROR(SEARCH("Done",K4)))</formula>
    </cfRule>
    <cfRule type="containsText" dxfId="569" priority="2" operator="containsText" text="In Progress">
      <formula>NOT(ISERROR(SEARCH("In Progress",K4)))</formula>
    </cfRule>
  </conditionalFormatting>
  <dataValidations count="5">
    <dataValidation type="list" operator="equal" allowBlank="1" showInputMessage="1" showErrorMessage="1" sqref="B4:B5" xr:uid="{DB90B6BB-62CC-4175-8D40-2B938ECA758A}">
      <formula1>"1,20,40,50,60,70,80,90"</formula1>
    </dataValidation>
    <dataValidation type="list" allowBlank="1" showInputMessage="1" showErrorMessage="1" sqref="F4:F5 F17:F18 F30:F31" xr:uid="{7865F3E8-3981-401E-998D-7FA6FB4893F5}">
      <formula1>"1,2,3,4,5,6,7,8,9,10"</formula1>
    </dataValidation>
    <dataValidation type="list" allowBlank="1" showInputMessage="1" showErrorMessage="1" sqref="B1" xr:uid="{02A195E2-1B87-4459-8B34-4DBCFAAF197F}">
      <formula1>Character_Name_List</formula1>
    </dataValidation>
    <dataValidation type="list" allowBlank="1" showInputMessage="1" showErrorMessage="1" sqref="K4:K19" xr:uid="{6B88977B-F0BB-4788-AACC-2336118B9A2C}">
      <formula1>"In Progress, Done"</formula1>
    </dataValidation>
    <dataValidation type="list" allowBlank="1" showInputMessage="1" showErrorMessage="1" sqref="C10:C11" xr:uid="{752B9C0F-7BBE-4010-A351-CB6948F0BE98}">
      <formula1>"0,1,2,3,4,5,6"</formula1>
    </dataValidation>
  </dataValidation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599FD-C42F-4944-B5C0-369CC83E4545}">
  <sheetPr codeName="Sheet5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260</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Hellfire Butterfly</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Dragonheir's False Fin</v>
      </c>
      <c r="J10" s="16">
        <f t="shared" si="0"/>
        <v>0</v>
      </c>
      <c r="K10" s="34" t="s">
        <v>202</v>
      </c>
    </row>
    <row r="11" spans="1:11" ht="15.75" thickBot="1" x14ac:dyDescent="0.3">
      <c r="A11" s="173" t="s">
        <v>208</v>
      </c>
      <c r="B11" s="202"/>
      <c r="C11" s="43">
        <v>6</v>
      </c>
      <c r="E11" s="14" t="str">
        <f>VLOOKUP(VLOOKUP(B1,Character_List,5,FALSE),Common_Mob_Drops,2,FALSE)</f>
        <v>Whopperflower</v>
      </c>
      <c r="F11" s="17">
        <f>VLOOKUP(F5,Required_Talent_Materials,7,FALSE)-VLOOKUP(F4,Required_Talent_Materials,7,FALSE)</f>
        <v>0</v>
      </c>
      <c r="H11" s="184" t="s">
        <v>207</v>
      </c>
      <c r="I11" s="2" t="str">
        <f>B17</f>
        <v>Whopperflower</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5"/>
      <c r="I12" s="1" t="str">
        <f>B18</f>
        <v>Shimmering Nectar</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6"/>
      <c r="I13" s="9" t="str">
        <f>B19</f>
        <v>Energy Nectar</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Qingxin</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Prosperity</v>
      </c>
      <c r="J15" s="15">
        <f>SUM(F6,F19,F32)</f>
        <v>0</v>
      </c>
      <c r="K15" s="34" t="s">
        <v>202</v>
      </c>
    </row>
    <row r="16" spans="1:11" ht="15.75" thickBot="1" x14ac:dyDescent="0.3">
      <c r="A16" s="42"/>
      <c r="B16" s="9" t="str">
        <f>VLOOKUP(B1,Character_List,4,FALSE)</f>
        <v>Dragonheir's False Fin</v>
      </c>
      <c r="C16" s="16">
        <f>VLOOKUP(C11,Required_Ascension_Materials,6,FALSE)-VLOOKUP(C10,Required_Ascension_Materials,6,FALSE)</f>
        <v>0</v>
      </c>
      <c r="E16" s="171" t="s">
        <v>151</v>
      </c>
      <c r="F16" s="172"/>
      <c r="H16" s="185"/>
      <c r="I16" s="1" t="str">
        <f>E7</f>
        <v>Guide to Prosperity</v>
      </c>
      <c r="J16" s="17">
        <f>SUM(F7,F20,F33)</f>
        <v>0</v>
      </c>
      <c r="K16" s="34" t="s">
        <v>202</v>
      </c>
    </row>
    <row r="17" spans="1:11" ht="15.75" thickBot="1" x14ac:dyDescent="0.3">
      <c r="A17" s="184" t="s">
        <v>207</v>
      </c>
      <c r="B17" s="2" t="str">
        <f>VLOOKUP(VLOOKUP(B1,Character_List,5,FALSE),Common_Mob_Drops,2,FALSE)</f>
        <v>Whopperflower</v>
      </c>
      <c r="C17" s="15">
        <f>VLOOKUP(C11,Required_Ascension_Materials,7,FALSE)-VLOOKUP(C10,Required_Ascension_Materials,7,FALSE)</f>
        <v>0</v>
      </c>
      <c r="E17" s="12" t="s">
        <v>200</v>
      </c>
      <c r="F17" s="28">
        <v>9</v>
      </c>
      <c r="H17" s="186"/>
      <c r="I17" s="9" t="str">
        <f>E8</f>
        <v>Philosophies of Prosperity</v>
      </c>
      <c r="J17" s="16">
        <f>SUM(F8,F21,F34)</f>
        <v>0</v>
      </c>
      <c r="K17" s="34" t="s">
        <v>202</v>
      </c>
    </row>
    <row r="18" spans="1:11" ht="15.75" thickBot="1" x14ac:dyDescent="0.3">
      <c r="A18" s="185"/>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Hellfire Butterfly</v>
      </c>
      <c r="J18" s="24">
        <f>SUM(F9,F22,F35)</f>
        <v>0</v>
      </c>
      <c r="K18" s="34" t="s">
        <v>202</v>
      </c>
    </row>
    <row r="19" spans="1:11" ht="15.75" thickBot="1" x14ac:dyDescent="0.3">
      <c r="A19" s="186"/>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Qingxin</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Hellfire Butterfly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Hellfire Butterfly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68" priority="1" operator="containsText" text="Done">
      <formula>NOT(ISERROR(SEARCH("Done",K4)))</formula>
    </cfRule>
    <cfRule type="containsText" dxfId="567" priority="2" operator="containsText" text="In Progress">
      <formula>NOT(ISERROR(SEARCH("In Progress",K4)))</formula>
    </cfRule>
  </conditionalFormatting>
  <dataValidations count="5">
    <dataValidation type="list" allowBlank="1" showInputMessage="1" showErrorMessage="1" sqref="C10:C11" xr:uid="{198B2112-C098-4A76-A2E4-32185F9DE66C}">
      <formula1>"0,1,2,3,4,5,6"</formula1>
    </dataValidation>
    <dataValidation type="list" allowBlank="1" showInputMessage="1" showErrorMessage="1" sqref="K4:K19" xr:uid="{EB3D23AD-852A-47BB-85CB-35D0AF2298A0}">
      <formula1>"In Progress, Done"</formula1>
    </dataValidation>
    <dataValidation type="list" allowBlank="1" showInputMessage="1" showErrorMessage="1" sqref="B1" xr:uid="{E4C9FA9A-3B9D-4C80-8EF7-D12845E451E0}">
      <formula1>Character_Name_List</formula1>
    </dataValidation>
    <dataValidation type="list" allowBlank="1" showInputMessage="1" showErrorMessage="1" sqref="F4:F5 F17:F18 F30:F31" xr:uid="{CA8C5FF6-6B07-47BC-88E2-84AC39961BAD}">
      <formula1>"1,2,3,4,5,6,7,8,9,10"</formula1>
    </dataValidation>
    <dataValidation type="list" operator="equal" allowBlank="1" showInputMessage="1" showErrorMessage="1" sqref="B4:B5" xr:uid="{06836041-FA75-48C9-9720-C2D33D5F8750}">
      <formula1>"1,20,40,50,60,70,80,90"</formula1>
    </dataValidation>
  </dataValidation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D25D2-0386-4539-AB25-C6923E123737}">
  <sheetPr codeName="Sheet5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261</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4"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5"/>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5"/>
      <c r="I8" s="1" t="str">
        <f t="shared" si="0"/>
        <v>Prithiva Topaz Chunk</v>
      </c>
      <c r="J8" s="17">
        <f t="shared" si="0"/>
        <v>0</v>
      </c>
      <c r="K8" s="34" t="s">
        <v>202</v>
      </c>
    </row>
    <row r="9" spans="1:11" ht="15.75" thickBot="1" x14ac:dyDescent="0.3">
      <c r="A9" s="171" t="s">
        <v>149</v>
      </c>
      <c r="B9" s="231"/>
      <c r="C9" s="172"/>
      <c r="E9" s="14" t="str">
        <f>VLOOKUP(VLOOKUP(B1,Character_List,8,FALSE),Weekly_Boss_Mats,2,FALSE)</f>
        <v>Ashen Heart</v>
      </c>
      <c r="F9" s="17">
        <f>VLOOKUP(F5,Required_Talent_Materials,5,FALSE)-VLOOKUP(F4,Required_Talent_Materials,5,FALSE)</f>
        <v>0</v>
      </c>
      <c r="H9" s="185"/>
      <c r="I9" s="1" t="str">
        <f t="shared" si="0"/>
        <v>Prithiva Topaz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Riftborn Regalia</v>
      </c>
      <c r="J10" s="16">
        <f t="shared" si="0"/>
        <v>0</v>
      </c>
      <c r="K10" s="34" t="s">
        <v>202</v>
      </c>
    </row>
    <row r="11" spans="1:11" ht="15.75" thickBot="1" x14ac:dyDescent="0.3">
      <c r="A11" s="173" t="s">
        <v>208</v>
      </c>
      <c r="B11" s="202"/>
      <c r="C11" s="43">
        <v>6</v>
      </c>
      <c r="E11" s="14" t="str">
        <f>VLOOKUP(VLOOKUP(B1,Character_List,5,FALSE),Common_Mob_Drops,2,FALSE)</f>
        <v>Damaged Mask</v>
      </c>
      <c r="F11" s="17">
        <f>VLOOKUP(F5,Required_Talent_Materials,7,FALSE)-VLOOKUP(F4,Required_Talent_Materials,7,FALSE)</f>
        <v>0</v>
      </c>
      <c r="H11" s="184" t="s">
        <v>207</v>
      </c>
      <c r="I11" s="2" t="str">
        <f>B17</f>
        <v>Damaged Mask</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85"/>
      <c r="I12" s="1" t="str">
        <f>B18</f>
        <v>Stained Mask</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86"/>
      <c r="I13" s="9" t="str">
        <f>B19</f>
        <v>Ominous Mask</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Glaze Lily</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84" t="s">
        <v>216</v>
      </c>
      <c r="I15" s="2" t="str">
        <f>E6</f>
        <v>Teachings of Diligence</v>
      </c>
      <c r="J15" s="15">
        <f>SUM(F6,F19,F32)</f>
        <v>0</v>
      </c>
      <c r="K15" s="34" t="s">
        <v>202</v>
      </c>
    </row>
    <row r="16" spans="1:11" ht="15.75" thickBot="1" x14ac:dyDescent="0.3">
      <c r="A16" s="42"/>
      <c r="B16" s="9" t="str">
        <f>VLOOKUP(B1,Character_List,4,FALSE)</f>
        <v>Riftborn Regalia</v>
      </c>
      <c r="C16" s="16">
        <f>VLOOKUP(C11,Required_Ascension_Materials,6,FALSE)-VLOOKUP(C10,Required_Ascension_Materials,6,FALSE)</f>
        <v>0</v>
      </c>
      <c r="E16" s="171" t="s">
        <v>151</v>
      </c>
      <c r="F16" s="172"/>
      <c r="H16" s="185"/>
      <c r="I16" s="1" t="str">
        <f>E7</f>
        <v>Guide to Diligence</v>
      </c>
      <c r="J16" s="17">
        <f>SUM(F7,F20,F33)</f>
        <v>0</v>
      </c>
      <c r="K16" s="34" t="s">
        <v>202</v>
      </c>
    </row>
    <row r="17" spans="1:11" ht="15.75" thickBot="1" x14ac:dyDescent="0.3">
      <c r="A17" s="184" t="s">
        <v>207</v>
      </c>
      <c r="B17" s="2" t="str">
        <f>VLOOKUP(VLOOKUP(B1,Character_List,5,FALSE),Common_Mob_Drops,2,FALSE)</f>
        <v>Damaged Mask</v>
      </c>
      <c r="C17" s="15">
        <f>VLOOKUP(C11,Required_Ascension_Materials,7,FALSE)-VLOOKUP(C10,Required_Ascension_Materials,7,FALSE)</f>
        <v>0</v>
      </c>
      <c r="E17" s="12" t="s">
        <v>200</v>
      </c>
      <c r="F17" s="28">
        <v>9</v>
      </c>
      <c r="H17" s="186"/>
      <c r="I17" s="9" t="str">
        <f>E8</f>
        <v>Philosophies of Diligence</v>
      </c>
      <c r="J17" s="16">
        <f>SUM(F8,F21,F34)</f>
        <v>0</v>
      </c>
      <c r="K17" s="34" t="s">
        <v>202</v>
      </c>
    </row>
    <row r="18" spans="1:11" ht="15.75" thickBot="1" x14ac:dyDescent="0.3">
      <c r="A18" s="185"/>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Ashen Heart</v>
      </c>
      <c r="J18" s="24">
        <f>SUM(F9,F22,F35)</f>
        <v>0</v>
      </c>
      <c r="K18" s="34" t="s">
        <v>202</v>
      </c>
    </row>
    <row r="19" spans="1:11" ht="15.75" thickBot="1" x14ac:dyDescent="0.3">
      <c r="A19" s="186"/>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Glaze Lily</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Ashen Heart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Ashen Heart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66" priority="1" operator="containsText" text="Done">
      <formula>NOT(ISERROR(SEARCH("Done",K4)))</formula>
    </cfRule>
    <cfRule type="containsText" dxfId="565" priority="2" operator="containsText" text="In Progress">
      <formula>NOT(ISERROR(SEARCH("In Progress",K4)))</formula>
    </cfRule>
  </conditionalFormatting>
  <dataValidations count="5">
    <dataValidation type="list" allowBlank="1" showInputMessage="1" showErrorMessage="1" sqref="C10:C11" xr:uid="{4DA50805-4689-4718-89C2-C1EA50423CF9}">
      <formula1>"0,1,2,3,4,5,6"</formula1>
    </dataValidation>
    <dataValidation type="list" allowBlank="1" showInputMessage="1" showErrorMessage="1" sqref="K4:K19" xr:uid="{892F70A5-11C6-48BB-BEA2-9EE8F26E95E9}">
      <formula1>"In Progress, Done"</formula1>
    </dataValidation>
    <dataValidation type="list" allowBlank="1" showInputMessage="1" showErrorMessage="1" sqref="B1" xr:uid="{8B0E09C9-C8B3-41AD-A8BE-E45CFB9EFA0B}">
      <formula1>Character_Name_List</formula1>
    </dataValidation>
    <dataValidation type="list" allowBlank="1" showInputMessage="1" showErrorMessage="1" sqref="F4:F5 F17:F18 F30:F31" xr:uid="{B3BD5981-0228-4EC7-84FE-FCDFB49E6D4B}">
      <formula1>"1,2,3,4,5,6,7,8,9,10"</formula1>
    </dataValidation>
    <dataValidation type="list" operator="equal" allowBlank="1" showInputMessage="1" showErrorMessage="1" sqref="B4:B5" xr:uid="{59C48171-4A18-495F-93FD-0EB222CE68E6}">
      <formula1>"1,20,40,50,60,70,80,90"</formula1>
    </dataValidation>
  </dataValidation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11D42-FAE1-4AEA-B768-7B69DA97DEB7}">
  <sheetPr codeName="Sheet5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262</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The Meaning of Aeons</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Dragonheir's False Fin</v>
      </c>
      <c r="J10" s="16">
        <f t="shared" si="0"/>
        <v>0</v>
      </c>
      <c r="K10" s="34" t="s">
        <v>202</v>
      </c>
    </row>
    <row r="11" spans="1:11" ht="15.75" thickBot="1" x14ac:dyDescent="0.3">
      <c r="A11" s="173" t="s">
        <v>208</v>
      </c>
      <c r="B11" s="202"/>
      <c r="C11" s="43">
        <v>6</v>
      </c>
      <c r="E11" s="14" t="str">
        <f>VLOOKUP(VLOOKUP(B1,Character_List,5,FALSE),Common_Mob_Drops,2,FALSE)</f>
        <v>Old Nobushi</v>
      </c>
      <c r="F11" s="17">
        <f>VLOOKUP(F5,Required_Talent_Materials,7,FALSE)-VLOOKUP(F4,Required_Talent_Materials,7,FALSE)</f>
        <v>0</v>
      </c>
      <c r="H11" s="184" t="s">
        <v>207</v>
      </c>
      <c r="I11" s="2" t="str">
        <f>B17</f>
        <v>Old Nobushi</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85"/>
      <c r="I12" s="1" t="str">
        <f>B18</f>
        <v>Kageuchi Nobushi</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86"/>
      <c r="I13" s="9" t="str">
        <f>B19</f>
        <v>Famed Nobushi</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Sea Ganoderma</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Light</v>
      </c>
      <c r="J15" s="15">
        <f>SUM(F6,F19,F32)</f>
        <v>0</v>
      </c>
      <c r="K15" s="34" t="s">
        <v>202</v>
      </c>
    </row>
    <row r="16" spans="1:11" ht="15.75" thickBot="1" x14ac:dyDescent="0.3">
      <c r="A16" s="42"/>
      <c r="B16" s="9" t="str">
        <f>VLOOKUP(B1,Character_List,4,FALSE)</f>
        <v>Dragonheir's False Fin</v>
      </c>
      <c r="C16" s="16">
        <f>VLOOKUP(C11,Required_Ascension_Materials,6,FALSE)-VLOOKUP(C10,Required_Ascension_Materials,6,FALSE)</f>
        <v>0</v>
      </c>
      <c r="E16" s="171" t="s">
        <v>151</v>
      </c>
      <c r="F16" s="172"/>
      <c r="H16" s="185"/>
      <c r="I16" s="1" t="str">
        <f>E7</f>
        <v>Guide to Light</v>
      </c>
      <c r="J16" s="17">
        <f>SUM(F7,F20,F33)</f>
        <v>0</v>
      </c>
      <c r="K16" s="34" t="s">
        <v>202</v>
      </c>
    </row>
    <row r="17" spans="1:11" ht="15.75" thickBot="1" x14ac:dyDescent="0.3">
      <c r="A17" s="184" t="s">
        <v>207</v>
      </c>
      <c r="B17" s="2" t="str">
        <f>VLOOKUP(VLOOKUP(B1,Character_List,5,FALSE),Common_Mob_Drops,2,FALSE)</f>
        <v>Old Nobushi</v>
      </c>
      <c r="C17" s="15">
        <f>VLOOKUP(C11,Required_Ascension_Materials,7,FALSE)-VLOOKUP(C10,Required_Ascension_Materials,7,FALSE)</f>
        <v>0</v>
      </c>
      <c r="E17" s="12" t="s">
        <v>200</v>
      </c>
      <c r="F17" s="28">
        <v>9</v>
      </c>
      <c r="H17" s="186"/>
      <c r="I17" s="9" t="str">
        <f>E8</f>
        <v>Philosophies of Light</v>
      </c>
      <c r="J17" s="16">
        <f>SUM(F8,F21,F34)</f>
        <v>0</v>
      </c>
      <c r="K17" s="34" t="s">
        <v>202</v>
      </c>
    </row>
    <row r="18" spans="1:11" ht="15.75" thickBot="1" x14ac:dyDescent="0.3">
      <c r="A18" s="185"/>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The Meaning of Aeons</v>
      </c>
      <c r="J18" s="24">
        <f>SUM(F9,F22,F35)</f>
        <v>0</v>
      </c>
      <c r="K18" s="34" t="s">
        <v>202</v>
      </c>
    </row>
    <row r="19" spans="1:11" ht="15.75" thickBot="1" x14ac:dyDescent="0.3">
      <c r="A19" s="186"/>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Sea Ganoderma</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The Meaning of Aeons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The Meaning of Aeons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64" priority="1" operator="containsText" text="Done">
      <formula>NOT(ISERROR(SEARCH("Done",K4)))</formula>
    </cfRule>
    <cfRule type="containsText" dxfId="563" priority="2" operator="containsText" text="In Progress">
      <formula>NOT(ISERROR(SEARCH("In Progress",K4)))</formula>
    </cfRule>
  </conditionalFormatting>
  <dataValidations count="5">
    <dataValidation type="list" allowBlank="1" showInputMessage="1" showErrorMessage="1" sqref="C10:C11" xr:uid="{65F5A9D2-4B28-4843-8E5C-546F9FE71B39}">
      <formula1>"0,1,2,3,4,5,6"</formula1>
    </dataValidation>
    <dataValidation type="list" allowBlank="1" showInputMessage="1" showErrorMessage="1" sqref="K4:K19" xr:uid="{9E49DD6A-F4BE-496C-9A57-AF6D33FB7203}">
      <formula1>"In Progress, Done"</formula1>
    </dataValidation>
    <dataValidation type="list" allowBlank="1" showInputMessage="1" showErrorMessage="1" sqref="B1" xr:uid="{86025CB5-CBEF-4B86-A4D8-F0BB26F0DE4A}">
      <formula1>Character_Name_List</formula1>
    </dataValidation>
    <dataValidation type="list" allowBlank="1" showInputMessage="1" showErrorMessage="1" sqref="F4:F5 F17:F18 F30:F31" xr:uid="{97BD7866-3B07-427C-8538-D7ED99F61DC8}">
      <formula1>"1,2,3,4,5,6,7,8,9,10"</formula1>
    </dataValidation>
    <dataValidation type="list" operator="equal" allowBlank="1" showInputMessage="1" showErrorMessage="1" sqref="B4:B5" xr:uid="{1C659D9B-B462-4F30-BD1B-2C1C5702DD85}">
      <formula1>"1,20,40,50,60,70,80,90"</formula1>
    </dataValidation>
  </dataValidation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039F-3340-4FB8-B0ED-5E30559A59BB}">
  <sheetPr codeName="Sheet54">
    <tabColor theme="9" tint="0.59999389629810485"/>
  </sheetPr>
  <dimension ref="A1:K40"/>
  <sheetViews>
    <sheetView workbookViewId="0">
      <selection activeCell="N19" sqref="N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263</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84"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85"/>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85"/>
      <c r="I8" s="1" t="str">
        <f t="shared" si="0"/>
        <v>Varunada Lazurite Chunk</v>
      </c>
      <c r="J8" s="17">
        <f t="shared" si="0"/>
        <v>0</v>
      </c>
      <c r="K8" s="34" t="s">
        <v>202</v>
      </c>
    </row>
    <row r="9" spans="1:11" ht="15.75" thickBot="1" x14ac:dyDescent="0.3">
      <c r="A9" s="171" t="s">
        <v>149</v>
      </c>
      <c r="B9" s="231"/>
      <c r="C9" s="172"/>
      <c r="E9" s="14" t="str">
        <f>VLOOKUP(VLOOKUP(B1,Character_List,8,FALSE),Weekly_Boss_Mats,2,FALSE)</f>
        <v>Mudra of the Malefic General</v>
      </c>
      <c r="F9" s="17">
        <f>VLOOKUP(F5,Required_Talent_Materials,5,FALSE)-VLOOKUP(F4,Required_Talent_Materials,5,FALSE)</f>
        <v>0</v>
      </c>
      <c r="H9" s="185"/>
      <c r="I9" s="1" t="str">
        <f t="shared" si="0"/>
        <v>Varunada Lazurite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Dew of Repudiation</v>
      </c>
      <c r="J10" s="16">
        <f t="shared" si="0"/>
        <v>0</v>
      </c>
      <c r="K10" s="34" t="s">
        <v>202</v>
      </c>
    </row>
    <row r="11" spans="1:11" ht="15.75" thickBot="1" x14ac:dyDescent="0.3">
      <c r="A11" s="173" t="s">
        <v>208</v>
      </c>
      <c r="B11" s="202"/>
      <c r="C11" s="43">
        <v>6</v>
      </c>
      <c r="E11" s="14" t="str">
        <f>VLOOKUP(VLOOKUP(B1,Character_List,5,FALSE),Common_Mob_Drops,2,FALSE)</f>
        <v>Old Nobushi</v>
      </c>
      <c r="F11" s="17">
        <f>VLOOKUP(F5,Required_Talent_Materials,7,FALSE)-VLOOKUP(F4,Required_Talent_Materials,7,FALSE)</f>
        <v>0</v>
      </c>
      <c r="H11" s="184" t="s">
        <v>207</v>
      </c>
      <c r="I11" s="2" t="str">
        <f>B17</f>
        <v>Old Nobushi</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85"/>
      <c r="I12" s="1" t="str">
        <f>B18</f>
        <v>Kageuchi Nobushi</v>
      </c>
      <c r="J12" s="17">
        <f>SUM(C18,F12,F25,F38)</f>
        <v>0</v>
      </c>
      <c r="K12" s="34" t="s">
        <v>202</v>
      </c>
    </row>
    <row r="13" spans="1:11" ht="15.75" thickBot="1" x14ac:dyDescent="0.3">
      <c r="A13" s="182"/>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86"/>
      <c r="I13" s="9" t="str">
        <f>B19</f>
        <v>Famed Nobushi</v>
      </c>
      <c r="J13" s="16">
        <f>SUM(C19,F13,F26,F39)</f>
        <v>0</v>
      </c>
      <c r="K13" s="34" t="s">
        <v>202</v>
      </c>
    </row>
    <row r="14" spans="1:11" ht="15.75" thickBot="1" x14ac:dyDescent="0.3">
      <c r="A14" s="182"/>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Sakura Bloom</v>
      </c>
      <c r="J14" s="24">
        <f>C20</f>
        <v>0</v>
      </c>
      <c r="K14" s="34" t="s">
        <v>202</v>
      </c>
    </row>
    <row r="15" spans="1:11" ht="15.75" thickBot="1" x14ac:dyDescent="0.3">
      <c r="A15" s="182"/>
      <c r="B15" s="1" t="str">
        <f>_xlfn.CONCAT(VLOOKUP(VLOOKUP(B1,Character_List,2,FALSE),Boss_Mob_Drops,2,FALSE), " Gemstone")</f>
        <v>Varunada Lazurite Gemstone</v>
      </c>
      <c r="C15" s="17">
        <f>VLOOKUP(C11,Required_Ascension_Materials,5,FALSE)-VLOOKUP(C10,Required_Ascension_Materials,5,FALSE)</f>
        <v>0</v>
      </c>
      <c r="H15" s="184" t="s">
        <v>216</v>
      </c>
      <c r="I15" s="2" t="str">
        <f>E6</f>
        <v>Teachings of Elegance</v>
      </c>
      <c r="J15" s="15">
        <f>SUM(F6,F19,F32)</f>
        <v>0</v>
      </c>
      <c r="K15" s="34" t="s">
        <v>202</v>
      </c>
    </row>
    <row r="16" spans="1:11" ht="15.75" thickBot="1" x14ac:dyDescent="0.3">
      <c r="A16" s="183"/>
      <c r="B16" s="9" t="str">
        <f>VLOOKUP(B1,Character_List,4,FALSE)</f>
        <v>Dew of Repudiation</v>
      </c>
      <c r="C16" s="16">
        <f>VLOOKUP(C11,Required_Ascension_Materials,6,FALSE)-VLOOKUP(C10,Required_Ascension_Materials,6,FALSE)</f>
        <v>0</v>
      </c>
      <c r="E16" s="171" t="s">
        <v>151</v>
      </c>
      <c r="F16" s="172"/>
      <c r="H16" s="185"/>
      <c r="I16" s="1" t="str">
        <f>E7</f>
        <v>Guide to Elegance</v>
      </c>
      <c r="J16" s="17">
        <f>SUM(F7,F20,F33)</f>
        <v>0</v>
      </c>
      <c r="K16" s="34" t="s">
        <v>202</v>
      </c>
    </row>
    <row r="17" spans="1:11" ht="15.75" thickBot="1" x14ac:dyDescent="0.3">
      <c r="A17" s="184" t="s">
        <v>207</v>
      </c>
      <c r="B17" s="2" t="str">
        <f>VLOOKUP(VLOOKUP(B1,Character_List,5,FALSE),Common_Mob_Drops,2,FALSE)</f>
        <v>Old Nobushi</v>
      </c>
      <c r="C17" s="15">
        <f>VLOOKUP(C11,Required_Ascension_Materials,7,FALSE)-VLOOKUP(C10,Required_Ascension_Materials,7,FALSE)</f>
        <v>0</v>
      </c>
      <c r="E17" s="12" t="s">
        <v>200</v>
      </c>
      <c r="F17" s="28">
        <v>9</v>
      </c>
      <c r="H17" s="186"/>
      <c r="I17" s="9" t="str">
        <f>E8</f>
        <v>Philosophies of Elegance</v>
      </c>
      <c r="J17" s="16">
        <f>SUM(F8,F21,F34)</f>
        <v>0</v>
      </c>
      <c r="K17" s="34" t="s">
        <v>202</v>
      </c>
    </row>
    <row r="18" spans="1:11" ht="15.75" thickBot="1" x14ac:dyDescent="0.3">
      <c r="A18" s="185"/>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Mudra of the Malefic General</v>
      </c>
      <c r="J18" s="24">
        <f>SUM(F9,F22,F35)</f>
        <v>0</v>
      </c>
      <c r="K18" s="34" t="s">
        <v>202</v>
      </c>
    </row>
    <row r="19" spans="1:11" ht="15.75" thickBot="1" x14ac:dyDescent="0.3">
      <c r="A19" s="186"/>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Sakura Bloom</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Mudra of the Malefic General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Mudra of the Malefic General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 ref="A12:A16"/>
  </mergeCells>
  <conditionalFormatting sqref="K4:K19">
    <cfRule type="containsText" dxfId="562" priority="1" operator="containsText" text="Done">
      <formula>NOT(ISERROR(SEARCH("Done",K4)))</formula>
    </cfRule>
    <cfRule type="containsText" dxfId="561" priority="2" operator="containsText" text="In Progress">
      <formula>NOT(ISERROR(SEARCH("In Progress",K4)))</formula>
    </cfRule>
  </conditionalFormatting>
  <dataValidations count="5">
    <dataValidation type="list" allowBlank="1" showInputMessage="1" showErrorMessage="1" sqref="C10:C11" xr:uid="{39C1A738-D5B7-4F79-9205-9C7CDE59D3B1}">
      <formula1>"0,1,2,3,4,5,6"</formula1>
    </dataValidation>
    <dataValidation type="list" allowBlank="1" showInputMessage="1" showErrorMessage="1" sqref="K4:K19" xr:uid="{FB5CB7E4-D36C-4A61-AA80-8AE0B30A5E3F}">
      <formula1>"In Progress, Done"</formula1>
    </dataValidation>
    <dataValidation type="list" allowBlank="1" showInputMessage="1" showErrorMessage="1" sqref="B1" xr:uid="{3A4EE55C-BDEE-4065-89B8-D57B7316CCAB}">
      <formula1>Character_Name_List</formula1>
    </dataValidation>
    <dataValidation type="list" allowBlank="1" showInputMessage="1" showErrorMessage="1" sqref="F4:F5 F17:F18 F30:F31" xr:uid="{5D46B78E-D899-456E-AC9B-385B0FF96409}">
      <formula1>"1,2,3,4,5,6,7,8,9,10"</formula1>
    </dataValidation>
    <dataValidation type="list" operator="equal" allowBlank="1" showInputMessage="1" showErrorMessage="1" sqref="B4:B5" xr:uid="{4E5427AA-A4F9-4DEF-B6B7-02F3A0111196}">
      <formula1>"1,20,40,50,60,70,80,90"</formula1>
    </dataValidation>
  </dataValidation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CB054-4FC5-4A94-9009-F55702144A03}">
  <sheetPr codeName="Sheet5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264</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84"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85"/>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85"/>
      <c r="I8" s="1" t="str">
        <f t="shared" si="0"/>
        <v>Varunada Lazurite Chunk</v>
      </c>
      <c r="J8" s="17">
        <f t="shared" si="0"/>
        <v>0</v>
      </c>
      <c r="K8" s="34" t="s">
        <v>202</v>
      </c>
    </row>
    <row r="9" spans="1:11" ht="15.75" thickBot="1" x14ac:dyDescent="0.3">
      <c r="A9" s="171" t="s">
        <v>149</v>
      </c>
      <c r="B9" s="231"/>
      <c r="C9" s="172"/>
      <c r="E9" s="14" t="str">
        <f>VLOOKUP(VLOOKUP(B1,Character_List,8,FALSE),Weekly_Boss_Mats,2,FALSE)</f>
        <v>Gilded Scale</v>
      </c>
      <c r="F9" s="17">
        <f>VLOOKUP(F5,Required_Talent_Materials,5,FALSE)-VLOOKUP(F4,Required_Talent_Materials,5,FALSE)</f>
        <v>0</v>
      </c>
      <c r="H9" s="185"/>
      <c r="I9" s="1" t="str">
        <f t="shared" si="0"/>
        <v>Varunada Lazurite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Runic Fang</v>
      </c>
      <c r="J10" s="16">
        <f t="shared" si="0"/>
        <v>0</v>
      </c>
      <c r="K10" s="34" t="s">
        <v>202</v>
      </c>
    </row>
    <row r="11" spans="1:11" ht="15.75" thickBot="1" x14ac:dyDescent="0.3">
      <c r="A11" s="173" t="s">
        <v>208</v>
      </c>
      <c r="B11" s="202"/>
      <c r="C11" s="43">
        <v>6</v>
      </c>
      <c r="E11" s="14" t="str">
        <f>VLOOKUP(VLOOKUP(B1,Character_List,5,FALSE),Common_Mob_Drops,2,FALSE)</f>
        <v>Recruit's Insignia</v>
      </c>
      <c r="F11" s="17">
        <f>VLOOKUP(F5,Required_Talent_Materials,7,FALSE)-VLOOKUP(F4,Required_Talent_Materials,7,FALSE)</f>
        <v>0</v>
      </c>
      <c r="H11" s="184" t="s">
        <v>207</v>
      </c>
      <c r="I11" s="2" t="str">
        <f>B17</f>
        <v>Recruit's Insignia</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5"/>
      <c r="I12" s="1" t="str">
        <f>B18</f>
        <v>Sergeant's Insignia</v>
      </c>
      <c r="J12" s="17">
        <f>SUM(C18,F12,F25,F38)</f>
        <v>0</v>
      </c>
      <c r="K12" s="34" t="s">
        <v>202</v>
      </c>
    </row>
    <row r="13" spans="1:11" ht="15.75" thickBot="1" x14ac:dyDescent="0.3">
      <c r="A13" s="182"/>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6"/>
      <c r="I13" s="9" t="str">
        <f>B19</f>
        <v>Lieutenant's Insignia</v>
      </c>
      <c r="J13" s="16">
        <f>SUM(C19,F13,F26,F39)</f>
        <v>0</v>
      </c>
      <c r="K13" s="34" t="s">
        <v>202</v>
      </c>
    </row>
    <row r="14" spans="1:11" ht="15.75" thickBot="1" x14ac:dyDescent="0.3">
      <c r="A14" s="182"/>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Starconch</v>
      </c>
      <c r="J14" s="24">
        <f>C20</f>
        <v>0</v>
      </c>
      <c r="K14" s="34" t="s">
        <v>202</v>
      </c>
    </row>
    <row r="15" spans="1:11" ht="15.75" thickBot="1" x14ac:dyDescent="0.3">
      <c r="A15" s="182"/>
      <c r="B15" s="1" t="str">
        <f>_xlfn.CONCAT(VLOOKUP(VLOOKUP(B1,Character_List,2,FALSE),Boss_Mob_Drops,2,FALSE), " Gemstone")</f>
        <v>Varunada Lazurite Gemstone</v>
      </c>
      <c r="C15" s="17">
        <f>VLOOKUP(C11,Required_Ascension_Materials,5,FALSE)-VLOOKUP(C10,Required_Ascension_Materials,5,FALSE)</f>
        <v>0</v>
      </c>
      <c r="H15" s="184" t="s">
        <v>216</v>
      </c>
      <c r="I15" s="2" t="str">
        <f>E6</f>
        <v>Teachings of Prosperity</v>
      </c>
      <c r="J15" s="15">
        <f>SUM(F6,F19,F32)</f>
        <v>0</v>
      </c>
      <c r="K15" s="34" t="s">
        <v>202</v>
      </c>
    </row>
    <row r="16" spans="1:11" ht="15.75" thickBot="1" x14ac:dyDescent="0.3">
      <c r="A16" s="183"/>
      <c r="B16" s="9" t="str">
        <f>VLOOKUP(B1,Character_List,4,FALSE)</f>
        <v>Runic Fang</v>
      </c>
      <c r="C16" s="16">
        <f>VLOOKUP(C11,Required_Ascension_Materials,6,FALSE)-VLOOKUP(C10,Required_Ascension_Materials,6,FALSE)</f>
        <v>0</v>
      </c>
      <c r="E16" s="171" t="s">
        <v>151</v>
      </c>
      <c r="F16" s="172"/>
      <c r="H16" s="185"/>
      <c r="I16" s="1" t="str">
        <f>E7</f>
        <v>Guide to Prosperity</v>
      </c>
      <c r="J16" s="17">
        <f>SUM(F7,F20,F33)</f>
        <v>0</v>
      </c>
      <c r="K16" s="34" t="s">
        <v>202</v>
      </c>
    </row>
    <row r="17" spans="1:11" ht="15.75" thickBot="1" x14ac:dyDescent="0.3">
      <c r="A17" s="184" t="s">
        <v>207</v>
      </c>
      <c r="B17" s="2" t="str">
        <f>VLOOKUP(VLOOKUP(B1,Character_List,5,FALSE),Common_Mob_Drops,2,FALSE)</f>
        <v>Recruit's Insignia</v>
      </c>
      <c r="C17" s="15">
        <f>VLOOKUP(C11,Required_Ascension_Materials,7,FALSE)-VLOOKUP(C10,Required_Ascension_Materials,7,FALSE)</f>
        <v>0</v>
      </c>
      <c r="E17" s="12" t="s">
        <v>200</v>
      </c>
      <c r="F17" s="28">
        <v>9</v>
      </c>
      <c r="H17" s="186"/>
      <c r="I17" s="9" t="str">
        <f>E8</f>
        <v>Philosophies of Prosperity</v>
      </c>
      <c r="J17" s="16">
        <f>SUM(F8,F21,F34)</f>
        <v>0</v>
      </c>
      <c r="K17" s="34" t="s">
        <v>202</v>
      </c>
    </row>
    <row r="18" spans="1:11" ht="15.75" thickBot="1" x14ac:dyDescent="0.3">
      <c r="A18" s="185"/>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Gilded Scale</v>
      </c>
      <c r="J18" s="24">
        <f>SUM(F9,F22,F35)</f>
        <v>0</v>
      </c>
      <c r="K18" s="34" t="s">
        <v>202</v>
      </c>
    </row>
    <row r="19" spans="1:11" ht="15.75" thickBot="1" x14ac:dyDescent="0.3">
      <c r="A19" s="186"/>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Starconch</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Gilded Scale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Gilded Scale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60" priority="1" operator="containsText" text="Done">
      <formula>NOT(ISERROR(SEARCH("Done",K4)))</formula>
    </cfRule>
    <cfRule type="containsText" dxfId="559" priority="2" operator="containsText" text="In Progress">
      <formula>NOT(ISERROR(SEARCH("In Progress",K4)))</formula>
    </cfRule>
  </conditionalFormatting>
  <dataValidations count="5">
    <dataValidation type="list" allowBlank="1" showInputMessage="1" showErrorMessage="1" sqref="C10:C11" xr:uid="{E8DF45B1-111F-4A38-BE4C-C1C00C2A074A}">
      <formula1>"0,1,2,3,4,5,6"</formula1>
    </dataValidation>
    <dataValidation type="list" allowBlank="1" showInputMessage="1" showErrorMessage="1" sqref="K4:K19" xr:uid="{DA484175-A2D1-4832-9332-A06A41EFD497}">
      <formula1>"In Progress, Done"</formula1>
    </dataValidation>
    <dataValidation type="list" allowBlank="1" showInputMessage="1" showErrorMessage="1" sqref="B1" xr:uid="{C6FE9EFA-DB56-4183-97B9-7F604D766F2D}">
      <formula1>Character_Name_List</formula1>
    </dataValidation>
    <dataValidation type="list" allowBlank="1" showInputMessage="1" showErrorMessage="1" sqref="F4:F5 F17:F18 F30:F31" xr:uid="{DB23113B-AAB3-4777-8F18-DE5B3568C0B9}">
      <formula1>"1,2,3,4,5,6,7,8,9,10"</formula1>
    </dataValidation>
    <dataValidation type="list" operator="equal" allowBlank="1" showInputMessage="1" showErrorMessage="1" sqref="B4:B5" xr:uid="{5330B82D-4F13-4A47-83D4-B7DD7C67C9E1}">
      <formula1>"1,20,40,50,60,70,80,90"</formula1>
    </dataValidation>
  </dataValidation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3F03-C760-4F14-9312-30DDFEC4215D}">
  <sheetPr codeName="Sheet5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265</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Tears of the Calamitous God</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Runic Fang</v>
      </c>
      <c r="J10" s="16">
        <f t="shared" si="0"/>
        <v>0</v>
      </c>
      <c r="K10" s="34" t="s">
        <v>202</v>
      </c>
    </row>
    <row r="11" spans="1:11" ht="15.75" thickBot="1" x14ac:dyDescent="0.3">
      <c r="A11" s="173" t="s">
        <v>208</v>
      </c>
      <c r="B11" s="202"/>
      <c r="C11" s="43">
        <v>6</v>
      </c>
      <c r="E11" s="14" t="str">
        <f>VLOOKUP(VLOOKUP(B1,Character_List,5,FALSE),Common_Mob_Drops,2,FALSE)</f>
        <v>Spectral Husk</v>
      </c>
      <c r="F11" s="17">
        <f>VLOOKUP(F5,Required_Talent_Materials,7,FALSE)-VLOOKUP(F4,Required_Talent_Materials,7,FALSE)</f>
        <v>0</v>
      </c>
      <c r="H11" s="184" t="s">
        <v>207</v>
      </c>
      <c r="I11" s="2" t="str">
        <f>B17</f>
        <v>Spectral Husk</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85"/>
      <c r="I12" s="1" t="str">
        <f>B18</f>
        <v>Spectral Heart</v>
      </c>
      <c r="J12" s="17">
        <f>SUM(C18,F12,F25,F38)</f>
        <v>0</v>
      </c>
      <c r="K12" s="34" t="s">
        <v>202</v>
      </c>
    </row>
    <row r="13" spans="1:11" ht="15.75" thickBot="1" x14ac:dyDescent="0.3">
      <c r="A13" s="182"/>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86"/>
      <c r="I13" s="9" t="str">
        <f>B19</f>
        <v>Spectral Nucleus</v>
      </c>
      <c r="J13" s="16">
        <f>SUM(C19,F13,F26,F39)</f>
        <v>0</v>
      </c>
      <c r="K13" s="34" t="s">
        <v>202</v>
      </c>
    </row>
    <row r="14" spans="1:11" ht="15.75" thickBot="1" x14ac:dyDescent="0.3">
      <c r="A14" s="182"/>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Naku Weed</v>
      </c>
      <c r="J14" s="24">
        <f>C20</f>
        <v>0</v>
      </c>
      <c r="K14" s="34" t="s">
        <v>202</v>
      </c>
    </row>
    <row r="15" spans="1:11" ht="15.75" thickBot="1" x14ac:dyDescent="0.3">
      <c r="A15" s="182"/>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Elegance</v>
      </c>
      <c r="J15" s="15">
        <f>SUM(F6,F19,F32)</f>
        <v>0</v>
      </c>
      <c r="K15" s="34" t="s">
        <v>202</v>
      </c>
    </row>
    <row r="16" spans="1:11" ht="15.75" thickBot="1" x14ac:dyDescent="0.3">
      <c r="A16" s="183"/>
      <c r="B16" s="9" t="str">
        <f>VLOOKUP(B1,Character_List,4,FALSE)</f>
        <v>Runic Fang</v>
      </c>
      <c r="C16" s="16">
        <f>VLOOKUP(C11,Required_Ascension_Materials,6,FALSE)-VLOOKUP(C10,Required_Ascension_Materials,6,FALSE)</f>
        <v>0</v>
      </c>
      <c r="E16" s="171" t="s">
        <v>151</v>
      </c>
      <c r="F16" s="172"/>
      <c r="H16" s="185"/>
      <c r="I16" s="1" t="str">
        <f>E7</f>
        <v>Guide to Elegance</v>
      </c>
      <c r="J16" s="17">
        <f>SUM(F7,F20,F33)</f>
        <v>0</v>
      </c>
      <c r="K16" s="34" t="s">
        <v>202</v>
      </c>
    </row>
    <row r="17" spans="1:11" ht="15.75" thickBot="1" x14ac:dyDescent="0.3">
      <c r="A17" s="184" t="s">
        <v>207</v>
      </c>
      <c r="B17" s="2" t="str">
        <f>VLOOKUP(VLOOKUP(B1,Character_List,5,FALSE),Common_Mob_Drops,2,FALSE)</f>
        <v>Spectral Husk</v>
      </c>
      <c r="C17" s="15">
        <f>VLOOKUP(C11,Required_Ascension_Materials,7,FALSE)-VLOOKUP(C10,Required_Ascension_Materials,7,FALSE)</f>
        <v>0</v>
      </c>
      <c r="E17" s="12" t="s">
        <v>200</v>
      </c>
      <c r="F17" s="28">
        <v>9</v>
      </c>
      <c r="H17" s="186"/>
      <c r="I17" s="9" t="str">
        <f>E8</f>
        <v>Philosophies of Elegance</v>
      </c>
      <c r="J17" s="16">
        <f>SUM(F8,F21,F34)</f>
        <v>0</v>
      </c>
      <c r="K17" s="34" t="s">
        <v>202</v>
      </c>
    </row>
    <row r="18" spans="1:11" ht="15.75" thickBot="1" x14ac:dyDescent="0.3">
      <c r="A18" s="185"/>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86"/>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Naku Weed</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9" x14ac:dyDescent="0.25">
      <c r="E33" s="14" t="str">
        <f>_xlfn.CONCAT("Guide to ", VLOOKUP(VLOOKUP(B1,Character_List,7,FALSE),Character_Talent_Materials,2,FALSE))</f>
        <v>Guide to Elegance</v>
      </c>
      <c r="F33" s="17">
        <f>VLOOKUP(F31,Required_Talent_Materials,3,FALSE)-VLOOKUP(F30,Required_Talent_Materials,3,FALSE)</f>
        <v>0</v>
      </c>
    </row>
    <row r="34" spans="5:9"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9" x14ac:dyDescent="0.25">
      <c r="E35" s="14" t="str">
        <f>VLOOKUP(VLOOKUP(B1,Character_List,8,FALSE),Weekly_Boss_Mats,2,FALSE)</f>
        <v>Tears of the Calamitous God</v>
      </c>
      <c r="F35" s="17">
        <f>VLOOKUP(F31,Required_Talent_Materials,5,FALSE)-VLOOKUP(F30,Required_Talent_Materials,5,FALSE)</f>
        <v>0</v>
      </c>
    </row>
    <row r="36" spans="5:9" x14ac:dyDescent="0.25">
      <c r="E36" s="14" t="s">
        <v>213</v>
      </c>
      <c r="F36" s="17">
        <f>VLOOKUP(F31,Required_Talent_Materials,6,FALSE)-VLOOKUP(F30,Required_Talent_Materials,6,FALSE)</f>
        <v>0</v>
      </c>
    </row>
    <row r="37" spans="5:9" x14ac:dyDescent="0.25">
      <c r="E37" s="14" t="str">
        <f>VLOOKUP(VLOOKUP(B1,Character_List,5,FALSE),Common_Mob_Drops,2,FALSE)</f>
        <v>Spectral Husk</v>
      </c>
      <c r="F37" s="17">
        <f>VLOOKUP(F31,Required_Talent_Materials,7,FALSE)-VLOOKUP(F30,Required_Talent_Materials,7,FALSE)</f>
        <v>0</v>
      </c>
      <c r="I37" t="s">
        <v>86</v>
      </c>
    </row>
    <row r="38" spans="5:9" x14ac:dyDescent="0.25">
      <c r="E38" s="14" t="str">
        <f>VLOOKUP(VLOOKUP(B1,Character_List,5,FALSE),Common_Mob_Drops,3,FALSE)</f>
        <v>Spectral Heart</v>
      </c>
      <c r="F38" s="17">
        <f>VLOOKUP(F31,Required_Talent_Materials,8,FALSE)-VLOOKUP(F30,Required_Talent_Materials,8,FALSE)</f>
        <v>0</v>
      </c>
    </row>
    <row r="39" spans="5:9" x14ac:dyDescent="0.25">
      <c r="E39" s="14" t="str">
        <f>VLOOKUP(VLOOKUP(B1,Character_List,5,FALSE),Common_Mob_Drops,4,FALSE)</f>
        <v>Spectral Nucleus</v>
      </c>
      <c r="F39" s="17">
        <f>VLOOKUP(F31,Required_Talent_Materials,9,FALSE)-VLOOKUP(F30,Required_Talent_Materials,9,FALSE)</f>
        <v>0</v>
      </c>
    </row>
    <row r="40" spans="5:9"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58" priority="1" operator="containsText" text="Done">
      <formula>NOT(ISERROR(SEARCH("Done",K4)))</formula>
    </cfRule>
    <cfRule type="containsText" dxfId="557" priority="2" operator="containsText" text="In Progress">
      <formula>NOT(ISERROR(SEARCH("In Progress",K4)))</formula>
    </cfRule>
  </conditionalFormatting>
  <dataValidations count="5">
    <dataValidation type="list" allowBlank="1" showInputMessage="1" showErrorMessage="1" sqref="C10:C11" xr:uid="{BB003B54-7D13-45F3-A51D-9153D0A49576}">
      <formula1>"0,1,2,3,4,5,6"</formula1>
    </dataValidation>
    <dataValidation type="list" allowBlank="1" showInputMessage="1" showErrorMessage="1" sqref="K4:K19" xr:uid="{1CAEB844-487A-4247-80A0-B61B9EEBFE18}">
      <formula1>"In Progress, Done"</formula1>
    </dataValidation>
    <dataValidation type="list" allowBlank="1" showInputMessage="1" showErrorMessage="1" sqref="B1" xr:uid="{8A6AE1A9-2AF5-4181-A007-A329B6948D8F}">
      <formula1>Character_Name_List</formula1>
    </dataValidation>
    <dataValidation type="list" allowBlank="1" showInputMessage="1" showErrorMessage="1" sqref="F4:F5 F17:F18 F30:F31" xr:uid="{976BFFE3-D777-40B8-B35F-92A8977B88CE}">
      <formula1>"1,2,3,4,5,6,7,8,9,10"</formula1>
    </dataValidation>
    <dataValidation type="list" operator="equal" allowBlank="1" showInputMessage="1" showErrorMessage="1" sqref="B4:B5" xr:uid="{0A22749B-C69D-4166-9F00-027201F6C3E6}">
      <formula1>"1,20,40,50,60,70,80,90"</formula1>
    </dataValidation>
  </dataValidation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5FA41-52AD-4BCB-A4E7-74905FC9F3F2}">
  <sheetPr codeName="Sheet57">
    <tabColor theme="9" tint="0.59999389629810485"/>
  </sheetPr>
  <dimension ref="A1:K40"/>
  <sheetViews>
    <sheetView workbookViewId="0">
      <selection activeCell="F11" sqref="F1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266</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84"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85"/>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85"/>
      <c r="I8" s="1" t="str">
        <f t="shared" si="0"/>
        <v>Vayuda Turquoise Chunk</v>
      </c>
      <c r="J8" s="17">
        <f t="shared" si="0"/>
        <v>0</v>
      </c>
      <c r="K8" s="34" t="s">
        <v>202</v>
      </c>
    </row>
    <row r="9" spans="1:11" ht="15.75" thickBot="1" x14ac:dyDescent="0.3">
      <c r="A9" s="171" t="s">
        <v>149</v>
      </c>
      <c r="B9" s="231"/>
      <c r="C9" s="172"/>
      <c r="E9" s="14" t="str">
        <f>VLOOKUP(VLOOKUP(B1,Character_List,8,FALSE),Weekly_Boss_Mats,2,FALSE)</f>
        <v>The Meaning of Aeons</v>
      </c>
      <c r="F9" s="17">
        <f>VLOOKUP(F5,Required_Talent_Materials,5,FALSE)-VLOOKUP(F4,Required_Talent_Materials,5,FALSE)</f>
        <v>0</v>
      </c>
      <c r="H9" s="185"/>
      <c r="I9" s="1" t="str">
        <f t="shared" si="0"/>
        <v>Vayuda Turquoise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Runic Fang</v>
      </c>
      <c r="J10" s="16">
        <f t="shared" si="0"/>
        <v>0</v>
      </c>
      <c r="K10" s="34" t="s">
        <v>202</v>
      </c>
    </row>
    <row r="11" spans="1:11" ht="15.75" thickBot="1" x14ac:dyDescent="0.3">
      <c r="A11" s="173" t="s">
        <v>208</v>
      </c>
      <c r="B11" s="202"/>
      <c r="C11" s="43">
        <v>6</v>
      </c>
      <c r="E11" s="14" t="str">
        <f>VLOOKUP(VLOOKUP(B1,Character_List,5,FALSE),Common_Mob_Drops,2,FALSE)</f>
        <v>Treasure Hoarder Insignia</v>
      </c>
      <c r="F11" s="17">
        <f>VLOOKUP(F5,Required_Talent_Materials,7,FALSE)-VLOOKUP(F4,Required_Talent_Materials,7,FALSE)</f>
        <v>0</v>
      </c>
      <c r="H11" s="184" t="s">
        <v>207</v>
      </c>
      <c r="I11" s="2" t="str">
        <f>B17</f>
        <v>Treasure Hoarder Insignia</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85"/>
      <c r="I12" s="1" t="str">
        <f>B18</f>
        <v>Silver Raven Insignia</v>
      </c>
      <c r="J12" s="17">
        <f>SUM(C18,F12,F25,F38)</f>
        <v>0</v>
      </c>
      <c r="K12" s="34" t="s">
        <v>202</v>
      </c>
    </row>
    <row r="13" spans="1:11" ht="15.75" thickBot="1" x14ac:dyDescent="0.3">
      <c r="A13" s="182"/>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86"/>
      <c r="I13" s="9" t="str">
        <f>B19</f>
        <v>Golden Raven Insignia</v>
      </c>
      <c r="J13" s="16">
        <f>SUM(C19,F13,F26,F39)</f>
        <v>0</v>
      </c>
      <c r="K13" s="34" t="s">
        <v>202</v>
      </c>
    </row>
    <row r="14" spans="1:11" ht="15.75" thickBot="1" x14ac:dyDescent="0.3">
      <c r="A14" s="182"/>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Onikabuto</v>
      </c>
      <c r="J14" s="24">
        <f>C20</f>
        <v>0</v>
      </c>
      <c r="K14" s="34" t="s">
        <v>202</v>
      </c>
    </row>
    <row r="15" spans="1:11" ht="15.75" thickBot="1" x14ac:dyDescent="0.3">
      <c r="A15" s="182"/>
      <c r="B15" s="1" t="str">
        <f>_xlfn.CONCAT(VLOOKUP(VLOOKUP(B1,Character_List,2,FALSE),Boss_Mob_Drops,2,FALSE), " Gemstone")</f>
        <v>Vayuda Turquoise Gemstone</v>
      </c>
      <c r="C15" s="17">
        <f>VLOOKUP(C11,Required_Ascension_Materials,5,FALSE)-VLOOKUP(C10,Required_Ascension_Materials,5,FALSE)</f>
        <v>0</v>
      </c>
      <c r="H15" s="184" t="s">
        <v>216</v>
      </c>
      <c r="I15" s="2" t="str">
        <f>E6</f>
        <v>Teachings of Transience</v>
      </c>
      <c r="J15" s="15">
        <f>SUM(F6,F19,F32)</f>
        <v>0</v>
      </c>
      <c r="K15" s="34" t="s">
        <v>202</v>
      </c>
    </row>
    <row r="16" spans="1:11" ht="15.75" thickBot="1" x14ac:dyDescent="0.3">
      <c r="A16" s="183"/>
      <c r="B16" s="9" t="str">
        <f>VLOOKUP(B1,Character_List,4,FALSE)</f>
        <v>Runic Fang</v>
      </c>
      <c r="C16" s="16">
        <f>VLOOKUP(C11,Required_Ascension_Materials,6,FALSE)-VLOOKUP(C10,Required_Ascension_Materials,6,FALSE)</f>
        <v>0</v>
      </c>
      <c r="E16" s="171" t="s">
        <v>151</v>
      </c>
      <c r="F16" s="172"/>
      <c r="H16" s="185"/>
      <c r="I16" s="1" t="str">
        <f>E7</f>
        <v>Guide to Transience</v>
      </c>
      <c r="J16" s="17">
        <f>SUM(F7,F20,F33)</f>
        <v>0</v>
      </c>
      <c r="K16" s="34" t="s">
        <v>202</v>
      </c>
    </row>
    <row r="17" spans="1:11" ht="15.75" thickBot="1" x14ac:dyDescent="0.3">
      <c r="A17" s="184" t="s">
        <v>207</v>
      </c>
      <c r="B17" s="2" t="str">
        <f>VLOOKUP(VLOOKUP(B1,Character_List,5,FALSE),Common_Mob_Drops,2,FALSE)</f>
        <v>Treasure Hoarder Insignia</v>
      </c>
      <c r="C17" s="15">
        <f>VLOOKUP(C11,Required_Ascension_Materials,7,FALSE)-VLOOKUP(C10,Required_Ascension_Materials,7,FALSE)</f>
        <v>0</v>
      </c>
      <c r="E17" s="12" t="s">
        <v>200</v>
      </c>
      <c r="F17" s="28">
        <v>9</v>
      </c>
      <c r="H17" s="186"/>
      <c r="I17" s="9" t="str">
        <f>E8</f>
        <v>Philosophies of Transience</v>
      </c>
      <c r="J17" s="16">
        <f>SUM(F8,F21,F34)</f>
        <v>0</v>
      </c>
      <c r="K17" s="34" t="s">
        <v>202</v>
      </c>
    </row>
    <row r="18" spans="1:11" ht="15.75" thickBot="1" x14ac:dyDescent="0.3">
      <c r="A18" s="185"/>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The Meaning of Aeons</v>
      </c>
      <c r="J18" s="24">
        <f>SUM(F9,F22,F35)</f>
        <v>0</v>
      </c>
      <c r="K18" s="34" t="s">
        <v>202</v>
      </c>
    </row>
    <row r="19" spans="1:11" ht="15.75" thickBot="1" x14ac:dyDescent="0.3">
      <c r="A19" s="186"/>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Onikabuto</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The Meaning of Aeons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The Meaning of Aeons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56" priority="1" operator="containsText" text="Done">
      <formula>NOT(ISERROR(SEARCH("Done",K4)))</formula>
    </cfRule>
    <cfRule type="containsText" dxfId="555" priority="2" operator="containsText" text="In Progress">
      <formula>NOT(ISERROR(SEARCH("In Progress",K4)))</formula>
    </cfRule>
  </conditionalFormatting>
  <dataValidations count="5">
    <dataValidation type="list" allowBlank="1" showInputMessage="1" showErrorMessage="1" sqref="C10:C11" xr:uid="{9FAD1A4F-8635-49EE-8FAF-AE05C88EFEAD}">
      <formula1>"0,1,2,3,4,5,6"</formula1>
    </dataValidation>
    <dataValidation type="list" allowBlank="1" showInputMessage="1" showErrorMessage="1" sqref="K4:K19" xr:uid="{A62B7A36-0B6B-449B-A25A-5A2ED2533E56}">
      <formula1>"In Progress, Done"</formula1>
    </dataValidation>
    <dataValidation type="list" allowBlank="1" showInputMessage="1" showErrorMessage="1" sqref="B1" xr:uid="{D86710CB-2179-437C-8CE1-6DAAF2EE7DCF}">
      <formula1>Character_Name_List</formula1>
    </dataValidation>
    <dataValidation type="list" allowBlank="1" showInputMessage="1" showErrorMessage="1" sqref="F4:F5 F17:F18 F30:F31" xr:uid="{8B8B9621-D2C6-4B66-A3C6-B39174A55D0E}">
      <formula1>"1,2,3,4,5,6,7,8,9,10"</formula1>
    </dataValidation>
    <dataValidation type="list" operator="equal" allowBlank="1" showInputMessage="1" showErrorMessage="1" sqref="B4:B5" xr:uid="{BFF93B17-6997-4465-B164-1EBE2325C183}">
      <formula1>"1,20,40,50,60,70,80,90"</formula1>
    </dataValidation>
  </dataValidation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63246-0E6F-4B32-9468-5C042073EDCC}">
  <sheetPr codeName="Sheet203">
    <tabColor theme="9" tint="0.59999389629810485"/>
  </sheetPr>
  <dimension ref="A1:K40"/>
  <sheetViews>
    <sheetView workbookViewId="0">
      <selection activeCell="I27" sqref="I27"/>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267</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84"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85"/>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85"/>
      <c r="I8" s="1" t="str">
        <f t="shared" si="0"/>
        <v>Nagadus Emerald Chunk</v>
      </c>
      <c r="J8" s="17">
        <f t="shared" si="0"/>
        <v>0</v>
      </c>
      <c r="K8" s="34" t="s">
        <v>202</v>
      </c>
    </row>
    <row r="9" spans="1:11" ht="15.75" thickBot="1" x14ac:dyDescent="0.3">
      <c r="A9" s="171" t="s">
        <v>149</v>
      </c>
      <c r="B9" s="231"/>
      <c r="C9" s="172"/>
      <c r="E9" s="14" t="str">
        <f>VLOOKUP(VLOOKUP(B1,Character_List,8,FALSE),Weekly_Boss_Mats,2,FALSE)</f>
        <v>The Meaning of Aeons</v>
      </c>
      <c r="F9" s="17">
        <f>VLOOKUP(F5,Required_Talent_Materials,5,FALSE)-VLOOKUP(F4,Required_Talent_Materials,5,FALSE)</f>
        <v>0</v>
      </c>
      <c r="H9" s="185"/>
      <c r="I9" s="1" t="str">
        <f t="shared" si="0"/>
        <v>Nagadus Emerald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Majestic Hooked Beak</v>
      </c>
      <c r="J10" s="16">
        <f t="shared" si="0"/>
        <v>0</v>
      </c>
      <c r="K10" s="34" t="s">
        <v>202</v>
      </c>
    </row>
    <row r="11" spans="1:11" ht="15.75" thickBot="1" x14ac:dyDescent="0.3">
      <c r="A11" s="173" t="s">
        <v>208</v>
      </c>
      <c r="B11" s="202"/>
      <c r="C11" s="43">
        <v>6</v>
      </c>
      <c r="E11" s="14" t="str">
        <f>VLOOKUP(VLOOKUP(B1,Character_List,5,FALSE),Common_Mob_Drops,2,FALSE)</f>
        <v>Fungal Spores</v>
      </c>
      <c r="F11" s="17">
        <f>VLOOKUP(F5,Required_Talent_Materials,7,FALSE)-VLOOKUP(F4,Required_Talent_Materials,7,FALSE)</f>
        <v>0</v>
      </c>
      <c r="H11" s="184" t="s">
        <v>207</v>
      </c>
      <c r="I11" s="2" t="str">
        <f>B17</f>
        <v>Fungal Spores</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85"/>
      <c r="I12" s="1" t="str">
        <f>B18</f>
        <v>Luminescent Pollen</v>
      </c>
      <c r="J12" s="17">
        <f>SUM(C18,F12,F25,F38)</f>
        <v>0</v>
      </c>
      <c r="K12" s="34" t="s">
        <v>202</v>
      </c>
    </row>
    <row r="13" spans="1:11" ht="15.75" thickBot="1" x14ac:dyDescent="0.3">
      <c r="A13" s="182"/>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86"/>
      <c r="I13" s="9" t="str">
        <f>B19</f>
        <v>Crystalline Cyst Dust</v>
      </c>
      <c r="J13" s="16">
        <f>SUM(C19,F13,F26,F39)</f>
        <v>0</v>
      </c>
      <c r="K13" s="34" t="s">
        <v>202</v>
      </c>
    </row>
    <row r="14" spans="1:11" ht="15.75" thickBot="1" x14ac:dyDescent="0.3">
      <c r="A14" s="182"/>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Nilotpala Lotus</v>
      </c>
      <c r="J14" s="24">
        <f>C20</f>
        <v>0</v>
      </c>
      <c r="K14" s="34" t="s">
        <v>202</v>
      </c>
    </row>
    <row r="15" spans="1:11" ht="15.75" thickBot="1" x14ac:dyDescent="0.3">
      <c r="A15" s="182"/>
      <c r="B15" s="1" t="str">
        <f>_xlfn.CONCAT(VLOOKUP(VLOOKUP(B1,Character_List,2,FALSE),Boss_Mob_Drops,2,FALSE), " Gemstone")</f>
        <v>Nagadus Emerald Gemstone</v>
      </c>
      <c r="C15" s="17">
        <f>VLOOKUP(C11,Required_Ascension_Materials,5,FALSE)-VLOOKUP(C10,Required_Ascension_Materials,5,FALSE)</f>
        <v>0</v>
      </c>
      <c r="H15" s="184" t="s">
        <v>216</v>
      </c>
      <c r="I15" s="2" t="str">
        <f>E6</f>
        <v>Teachings of Admonition</v>
      </c>
      <c r="J15" s="15">
        <f>SUM(F6,F19,F32)</f>
        <v>0</v>
      </c>
      <c r="K15" s="34" t="s">
        <v>202</v>
      </c>
    </row>
    <row r="16" spans="1:11" ht="15.75" thickBot="1" x14ac:dyDescent="0.3">
      <c r="A16" s="183"/>
      <c r="B16" s="9" t="str">
        <f>VLOOKUP(B1,Character_List,4,FALSE)</f>
        <v>Majestic Hooked Beak</v>
      </c>
      <c r="C16" s="16">
        <f>VLOOKUP(C11,Required_Ascension_Materials,6,FALSE)-VLOOKUP(C10,Required_Ascension_Materials,6,FALSE)</f>
        <v>0</v>
      </c>
      <c r="E16" s="171" t="s">
        <v>151</v>
      </c>
      <c r="F16" s="172"/>
      <c r="H16" s="185"/>
      <c r="I16" s="1" t="str">
        <f>E7</f>
        <v>Guide to Admonition</v>
      </c>
      <c r="J16" s="17">
        <f>SUM(F7,F20,F33)</f>
        <v>0</v>
      </c>
      <c r="K16" s="34" t="s">
        <v>202</v>
      </c>
    </row>
    <row r="17" spans="1:11" ht="15.75" thickBot="1" x14ac:dyDescent="0.3">
      <c r="A17" s="184" t="s">
        <v>207</v>
      </c>
      <c r="B17" s="2" t="str">
        <f>VLOOKUP(VLOOKUP(B1,Character_List,5,FALSE),Common_Mob_Drops,2,FALSE)</f>
        <v>Fungal Spores</v>
      </c>
      <c r="C17" s="15">
        <f>VLOOKUP(C11,Required_Ascension_Materials,7,FALSE)-VLOOKUP(C10,Required_Ascension_Materials,7,FALSE)</f>
        <v>0</v>
      </c>
      <c r="E17" s="12" t="s">
        <v>200</v>
      </c>
      <c r="F17" s="28">
        <v>9</v>
      </c>
      <c r="H17" s="186"/>
      <c r="I17" s="9" t="str">
        <f>E8</f>
        <v>Philosophies of Admonition</v>
      </c>
      <c r="J17" s="16">
        <f>SUM(F8,F21,F34)</f>
        <v>0</v>
      </c>
      <c r="K17" s="34" t="s">
        <v>202</v>
      </c>
    </row>
    <row r="18" spans="1:11" ht="15.75" thickBot="1" x14ac:dyDescent="0.3">
      <c r="A18" s="185"/>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The Meaning of Aeons</v>
      </c>
      <c r="J18" s="24">
        <f>SUM(F9,F22,F35)</f>
        <v>0</v>
      </c>
      <c r="K18" s="34" t="s">
        <v>202</v>
      </c>
    </row>
    <row r="19" spans="1:11" ht="15.75" thickBot="1" x14ac:dyDescent="0.3">
      <c r="A19" s="186"/>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Nilotpala Lotus</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The Meaning of Aeons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267</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The Meaning of Aeons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54" priority="1" operator="containsText" text="Done">
      <formula>NOT(ISERROR(SEARCH("Done",K4)))</formula>
    </cfRule>
    <cfRule type="containsText" dxfId="553" priority="2" operator="containsText" text="In Progress">
      <formula>NOT(ISERROR(SEARCH("In Progress",K4)))</formula>
    </cfRule>
  </conditionalFormatting>
  <dataValidations count="5">
    <dataValidation type="list" allowBlank="1" showInputMessage="1" showErrorMessage="1" sqref="C10:C11" xr:uid="{CBB5E0FB-12BA-4F1D-8021-CB89119C5E71}">
      <formula1>"0,1,2,3,4,5,6"</formula1>
    </dataValidation>
    <dataValidation type="list" allowBlank="1" showInputMessage="1" showErrorMessage="1" sqref="K4:K19" xr:uid="{5EF20813-0267-44E5-9961-3CE81FEBB6D4}">
      <formula1>"In Progress, Done"</formula1>
    </dataValidation>
    <dataValidation type="list" allowBlank="1" showInputMessage="1" showErrorMessage="1" sqref="B1" xr:uid="{63818C37-DB35-4B57-BD16-54AAA099577B}">
      <formula1>Character_Name_List</formula1>
    </dataValidation>
    <dataValidation type="list" allowBlank="1" showInputMessage="1" showErrorMessage="1" sqref="F4:F5 F17:F18 F30:F31" xr:uid="{CC3CF559-FCF8-4EC9-A813-01DDFE3B1921}">
      <formula1>"1,2,3,4,5,6,7,8,9,10"</formula1>
    </dataValidation>
    <dataValidation type="list" operator="equal" allowBlank="1" showInputMessage="1" showErrorMessage="1" sqref="B4:B5" xr:uid="{91E50E15-95FE-42F6-98D6-936617DAD29E}">
      <formula1>"1,20,40,50,60,70,80,90"</formula1>
    </dataValidation>
  </dataValidation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5C5E7-AC5D-4C0F-9721-0BEEBA85F044}">
  <sheetPr codeName="Sheet204">
    <tabColor theme="9" tint="0.59999389629810485"/>
  </sheetPr>
  <dimension ref="A1:K40"/>
  <sheetViews>
    <sheetView workbookViewId="0">
      <selection activeCell="L19" sqref="L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268</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84"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85"/>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85"/>
      <c r="I8" s="1" t="str">
        <f t="shared" si="0"/>
        <v>Nagadus Emerald Chunk</v>
      </c>
      <c r="J8" s="17">
        <f t="shared" si="0"/>
        <v>0</v>
      </c>
      <c r="K8" s="34" t="s">
        <v>202</v>
      </c>
    </row>
    <row r="9" spans="1:11" ht="15.75" thickBot="1" x14ac:dyDescent="0.3">
      <c r="A9" s="171" t="s">
        <v>149</v>
      </c>
      <c r="B9" s="231"/>
      <c r="C9" s="172"/>
      <c r="E9" s="14" t="str">
        <f>VLOOKUP(VLOOKUP(B1,Character_List,8,FALSE),Weekly_Boss_Mats,2,FALSE)</f>
        <v>Tears of the Calamitous God</v>
      </c>
      <c r="F9" s="17">
        <f>VLOOKUP(F5,Required_Talent_Materials,5,FALSE)-VLOOKUP(F4,Required_Talent_Materials,5,FALSE)</f>
        <v>0</v>
      </c>
      <c r="H9" s="185"/>
      <c r="I9" s="1" t="str">
        <f t="shared" si="0"/>
        <v>Nagadus Emerald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Majestic Hooked Beak</v>
      </c>
      <c r="J10" s="16">
        <f t="shared" si="0"/>
        <v>0</v>
      </c>
      <c r="K10" s="34" t="s">
        <v>202</v>
      </c>
    </row>
    <row r="11" spans="1:11" ht="15.75" thickBot="1" x14ac:dyDescent="0.3">
      <c r="A11" s="173" t="s">
        <v>208</v>
      </c>
      <c r="B11" s="202"/>
      <c r="C11" s="43">
        <v>6</v>
      </c>
      <c r="E11" s="14" t="str">
        <f>VLOOKUP(VLOOKUP(B1,Character_List,5,FALSE),Common_Mob_Drops,2,FALSE)</f>
        <v>Firm Arrowhead</v>
      </c>
      <c r="F11" s="17">
        <f>VLOOKUP(F5,Required_Talent_Materials,7,FALSE)-VLOOKUP(F4,Required_Talent_Materials,7,FALSE)</f>
        <v>0</v>
      </c>
      <c r="H11" s="184" t="s">
        <v>207</v>
      </c>
      <c r="I11" s="2" t="str">
        <f>B17</f>
        <v>Firm Arrowhead</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85"/>
      <c r="I12" s="1" t="str">
        <f>B18</f>
        <v>Sharp Arrowhead</v>
      </c>
      <c r="J12" s="17">
        <f>SUM(C18,F12,F25,F38)</f>
        <v>0</v>
      </c>
      <c r="K12" s="34" t="s">
        <v>202</v>
      </c>
    </row>
    <row r="13" spans="1:11" ht="15.75" thickBot="1" x14ac:dyDescent="0.3">
      <c r="A13" s="182"/>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86"/>
      <c r="I13" s="9" t="str">
        <f>B19</f>
        <v>Weathered Arrowhead</v>
      </c>
      <c r="J13" s="16">
        <f>SUM(C19,F13,F26,F39)</f>
        <v>0</v>
      </c>
      <c r="K13" s="34" t="s">
        <v>202</v>
      </c>
    </row>
    <row r="14" spans="1:11" ht="15.75" thickBot="1" x14ac:dyDescent="0.3">
      <c r="A14" s="182"/>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Rukkhashava Mushrooms</v>
      </c>
      <c r="J14" s="24">
        <f>C20</f>
        <v>0</v>
      </c>
      <c r="K14" s="34" t="s">
        <v>202</v>
      </c>
    </row>
    <row r="15" spans="1:11" ht="15.75" thickBot="1" x14ac:dyDescent="0.3">
      <c r="A15" s="182"/>
      <c r="B15" s="1" t="str">
        <f>_xlfn.CONCAT(VLOOKUP(VLOOKUP(B1,Character_List,2,FALSE),Boss_Mob_Drops,2,FALSE), " Gemstone")</f>
        <v>Nagadus Emerald Gemstone</v>
      </c>
      <c r="C15" s="17">
        <f>VLOOKUP(C11,Required_Ascension_Materials,5,FALSE)-VLOOKUP(C10,Required_Ascension_Materials,5,FALSE)</f>
        <v>0</v>
      </c>
      <c r="H15" s="184" t="s">
        <v>216</v>
      </c>
      <c r="I15" s="2" t="str">
        <f>E6</f>
        <v>Teachings of Praxis</v>
      </c>
      <c r="J15" s="15">
        <f>SUM(F6,F19,F32)</f>
        <v>0</v>
      </c>
      <c r="K15" s="34" t="s">
        <v>202</v>
      </c>
    </row>
    <row r="16" spans="1:11" ht="15.75" thickBot="1" x14ac:dyDescent="0.3">
      <c r="A16" s="183"/>
      <c r="B16" s="9" t="str">
        <f>VLOOKUP(B1,Character_List,4,FALSE)</f>
        <v>Majestic Hooked Beak</v>
      </c>
      <c r="C16" s="16">
        <f>VLOOKUP(C11,Required_Ascension_Materials,6,FALSE)-VLOOKUP(C10,Required_Ascension_Materials,6,FALSE)</f>
        <v>0</v>
      </c>
      <c r="E16" s="171" t="s">
        <v>151</v>
      </c>
      <c r="F16" s="172"/>
      <c r="H16" s="185"/>
      <c r="I16" s="1" t="str">
        <f>E7</f>
        <v>Guide to Praxis</v>
      </c>
      <c r="J16" s="17">
        <f>SUM(F7,F20,F33)</f>
        <v>0</v>
      </c>
      <c r="K16" s="34" t="s">
        <v>202</v>
      </c>
    </row>
    <row r="17" spans="1:11" ht="15.75" thickBot="1" x14ac:dyDescent="0.3">
      <c r="A17" s="184" t="s">
        <v>207</v>
      </c>
      <c r="B17" s="2" t="str">
        <f>VLOOKUP(VLOOKUP(B1,Character_List,5,FALSE),Common_Mob_Drops,2,FALSE)</f>
        <v>Firm Arrowhead</v>
      </c>
      <c r="C17" s="15">
        <f>VLOOKUP(C11,Required_Ascension_Materials,7,FALSE)-VLOOKUP(C10,Required_Ascension_Materials,7,FALSE)</f>
        <v>0</v>
      </c>
      <c r="E17" s="12" t="s">
        <v>200</v>
      </c>
      <c r="F17" s="28">
        <v>9</v>
      </c>
      <c r="H17" s="186"/>
      <c r="I17" s="9" t="str">
        <f>E8</f>
        <v>Philosophies of Praxis</v>
      </c>
      <c r="J17" s="16">
        <f>SUM(F8,F21,F34)</f>
        <v>0</v>
      </c>
      <c r="K17" s="34" t="s">
        <v>202</v>
      </c>
    </row>
    <row r="18" spans="1:11" ht="15.75" thickBot="1" x14ac:dyDescent="0.3">
      <c r="A18" s="185"/>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86"/>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Rukkhashava Mushrooms</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Tears of the Calamitous God</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52" priority="1" operator="containsText" text="Done">
      <formula>NOT(ISERROR(SEARCH("Done",K4)))</formula>
    </cfRule>
    <cfRule type="containsText" dxfId="551" priority="2" operator="containsText" text="In Progress">
      <formula>NOT(ISERROR(SEARCH("In Progress",K4)))</formula>
    </cfRule>
  </conditionalFormatting>
  <dataValidations count="5">
    <dataValidation type="list" allowBlank="1" showInputMessage="1" showErrorMessage="1" sqref="C10:C11" xr:uid="{9AFEAB33-D68B-4169-B103-93408ABBC9AD}">
      <formula1>"0,1,2,3,4,5,6"</formula1>
    </dataValidation>
    <dataValidation type="list" allowBlank="1" showInputMessage="1" showErrorMessage="1" sqref="K4:K19" xr:uid="{EB109FA0-3B5C-4241-9987-8300D2684F56}">
      <formula1>"In Progress, Done"</formula1>
    </dataValidation>
    <dataValidation type="list" allowBlank="1" showInputMessage="1" showErrorMessage="1" sqref="B1" xr:uid="{6245A262-5764-4D0A-A027-ED795FAEBC1E}">
      <formula1>Character_Name_List</formula1>
    </dataValidation>
    <dataValidation type="list" allowBlank="1" showInputMessage="1" showErrorMessage="1" sqref="F4:F5 F17:F18 F30:F31" xr:uid="{1F0EE462-9350-4C95-A1B2-A0119E860778}">
      <formula1>"1,2,3,4,5,6,7,8,9,10"</formula1>
    </dataValidation>
    <dataValidation type="list" operator="equal" allowBlank="1" showInputMessage="1" showErrorMessage="1" sqref="B4:B5" xr:uid="{1161A51E-3E79-48B5-A510-919007A8C610}">
      <formula1>"1,20,40,50,60,70,80,90"</formula1>
    </dataValidation>
  </dataValidation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D54E0-9589-4436-B3EC-84537FC263EA}">
  <sheetPr codeName="Sheet205">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269</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Bloodjade Branch</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Thunderclap Fruitcore</v>
      </c>
      <c r="J10" s="16">
        <f t="shared" si="0"/>
        <v>0</v>
      </c>
      <c r="K10" s="34" t="s">
        <v>202</v>
      </c>
    </row>
    <row r="11" spans="1:11" ht="15.75" thickBot="1" x14ac:dyDescent="0.3">
      <c r="A11" s="173" t="s">
        <v>208</v>
      </c>
      <c r="B11" s="202"/>
      <c r="C11" s="43">
        <v>6</v>
      </c>
      <c r="E11" s="14" t="str">
        <f>VLOOKUP(VLOOKUP(B1,Character_List,5,FALSE),Common_Mob_Drops,2,FALSE)</f>
        <v>Faded Red Satin</v>
      </c>
      <c r="F11" s="17">
        <f>VLOOKUP(F5,Required_Talent_Materials,7,FALSE)-VLOOKUP(F4,Required_Talent_Materials,7,FALSE)</f>
        <v>0</v>
      </c>
      <c r="H11" s="184" t="s">
        <v>207</v>
      </c>
      <c r="I11" s="2" t="str">
        <f>B17</f>
        <v>Faded Red Satin</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85"/>
      <c r="I12" s="1" t="str">
        <f>B18</f>
        <v>Trimmed Red Silk</v>
      </c>
      <c r="J12" s="17">
        <f>SUM(C18,F12,F25,F38)</f>
        <v>0</v>
      </c>
      <c r="K12" s="34" t="s">
        <v>202</v>
      </c>
    </row>
    <row r="13" spans="1:11" ht="15.75" thickBot="1" x14ac:dyDescent="0.3">
      <c r="A13" s="182"/>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86"/>
      <c r="I13" s="9" t="str">
        <f>B19</f>
        <v>Rich Red Brocade</v>
      </c>
      <c r="J13" s="16">
        <f>SUM(C19,F13,F26,F39)</f>
        <v>0</v>
      </c>
      <c r="K13" s="34" t="s">
        <v>202</v>
      </c>
    </row>
    <row r="14" spans="1:11" ht="15.75" thickBot="1" x14ac:dyDescent="0.3">
      <c r="A14" s="182"/>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Kalpalata Lotus</v>
      </c>
      <c r="J14" s="24">
        <f>C20</f>
        <v>0</v>
      </c>
      <c r="K14" s="34" t="s">
        <v>202</v>
      </c>
    </row>
    <row r="15" spans="1:11" ht="15.75" thickBot="1" x14ac:dyDescent="0.3">
      <c r="A15" s="182"/>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Ingenuity</v>
      </c>
      <c r="J15" s="15">
        <f>SUM(F6,F19,F32)</f>
        <v>0</v>
      </c>
      <c r="K15" s="34" t="s">
        <v>202</v>
      </c>
    </row>
    <row r="16" spans="1:11" ht="15.75" thickBot="1" x14ac:dyDescent="0.3">
      <c r="A16" s="183"/>
      <c r="B16" s="9" t="str">
        <f>VLOOKUP(B1,Character_List,4,FALSE)</f>
        <v>Thunderclap Fruitcore</v>
      </c>
      <c r="C16" s="16">
        <f>VLOOKUP(C11,Required_Ascension_Materials,6,FALSE)-VLOOKUP(C10,Required_Ascension_Materials,6,FALSE)</f>
        <v>0</v>
      </c>
      <c r="E16" s="171" t="s">
        <v>151</v>
      </c>
      <c r="F16" s="172"/>
      <c r="H16" s="185"/>
      <c r="I16" s="1" t="str">
        <f>E7</f>
        <v>Guide to Ingenuity</v>
      </c>
      <c r="J16" s="17">
        <f>SUM(F7,F20,F33)</f>
        <v>0</v>
      </c>
      <c r="K16" s="34" t="s">
        <v>202</v>
      </c>
    </row>
    <row r="17" spans="1:11" ht="15.75" thickBot="1" x14ac:dyDescent="0.3">
      <c r="A17" s="184" t="s">
        <v>207</v>
      </c>
      <c r="B17" s="2" t="str">
        <f>VLOOKUP(VLOOKUP(B1,Character_List,5,FALSE),Common_Mob_Drops,2,FALSE)</f>
        <v>Faded Red Satin</v>
      </c>
      <c r="C17" s="15">
        <f>VLOOKUP(C11,Required_Ascension_Materials,7,FALSE)-VLOOKUP(C10,Required_Ascension_Materials,7,FALSE)</f>
        <v>0</v>
      </c>
      <c r="E17" s="12" t="s">
        <v>200</v>
      </c>
      <c r="F17" s="28">
        <v>9</v>
      </c>
      <c r="H17" s="186"/>
      <c r="I17" s="9" t="str">
        <f>E8</f>
        <v>Philosophies of Ingenuity</v>
      </c>
      <c r="J17" s="16">
        <f>SUM(F8,F21,F34)</f>
        <v>0</v>
      </c>
      <c r="K17" s="34" t="s">
        <v>202</v>
      </c>
    </row>
    <row r="18" spans="1:11" ht="15.75" thickBot="1" x14ac:dyDescent="0.3">
      <c r="A18" s="185"/>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Bloodjade Branch</v>
      </c>
      <c r="J18" s="24">
        <f>SUM(F9,F22,F35)</f>
        <v>0</v>
      </c>
      <c r="K18" s="34" t="s">
        <v>202</v>
      </c>
    </row>
    <row r="19" spans="1:11" ht="15.75" thickBot="1" x14ac:dyDescent="0.3">
      <c r="A19" s="186"/>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Kalpalata Lotus</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Bloodjade Branch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Bloodjade Branch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50" priority="1" operator="containsText" text="Done">
      <formula>NOT(ISERROR(SEARCH("Done",K4)))</formula>
    </cfRule>
    <cfRule type="containsText" dxfId="549" priority="2" operator="containsText" text="In Progress">
      <formula>NOT(ISERROR(SEARCH("In Progress",K4)))</formula>
    </cfRule>
  </conditionalFormatting>
  <dataValidations count="5">
    <dataValidation type="list" allowBlank="1" showInputMessage="1" showErrorMessage="1" sqref="C10:C11" xr:uid="{E3F002C2-381B-465A-82A4-DE14216DAAB9}">
      <formula1>"0,1,2,3,4,5,6"</formula1>
    </dataValidation>
    <dataValidation type="list" allowBlank="1" showInputMessage="1" showErrorMessage="1" sqref="K4:K19" xr:uid="{033D3BB3-03B5-4C3F-8AA3-4C48D2985567}">
      <formula1>"In Progress, Done"</formula1>
    </dataValidation>
    <dataValidation type="list" allowBlank="1" showInputMessage="1" showErrorMessage="1" sqref="B1" xr:uid="{A0B7F999-F892-4F93-93EC-8F0687C88DAC}">
      <formula1>Character_Name_List</formula1>
    </dataValidation>
    <dataValidation type="list" allowBlank="1" showInputMessage="1" showErrorMessage="1" sqref="F4:F5 F17:F18 F30:F31" xr:uid="{F61AF3CD-997C-46ED-830F-3322392F7F69}">
      <formula1>"1,2,3,4,5,6,7,8,9,10"</formula1>
    </dataValidation>
    <dataValidation type="list" operator="equal" allowBlank="1" showInputMessage="1" showErrorMessage="1" sqref="B4:B5" xr:uid="{654AB445-8A37-4AA0-BAD0-3D3FAA2A3462}">
      <formula1>"1,20,40,50,60,70,80,90"</formula1>
    </dataValidation>
  </dataValidation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7E229-8B92-4AFF-862C-69B4564C4F66}">
  <sheetPr codeName="Sheet215">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 min="13" max="13" width="27.42578125" bestFit="1" customWidth="1"/>
  </cols>
  <sheetData>
    <row r="1" spans="1:11" ht="15.75" thickBot="1" x14ac:dyDescent="0.3">
      <c r="A1" s="11" t="s">
        <v>196</v>
      </c>
      <c r="B1" s="27" t="s">
        <v>270</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Mudra of the Malefic General</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Thunderclap Fruitcore</v>
      </c>
      <c r="J10" s="16">
        <f t="shared" si="0"/>
        <v>0</v>
      </c>
      <c r="K10" s="34" t="s">
        <v>202</v>
      </c>
    </row>
    <row r="11" spans="1:11" ht="15.75" thickBot="1" x14ac:dyDescent="0.3">
      <c r="A11" s="173" t="s">
        <v>208</v>
      </c>
      <c r="B11" s="202"/>
      <c r="C11" s="43">
        <v>6</v>
      </c>
      <c r="E11" s="14" t="str">
        <f>VLOOKUP(VLOOKUP(B1,Character_List,5,FALSE),Common_Mob_Drops,2,FALSE)</f>
        <v>Divining Scroll</v>
      </c>
      <c r="F11" s="17">
        <f>VLOOKUP(F5,Required_Talent_Materials,7,FALSE)-VLOOKUP(F4,Required_Talent_Materials,7,FALSE)</f>
        <v>0</v>
      </c>
      <c r="H11" s="184" t="s">
        <v>207</v>
      </c>
      <c r="I11" s="2" t="str">
        <f>B17</f>
        <v>Divining Scroll</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5"/>
      <c r="I12" s="1" t="str">
        <f>B18</f>
        <v>Sealed Scroll</v>
      </c>
      <c r="J12" s="17">
        <f>SUM(C18,F12,F25,F38)</f>
        <v>0</v>
      </c>
      <c r="K12" s="34" t="s">
        <v>202</v>
      </c>
    </row>
    <row r="13" spans="1:11" ht="15.75" thickBot="1" x14ac:dyDescent="0.3">
      <c r="A13" s="182"/>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6"/>
      <c r="I13" s="9" t="str">
        <f>B19</f>
        <v>Forbidden Scroll</v>
      </c>
      <c r="J13" s="16">
        <f>SUM(C19,F13,F26,F39)</f>
        <v>0</v>
      </c>
      <c r="K13" s="34" t="s">
        <v>202</v>
      </c>
    </row>
    <row r="14" spans="1:11" ht="15.75" thickBot="1" x14ac:dyDescent="0.3">
      <c r="A14" s="182"/>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Scarab</v>
      </c>
      <c r="J14" s="24">
        <f>C20</f>
        <v>0</v>
      </c>
      <c r="K14" s="34" t="s">
        <v>202</v>
      </c>
    </row>
    <row r="15" spans="1:11" ht="15.75" thickBot="1" x14ac:dyDescent="0.3">
      <c r="A15" s="182"/>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Admonition</v>
      </c>
      <c r="J15" s="15">
        <f>SUM(F6,F19,F32)</f>
        <v>0</v>
      </c>
      <c r="K15" s="34" t="s">
        <v>202</v>
      </c>
    </row>
    <row r="16" spans="1:11" ht="15.75" thickBot="1" x14ac:dyDescent="0.3">
      <c r="A16" s="183"/>
      <c r="B16" s="9" t="str">
        <f>VLOOKUP(B1,Character_List,4,FALSE)</f>
        <v>Thunderclap Fruitcore</v>
      </c>
      <c r="C16" s="16">
        <f>VLOOKUP(C11,Required_Ascension_Materials,6,FALSE)-VLOOKUP(C10,Required_Ascension_Materials,6,FALSE)</f>
        <v>0</v>
      </c>
      <c r="E16" s="171" t="s">
        <v>151</v>
      </c>
      <c r="F16" s="172"/>
      <c r="H16" s="185"/>
      <c r="I16" s="1" t="str">
        <f>E7</f>
        <v>Guide to Admonition</v>
      </c>
      <c r="J16" s="17">
        <f>SUM(F7,F20,F33)</f>
        <v>0</v>
      </c>
      <c r="K16" s="34" t="s">
        <v>202</v>
      </c>
    </row>
    <row r="17" spans="1:11" ht="15.75" thickBot="1" x14ac:dyDescent="0.3">
      <c r="A17" s="184" t="s">
        <v>207</v>
      </c>
      <c r="B17" s="2" t="str">
        <f>VLOOKUP(VLOOKUP(B1,Character_List,5,FALSE),Common_Mob_Drops,2,FALSE)</f>
        <v>Divining Scroll</v>
      </c>
      <c r="C17" s="15">
        <f>VLOOKUP(C11,Required_Ascension_Materials,7,FALSE)-VLOOKUP(C10,Required_Ascension_Materials,7,FALSE)</f>
        <v>0</v>
      </c>
      <c r="E17" s="12" t="s">
        <v>200</v>
      </c>
      <c r="F17" s="28">
        <v>9</v>
      </c>
      <c r="H17" s="186"/>
      <c r="I17" s="9" t="str">
        <f>E8</f>
        <v>Philosophies of Admonition</v>
      </c>
      <c r="J17" s="16">
        <f>SUM(F8,F21,F34)</f>
        <v>0</v>
      </c>
      <c r="K17" s="34" t="s">
        <v>202</v>
      </c>
    </row>
    <row r="18" spans="1:11" ht="15.75" thickBot="1" x14ac:dyDescent="0.3">
      <c r="A18" s="185"/>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Mudra of the Malefic General</v>
      </c>
      <c r="J18" s="24">
        <f>SUM(F9,F22,F35)</f>
        <v>0</v>
      </c>
      <c r="K18" s="34" t="s">
        <v>202</v>
      </c>
    </row>
    <row r="19" spans="1:11" ht="15.75" thickBot="1" x14ac:dyDescent="0.3">
      <c r="A19" s="186"/>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Scarab</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Mudra of the Malefic General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Mudra of the Malefic General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48" priority="1" operator="containsText" text="Done">
      <formula>NOT(ISERROR(SEARCH("Done",K4)))</formula>
    </cfRule>
    <cfRule type="containsText" dxfId="547" priority="2" operator="containsText" text="In Progress">
      <formula>NOT(ISERROR(SEARCH("In Progress",K4)))</formula>
    </cfRule>
  </conditionalFormatting>
  <dataValidations count="5">
    <dataValidation type="list" allowBlank="1" showInputMessage="1" showErrorMessage="1" sqref="C10:C11" xr:uid="{22A4D457-986B-486B-9A6F-AB6AEA1A4E01}">
      <formula1>"0,1,2,3,4,5,6"</formula1>
    </dataValidation>
    <dataValidation type="list" allowBlank="1" showInputMessage="1" showErrorMessage="1" sqref="K4:K19" xr:uid="{6FC1BC77-374D-435E-A016-282935911741}">
      <formula1>"In Progress, Done"</formula1>
    </dataValidation>
    <dataValidation type="list" allowBlank="1" showInputMessage="1" showErrorMessage="1" sqref="B1" xr:uid="{0B6B8B8C-7AC0-4590-AED5-A887D9A99DF6}">
      <formula1>Character_Name_List</formula1>
    </dataValidation>
    <dataValidation type="list" allowBlank="1" showInputMessage="1" showErrorMessage="1" sqref="F4:F5 F17:F18 F30:F31" xr:uid="{60CE2C96-68E0-4387-9867-23B7C0299677}">
      <formula1>"1,2,3,4,5,6,7,8,9,10"</formula1>
    </dataValidation>
    <dataValidation type="list" operator="equal" allowBlank="1" showInputMessage="1" showErrorMessage="1" sqref="B4:B5" xr:uid="{A8CC93A2-B6CF-4137-9065-12C61B8D4890}">
      <formula1>"1,20,40,50,60,70,80,90"</formula1>
    </dataValidation>
  </dataValidation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5EFB-1670-48D3-9C02-D385CE04D280}">
  <sheetPr codeName="Sheet216">
    <tabColor theme="9" tint="0.59999389629810485"/>
  </sheetPr>
  <dimension ref="A1:K40"/>
  <sheetViews>
    <sheetView workbookViewId="0">
      <selection activeCell="M21" sqref="M2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 min="13" max="13" width="27.42578125" bestFit="1" customWidth="1"/>
  </cols>
  <sheetData>
    <row r="1" spans="1:11" ht="15.75" thickBot="1" x14ac:dyDescent="0.3">
      <c r="A1" s="11" t="s">
        <v>196</v>
      </c>
      <c r="B1" s="27" t="s">
        <v>271</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84"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85"/>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85"/>
      <c r="I8" s="1" t="str">
        <f t="shared" si="0"/>
        <v>Varunada Lazurite Chunk</v>
      </c>
      <c r="J8" s="17">
        <f t="shared" si="0"/>
        <v>0</v>
      </c>
      <c r="K8" s="34" t="s">
        <v>202</v>
      </c>
    </row>
    <row r="9" spans="1:11" ht="15.75" thickBot="1" x14ac:dyDescent="0.3">
      <c r="A9" s="171" t="s">
        <v>149</v>
      </c>
      <c r="B9" s="231"/>
      <c r="C9" s="172"/>
      <c r="E9" s="14" t="str">
        <f>VLOOKUP(VLOOKUP(B1,Character_List,8,FALSE),Weekly_Boss_Mats,2,FALSE)</f>
        <v>Tears of the Calamitous God</v>
      </c>
      <c r="F9" s="17">
        <f>VLOOKUP(F5,Required_Talent_Materials,5,FALSE)-VLOOKUP(F4,Required_Talent_Materials,5,FALSE)</f>
        <v>0</v>
      </c>
      <c r="H9" s="185"/>
      <c r="I9" s="1" t="str">
        <f t="shared" si="0"/>
        <v>Varunada Lazurite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Light Guiding Tetrahedron</v>
      </c>
      <c r="J10" s="16">
        <f t="shared" si="0"/>
        <v>0</v>
      </c>
      <c r="K10" s="34" t="s">
        <v>202</v>
      </c>
    </row>
    <row r="11" spans="1:11" ht="15.75" thickBot="1" x14ac:dyDescent="0.3">
      <c r="A11" s="173" t="s">
        <v>208</v>
      </c>
      <c r="B11" s="202"/>
      <c r="C11" s="43">
        <v>6</v>
      </c>
      <c r="E11" s="14" t="str">
        <f>VLOOKUP(VLOOKUP(B1,Character_List,5,FALSE),Common_Mob_Drops,2,FALSE)</f>
        <v>Faded Red Satin</v>
      </c>
      <c r="F11" s="17">
        <f>VLOOKUP(F5,Required_Talent_Materials,7,FALSE)-VLOOKUP(F4,Required_Talent_Materials,7,FALSE)</f>
        <v>0</v>
      </c>
      <c r="H11" s="184" t="s">
        <v>207</v>
      </c>
      <c r="I11" s="2" t="str">
        <f>B17</f>
        <v>Faded Red Satin</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85"/>
      <c r="I12" s="1" t="str">
        <f>B18</f>
        <v>Trimmed Red Silk</v>
      </c>
      <c r="J12" s="17">
        <f>SUM(C18,F12,F25,F38)</f>
        <v>0</v>
      </c>
      <c r="K12" s="34" t="s">
        <v>202</v>
      </c>
    </row>
    <row r="13" spans="1:11" ht="15.75" thickBot="1" x14ac:dyDescent="0.3">
      <c r="A13" s="182"/>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86"/>
      <c r="I13" s="9" t="str">
        <f>B19</f>
        <v>Rich Red Brocade</v>
      </c>
      <c r="J13" s="16">
        <f>SUM(C19,F13,F26,F39)</f>
        <v>0</v>
      </c>
      <c r="K13" s="34" t="s">
        <v>202</v>
      </c>
    </row>
    <row r="14" spans="1:11" ht="15.75" thickBot="1" x14ac:dyDescent="0.3">
      <c r="A14" s="182"/>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Henna Berry</v>
      </c>
      <c r="J14" s="24">
        <f>C20</f>
        <v>0</v>
      </c>
      <c r="K14" s="34" t="s">
        <v>202</v>
      </c>
    </row>
    <row r="15" spans="1:11" ht="15.75" thickBot="1" x14ac:dyDescent="0.3">
      <c r="A15" s="182"/>
      <c r="B15" s="1" t="str">
        <f>_xlfn.CONCAT(VLOOKUP(VLOOKUP(B1,Character_List,2,FALSE),Boss_Mob_Drops,2,FALSE), " Gemstone")</f>
        <v>Varunada Lazurite Gemstone</v>
      </c>
      <c r="C15" s="17">
        <f>VLOOKUP(C11,Required_Ascension_Materials,5,FALSE)-VLOOKUP(C10,Required_Ascension_Materials,5,FALSE)</f>
        <v>0</v>
      </c>
      <c r="H15" s="184" t="s">
        <v>216</v>
      </c>
      <c r="I15" s="2" t="str">
        <f>E6</f>
        <v>Teachings of Admonition</v>
      </c>
      <c r="J15" s="15">
        <f>SUM(F6,F19,F32)</f>
        <v>0</v>
      </c>
      <c r="K15" s="34" t="s">
        <v>202</v>
      </c>
    </row>
    <row r="16" spans="1:11" ht="15.75" thickBot="1" x14ac:dyDescent="0.3">
      <c r="A16" s="183"/>
      <c r="B16" s="9" t="str">
        <f>VLOOKUP(B1,Character_List,4,FALSE)</f>
        <v>Light Guiding Tetrahedron</v>
      </c>
      <c r="C16" s="16">
        <f>VLOOKUP(C11,Required_Ascension_Materials,6,FALSE)-VLOOKUP(C10,Required_Ascension_Materials,6,FALSE)</f>
        <v>0</v>
      </c>
      <c r="E16" s="171" t="s">
        <v>151</v>
      </c>
      <c r="F16" s="172"/>
      <c r="H16" s="185"/>
      <c r="I16" s="1" t="str">
        <f>E7</f>
        <v>Guide to Admonition</v>
      </c>
      <c r="J16" s="17">
        <f>SUM(F7,F20,F33)</f>
        <v>0</v>
      </c>
      <c r="K16" s="34" t="s">
        <v>202</v>
      </c>
    </row>
    <row r="17" spans="1:11" ht="15.75" thickBot="1" x14ac:dyDescent="0.3">
      <c r="A17" s="184" t="s">
        <v>207</v>
      </c>
      <c r="B17" s="2" t="str">
        <f>VLOOKUP(VLOOKUP(B1,Character_List,5,FALSE),Common_Mob_Drops,2,FALSE)</f>
        <v>Faded Red Satin</v>
      </c>
      <c r="C17" s="15">
        <f>VLOOKUP(C11,Required_Ascension_Materials,7,FALSE)-VLOOKUP(C10,Required_Ascension_Materials,7,FALSE)</f>
        <v>0</v>
      </c>
      <c r="E17" s="12" t="s">
        <v>200</v>
      </c>
      <c r="F17" s="28">
        <v>9</v>
      </c>
      <c r="H17" s="186"/>
      <c r="I17" s="9" t="str">
        <f>E8</f>
        <v>Philosophies of Admonition</v>
      </c>
      <c r="J17" s="16">
        <f>SUM(F8,F21,F34)</f>
        <v>0</v>
      </c>
      <c r="K17" s="34" t="s">
        <v>202</v>
      </c>
    </row>
    <row r="18" spans="1:11" ht="15.75" thickBot="1" x14ac:dyDescent="0.3">
      <c r="A18" s="185"/>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86"/>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Henna Berry</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Tears of the Calamitous God</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46" priority="1" operator="containsText" text="Done">
      <formula>NOT(ISERROR(SEARCH("Done",K4)))</formula>
    </cfRule>
    <cfRule type="containsText" dxfId="545" priority="2" operator="containsText" text="In Progress">
      <formula>NOT(ISERROR(SEARCH("In Progress",K4)))</formula>
    </cfRule>
  </conditionalFormatting>
  <dataValidations count="5">
    <dataValidation type="list" allowBlank="1" showInputMessage="1" showErrorMessage="1" sqref="C10:C11" xr:uid="{2D011359-67B1-4014-BA75-6F4B67525AA0}">
      <formula1>"0,1,2,3,4,5,6"</formula1>
    </dataValidation>
    <dataValidation type="list" allowBlank="1" showInputMessage="1" showErrorMessage="1" sqref="K4:K19" xr:uid="{B8D4C9B4-152F-41AE-9F97-4B6650E3F862}">
      <formula1>"In Progress, Done"</formula1>
    </dataValidation>
    <dataValidation type="list" allowBlank="1" showInputMessage="1" showErrorMessage="1" sqref="B1" xr:uid="{2D3EE59D-CBD6-421A-9843-AF21E7D393AB}">
      <formula1>Character_Name_List</formula1>
    </dataValidation>
    <dataValidation type="list" allowBlank="1" showInputMessage="1" showErrorMessage="1" sqref="F4:F5 F17:F18 F30:F31" xr:uid="{00F4A6E4-5EA8-4FCB-B56A-5584B611ADCE}">
      <formula1>"1,2,3,4,5,6,7,8,9,10"</formula1>
    </dataValidation>
    <dataValidation type="list" operator="equal" allowBlank="1" showInputMessage="1" showErrorMessage="1" sqref="B4:B5" xr:uid="{3B8BB9F7-8C40-4770-B2E2-3F0DF9BCF4F1}">
      <formula1>"1,20,40,50,60,70,80,90"</formula1>
    </dataValidation>
  </dataValidation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96C99-C7FE-43D8-A841-B5D52B920B15}">
  <sheetPr codeName="Sheet217">
    <tabColor theme="9" tint="0.59999389629810485"/>
  </sheetPr>
  <dimension ref="A1:K40"/>
  <sheetViews>
    <sheetView workbookViewId="0">
      <selection activeCell="H27" sqref="H27"/>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 min="13" max="13" width="27.42578125" bestFit="1" customWidth="1"/>
  </cols>
  <sheetData>
    <row r="1" spans="1:11" ht="15.75" thickBot="1" x14ac:dyDescent="0.3">
      <c r="A1" s="11" t="s">
        <v>196</v>
      </c>
      <c r="B1" s="27" t="s">
        <v>272</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84"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85"/>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85"/>
      <c r="I8" s="1" t="str">
        <f t="shared" si="0"/>
        <v>Varunada Lazurite Chunk</v>
      </c>
      <c r="J8" s="17">
        <f t="shared" si="0"/>
        <v>0</v>
      </c>
      <c r="K8" s="34" t="s">
        <v>202</v>
      </c>
    </row>
    <row r="9" spans="1:11" ht="15.75" thickBot="1" x14ac:dyDescent="0.3">
      <c r="A9" s="171" t="s">
        <v>149</v>
      </c>
      <c r="B9" s="231"/>
      <c r="C9" s="172"/>
      <c r="E9" s="14" t="str">
        <f>VLOOKUP(VLOOKUP(B1,Character_List,8,FALSE),Weekly_Boss_Mats,2,FALSE)</f>
        <v>Tears of the Calamitous God</v>
      </c>
      <c r="F9" s="17">
        <f>VLOOKUP(F5,Required_Talent_Materials,5,FALSE)-VLOOKUP(F4,Required_Talent_Materials,5,FALSE)</f>
        <v>0</v>
      </c>
      <c r="H9" s="185"/>
      <c r="I9" s="1" t="str">
        <f t="shared" si="0"/>
        <v>Varunada Lazurite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1" t="str">
        <f t="shared" si="0"/>
        <v>Perpetual Caliber</v>
      </c>
      <c r="J10" s="16">
        <f t="shared" si="0"/>
        <v>0</v>
      </c>
      <c r="K10" s="34" t="s">
        <v>202</v>
      </c>
    </row>
    <row r="11" spans="1:11" ht="15.75" thickBot="1" x14ac:dyDescent="0.3">
      <c r="A11" s="173" t="s">
        <v>208</v>
      </c>
      <c r="B11" s="202"/>
      <c r="C11" s="43">
        <v>6</v>
      </c>
      <c r="E11" s="14" t="str">
        <f>VLOOKUP(VLOOKUP(B1,Character_List,5,FALSE),Common_Mob_Drops,2,FALSE)</f>
        <v>Fungal Spores</v>
      </c>
      <c r="F11" s="17">
        <f>VLOOKUP(F5,Required_Talent_Materials,7,FALSE)-VLOOKUP(F4,Required_Talent_Materials,7,FALSE)</f>
        <v>0</v>
      </c>
      <c r="H11" s="184" t="s">
        <v>207</v>
      </c>
      <c r="I11" s="2" t="str">
        <f>B17</f>
        <v>Fungal Spores</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85"/>
      <c r="I12" s="1" t="str">
        <f>B18</f>
        <v>Luminescent Pollen</v>
      </c>
      <c r="J12" s="17">
        <f>SUM(C18,F12,F25,F38)</f>
        <v>0</v>
      </c>
      <c r="K12" s="34" t="s">
        <v>202</v>
      </c>
    </row>
    <row r="13" spans="1:11" ht="15.75" thickBot="1" x14ac:dyDescent="0.3">
      <c r="A13" s="182"/>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86"/>
      <c r="I13" s="9" t="str">
        <f>B19</f>
        <v>Crystalline Cyst Dust</v>
      </c>
      <c r="J13" s="16">
        <f>SUM(C19,F13,F26,F39)</f>
        <v>0</v>
      </c>
      <c r="K13" s="34" t="s">
        <v>202</v>
      </c>
    </row>
    <row r="14" spans="1:11" ht="15.75" thickBot="1" x14ac:dyDescent="0.3">
      <c r="A14" s="182"/>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Padisarah</v>
      </c>
      <c r="J14" s="24">
        <f>C20</f>
        <v>0</v>
      </c>
      <c r="K14" s="34" t="s">
        <v>202</v>
      </c>
    </row>
    <row r="15" spans="1:11" ht="15.75" thickBot="1" x14ac:dyDescent="0.3">
      <c r="A15" s="182"/>
      <c r="B15" s="1" t="str">
        <f>_xlfn.CONCAT(VLOOKUP(VLOOKUP(B1,Character_List,2,FALSE),Boss_Mob_Drops,2,FALSE), " Gemstone")</f>
        <v>Varunada Lazurite Gemstone</v>
      </c>
      <c r="C15" s="17">
        <f>VLOOKUP(C11,Required_Ascension_Materials,5,FALSE)-VLOOKUP(C10,Required_Ascension_Materials,5,FALSE)</f>
        <v>0</v>
      </c>
      <c r="H15" s="184" t="s">
        <v>216</v>
      </c>
      <c r="I15" s="2" t="str">
        <f>E6</f>
        <v>Teachings of Praxis</v>
      </c>
      <c r="J15" s="15">
        <f>SUM(F6,F19,F32)</f>
        <v>0</v>
      </c>
      <c r="K15" s="34" t="s">
        <v>202</v>
      </c>
    </row>
    <row r="16" spans="1:11" ht="15.75" thickBot="1" x14ac:dyDescent="0.3">
      <c r="A16" s="183"/>
      <c r="B16" s="9" t="str">
        <f>VLOOKUP(B1,Character_List,4,FALSE)</f>
        <v>Perpetual Caliber</v>
      </c>
      <c r="C16" s="16">
        <f>VLOOKUP(C11,Required_Ascension_Materials,6,FALSE)-VLOOKUP(C10,Required_Ascension_Materials,6,FALSE)</f>
        <v>0</v>
      </c>
      <c r="E16" s="171" t="s">
        <v>151</v>
      </c>
      <c r="F16" s="172"/>
      <c r="H16" s="185"/>
      <c r="I16" s="1" t="str">
        <f>E7</f>
        <v>Guide to Praxis</v>
      </c>
      <c r="J16" s="17">
        <f>SUM(F7,F20,F33)</f>
        <v>0</v>
      </c>
      <c r="K16" s="34" t="s">
        <v>202</v>
      </c>
    </row>
    <row r="17" spans="1:11" ht="15.75" thickBot="1" x14ac:dyDescent="0.3">
      <c r="A17" s="184" t="s">
        <v>207</v>
      </c>
      <c r="B17" s="2" t="str">
        <f>VLOOKUP(VLOOKUP(B1,Character_List,5,FALSE),Common_Mob_Drops,2,FALSE)</f>
        <v>Fungal Spores</v>
      </c>
      <c r="C17" s="15">
        <f>VLOOKUP(C11,Required_Ascension_Materials,7,FALSE)-VLOOKUP(C10,Required_Ascension_Materials,7,FALSE)</f>
        <v>0</v>
      </c>
      <c r="E17" s="12" t="s">
        <v>200</v>
      </c>
      <c r="F17" s="28">
        <v>9</v>
      </c>
      <c r="H17" s="186"/>
      <c r="I17" s="9" t="str">
        <f>E8</f>
        <v>Philosophies of Praxis</v>
      </c>
      <c r="J17" s="16">
        <f>SUM(F8,F21,F34)</f>
        <v>0</v>
      </c>
      <c r="K17" s="34" t="s">
        <v>202</v>
      </c>
    </row>
    <row r="18" spans="1:11" ht="15.75" thickBot="1" x14ac:dyDescent="0.3">
      <c r="A18" s="185"/>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86"/>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Padisarah</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Tears of the Calamitous God</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44" priority="1" operator="containsText" text="Done">
      <formula>NOT(ISERROR(SEARCH("Done",K4)))</formula>
    </cfRule>
    <cfRule type="containsText" dxfId="543" priority="2" operator="containsText" text="In Progress">
      <formula>NOT(ISERROR(SEARCH("In Progress",K4)))</formula>
    </cfRule>
  </conditionalFormatting>
  <dataValidations count="5">
    <dataValidation type="list" allowBlank="1" showInputMessage="1" showErrorMessage="1" sqref="C10:C11" xr:uid="{A4789906-1C5F-445D-97C3-3D369A555A91}">
      <formula1>"0,1,2,3,4,5,6"</formula1>
    </dataValidation>
    <dataValidation type="list" allowBlank="1" showInputMessage="1" showErrorMessage="1" sqref="K4:K19" xr:uid="{2512879B-CB24-46A8-B6A2-C012A1E1A046}">
      <formula1>"In Progress, Done"</formula1>
    </dataValidation>
    <dataValidation type="list" allowBlank="1" showInputMessage="1" showErrorMessage="1" sqref="B1" xr:uid="{E2ABEACF-587C-4739-8B1F-21A404477E6A}">
      <formula1>Character_Name_List</formula1>
    </dataValidation>
    <dataValidation type="list" allowBlank="1" showInputMessage="1" showErrorMessage="1" sqref="F4:F5 F17:F18 F30:F31" xr:uid="{6CFF0AB0-C50E-435B-B763-18D6494C65A8}">
      <formula1>"1,2,3,4,5,6,7,8,9,10"</formula1>
    </dataValidation>
    <dataValidation type="list" operator="equal" allowBlank="1" showInputMessage="1" showErrorMessage="1" sqref="B4:B5" xr:uid="{400D7D00-0C7F-4D3E-8888-AC04C10C95BB}">
      <formula1>"1,20,40,50,60,70,80,90"</formula1>
    </dataValidation>
  </dataValidation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52CE5-04EC-44F1-AB9A-3730A6E66EFB}">
  <sheetPr codeName="Sheet218">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273</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84"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85"/>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85"/>
      <c r="I8" s="1" t="str">
        <f t="shared" si="0"/>
        <v>Nagadus Emerald Chunk</v>
      </c>
      <c r="J8" s="17">
        <f t="shared" si="0"/>
        <v>0</v>
      </c>
      <c r="K8" s="34" t="s">
        <v>202</v>
      </c>
    </row>
    <row r="9" spans="1:11" ht="15.75" thickBot="1" x14ac:dyDescent="0.3">
      <c r="A9" s="171" t="s">
        <v>149</v>
      </c>
      <c r="B9" s="231"/>
      <c r="C9" s="172"/>
      <c r="E9" s="14" t="str">
        <f>VLOOKUP(VLOOKUP(B1,Character_List,8,FALSE),Weekly_Boss_Mats,2,FALSE)</f>
        <v>Puppet Strings</v>
      </c>
      <c r="F9" s="17">
        <f>VLOOKUP(F5,Required_Talent_Materials,5,FALSE)-VLOOKUP(F4,Required_Talent_Materials,5,FALSE)</f>
        <v>0</v>
      </c>
      <c r="H9" s="185"/>
      <c r="I9" s="1" t="str">
        <f t="shared" si="0"/>
        <v>Nagadus Emerald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Quelled Creeper</v>
      </c>
      <c r="J10" s="16">
        <f t="shared" si="0"/>
        <v>0</v>
      </c>
      <c r="K10" s="34" t="s">
        <v>202</v>
      </c>
    </row>
    <row r="11" spans="1:11" ht="15.75" thickBot="1" x14ac:dyDescent="0.3">
      <c r="A11" s="173" t="s">
        <v>208</v>
      </c>
      <c r="B11" s="202"/>
      <c r="C11" s="43">
        <v>6</v>
      </c>
      <c r="E11" s="14" t="str">
        <f>VLOOKUP(VLOOKUP(B1,Character_List,5,FALSE),Common_Mob_Drops,2,FALSE)</f>
        <v>Fungal Spores</v>
      </c>
      <c r="F11" s="17">
        <f>VLOOKUP(F5,Required_Talent_Materials,7,FALSE)-VLOOKUP(F4,Required_Talent_Materials,7,FALSE)</f>
        <v>0</v>
      </c>
      <c r="H11" s="184" t="s">
        <v>207</v>
      </c>
      <c r="I11" s="2" t="str">
        <f>B17</f>
        <v>Fungal Spores</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85"/>
      <c r="I12" s="1" t="str">
        <f>B18</f>
        <v>Luminescent Pollen</v>
      </c>
      <c r="J12" s="17">
        <f>SUM(C18,F12,F25,F38)</f>
        <v>0</v>
      </c>
      <c r="K12" s="34" t="s">
        <v>202</v>
      </c>
    </row>
    <row r="13" spans="1:11" ht="15.75" thickBot="1" x14ac:dyDescent="0.3">
      <c r="A13" s="182"/>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86"/>
      <c r="I13" s="9" t="str">
        <f>B19</f>
        <v>Crystalline Cyst Dust</v>
      </c>
      <c r="J13" s="16">
        <f>SUM(C19,F13,F26,F39)</f>
        <v>0</v>
      </c>
      <c r="K13" s="34" t="s">
        <v>202</v>
      </c>
    </row>
    <row r="14" spans="1:11" ht="15.75" thickBot="1" x14ac:dyDescent="0.3">
      <c r="A14" s="182"/>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Kalpalata Lotus</v>
      </c>
      <c r="J14" s="24">
        <f>C20</f>
        <v>0</v>
      </c>
      <c r="K14" s="34" t="s">
        <v>202</v>
      </c>
    </row>
    <row r="15" spans="1:11" ht="15.75" thickBot="1" x14ac:dyDescent="0.3">
      <c r="A15" s="182"/>
      <c r="B15" s="1" t="str">
        <f>_xlfn.CONCAT(VLOOKUP(VLOOKUP(B1,Character_List,2,FALSE),Boss_Mob_Drops,2,FALSE), " Gemstone")</f>
        <v>Nagadus Emerald Gemstone</v>
      </c>
      <c r="C15" s="17">
        <f>VLOOKUP(C11,Required_Ascension_Materials,5,FALSE)-VLOOKUP(C10,Required_Ascension_Materials,5,FALSE)</f>
        <v>0</v>
      </c>
      <c r="H15" s="184" t="s">
        <v>216</v>
      </c>
      <c r="I15" s="2" t="str">
        <f>E6</f>
        <v>Teachings of Ingenuity</v>
      </c>
      <c r="J15" s="15">
        <f>SUM(F6,F19,F32)</f>
        <v>0</v>
      </c>
      <c r="K15" s="34" t="s">
        <v>202</v>
      </c>
    </row>
    <row r="16" spans="1:11" ht="15.75" thickBot="1" x14ac:dyDescent="0.3">
      <c r="A16" s="183"/>
      <c r="B16" s="9" t="str">
        <f>VLOOKUP(B1,Character_List,4,FALSE)</f>
        <v>Quelled Creeper</v>
      </c>
      <c r="C16" s="16">
        <f>VLOOKUP(C11,Required_Ascension_Materials,6,FALSE)-VLOOKUP(C10,Required_Ascension_Materials,6,FALSE)</f>
        <v>0</v>
      </c>
      <c r="E16" s="171" t="s">
        <v>151</v>
      </c>
      <c r="F16" s="172"/>
      <c r="H16" s="185"/>
      <c r="I16" s="1" t="str">
        <f>E7</f>
        <v>Guide to Ingenuity</v>
      </c>
      <c r="J16" s="17">
        <f>SUM(F7,F20,F33)</f>
        <v>0</v>
      </c>
      <c r="K16" s="34" t="s">
        <v>202</v>
      </c>
    </row>
    <row r="17" spans="1:11" ht="15.75" thickBot="1" x14ac:dyDescent="0.3">
      <c r="A17" s="184" t="s">
        <v>207</v>
      </c>
      <c r="B17" s="2" t="str">
        <f>VLOOKUP(VLOOKUP(B1,Character_List,5,FALSE),Common_Mob_Drops,2,FALSE)</f>
        <v>Fungal Spores</v>
      </c>
      <c r="C17" s="15">
        <f>VLOOKUP(C11,Required_Ascension_Materials,7,FALSE)-VLOOKUP(C10,Required_Ascension_Materials,7,FALSE)</f>
        <v>0</v>
      </c>
      <c r="E17" s="12" t="s">
        <v>200</v>
      </c>
      <c r="F17" s="28">
        <v>9</v>
      </c>
      <c r="H17" s="186"/>
      <c r="I17" s="9" t="str">
        <f>E8</f>
        <v>Philosophies of Ingenuity</v>
      </c>
      <c r="J17" s="16">
        <f>SUM(F8,F21,F34)</f>
        <v>0</v>
      </c>
      <c r="K17" s="34" t="s">
        <v>202</v>
      </c>
    </row>
    <row r="18" spans="1:11" ht="15.75" thickBot="1" x14ac:dyDescent="0.3">
      <c r="A18" s="185"/>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Puppet Strings</v>
      </c>
      <c r="J18" s="24">
        <f>SUM(F9,F22,F35)</f>
        <v>0</v>
      </c>
      <c r="K18" s="34" t="s">
        <v>202</v>
      </c>
    </row>
    <row r="19" spans="1:11" ht="15.75" thickBot="1" x14ac:dyDescent="0.3">
      <c r="A19" s="186"/>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Kalpalata Lotus</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Puppet Strings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Puppet Strings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42" priority="1" operator="containsText" text="Done">
      <formula>NOT(ISERROR(SEARCH("Done",K4)))</formula>
    </cfRule>
    <cfRule type="containsText" dxfId="541" priority="2" operator="containsText" text="In Progress">
      <formula>NOT(ISERROR(SEARCH("In Progress",K4)))</formula>
    </cfRule>
  </conditionalFormatting>
  <dataValidations count="5">
    <dataValidation type="list" allowBlank="1" showInputMessage="1" showErrorMessage="1" sqref="C10:C11" xr:uid="{C56CF4BF-61D0-458E-8D84-86EB4619DF8E}">
      <formula1>"0,1,2,3,4,5,6"</formula1>
    </dataValidation>
    <dataValidation type="list" allowBlank="1" showInputMessage="1" showErrorMessage="1" sqref="K4:K19" xr:uid="{762B4E58-3D5A-421B-A70B-0086CEF23289}">
      <formula1>"In Progress, Done"</formula1>
    </dataValidation>
    <dataValidation type="list" allowBlank="1" showInputMessage="1" showErrorMessage="1" sqref="B1" xr:uid="{2B42E34D-2C48-4C5C-9E0C-11F86FB6E11B}">
      <formula1>Character_Name_List</formula1>
    </dataValidation>
    <dataValidation type="list" allowBlank="1" showInputMessage="1" showErrorMessage="1" sqref="F4:F5 F17:F18 F30:F31" xr:uid="{E76EEAC2-F53F-4700-A36A-FCEC9846DDB3}">
      <formula1>"1,2,3,4,5,6,7,8,9,10"</formula1>
    </dataValidation>
    <dataValidation type="list" operator="equal" allowBlank="1" showInputMessage="1" showErrorMessage="1" sqref="B4:B5" xr:uid="{62260EE0-95F6-4F9E-A20F-0B0A03A4E0C2}">
      <formula1>"1,20,40,50,60,70,80,90"</formula1>
    </dataValidation>
  </dataValidation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62621-4A6F-4D1B-A787-5161EB854795}">
  <sheetPr codeName="Sheet219">
    <tabColor theme="9" tint="0.59999389629810485"/>
  </sheetPr>
  <dimension ref="A1:K40"/>
  <sheetViews>
    <sheetView workbookViewId="0">
      <selection activeCell="K22" sqref="K2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274</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Mirror of Mushin</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Perpetual Caliber</v>
      </c>
      <c r="J10" s="16">
        <f t="shared" si="0"/>
        <v>0</v>
      </c>
      <c r="K10" s="34" t="s">
        <v>202</v>
      </c>
    </row>
    <row r="11" spans="1:11" ht="15.75" thickBot="1" x14ac:dyDescent="0.3">
      <c r="A11" s="173" t="s">
        <v>208</v>
      </c>
      <c r="B11" s="202"/>
      <c r="C11" s="43">
        <v>6</v>
      </c>
      <c r="E11" s="14" t="str">
        <f>VLOOKUP(VLOOKUP(B1,Character_List,5,FALSE),Common_Mob_Drops,2,FALSE)</f>
        <v>Divining Scroll</v>
      </c>
      <c r="F11" s="17">
        <f>VLOOKUP(F5,Required_Talent_Materials,7,FALSE)-VLOOKUP(F4,Required_Talent_Materials,7,FALSE)</f>
        <v>0</v>
      </c>
      <c r="H11" s="184" t="s">
        <v>207</v>
      </c>
      <c r="I11" s="2" t="str">
        <f>B17</f>
        <v>Divining Scroll</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5"/>
      <c r="I12" s="1" t="str">
        <f>B18</f>
        <v>Sealed Scroll</v>
      </c>
      <c r="J12" s="17">
        <f>SUM(C18,F12,F25,F38)</f>
        <v>0</v>
      </c>
      <c r="K12" s="34" t="s">
        <v>202</v>
      </c>
    </row>
    <row r="13" spans="1:11" ht="15.75" thickBot="1" x14ac:dyDescent="0.3">
      <c r="A13" s="182"/>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6"/>
      <c r="I13" s="9" t="str">
        <f>B19</f>
        <v>Forbidden Scroll</v>
      </c>
      <c r="J13" s="16">
        <f>SUM(C19,F13,F26,F39)</f>
        <v>0</v>
      </c>
      <c r="K13" s="34" t="s">
        <v>202</v>
      </c>
    </row>
    <row r="14" spans="1:11" ht="15.75" thickBot="1" x14ac:dyDescent="0.3">
      <c r="A14" s="182"/>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Nilotpala Lotus</v>
      </c>
      <c r="J14" s="24">
        <f>C20</f>
        <v>0</v>
      </c>
      <c r="K14" s="34" t="s">
        <v>202</v>
      </c>
    </row>
    <row r="15" spans="1:11" ht="15.75" thickBot="1" x14ac:dyDescent="0.3">
      <c r="A15" s="182"/>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Ingenuity</v>
      </c>
      <c r="J15" s="15">
        <f>SUM(F6,F19,F32)</f>
        <v>0</v>
      </c>
      <c r="K15" s="34" t="s">
        <v>202</v>
      </c>
    </row>
    <row r="16" spans="1:11" ht="15.75" thickBot="1" x14ac:dyDescent="0.3">
      <c r="A16" s="183"/>
      <c r="B16" s="9" t="str">
        <f>VLOOKUP(B1,Character_List,4,FALSE)</f>
        <v>Perpetual Caliber</v>
      </c>
      <c r="C16" s="16">
        <f>VLOOKUP(C11,Required_Ascension_Materials,6,FALSE)-VLOOKUP(C10,Required_Ascension_Materials,6,FALSE)</f>
        <v>0</v>
      </c>
      <c r="E16" s="171" t="s">
        <v>151</v>
      </c>
      <c r="F16" s="172"/>
      <c r="H16" s="185"/>
      <c r="I16" s="1" t="str">
        <f>E7</f>
        <v>Guide to Ingenuity</v>
      </c>
      <c r="J16" s="17">
        <f>SUM(F7,F20,F33)</f>
        <v>0</v>
      </c>
      <c r="K16" s="34" t="s">
        <v>202</v>
      </c>
    </row>
    <row r="17" spans="1:11" ht="15.75" thickBot="1" x14ac:dyDescent="0.3">
      <c r="A17" s="184" t="s">
        <v>207</v>
      </c>
      <c r="B17" s="2" t="str">
        <f>VLOOKUP(VLOOKUP(B1,Character_List,5,FALSE),Common_Mob_Drops,2,FALSE)</f>
        <v>Divining Scroll</v>
      </c>
      <c r="C17" s="15">
        <f>VLOOKUP(C11,Required_Ascension_Materials,7,FALSE)-VLOOKUP(C10,Required_Ascension_Materials,7,FALSE)</f>
        <v>0</v>
      </c>
      <c r="E17" s="12" t="s">
        <v>200</v>
      </c>
      <c r="F17" s="28">
        <v>9</v>
      </c>
      <c r="H17" s="186"/>
      <c r="I17" s="9" t="str">
        <f>E8</f>
        <v>Philosophies of Ingenuity</v>
      </c>
      <c r="J17" s="16">
        <f>SUM(F8,F21,F34)</f>
        <v>0</v>
      </c>
      <c r="K17" s="34" t="s">
        <v>202</v>
      </c>
    </row>
    <row r="18" spans="1:11" ht="15.75" thickBot="1" x14ac:dyDescent="0.3">
      <c r="A18" s="185"/>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86"/>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Nilotpala Lotus</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40" priority="1" operator="containsText" text="Done">
      <formula>NOT(ISERROR(SEARCH("Done",K4)))</formula>
    </cfRule>
    <cfRule type="containsText" dxfId="539" priority="2" operator="containsText" text="In Progress">
      <formula>NOT(ISERROR(SEARCH("In Progress",K4)))</formula>
    </cfRule>
  </conditionalFormatting>
  <dataValidations count="5">
    <dataValidation type="list" allowBlank="1" showInputMessage="1" showErrorMessage="1" sqref="C10:C11" xr:uid="{F27C3820-B703-4E0A-BD15-8836B47EEED7}">
      <formula1>"0,1,2,3,4,5,6"</formula1>
    </dataValidation>
    <dataValidation type="list" allowBlank="1" showInputMessage="1" showErrorMessage="1" sqref="K4:K19" xr:uid="{BC7C0610-696C-4EAD-9B5A-23C73CA92A31}">
      <formula1>"In Progress, Done"</formula1>
    </dataValidation>
    <dataValidation type="list" allowBlank="1" showInputMessage="1" showErrorMessage="1" sqref="B1" xr:uid="{E075E27D-90C3-4739-AEC1-4C3204BC765D}">
      <formula1>Character_Name_List</formula1>
    </dataValidation>
    <dataValidation type="list" allowBlank="1" showInputMessage="1" showErrorMessage="1" sqref="F4:F5 F17:F18 F30:F31" xr:uid="{52A91E42-4D49-4581-93DE-C440EC25CC97}">
      <formula1>"1,2,3,4,5,6,7,8,9,10"</formula1>
    </dataValidation>
    <dataValidation type="list" operator="equal" allowBlank="1" showInputMessage="1" showErrorMessage="1" sqref="B4:B5" xr:uid="{1A6AA656-DD69-43A8-B144-024AA65D0691}">
      <formula1>"1,20,40,50,60,70,80,90"</formula1>
    </dataValidation>
  </dataValidation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77970-66EA-429E-BC8A-167665848DC2}">
  <sheetPr codeName="Sheet220">
    <tabColor theme="9" tint="0.59999389629810485"/>
  </sheetPr>
  <dimension ref="A1:K40"/>
  <sheetViews>
    <sheetView workbookViewId="0">
      <selection activeCell="N18" sqref="N18"/>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275</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84"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85"/>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85"/>
      <c r="I8" s="1" t="str">
        <f t="shared" si="0"/>
        <v>Vayuda Turquoise Chunk</v>
      </c>
      <c r="J8" s="17">
        <f t="shared" si="0"/>
        <v>0</v>
      </c>
      <c r="K8" s="34" t="s">
        <v>202</v>
      </c>
    </row>
    <row r="9" spans="1:11" ht="15.75" thickBot="1" x14ac:dyDescent="0.3">
      <c r="A9" s="171" t="s">
        <v>149</v>
      </c>
      <c r="B9" s="231"/>
      <c r="C9" s="172"/>
      <c r="E9" s="14" t="str">
        <f>VLOOKUP(VLOOKUP(B1,Character_List,8,FALSE),Weekly_Boss_Mats,2,FALSE)</f>
        <v>Daka's Bell</v>
      </c>
      <c r="F9" s="17">
        <f>VLOOKUP(F5,Required_Talent_Materials,5,FALSE)-VLOOKUP(F4,Required_Talent_Materials,5,FALSE)</f>
        <v>0</v>
      </c>
      <c r="H9" s="185"/>
      <c r="I9" s="1" t="str">
        <f t="shared" si="0"/>
        <v>Vayuda Turquoise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Perpetual Caliber</v>
      </c>
      <c r="J10" s="16">
        <f t="shared" si="0"/>
        <v>0</v>
      </c>
      <c r="K10" s="34" t="s">
        <v>202</v>
      </c>
    </row>
    <row r="11" spans="1:11" ht="15.75" thickBot="1" x14ac:dyDescent="0.3">
      <c r="A11" s="173" t="s">
        <v>208</v>
      </c>
      <c r="B11" s="202"/>
      <c r="C11" s="43">
        <v>6</v>
      </c>
      <c r="E11" s="14" t="str">
        <f>VLOOKUP(VLOOKUP(B1,Character_List,5,FALSE),Common_Mob_Drops,2,FALSE)</f>
        <v>Old Nobushi</v>
      </c>
      <c r="F11" s="17">
        <f>VLOOKUP(F5,Required_Talent_Materials,7,FALSE)-VLOOKUP(F4,Required_Talent_Materials,7,FALSE)</f>
        <v>0</v>
      </c>
      <c r="H11" s="184" t="s">
        <v>207</v>
      </c>
      <c r="I11" s="2" t="str">
        <f>B17</f>
        <v>Old Nobushi</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85"/>
      <c r="I12" s="1" t="str">
        <f>B18</f>
        <v>Kageuchi Nobushi</v>
      </c>
      <c r="J12" s="17">
        <f>SUM(C18,F12,F25,F38)</f>
        <v>0</v>
      </c>
      <c r="K12" s="34" t="s">
        <v>202</v>
      </c>
    </row>
    <row r="13" spans="1:11" ht="15.75" thickBot="1" x14ac:dyDescent="0.3">
      <c r="A13" s="182"/>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86"/>
      <c r="I13" s="9" t="str">
        <f>B19</f>
        <v>Famed Nobushi</v>
      </c>
      <c r="J13" s="16">
        <f>SUM(C19,F13,F26,F39)</f>
        <v>0</v>
      </c>
      <c r="K13" s="34" t="s">
        <v>202</v>
      </c>
    </row>
    <row r="14" spans="1:11" ht="15.75" thickBot="1" x14ac:dyDescent="0.3">
      <c r="A14" s="182"/>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Rukkhashava Mushrooms</v>
      </c>
      <c r="J14" s="24">
        <f>C20</f>
        <v>0</v>
      </c>
      <c r="K14" s="34" t="s">
        <v>202</v>
      </c>
    </row>
    <row r="15" spans="1:11" ht="15.75" thickBot="1" x14ac:dyDescent="0.3">
      <c r="A15" s="182"/>
      <c r="B15" s="1" t="str">
        <f>_xlfn.CONCAT(VLOOKUP(VLOOKUP(B1,Character_List,2,FALSE),Boss_Mob_Drops,2,FALSE), " Gemstone")</f>
        <v>Vayuda Turquoise Gemstone</v>
      </c>
      <c r="C15" s="17">
        <f>VLOOKUP(C11,Required_Ascension_Materials,5,FALSE)-VLOOKUP(C10,Required_Ascension_Materials,5,FALSE)</f>
        <v>0</v>
      </c>
      <c r="H15" s="184" t="s">
        <v>216</v>
      </c>
      <c r="I15" s="2" t="str">
        <f>E6</f>
        <v>Teachings of Praxis</v>
      </c>
      <c r="J15" s="15">
        <f>SUM(F6,F19,F32)</f>
        <v>0</v>
      </c>
      <c r="K15" s="34" t="s">
        <v>202</v>
      </c>
    </row>
    <row r="16" spans="1:11" ht="15.75" thickBot="1" x14ac:dyDescent="0.3">
      <c r="A16" s="183"/>
      <c r="B16" s="9" t="str">
        <f>VLOOKUP(B1,Character_List,4,FALSE)</f>
        <v>Perpetual Caliber</v>
      </c>
      <c r="C16" s="16">
        <f>VLOOKUP(C11,Required_Ascension_Materials,6,FALSE)-VLOOKUP(C10,Required_Ascension_Materials,6,FALSE)</f>
        <v>0</v>
      </c>
      <c r="E16" s="171" t="s">
        <v>151</v>
      </c>
      <c r="F16" s="172"/>
      <c r="H16" s="185"/>
      <c r="I16" s="1" t="str">
        <f>E7</f>
        <v>Guide to Praxis</v>
      </c>
      <c r="J16" s="17">
        <f>SUM(F7,F20,F33)</f>
        <v>0</v>
      </c>
      <c r="K16" s="34" t="s">
        <v>202</v>
      </c>
    </row>
    <row r="17" spans="1:11" ht="15.75" thickBot="1" x14ac:dyDescent="0.3">
      <c r="A17" s="184" t="s">
        <v>207</v>
      </c>
      <c r="B17" s="2" t="str">
        <f>VLOOKUP(VLOOKUP(B1,Character_List,5,FALSE),Common_Mob_Drops,2,FALSE)</f>
        <v>Old Nobushi</v>
      </c>
      <c r="C17" s="15">
        <f>VLOOKUP(C11,Required_Ascension_Materials,7,FALSE)-VLOOKUP(C10,Required_Ascension_Materials,7,FALSE)</f>
        <v>0</v>
      </c>
      <c r="E17" s="12" t="s">
        <v>200</v>
      </c>
      <c r="F17" s="28">
        <v>9</v>
      </c>
      <c r="H17" s="186"/>
      <c r="I17" s="9" t="str">
        <f>E8</f>
        <v>Philosophies of Praxis</v>
      </c>
      <c r="J17" s="16">
        <f>SUM(F8,F21,F34)</f>
        <v>0</v>
      </c>
      <c r="K17" s="34" t="s">
        <v>202</v>
      </c>
    </row>
    <row r="18" spans="1:11" ht="15.75" thickBot="1" x14ac:dyDescent="0.3">
      <c r="A18" s="185"/>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Daka's Bell</v>
      </c>
      <c r="J18" s="24">
        <f>SUM(F9,F22,F35)</f>
        <v>0</v>
      </c>
      <c r="K18" s="34" t="s">
        <v>202</v>
      </c>
    </row>
    <row r="19" spans="1:11" ht="15.75" thickBot="1" x14ac:dyDescent="0.3">
      <c r="A19" s="186"/>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Rukkhashava Mushrooms</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Daka's Bell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Daka's Bell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38" priority="1" operator="containsText" text="Done">
      <formula>NOT(ISERROR(SEARCH("Done",K4)))</formula>
    </cfRule>
    <cfRule type="containsText" dxfId="537" priority="2" operator="containsText" text="In Progress">
      <formula>NOT(ISERROR(SEARCH("In Progress",K4)))</formula>
    </cfRule>
  </conditionalFormatting>
  <dataValidations count="5">
    <dataValidation type="list" allowBlank="1" showInputMessage="1" showErrorMessage="1" sqref="C10:C11" xr:uid="{D16D9A39-37CA-48E1-A2DE-ADF3CFDFC6B5}">
      <formula1>"0,1,2,3,4,5,6"</formula1>
    </dataValidation>
    <dataValidation type="list" allowBlank="1" showInputMessage="1" showErrorMessage="1" sqref="K4:K19" xr:uid="{9D0FCC50-4309-41B2-B15B-E082AB996D5A}">
      <formula1>"In Progress, Done"</formula1>
    </dataValidation>
    <dataValidation type="list" allowBlank="1" showInputMessage="1" showErrorMessage="1" sqref="B1" xr:uid="{6CE5D437-20CF-465C-BCE0-FB30068BDD58}">
      <formula1>Character_Name_List</formula1>
    </dataValidation>
    <dataValidation type="list" allowBlank="1" showInputMessage="1" showErrorMessage="1" sqref="F4:F5 F17:F18 F30:F31" xr:uid="{333E8AB9-2B63-4C2F-AEBE-FDC5B6970877}">
      <formula1>"1,2,3,4,5,6,7,8,9,10"</formula1>
    </dataValidation>
    <dataValidation type="list" operator="equal" allowBlank="1" showInputMessage="1" showErrorMessage="1" sqref="B4:B5" xr:uid="{3D36AD98-00E3-4AE5-83C3-AEF192D68588}">
      <formula1>"1,20,40,50,60,70,80,90"</formula1>
    </dataValidation>
  </dataValidation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BED47-1ADE-4DA4-81FF-8CB051CAD61F}">
  <sheetPr codeName="Sheet221">
    <tabColor theme="9" tint="0.59999389629810485"/>
  </sheetPr>
  <dimension ref="A1:K40"/>
  <sheetViews>
    <sheetView workbookViewId="0">
      <selection activeCell="M22" sqref="M2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276</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84"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85"/>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85"/>
      <c r="I8" s="1" t="str">
        <f t="shared" si="0"/>
        <v>Vayuda Turquoise Chunk</v>
      </c>
      <c r="J8" s="17">
        <f t="shared" si="0"/>
        <v>0</v>
      </c>
      <c r="K8" s="34" t="s">
        <v>202</v>
      </c>
    </row>
    <row r="9" spans="1:11" ht="15.75" thickBot="1" x14ac:dyDescent="0.3">
      <c r="A9" s="171" t="s">
        <v>149</v>
      </c>
      <c r="B9" s="231"/>
      <c r="C9" s="172"/>
      <c r="E9" s="14" t="str">
        <f>VLOOKUP(VLOOKUP(B1,Character_List,8,FALSE),Weekly_Boss_Mats,2,FALSE)</f>
        <v>Puppet Strings</v>
      </c>
      <c r="F9" s="17">
        <f>VLOOKUP(F5,Required_Talent_Materials,5,FALSE)-VLOOKUP(F4,Required_Talent_Materials,5,FALSE)</f>
        <v>0</v>
      </c>
      <c r="H9" s="185"/>
      <c r="I9" s="1" t="str">
        <f t="shared" si="0"/>
        <v>Vayuda Turquoise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Light Guiding Tetrahedron</v>
      </c>
      <c r="J10" s="16">
        <f t="shared" si="0"/>
        <v>0</v>
      </c>
      <c r="K10" s="34" t="s">
        <v>202</v>
      </c>
    </row>
    <row r="11" spans="1:11" ht="15.75" thickBot="1" x14ac:dyDescent="0.3">
      <c r="A11" s="173" t="s">
        <v>208</v>
      </c>
      <c r="B11" s="202"/>
      <c r="C11" s="43">
        <v>6</v>
      </c>
      <c r="E11" s="14" t="str">
        <f>VLOOKUP(VLOOKUP(B1,Character_List,5,FALSE),Common_Mob_Drops,2,FALSE)</f>
        <v>Faded Red Satin</v>
      </c>
      <c r="F11" s="17">
        <f>VLOOKUP(F5,Required_Talent_Materials,7,FALSE)-VLOOKUP(F4,Required_Talent_Materials,7,FALSE)</f>
        <v>0</v>
      </c>
      <c r="H11" s="184" t="s">
        <v>207</v>
      </c>
      <c r="I11" s="2" t="str">
        <f>B17</f>
        <v>Faded Red Satin</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85"/>
      <c r="I12" s="1" t="str">
        <f>B18</f>
        <v>Trimmed Red Silk</v>
      </c>
      <c r="J12" s="17">
        <f>SUM(C18,F12,F25,F38)</f>
        <v>0</v>
      </c>
      <c r="K12" s="34" t="s">
        <v>202</v>
      </c>
    </row>
    <row r="13" spans="1:11" ht="15.75" thickBot="1" x14ac:dyDescent="0.3">
      <c r="A13" s="182"/>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86"/>
      <c r="I13" s="9" t="str">
        <f>B19</f>
        <v>Rich Red Brocade</v>
      </c>
      <c r="J13" s="16">
        <f>SUM(C19,F13,F26,F39)</f>
        <v>0</v>
      </c>
      <c r="K13" s="34" t="s">
        <v>202</v>
      </c>
    </row>
    <row r="14" spans="1:11" ht="15.75" thickBot="1" x14ac:dyDescent="0.3">
      <c r="A14" s="182"/>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Henna Berry</v>
      </c>
      <c r="J14" s="24">
        <f>C20</f>
        <v>0</v>
      </c>
      <c r="K14" s="34" t="s">
        <v>202</v>
      </c>
    </row>
    <row r="15" spans="1:11" ht="15.75" thickBot="1" x14ac:dyDescent="0.3">
      <c r="A15" s="182"/>
      <c r="B15" s="1" t="str">
        <f>_xlfn.CONCAT(VLOOKUP(VLOOKUP(B1,Character_List,2,FALSE),Boss_Mob_Drops,2,FALSE), " Gemstone")</f>
        <v>Vayuda Turquoise Gemstone</v>
      </c>
      <c r="C15" s="17">
        <f>VLOOKUP(C11,Required_Ascension_Materials,5,FALSE)-VLOOKUP(C10,Required_Ascension_Materials,5,FALSE)</f>
        <v>0</v>
      </c>
      <c r="H15" s="184" t="s">
        <v>216</v>
      </c>
      <c r="I15" s="2" t="str">
        <f>E6</f>
        <v>Teachings of Admonition</v>
      </c>
      <c r="J15" s="15">
        <f>SUM(F6,F19,F32)</f>
        <v>0</v>
      </c>
      <c r="K15" s="34" t="s">
        <v>202</v>
      </c>
    </row>
    <row r="16" spans="1:11" ht="15.75" thickBot="1" x14ac:dyDescent="0.3">
      <c r="A16" s="183"/>
      <c r="B16" s="9" t="str">
        <f>VLOOKUP(B1,Character_List,4,FALSE)</f>
        <v>Light Guiding Tetrahedron</v>
      </c>
      <c r="C16" s="16">
        <f>VLOOKUP(C11,Required_Ascension_Materials,6,FALSE)-VLOOKUP(C10,Required_Ascension_Materials,6,FALSE)</f>
        <v>0</v>
      </c>
      <c r="E16" s="171" t="s">
        <v>151</v>
      </c>
      <c r="F16" s="172"/>
      <c r="H16" s="185"/>
      <c r="I16" s="1" t="str">
        <f>E7</f>
        <v>Guide to Admonition</v>
      </c>
      <c r="J16" s="17">
        <f>SUM(F7,F20,F33)</f>
        <v>0</v>
      </c>
      <c r="K16" s="34" t="s">
        <v>202</v>
      </c>
    </row>
    <row r="17" spans="1:11" ht="15.75" thickBot="1" x14ac:dyDescent="0.3">
      <c r="A17" s="184" t="s">
        <v>207</v>
      </c>
      <c r="B17" s="2" t="str">
        <f>VLOOKUP(VLOOKUP(B1,Character_List,5,FALSE),Common_Mob_Drops,2,FALSE)</f>
        <v>Faded Red Satin</v>
      </c>
      <c r="C17" s="15">
        <f>VLOOKUP(C11,Required_Ascension_Materials,7,FALSE)-VLOOKUP(C10,Required_Ascension_Materials,7,FALSE)</f>
        <v>0</v>
      </c>
      <c r="E17" s="12" t="s">
        <v>200</v>
      </c>
      <c r="F17" s="28">
        <v>9</v>
      </c>
      <c r="H17" s="186"/>
      <c r="I17" s="9" t="str">
        <f>E8</f>
        <v>Philosophies of Admonition</v>
      </c>
      <c r="J17" s="16">
        <f>SUM(F8,F21,F34)</f>
        <v>0</v>
      </c>
      <c r="K17" s="34" t="s">
        <v>202</v>
      </c>
    </row>
    <row r="18" spans="1:11" ht="15.75" thickBot="1" x14ac:dyDescent="0.3">
      <c r="A18" s="185"/>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Puppet Strings</v>
      </c>
      <c r="J18" s="24">
        <f>SUM(F9,F22,F35)</f>
        <v>0</v>
      </c>
      <c r="K18" s="34" t="s">
        <v>202</v>
      </c>
    </row>
    <row r="19" spans="1:11" ht="15.75" thickBot="1" x14ac:dyDescent="0.3">
      <c r="A19" s="186"/>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Henna Berry</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Puppet Strings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Puppet Strings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36" priority="1" operator="containsText" text="Done">
      <formula>NOT(ISERROR(SEARCH("Done",K4)))</formula>
    </cfRule>
    <cfRule type="containsText" dxfId="535" priority="2" operator="containsText" text="In Progress">
      <formula>NOT(ISERROR(SEARCH("In Progress",K4)))</formula>
    </cfRule>
  </conditionalFormatting>
  <dataValidations count="5">
    <dataValidation type="list" operator="equal" allowBlank="1" showInputMessage="1" showErrorMessage="1" sqref="B4:B5" xr:uid="{9D6F43E5-62DB-4CD2-A2EB-CE85C4171A7F}">
      <formula1>"1,20,40,50,60,70,80,90"</formula1>
    </dataValidation>
    <dataValidation type="list" allowBlank="1" showInputMessage="1" showErrorMessage="1" sqref="F4:F5 F17:F18 F30:F31" xr:uid="{67780FF2-6DAD-4AC7-AB75-0FD0FAAB41AA}">
      <formula1>"1,2,3,4,5,6,7,8,9,10"</formula1>
    </dataValidation>
    <dataValidation type="list" allowBlank="1" showInputMessage="1" showErrorMessage="1" sqref="B1" xr:uid="{EF071492-D8AC-4A31-999C-30E5588BC131}">
      <formula1>Character_Name_List</formula1>
    </dataValidation>
    <dataValidation type="list" allowBlank="1" showInputMessage="1" showErrorMessage="1" sqref="K4:K19" xr:uid="{7FA0C0E7-6359-47F9-9AA9-9EB86ED2ACDE}">
      <formula1>"In Progress, Done"</formula1>
    </dataValidation>
    <dataValidation type="list" allowBlank="1" showInputMessage="1" showErrorMessage="1" sqref="C10:C11" xr:uid="{7FDAEB82-BCCC-4890-B049-E227529F6538}">
      <formula1>"0,1,2,3,4,5,6"</formula1>
    </dataValidation>
  </dataValidation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9FCBA-D3EA-4114-AEE9-D3DAEFB14CE0}">
  <sheetPr codeName="Sheet222">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277</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84"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85"/>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85"/>
      <c r="I8" s="1" t="str">
        <f t="shared" si="0"/>
        <v>Nagadus Emerald Chunk</v>
      </c>
      <c r="J8" s="17">
        <f t="shared" si="0"/>
        <v>0</v>
      </c>
      <c r="K8" s="34" t="s">
        <v>202</v>
      </c>
    </row>
    <row r="9" spans="1:11" ht="15.75" thickBot="1" x14ac:dyDescent="0.3">
      <c r="A9" s="171" t="s">
        <v>149</v>
      </c>
      <c r="B9" s="231"/>
      <c r="C9" s="172"/>
      <c r="E9" s="14" t="str">
        <f>VLOOKUP(VLOOKUP(B1,Character_List,8,FALSE),Weekly_Boss_Mats,2,FALSE)</f>
        <v>Mirror of Mushin</v>
      </c>
      <c r="F9" s="17">
        <f>VLOOKUP(F5,Required_Talent_Materials,5,FALSE)-VLOOKUP(F4,Required_Talent_Materials,5,FALSE)</f>
        <v>0</v>
      </c>
      <c r="H9" s="185"/>
      <c r="I9" s="1" t="str">
        <f t="shared" si="0"/>
        <v>Nagadus Emerald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Pseudo-Stamens</v>
      </c>
      <c r="J10" s="16">
        <f t="shared" si="0"/>
        <v>0</v>
      </c>
      <c r="K10" s="34" t="s">
        <v>202</v>
      </c>
    </row>
    <row r="11" spans="1:11" ht="15.75" thickBot="1" x14ac:dyDescent="0.3">
      <c r="A11" s="173" t="s">
        <v>208</v>
      </c>
      <c r="B11" s="202"/>
      <c r="C11" s="43">
        <v>6</v>
      </c>
      <c r="E11" s="14" t="str">
        <f>VLOOKUP(VLOOKUP(B1,Character_List,5,FALSE),Common_Mob_Drops,2,FALSE)</f>
        <v>Faded Red Satin</v>
      </c>
      <c r="F11" s="17">
        <f>VLOOKUP(F5,Required_Talent_Materials,7,FALSE)-VLOOKUP(F4,Required_Talent_Materials,7,FALSE)</f>
        <v>0</v>
      </c>
      <c r="H11" s="184" t="s">
        <v>207</v>
      </c>
      <c r="I11" s="2" t="str">
        <f>B17</f>
        <v>Faded Red Satin</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85"/>
      <c r="I12" s="1" t="str">
        <f>B18</f>
        <v>Trimmed Red Silk</v>
      </c>
      <c r="J12" s="17">
        <f>SUM(C18,F12,F25,F38)</f>
        <v>0</v>
      </c>
      <c r="K12" s="34" t="s">
        <v>202</v>
      </c>
    </row>
    <row r="13" spans="1:11" ht="15.75" thickBot="1" x14ac:dyDescent="0.3">
      <c r="A13" s="182"/>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86"/>
      <c r="I13" s="9" t="str">
        <f>B19</f>
        <v>Rich Red Brocade</v>
      </c>
      <c r="J13" s="16">
        <f>SUM(C19,F13,F26,F39)</f>
        <v>0</v>
      </c>
      <c r="K13" s="34" t="s">
        <v>202</v>
      </c>
    </row>
    <row r="14" spans="1:11" ht="15.75" thickBot="1" x14ac:dyDescent="0.3">
      <c r="A14" s="182"/>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Sand Grease Pupa</v>
      </c>
      <c r="J14" s="24">
        <f>C20</f>
        <v>0</v>
      </c>
      <c r="K14" s="34" t="s">
        <v>202</v>
      </c>
    </row>
    <row r="15" spans="1:11" ht="15.75" thickBot="1" x14ac:dyDescent="0.3">
      <c r="A15" s="182"/>
      <c r="B15" s="1" t="str">
        <f>_xlfn.CONCAT(VLOOKUP(VLOOKUP(B1,Character_List,2,FALSE),Boss_Mob_Drops,2,FALSE), " Gemstone")</f>
        <v>Nagadus Emerald Gemstone</v>
      </c>
      <c r="C15" s="17">
        <f>VLOOKUP(C11,Required_Ascension_Materials,5,FALSE)-VLOOKUP(C10,Required_Ascension_Materials,5,FALSE)</f>
        <v>0</v>
      </c>
      <c r="H15" s="184" t="s">
        <v>216</v>
      </c>
      <c r="I15" s="2" t="str">
        <f>E6</f>
        <v>Teachings of Ingenuity</v>
      </c>
      <c r="J15" s="15">
        <f>SUM(F6,F19,F32)</f>
        <v>0</v>
      </c>
      <c r="K15" s="34" t="s">
        <v>202</v>
      </c>
    </row>
    <row r="16" spans="1:11" ht="15.75" thickBot="1" x14ac:dyDescent="0.3">
      <c r="A16" s="183"/>
      <c r="B16" s="9" t="str">
        <f>VLOOKUP(B1,Character_List,4,FALSE)</f>
        <v>Pseudo-Stamens</v>
      </c>
      <c r="C16" s="16">
        <f>VLOOKUP(C11,Required_Ascension_Materials,6,FALSE)-VLOOKUP(C10,Required_Ascension_Materials,6,FALSE)</f>
        <v>0</v>
      </c>
      <c r="E16" s="171" t="s">
        <v>151</v>
      </c>
      <c r="F16" s="172"/>
      <c r="H16" s="185"/>
      <c r="I16" s="1" t="str">
        <f>E7</f>
        <v>Guide to Ingenuity</v>
      </c>
      <c r="J16" s="17">
        <f>SUM(F7,F20,F33)</f>
        <v>0</v>
      </c>
      <c r="K16" s="34" t="s">
        <v>202</v>
      </c>
    </row>
    <row r="17" spans="1:11" ht="15.75" thickBot="1" x14ac:dyDescent="0.3">
      <c r="A17" s="184" t="s">
        <v>207</v>
      </c>
      <c r="B17" s="2" t="str">
        <f>VLOOKUP(VLOOKUP(B1,Character_List,5,FALSE),Common_Mob_Drops,2,FALSE)</f>
        <v>Faded Red Satin</v>
      </c>
      <c r="C17" s="15">
        <f>VLOOKUP(C11,Required_Ascension_Materials,7,FALSE)-VLOOKUP(C10,Required_Ascension_Materials,7,FALSE)</f>
        <v>0</v>
      </c>
      <c r="E17" s="12" t="s">
        <v>200</v>
      </c>
      <c r="F17" s="28">
        <v>9</v>
      </c>
      <c r="H17" s="186"/>
      <c r="I17" s="9" t="str">
        <f>E8</f>
        <v>Philosophies of Ingenuity</v>
      </c>
      <c r="J17" s="16">
        <f>SUM(F8,F21,F34)</f>
        <v>0</v>
      </c>
      <c r="K17" s="34" t="s">
        <v>202</v>
      </c>
    </row>
    <row r="18" spans="1:11" ht="15.75" thickBot="1" x14ac:dyDescent="0.3">
      <c r="A18" s="185"/>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86"/>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Sand Grease Pupa</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34" priority="1" operator="containsText" text="Done">
      <formula>NOT(ISERROR(SEARCH("Done",K4)))</formula>
    </cfRule>
    <cfRule type="containsText" dxfId="533" priority="2" operator="containsText" text="In Progress">
      <formula>NOT(ISERROR(SEARCH("In Progress",K4)))</formula>
    </cfRule>
  </conditionalFormatting>
  <dataValidations count="5">
    <dataValidation type="list" allowBlank="1" showInputMessage="1" showErrorMessage="1" sqref="C10:C11" xr:uid="{183510F5-8D31-494D-81B0-EA5CA8B87225}">
      <formula1>"0,1,2,3,4,5,6"</formula1>
    </dataValidation>
    <dataValidation type="list" allowBlank="1" showInputMessage="1" showErrorMessage="1" sqref="K4:K19" xr:uid="{C54BCEEA-4313-4BFC-AC42-F7C2C76F75DD}">
      <formula1>"In Progress, Done"</formula1>
    </dataValidation>
    <dataValidation type="list" allowBlank="1" showInputMessage="1" showErrorMessage="1" sqref="B1" xr:uid="{002AB1FB-E3E7-49FA-8B8C-AC32FB28C9FB}">
      <formula1>Character_Name_List</formula1>
    </dataValidation>
    <dataValidation type="list" allowBlank="1" showInputMessage="1" showErrorMessage="1" sqref="F4:F5 F17:F18 F30:F31" xr:uid="{80505378-7ACB-4155-8456-3A05A4CB8004}">
      <formula1>"1,2,3,4,5,6,7,8,9,10"</formula1>
    </dataValidation>
    <dataValidation type="list" operator="equal" allowBlank="1" showInputMessage="1" showErrorMessage="1" sqref="B4:B5" xr:uid="{E17085F2-65FB-49F1-A0B8-38D8BBB82800}">
      <formula1>"1,20,40,50,60,70,80,90"</formula1>
    </dataValidation>
  </dataValidation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C9C1E-2C39-47B3-B2A4-5C0283A444BD}">
  <sheetPr codeName="Sheet223">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278</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4"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5"/>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5"/>
      <c r="I8" s="1" t="str">
        <f t="shared" si="0"/>
        <v>Nagadus Emerald Chunk</v>
      </c>
      <c r="J8" s="17">
        <f t="shared" si="0"/>
        <v>0</v>
      </c>
      <c r="K8" s="34" t="s">
        <v>202</v>
      </c>
    </row>
    <row r="9" spans="1:11" ht="15.75" thickBot="1" x14ac:dyDescent="0.3">
      <c r="A9" s="171" t="s">
        <v>149</v>
      </c>
      <c r="B9" s="231"/>
      <c r="C9" s="172"/>
      <c r="E9" s="14" t="str">
        <f>VLOOKUP(VLOOKUP(B1,Character_List,8,FALSE),Weekly_Boss_Mats,2,FALSE)</f>
        <v>Daka's Bell</v>
      </c>
      <c r="F9" s="17">
        <f>VLOOKUP(F5,Required_Talent_Materials,5,FALSE)-VLOOKUP(F4,Required_Talent_Materials,5,FALSE)</f>
        <v>0</v>
      </c>
      <c r="H9" s="185"/>
      <c r="I9" s="1" t="str">
        <f t="shared" si="0"/>
        <v>Nagadus Emerald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Quelled Creeper</v>
      </c>
      <c r="J10" s="16">
        <f t="shared" si="0"/>
        <v>0</v>
      </c>
      <c r="K10" s="34" t="s">
        <v>202</v>
      </c>
    </row>
    <row r="11" spans="1:11" ht="15.75" thickBot="1" x14ac:dyDescent="0.3">
      <c r="A11" s="173" t="s">
        <v>208</v>
      </c>
      <c r="B11" s="202"/>
      <c r="C11" s="43">
        <v>6</v>
      </c>
      <c r="E11" s="14" t="str">
        <f>VLOOKUP(VLOOKUP(B1,Character_List,5,FALSE),Common_Mob_Drops,2,FALSE)</f>
        <v>Slime Condensate</v>
      </c>
      <c r="F11" s="17">
        <f>VLOOKUP(F5,Required_Talent_Materials,7,FALSE)-VLOOKUP(F4,Required_Talent_Materials,7,FALSE)</f>
        <v>0</v>
      </c>
      <c r="H11" s="184" t="s">
        <v>207</v>
      </c>
      <c r="I11" s="2" t="str">
        <f>B17</f>
        <v>Slime Condensate</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5"/>
      <c r="I12" s="1" t="str">
        <f>B18</f>
        <v>Slime Secretions</v>
      </c>
      <c r="J12" s="17">
        <f>SUM(C18,F12,F25,F38)</f>
        <v>0</v>
      </c>
      <c r="K12" s="34" t="s">
        <v>202</v>
      </c>
    </row>
    <row r="13" spans="1:11" ht="15.75" thickBot="1" x14ac:dyDescent="0.3">
      <c r="A13" s="182"/>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6"/>
      <c r="I13" s="9" t="str">
        <f>B19</f>
        <v>Slime Concentrate</v>
      </c>
      <c r="J13" s="16">
        <f>SUM(C19,F13,F26,F39)</f>
        <v>0</v>
      </c>
      <c r="K13" s="34" t="s">
        <v>202</v>
      </c>
    </row>
    <row r="14" spans="1:11" ht="15.75" thickBot="1" x14ac:dyDescent="0.3">
      <c r="A14" s="182"/>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Jueyun Chili</v>
      </c>
      <c r="J14" s="24">
        <f>C20</f>
        <v>0</v>
      </c>
      <c r="K14" s="34" t="s">
        <v>202</v>
      </c>
    </row>
    <row r="15" spans="1:11" ht="15.75" thickBot="1" x14ac:dyDescent="0.3">
      <c r="A15" s="182"/>
      <c r="B15" s="1" t="str">
        <f>_xlfn.CONCAT(VLOOKUP(VLOOKUP(B1,Character_List,2,FALSE),Boss_Mob_Drops,2,FALSE), " Gemstone")</f>
        <v>Nagadus Emerald Gemstone</v>
      </c>
      <c r="C15" s="17">
        <f>VLOOKUP(C11,Required_Ascension_Materials,5,FALSE)-VLOOKUP(C10,Required_Ascension_Materials,5,FALSE)</f>
        <v>0</v>
      </c>
      <c r="H15" s="184" t="s">
        <v>216</v>
      </c>
      <c r="I15" s="2" t="str">
        <f>E6</f>
        <v>Teachings of Diligence</v>
      </c>
      <c r="J15" s="15">
        <f>SUM(F6,F19,F32)</f>
        <v>0</v>
      </c>
      <c r="K15" s="34" t="s">
        <v>202</v>
      </c>
    </row>
    <row r="16" spans="1:11" ht="15.75" thickBot="1" x14ac:dyDescent="0.3">
      <c r="A16" s="183"/>
      <c r="B16" s="9" t="str">
        <f>VLOOKUP(B1,Character_List,4,FALSE)</f>
        <v>Quelled Creeper</v>
      </c>
      <c r="C16" s="16">
        <f>VLOOKUP(C11,Required_Ascension_Materials,6,FALSE)-VLOOKUP(C10,Required_Ascension_Materials,6,FALSE)</f>
        <v>0</v>
      </c>
      <c r="E16" s="171" t="s">
        <v>151</v>
      </c>
      <c r="F16" s="172"/>
      <c r="H16" s="185"/>
      <c r="I16" s="1" t="str">
        <f>E7</f>
        <v>Guide to Diligence</v>
      </c>
      <c r="J16" s="17">
        <f>SUM(F7,F20,F33)</f>
        <v>0</v>
      </c>
      <c r="K16" s="34" t="s">
        <v>202</v>
      </c>
    </row>
    <row r="17" spans="1:11" ht="15.75" thickBot="1" x14ac:dyDescent="0.3">
      <c r="A17" s="184" t="s">
        <v>207</v>
      </c>
      <c r="B17" s="2" t="str">
        <f>VLOOKUP(VLOOKUP(B1,Character_List,5,FALSE),Common_Mob_Drops,2,FALSE)</f>
        <v>Slime Condensate</v>
      </c>
      <c r="C17" s="15">
        <f>VLOOKUP(C11,Required_Ascension_Materials,7,FALSE)-VLOOKUP(C10,Required_Ascension_Materials,7,FALSE)</f>
        <v>0</v>
      </c>
      <c r="E17" s="12" t="s">
        <v>200</v>
      </c>
      <c r="F17" s="28">
        <v>9</v>
      </c>
      <c r="H17" s="186"/>
      <c r="I17" s="9" t="str">
        <f>E8</f>
        <v>Philosophies of Diligence</v>
      </c>
      <c r="J17" s="16">
        <f>SUM(F8,F21,F34)</f>
        <v>0</v>
      </c>
      <c r="K17" s="34" t="s">
        <v>202</v>
      </c>
    </row>
    <row r="18" spans="1:11" ht="15.75" thickBot="1" x14ac:dyDescent="0.3">
      <c r="A18" s="185"/>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Daka's Bell</v>
      </c>
      <c r="J18" s="24">
        <f>SUM(F9,F22,F35)</f>
        <v>0</v>
      </c>
      <c r="K18" s="34" t="s">
        <v>202</v>
      </c>
    </row>
    <row r="19" spans="1:11" ht="15.75" thickBot="1" x14ac:dyDescent="0.3">
      <c r="A19" s="186"/>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Jueyun Chili</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Daka's Bell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Daka's Bell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32" priority="1" operator="containsText" text="Done">
      <formula>NOT(ISERROR(SEARCH("Done",K4)))</formula>
    </cfRule>
    <cfRule type="containsText" dxfId="531" priority="2" operator="containsText" text="In Progress">
      <formula>NOT(ISERROR(SEARCH("In Progress",K4)))</formula>
    </cfRule>
  </conditionalFormatting>
  <dataValidations count="5">
    <dataValidation type="list" allowBlank="1" showInputMessage="1" showErrorMessage="1" sqref="C10:C11" xr:uid="{B2F961BB-C67D-4914-9349-B0602D8B727F}">
      <formula1>"0,1,2,3,4,5,6"</formula1>
    </dataValidation>
    <dataValidation type="list" allowBlank="1" showInputMessage="1" showErrorMessage="1" sqref="K4:K19" xr:uid="{3EF29A71-D747-41E6-8899-A7B901692F45}">
      <formula1>"In Progress, Done"</formula1>
    </dataValidation>
    <dataValidation type="list" allowBlank="1" showInputMessage="1" showErrorMessage="1" sqref="B1" xr:uid="{003B7857-89E0-4A40-8CCA-003AB544F8FD}">
      <formula1>Character_Name_List</formula1>
    </dataValidation>
    <dataValidation type="list" allowBlank="1" showInputMessage="1" showErrorMessage="1" sqref="F4:F5 F17:F18 F30:F31" xr:uid="{EE3AB873-F7A5-4F1D-87EC-7DDF50CE2DB7}">
      <formula1>"1,2,3,4,5,6,7,8,9,10"</formula1>
    </dataValidation>
    <dataValidation type="list" operator="equal" allowBlank="1" showInputMessage="1" showErrorMessage="1" sqref="B4:B5" xr:uid="{8DAC277B-DAF7-4555-80DD-485B2C060893}">
      <formula1>"1,20,40,50,60,70,80,90"</formula1>
    </dataValidation>
  </dataValidation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0249A3-CA97-4DED-BD27-2598F1777D3B}">
  <sheetPr codeName="Sheet224">
    <tabColor theme="9" tint="0.59999389629810485"/>
  </sheetPr>
  <dimension ref="A1:K40"/>
  <sheetViews>
    <sheetView workbookViewId="0">
      <selection activeCell="M19" sqref="M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279</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Puppet Strings</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Light Guiding Tetrahedron</v>
      </c>
      <c r="J10" s="16">
        <f t="shared" si="0"/>
        <v>0</v>
      </c>
      <c r="K10" s="34" t="s">
        <v>202</v>
      </c>
    </row>
    <row r="11" spans="1:11" ht="15.75" thickBot="1" x14ac:dyDescent="0.3">
      <c r="A11" s="173" t="s">
        <v>208</v>
      </c>
      <c r="B11" s="202"/>
      <c r="C11" s="43">
        <v>6</v>
      </c>
      <c r="E11" s="14" t="str">
        <f>VLOOKUP(VLOOKUP(B1,Character_List,5,FALSE),Common_Mob_Drops,2,FALSE)</f>
        <v>Faded Red Satin</v>
      </c>
      <c r="F11" s="17">
        <f>VLOOKUP(F5,Required_Talent_Materials,7,FALSE)-VLOOKUP(F4,Required_Talent_Materials,7,FALSE)</f>
        <v>0</v>
      </c>
      <c r="H11" s="184" t="s">
        <v>207</v>
      </c>
      <c r="I11" s="2" t="str">
        <f>B17</f>
        <v>Faded Red Satin</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85"/>
      <c r="I12" s="1" t="str">
        <f>B18</f>
        <v>Trimmed Red Silk</v>
      </c>
      <c r="J12" s="17">
        <f>SUM(C18,F12,F25,F38)</f>
        <v>0</v>
      </c>
      <c r="K12" s="34" t="s">
        <v>202</v>
      </c>
    </row>
    <row r="13" spans="1:11" ht="15.75" thickBot="1" x14ac:dyDescent="0.3">
      <c r="A13" s="182"/>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86"/>
      <c r="I13" s="9" t="str">
        <f>B19</f>
        <v>Rich Red Brocade</v>
      </c>
      <c r="J13" s="16">
        <f>SUM(C19,F13,F26,F39)</f>
        <v>0</v>
      </c>
      <c r="K13" s="34" t="s">
        <v>202</v>
      </c>
    </row>
    <row r="14" spans="1:11" ht="15.75" thickBot="1" x14ac:dyDescent="0.3">
      <c r="A14" s="182"/>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Sand Grease Pupa</v>
      </c>
      <c r="J14" s="24">
        <f>C20</f>
        <v>0</v>
      </c>
      <c r="K14" s="34" t="s">
        <v>202</v>
      </c>
    </row>
    <row r="15" spans="1:11" ht="15.75" thickBot="1" x14ac:dyDescent="0.3">
      <c r="A15" s="182"/>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Praxis</v>
      </c>
      <c r="J15" s="15">
        <f>SUM(F6,F19,F32)</f>
        <v>0</v>
      </c>
      <c r="K15" s="34" t="s">
        <v>202</v>
      </c>
    </row>
    <row r="16" spans="1:11" ht="15.75" thickBot="1" x14ac:dyDescent="0.3">
      <c r="A16" s="183"/>
      <c r="B16" s="9" t="str">
        <f>VLOOKUP(B1,Character_List,4,FALSE)</f>
        <v>Light Guiding Tetrahedron</v>
      </c>
      <c r="C16" s="16">
        <f>VLOOKUP(C11,Required_Ascension_Materials,6,FALSE)-VLOOKUP(C10,Required_Ascension_Materials,6,FALSE)</f>
        <v>0</v>
      </c>
      <c r="E16" s="171" t="s">
        <v>151</v>
      </c>
      <c r="F16" s="172"/>
      <c r="H16" s="185"/>
      <c r="I16" s="1" t="str">
        <f>E7</f>
        <v>Guide to Praxis</v>
      </c>
      <c r="J16" s="17">
        <f>SUM(F7,F20,F33)</f>
        <v>0</v>
      </c>
      <c r="K16" s="34" t="s">
        <v>202</v>
      </c>
    </row>
    <row r="17" spans="1:11" ht="15.75" thickBot="1" x14ac:dyDescent="0.3">
      <c r="A17" s="184" t="s">
        <v>207</v>
      </c>
      <c r="B17" s="2" t="str">
        <f>VLOOKUP(VLOOKUP(B1,Character_List,5,FALSE),Common_Mob_Drops,2,FALSE)</f>
        <v>Faded Red Satin</v>
      </c>
      <c r="C17" s="15">
        <f>VLOOKUP(C11,Required_Ascension_Materials,7,FALSE)-VLOOKUP(C10,Required_Ascension_Materials,7,FALSE)</f>
        <v>0</v>
      </c>
      <c r="E17" s="12" t="s">
        <v>200</v>
      </c>
      <c r="F17" s="28">
        <v>9</v>
      </c>
      <c r="H17" s="186"/>
      <c r="I17" s="9" t="str">
        <f>E8</f>
        <v>Philosophies of Praxis</v>
      </c>
      <c r="J17" s="16">
        <f>SUM(F8,F21,F34)</f>
        <v>0</v>
      </c>
      <c r="K17" s="34" t="s">
        <v>202</v>
      </c>
    </row>
    <row r="18" spans="1:11" ht="15.75" thickBot="1" x14ac:dyDescent="0.3">
      <c r="A18" s="185"/>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Puppet Strings</v>
      </c>
      <c r="J18" s="24">
        <f>SUM(F9,F22,F35)</f>
        <v>0</v>
      </c>
      <c r="K18" s="34" t="s">
        <v>202</v>
      </c>
    </row>
    <row r="19" spans="1:11" ht="15.75" thickBot="1" x14ac:dyDescent="0.3">
      <c r="A19" s="186"/>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Sand Grease Pupa</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Puppet Strings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Puppet Strings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30" priority="1" operator="containsText" text="Done">
      <formula>NOT(ISERROR(SEARCH("Done",K4)))</formula>
    </cfRule>
    <cfRule type="containsText" dxfId="529" priority="2" operator="containsText" text="In Progress">
      <formula>NOT(ISERROR(SEARCH("In Progress",K4)))</formula>
    </cfRule>
  </conditionalFormatting>
  <dataValidations count="5">
    <dataValidation type="list" operator="equal" allowBlank="1" showInputMessage="1" showErrorMessage="1" sqref="B4:B5" xr:uid="{018130B7-840D-4E83-A7C8-3ECA49AA3950}">
      <formula1>"1,20,40,50,60,70,80,90"</formula1>
    </dataValidation>
    <dataValidation type="list" allowBlank="1" showInputMessage="1" showErrorMessage="1" sqref="F4:F5 F17:F18 F30:F31" xr:uid="{6A9A2FF0-D870-43AD-9FA7-4ABC5890391A}">
      <formula1>"1,2,3,4,5,6,7,8,9,10"</formula1>
    </dataValidation>
    <dataValidation type="list" allowBlank="1" showInputMessage="1" showErrorMessage="1" sqref="B1" xr:uid="{12890238-E51B-414C-BB38-CF8FE27F64B4}">
      <formula1>Character_Name_List</formula1>
    </dataValidation>
    <dataValidation type="list" allowBlank="1" showInputMessage="1" showErrorMessage="1" sqref="K4:K19" xr:uid="{DCACD13E-B512-47A6-9F1B-9EF3FD62F5E2}">
      <formula1>"In Progress, Done"</formula1>
    </dataValidation>
    <dataValidation type="list" allowBlank="1" showInputMessage="1" showErrorMessage="1" sqref="C10:C11" xr:uid="{4D73F9AC-A1EE-4752-B065-CFE14EEAE465}">
      <formula1>"0,1,2,3,4,5,6"</formula1>
    </dataValidation>
  </dataValidation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062AE-F906-4B68-8D5D-ED9E080EA526}">
  <sheetPr codeName="Sheet225">
    <tabColor theme="9" tint="0.59999389629810485"/>
  </sheetPr>
  <dimension ref="A1:K40"/>
  <sheetViews>
    <sheetView workbookViewId="0">
      <selection activeCell="I24" sqref="I24"/>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280</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Mirror of Mushin</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Pseudo-Stamens</v>
      </c>
      <c r="J10" s="16">
        <f t="shared" si="0"/>
        <v>0</v>
      </c>
      <c r="K10" s="34" t="s">
        <v>202</v>
      </c>
    </row>
    <row r="11" spans="1:11" ht="15.75" thickBot="1" x14ac:dyDescent="0.3">
      <c r="A11" s="173" t="s">
        <v>208</v>
      </c>
      <c r="B11" s="202"/>
      <c r="C11" s="43">
        <v>6</v>
      </c>
      <c r="E11" s="14" t="str">
        <f>VLOOKUP(VLOOKUP(B1,Character_List,5,FALSE),Common_Mob_Drops,2,FALSE)</f>
        <v>Recruit's Insignia</v>
      </c>
      <c r="F11" s="17">
        <f>VLOOKUP(F5,Required_Talent_Materials,7,FALSE)-VLOOKUP(F4,Required_Talent_Materials,7,FALSE)</f>
        <v>0</v>
      </c>
      <c r="H11" s="184" t="s">
        <v>207</v>
      </c>
      <c r="I11" s="2" t="str">
        <f>B17</f>
        <v>Recruit's Insignia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5"/>
      <c r="I12" s="1" t="str">
        <f>B18</f>
        <v>Sergeant's Insignia</v>
      </c>
      <c r="J12" s="17">
        <f>SUM(C18,F12,F25,F38)</f>
        <v>0</v>
      </c>
      <c r="K12" s="34" t="s">
        <v>202</v>
      </c>
    </row>
    <row r="13" spans="1:11" ht="15.75" thickBot="1" x14ac:dyDescent="0.3">
      <c r="A13" s="182"/>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6"/>
      <c r="I13" s="9" t="str">
        <f>B19</f>
        <v>Lieutenant's Insignia</v>
      </c>
      <c r="J13" s="16">
        <f>SUM(C19,F13,F26,F39)</f>
        <v>0</v>
      </c>
      <c r="K13" s="34" t="s">
        <v>202</v>
      </c>
    </row>
    <row r="14" spans="1:11" ht="15.75" thickBot="1" x14ac:dyDescent="0.3">
      <c r="A14" s="182"/>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Wolfhook</v>
      </c>
      <c r="J14" s="24">
        <f>C20</f>
        <v>0</v>
      </c>
      <c r="K14" s="34" t="s">
        <v>202</v>
      </c>
    </row>
    <row r="15" spans="1:11" ht="15.75" thickBot="1" x14ac:dyDescent="0.3">
      <c r="A15" s="182"/>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Ballad</v>
      </c>
      <c r="J15" s="15">
        <f>SUM(F6,F19,F32)</f>
        <v>0</v>
      </c>
      <c r="K15" s="34" t="s">
        <v>202</v>
      </c>
    </row>
    <row r="16" spans="1:11" ht="15.75" thickBot="1" x14ac:dyDescent="0.3">
      <c r="A16" s="183"/>
      <c r="B16" s="9" t="str">
        <f>VLOOKUP(B1,Character_List,4,FALSE)</f>
        <v>Pseudo-Stamens</v>
      </c>
      <c r="C16" s="16">
        <f>VLOOKUP(C11,Required_Ascension_Materials,6,FALSE)-VLOOKUP(C10,Required_Ascension_Materials,6,FALSE)</f>
        <v>0</v>
      </c>
      <c r="E16" s="171" t="s">
        <v>151</v>
      </c>
      <c r="F16" s="172"/>
      <c r="H16" s="185"/>
      <c r="I16" s="1" t="str">
        <f>E7</f>
        <v>Guide to Ballad</v>
      </c>
      <c r="J16" s="17">
        <f>SUM(F7,F20,F33)</f>
        <v>0</v>
      </c>
      <c r="K16" s="34" t="s">
        <v>202</v>
      </c>
    </row>
    <row r="17" spans="1:11" ht="15.75" thickBot="1" x14ac:dyDescent="0.3">
      <c r="A17" s="184" t="s">
        <v>207</v>
      </c>
      <c r="B17" s="2" t="str">
        <f>VLOOKUP(VLOOKUP(B1,Character_List,5,FALSE),Common_Mob_Drops,2,FALSE)</f>
        <v>Recruit's Insignia</v>
      </c>
      <c r="C17" s="15">
        <f>VLOOKUP(C11,Required_Ascension_Materials,7,FALSE)-VLOOKUP(C10,Required_Ascension_Materials,7,FALSE)</f>
        <v>0</v>
      </c>
      <c r="E17" s="12" t="s">
        <v>200</v>
      </c>
      <c r="F17" s="28">
        <v>9</v>
      </c>
      <c r="H17" s="186"/>
      <c r="I17" s="9" t="str">
        <f>E8</f>
        <v>Philosophies of Ballad</v>
      </c>
      <c r="J17" s="16">
        <f>SUM(F8,F21,F34)</f>
        <v>0</v>
      </c>
      <c r="K17" s="34" t="s">
        <v>202</v>
      </c>
    </row>
    <row r="18" spans="1:11" ht="15.75" thickBot="1" x14ac:dyDescent="0.3">
      <c r="A18" s="185"/>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86"/>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Wolfhook</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28" priority="1" operator="containsText" text="Done">
      <formula>NOT(ISERROR(SEARCH("Done",K4)))</formula>
    </cfRule>
    <cfRule type="containsText" dxfId="527" priority="2" operator="containsText" text="In Progress">
      <formula>NOT(ISERROR(SEARCH("In Progress",K4)))</formula>
    </cfRule>
  </conditionalFormatting>
  <dataValidations count="5">
    <dataValidation type="list" allowBlank="1" showInputMessage="1" showErrorMessage="1" sqref="C10:C11" xr:uid="{8ADC6A95-C7DB-430C-AE6F-ECBE3CD5562D}">
      <formula1>"0,1,2,3,4,5,6"</formula1>
    </dataValidation>
    <dataValidation type="list" allowBlank="1" showInputMessage="1" showErrorMessage="1" sqref="K4:K19" xr:uid="{A67B7826-F593-4887-9DE8-E422DF2A97F1}">
      <formula1>"In Progress, Done"</formula1>
    </dataValidation>
    <dataValidation type="list" allowBlank="1" showInputMessage="1" showErrorMessage="1" sqref="B1" xr:uid="{DDA2F475-475D-449D-998B-13AF7E2A2B00}">
      <formula1>Character_Name_List</formula1>
    </dataValidation>
    <dataValidation type="list" allowBlank="1" showInputMessage="1" showErrorMessage="1" sqref="F4:F5 F17:F18 F30:F31" xr:uid="{F1AEA648-A14F-4EB3-A1CF-AC96214063E2}">
      <formula1>"1,2,3,4,5,6,7,8,9,10"</formula1>
    </dataValidation>
    <dataValidation type="list" operator="equal" allowBlank="1" showInputMessage="1" showErrorMessage="1" sqref="B4:B5" xr:uid="{51ECBDAF-74B6-4FB8-9766-234B7C30DD27}">
      <formula1>"1,20,40,50,60,70,80,90"</formula1>
    </dataValidation>
  </dataValidation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BDE7-F06A-4C89-89A6-A6D73E11D6A2}">
  <sheetPr codeName="Sheet226">
    <tabColor theme="9" tint="0.59999389629810485"/>
  </sheetPr>
  <dimension ref="A1:K40"/>
  <sheetViews>
    <sheetView workbookViewId="0">
      <selection activeCell="K25" sqref="K25"/>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281</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84"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85"/>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85"/>
      <c r="I8" s="1" t="str">
        <f t="shared" si="0"/>
        <v>Nagadus Emerald Chunk</v>
      </c>
      <c r="J8" s="17">
        <f t="shared" si="0"/>
        <v>0</v>
      </c>
      <c r="K8" s="34" t="s">
        <v>202</v>
      </c>
    </row>
    <row r="9" spans="1:11" ht="15.75" thickBot="1" x14ac:dyDescent="0.3">
      <c r="A9" s="171" t="s">
        <v>149</v>
      </c>
      <c r="B9" s="231"/>
      <c r="C9" s="172"/>
      <c r="E9" s="14" t="str">
        <f>VLOOKUP(VLOOKUP(B1,Character_List,8,FALSE),Weekly_Boss_Mats,2,FALSE)</f>
        <v>Worldspan Fern</v>
      </c>
      <c r="F9" s="17">
        <f>VLOOKUP(F5,Required_Talent_Materials,5,FALSE)-VLOOKUP(F4,Required_Talent_Materials,5,FALSE)</f>
        <v>0</v>
      </c>
      <c r="H9" s="185"/>
      <c r="I9" s="1" t="str">
        <f t="shared" si="0"/>
        <v>Nagadus Emerald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Evergloom Ring</v>
      </c>
      <c r="J10" s="16">
        <f t="shared" si="0"/>
        <v>0</v>
      </c>
      <c r="K10" s="34" t="s">
        <v>202</v>
      </c>
    </row>
    <row r="11" spans="1:11" ht="15.75" thickBot="1" x14ac:dyDescent="0.3">
      <c r="A11" s="173" t="s">
        <v>208</v>
      </c>
      <c r="B11" s="202"/>
      <c r="C11" s="43">
        <v>6</v>
      </c>
      <c r="E11" s="14" t="str">
        <f>VLOOKUP(VLOOKUP(B1,Character_List,5,FALSE),Common_Mob_Drops,2,FALSE)</f>
        <v>Fungal Spores</v>
      </c>
      <c r="F11" s="17">
        <f>VLOOKUP(F5,Required_Talent_Materials,7,FALSE)-VLOOKUP(F4,Required_Talent_Materials,7,FALSE)</f>
        <v>0</v>
      </c>
      <c r="H11" s="184" t="s">
        <v>207</v>
      </c>
      <c r="I11" s="2" t="str">
        <f>B17</f>
        <v>Fungal Spores</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85"/>
      <c r="I12" s="1" t="str">
        <f>B18</f>
        <v>Luminescent Pollen</v>
      </c>
      <c r="J12" s="17">
        <f>SUM(C18,F12,F25,F38)</f>
        <v>0</v>
      </c>
      <c r="K12" s="34" t="s">
        <v>202</v>
      </c>
    </row>
    <row r="13" spans="1:11" ht="15.75" thickBot="1" x14ac:dyDescent="0.3">
      <c r="A13" s="182"/>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86"/>
      <c r="I13" s="9" t="str">
        <f>B19</f>
        <v>Crystalline Cyst Dust</v>
      </c>
      <c r="J13" s="16">
        <f>SUM(C19,F13,F26,F39)</f>
        <v>0</v>
      </c>
      <c r="K13" s="34" t="s">
        <v>202</v>
      </c>
    </row>
    <row r="14" spans="1:11" ht="15.75" thickBot="1" x14ac:dyDescent="0.3">
      <c r="A14" s="182"/>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Violetgrass</v>
      </c>
      <c r="J14" s="24">
        <f>C20</f>
        <v>0</v>
      </c>
      <c r="K14" s="34" t="s">
        <v>202</v>
      </c>
    </row>
    <row r="15" spans="1:11" ht="15.75" thickBot="1" x14ac:dyDescent="0.3">
      <c r="A15" s="182"/>
      <c r="B15" s="1" t="str">
        <f>_xlfn.CONCAT(VLOOKUP(VLOOKUP(B1,Character_List,2,FALSE),Boss_Mob_Drops,2,FALSE), " Gemstone")</f>
        <v>Nagadus Emerald Gemstone</v>
      </c>
      <c r="C15" s="17">
        <f>VLOOKUP(C11,Required_Ascension_Materials,5,FALSE)-VLOOKUP(C10,Required_Ascension_Materials,5,FALSE)</f>
        <v>0</v>
      </c>
      <c r="H15" s="184" t="s">
        <v>216</v>
      </c>
      <c r="I15" s="2" t="str">
        <f>E6</f>
        <v>Teachings of Gold</v>
      </c>
      <c r="J15" s="15">
        <f>SUM(F6,F19,F32)</f>
        <v>0</v>
      </c>
      <c r="K15" s="34" t="s">
        <v>202</v>
      </c>
    </row>
    <row r="16" spans="1:11" ht="15.75" thickBot="1" x14ac:dyDescent="0.3">
      <c r="A16" s="183"/>
      <c r="B16" s="9" t="str">
        <f>VLOOKUP(B1,Character_List,4,FALSE)</f>
        <v>Evergloom Ring</v>
      </c>
      <c r="C16" s="16">
        <f>VLOOKUP(C11,Required_Ascension_Materials,6,FALSE)-VLOOKUP(C10,Required_Ascension_Materials,6,FALSE)</f>
        <v>0</v>
      </c>
      <c r="E16" s="171" t="s">
        <v>151</v>
      </c>
      <c r="F16" s="172"/>
      <c r="H16" s="185"/>
      <c r="I16" s="1" t="str">
        <f>E7</f>
        <v>Guide to Gold</v>
      </c>
      <c r="J16" s="17">
        <f>SUM(F7,F20,F33)</f>
        <v>0</v>
      </c>
      <c r="K16" s="34" t="s">
        <v>202</v>
      </c>
    </row>
    <row r="17" spans="1:11" ht="15.75" thickBot="1" x14ac:dyDescent="0.3">
      <c r="A17" s="184" t="s">
        <v>207</v>
      </c>
      <c r="B17" s="2" t="str">
        <f>VLOOKUP(VLOOKUP(B1,Character_List,5,FALSE),Common_Mob_Drops,2,FALSE)</f>
        <v>Fungal Spores</v>
      </c>
      <c r="C17" s="15">
        <f>VLOOKUP(C11,Required_Ascension_Materials,7,FALSE)-VLOOKUP(C10,Required_Ascension_Materials,7,FALSE)</f>
        <v>0</v>
      </c>
      <c r="E17" s="12" t="s">
        <v>200</v>
      </c>
      <c r="F17" s="28">
        <v>9</v>
      </c>
      <c r="H17" s="186"/>
      <c r="I17" s="9" t="str">
        <f>E8</f>
        <v>Philosophies of Gold</v>
      </c>
      <c r="J17" s="16">
        <f>SUM(F8,F21,F34)</f>
        <v>0</v>
      </c>
      <c r="K17" s="34" t="s">
        <v>202</v>
      </c>
    </row>
    <row r="18" spans="1:11" ht="15.75" thickBot="1" x14ac:dyDescent="0.3">
      <c r="A18" s="185"/>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Worldspan Fern</v>
      </c>
      <c r="J18" s="24">
        <f>SUM(F9,F22,F35)</f>
        <v>0</v>
      </c>
      <c r="K18" s="34" t="s">
        <v>202</v>
      </c>
    </row>
    <row r="19" spans="1:11" ht="15.75" thickBot="1" x14ac:dyDescent="0.3">
      <c r="A19" s="186"/>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Violetgrass</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Worldspan Fern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Worldspan Fern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26" priority="1" operator="containsText" text="Done">
      <formula>NOT(ISERROR(SEARCH("Done",K4)))</formula>
    </cfRule>
    <cfRule type="containsText" dxfId="525" priority="2" operator="containsText" text="In Progress">
      <formula>NOT(ISERROR(SEARCH("In Progress",K4)))</formula>
    </cfRule>
  </conditionalFormatting>
  <dataValidations count="5">
    <dataValidation type="list" operator="equal" allowBlank="1" showInputMessage="1" showErrorMessage="1" sqref="B4:B5" xr:uid="{A66670E6-350C-4E09-ABF0-3335494905E2}">
      <formula1>"1,20,40,50,60,70,80,90"</formula1>
    </dataValidation>
    <dataValidation type="list" allowBlank="1" showInputMessage="1" showErrorMessage="1" sqref="F4:F5 F17:F18 F30:F31" xr:uid="{8EB70CA4-E85E-46A0-A6E5-F0BF8426CC0D}">
      <formula1>"1,2,3,4,5,6,7,8,9,10"</formula1>
    </dataValidation>
    <dataValidation type="list" allowBlank="1" showInputMessage="1" showErrorMessage="1" sqref="B1" xr:uid="{B99276BC-6108-43D2-848E-C45773C52C9D}">
      <formula1>Character_Name_List</formula1>
    </dataValidation>
    <dataValidation type="list" allowBlank="1" showInputMessage="1" showErrorMessage="1" sqref="K4:K19" xr:uid="{63866279-AFCE-4E01-9942-E9AC4DC2A930}">
      <formula1>"In Progress, Done"</formula1>
    </dataValidation>
    <dataValidation type="list" allowBlank="1" showInputMessage="1" showErrorMessage="1" sqref="C10:C11" xr:uid="{93C82ED2-0BDC-4026-B159-B2A7C7CD7683}">
      <formula1>"0,1,2,3,4,5,6"</formula1>
    </dataValidation>
  </dataValidation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62722-F182-4F9B-81B8-CD2FA252DEA1}">
  <sheetPr codeName="Sheet227">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282</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84"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85"/>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85"/>
      <c r="I8" s="1" t="str">
        <f t="shared" si="0"/>
        <v>Nagadus Emerald Chunk</v>
      </c>
      <c r="J8" s="17">
        <f t="shared" si="0"/>
        <v>0</v>
      </c>
      <c r="K8" s="34" t="s">
        <v>202</v>
      </c>
    </row>
    <row r="9" spans="1:11" ht="15.75" thickBot="1" x14ac:dyDescent="0.3">
      <c r="A9" s="171" t="s">
        <v>149</v>
      </c>
      <c r="B9" s="231"/>
      <c r="C9" s="172"/>
      <c r="E9" s="14" t="str">
        <f>VLOOKUP(VLOOKUP(B1,Character_List,8,FALSE),Weekly_Boss_Mats,2,FALSE)</f>
        <v>Primordial Greenbloom</v>
      </c>
      <c r="F9" s="17">
        <f>VLOOKUP(F5,Required_Talent_Materials,5,FALSE)-VLOOKUP(F4,Required_Talent_Materials,5,FALSE)</f>
        <v>0</v>
      </c>
      <c r="H9" s="185"/>
      <c r="I9" s="1" t="str">
        <f t="shared" si="0"/>
        <v>Nagadus Emerald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Quelled Creeper</v>
      </c>
      <c r="J10" s="16">
        <f t="shared" si="0"/>
        <v>0</v>
      </c>
      <c r="K10" s="34" t="s">
        <v>202</v>
      </c>
    </row>
    <row r="11" spans="1:11" ht="15.75" thickBot="1" x14ac:dyDescent="0.3">
      <c r="A11" s="173" t="s">
        <v>208</v>
      </c>
      <c r="B11" s="202"/>
      <c r="C11" s="43">
        <v>6</v>
      </c>
      <c r="E11" s="14" t="str">
        <f>VLOOKUP(VLOOKUP(B1,Character_List,5,FALSE),Common_Mob_Drops,2,FALSE)</f>
        <v>Fungal Spores</v>
      </c>
      <c r="F11" s="17">
        <f>VLOOKUP(F5,Required_Talent_Materials,7,FALSE)-VLOOKUP(F4,Required_Talent_Materials,7,FALSE)</f>
        <v>0</v>
      </c>
      <c r="H11" s="184" t="s">
        <v>207</v>
      </c>
      <c r="I11" s="2" t="str">
        <f>B17</f>
        <v>Fungal Spores</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85"/>
      <c r="I12" s="1" t="str">
        <f>B18</f>
        <v>Luminescent Pollen</v>
      </c>
      <c r="J12" s="17">
        <f>SUM(C18,F12,F25,F38)</f>
        <v>0</v>
      </c>
      <c r="K12" s="34" t="s">
        <v>202</v>
      </c>
    </row>
    <row r="13" spans="1:11" ht="15.75" thickBot="1" x14ac:dyDescent="0.3">
      <c r="A13" s="182"/>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86"/>
      <c r="I13" s="9" t="str">
        <f>B19</f>
        <v>Crystalline Cyst Dust</v>
      </c>
      <c r="J13" s="16">
        <f>SUM(C19,F13,F26,F39)</f>
        <v>0</v>
      </c>
      <c r="K13" s="34" t="s">
        <v>202</v>
      </c>
    </row>
    <row r="14" spans="1:11" ht="15.75" thickBot="1" x14ac:dyDescent="0.3">
      <c r="A14" s="182"/>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Mourning Flower</v>
      </c>
      <c r="J14" s="24">
        <f>C20</f>
        <v>0</v>
      </c>
      <c r="K14" s="34" t="s">
        <v>202</v>
      </c>
    </row>
    <row r="15" spans="1:11" ht="15.75" thickBot="1" x14ac:dyDescent="0.3">
      <c r="A15" s="182"/>
      <c r="B15" s="1" t="str">
        <f>_xlfn.CONCAT(VLOOKUP(VLOOKUP(B1,Character_List,2,FALSE),Boss_Mob_Drops,2,FALSE), " Gemstone")</f>
        <v>Nagadus Emerald Gemstone</v>
      </c>
      <c r="C15" s="17">
        <f>VLOOKUP(C11,Required_Ascension_Materials,5,FALSE)-VLOOKUP(C10,Required_Ascension_Materials,5,FALSE)</f>
        <v>0</v>
      </c>
      <c r="H15" s="184" t="s">
        <v>216</v>
      </c>
      <c r="I15" s="2" t="str">
        <f>E6</f>
        <v>Teachings of Ingenuity</v>
      </c>
      <c r="J15" s="15">
        <f>SUM(F6,F19,F32)</f>
        <v>0</v>
      </c>
      <c r="K15" s="34" t="s">
        <v>202</v>
      </c>
    </row>
    <row r="16" spans="1:11" ht="15.75" thickBot="1" x14ac:dyDescent="0.3">
      <c r="A16" s="183"/>
      <c r="B16" s="9" t="str">
        <f>VLOOKUP(B1,Character_List,4,FALSE)</f>
        <v>Quelled Creeper</v>
      </c>
      <c r="C16" s="16">
        <f>VLOOKUP(C11,Required_Ascension_Materials,6,FALSE)-VLOOKUP(C10,Required_Ascension_Materials,6,FALSE)</f>
        <v>0</v>
      </c>
      <c r="E16" s="171" t="s">
        <v>151</v>
      </c>
      <c r="F16" s="172"/>
      <c r="H16" s="185"/>
      <c r="I16" s="1" t="str">
        <f>E7</f>
        <v>Guide to Ingenuity</v>
      </c>
      <c r="J16" s="17">
        <f>SUM(F7,F20,F33)</f>
        <v>0</v>
      </c>
      <c r="K16" s="34" t="s">
        <v>202</v>
      </c>
    </row>
    <row r="17" spans="1:11" ht="15.75" thickBot="1" x14ac:dyDescent="0.3">
      <c r="A17" s="184" t="s">
        <v>207</v>
      </c>
      <c r="B17" s="2" t="str">
        <f>VLOOKUP(VLOOKUP(B1,Character_List,5,FALSE),Common_Mob_Drops,2,FALSE)</f>
        <v>Fungal Spores</v>
      </c>
      <c r="C17" s="15">
        <f>VLOOKUP(C11,Required_Ascension_Materials,7,FALSE)-VLOOKUP(C10,Required_Ascension_Materials,7,FALSE)</f>
        <v>0</v>
      </c>
      <c r="E17" s="12" t="s">
        <v>200</v>
      </c>
      <c r="F17" s="28">
        <v>9</v>
      </c>
      <c r="H17" s="186"/>
      <c r="I17" s="9" t="str">
        <f>E8</f>
        <v>Philosophies of Ingenuity</v>
      </c>
      <c r="J17" s="16">
        <f>SUM(F8,F21,F34)</f>
        <v>0</v>
      </c>
      <c r="K17" s="34" t="s">
        <v>202</v>
      </c>
    </row>
    <row r="18" spans="1:11" ht="15.75" thickBot="1" x14ac:dyDescent="0.3">
      <c r="A18" s="185"/>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Primordial Greenbloom</v>
      </c>
      <c r="J18" s="24">
        <f>SUM(F9,F22,F35)</f>
        <v>0</v>
      </c>
      <c r="K18" s="34" t="s">
        <v>202</v>
      </c>
    </row>
    <row r="19" spans="1:11" ht="15.75" thickBot="1" x14ac:dyDescent="0.3">
      <c r="A19" s="186"/>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Mourning Flower</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Primordial Greenbloom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Primordial Greenbloom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24" priority="1" operator="containsText" text="Done">
      <formula>NOT(ISERROR(SEARCH("Done",K4)))</formula>
    </cfRule>
    <cfRule type="containsText" dxfId="523" priority="2" operator="containsText" text="In Progress">
      <formula>NOT(ISERROR(SEARCH("In Progress",K4)))</formula>
    </cfRule>
  </conditionalFormatting>
  <dataValidations count="5">
    <dataValidation type="list" allowBlank="1" showInputMessage="1" showErrorMessage="1" sqref="C10:C11" xr:uid="{23779C28-FCDD-467B-8C72-4050D4835964}">
      <formula1>"0,1,2,3,4,5,6"</formula1>
    </dataValidation>
    <dataValidation type="list" allowBlank="1" showInputMessage="1" showErrorMessage="1" sqref="K4:K19" xr:uid="{4160FF98-F88C-4B5B-BF3B-6FBB19614913}">
      <formula1>"In Progress, Done"</formula1>
    </dataValidation>
    <dataValidation type="list" allowBlank="1" showInputMessage="1" showErrorMessage="1" sqref="B1" xr:uid="{72C4774E-C49D-4DAD-81E0-697C923B4FE1}">
      <formula1>Character_Name_List</formula1>
    </dataValidation>
    <dataValidation type="list" allowBlank="1" showInputMessage="1" showErrorMessage="1" sqref="F4:F5 F17:F18 F30:F31" xr:uid="{A20FBA9C-904C-4DD5-8BE0-90DCFC63C0D6}">
      <formula1>"1,2,3,4,5,6,7,8,9,10"</formula1>
    </dataValidation>
    <dataValidation type="list" operator="equal" allowBlank="1" showInputMessage="1" showErrorMessage="1" sqref="B4:B5" xr:uid="{C0843041-FDEC-40CB-AB9D-04416BFA52CF}">
      <formula1>"1,20,40,50,60,70,80,90"</formula1>
    </dataValidation>
  </dataValidation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C6CFA-A295-46E1-AA82-6AEFA173D06A}">
  <sheetPr codeName="Sheet249">
    <tabColor theme="9" tint="0.59999389629810485"/>
  </sheetPr>
  <dimension ref="A1:K40"/>
  <sheetViews>
    <sheetView workbookViewId="0">
      <selection activeCell="K22" sqref="K2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283</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84"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85"/>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85"/>
      <c r="I8" s="1" t="str">
        <f t="shared" si="0"/>
        <v>Nagadus Emerald Chunk</v>
      </c>
      <c r="J8" s="17">
        <f t="shared" si="0"/>
        <v>0</v>
      </c>
      <c r="K8" s="34" t="s">
        <v>202</v>
      </c>
    </row>
    <row r="9" spans="1:11" ht="15.75" thickBot="1" x14ac:dyDescent="0.3">
      <c r="A9" s="171" t="s">
        <v>149</v>
      </c>
      <c r="B9" s="231"/>
      <c r="C9" s="172"/>
      <c r="E9" s="14" t="str">
        <f>VLOOKUP(VLOOKUP(B1,Character_List,8,FALSE),Weekly_Boss_Mats,2,FALSE)</f>
        <v>Everamber</v>
      </c>
      <c r="F9" s="17">
        <f>VLOOKUP(F5,Required_Talent_Materials,5,FALSE)-VLOOKUP(F4,Required_Talent_Materials,5,FALSE)</f>
        <v>0</v>
      </c>
      <c r="H9" s="185"/>
      <c r="I9" s="1" t="str">
        <f t="shared" si="0"/>
        <v>Nagadus Emerald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Evergloom Ring</v>
      </c>
      <c r="J10" s="16">
        <f t="shared" si="0"/>
        <v>0</v>
      </c>
      <c r="K10" s="34" t="s">
        <v>202</v>
      </c>
    </row>
    <row r="11" spans="1:11" ht="15.75" thickBot="1" x14ac:dyDescent="0.3">
      <c r="A11" s="173" t="s">
        <v>208</v>
      </c>
      <c r="B11" s="202"/>
      <c r="C11" s="43">
        <v>6</v>
      </c>
      <c r="E11" s="14" t="str">
        <f>VLOOKUP(VLOOKUP(B1,Character_List,5,FALSE),Common_Mob_Drops,2,FALSE)</f>
        <v>Spectral Husk</v>
      </c>
      <c r="F11" s="17">
        <f>VLOOKUP(F5,Required_Talent_Materials,7,FALSE)-VLOOKUP(F4,Required_Talent_Materials,7,FALSE)</f>
        <v>0</v>
      </c>
      <c r="H11" s="184" t="s">
        <v>207</v>
      </c>
      <c r="I11" s="2" t="str">
        <f>B17</f>
        <v>Spectral Husk</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85"/>
      <c r="I12" s="1" t="str">
        <f>B18</f>
        <v>Spectral Heart</v>
      </c>
      <c r="J12" s="17">
        <f>SUM(C18,F12,F25,F38)</f>
        <v>0</v>
      </c>
      <c r="K12" s="34" t="s">
        <v>202</v>
      </c>
    </row>
    <row r="13" spans="1:11" ht="15.75" thickBot="1" x14ac:dyDescent="0.3">
      <c r="A13" s="182"/>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86"/>
      <c r="I13" s="9" t="str">
        <f>B19</f>
        <v>Spectral Nucleus</v>
      </c>
      <c r="J13" s="16">
        <f>SUM(C19,F13,F26,F39)</f>
        <v>0</v>
      </c>
      <c r="K13" s="34" t="s">
        <v>202</v>
      </c>
    </row>
    <row r="14" spans="1:11" ht="15.75" thickBot="1" x14ac:dyDescent="0.3">
      <c r="A14" s="182"/>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Amakumo Fruit</v>
      </c>
      <c r="J14" s="24">
        <f>C20</f>
        <v>0</v>
      </c>
      <c r="K14" s="34" t="s">
        <v>202</v>
      </c>
    </row>
    <row r="15" spans="1:11" ht="15.75" thickBot="1" x14ac:dyDescent="0.3">
      <c r="A15" s="182"/>
      <c r="B15" s="1" t="str">
        <f>_xlfn.CONCAT(VLOOKUP(VLOOKUP(B1,Character_List,2,FALSE),Boss_Mob_Drops,2,FALSE), " Gemstone")</f>
        <v>Nagadus Emerald Gemstone</v>
      </c>
      <c r="C15" s="17">
        <f>VLOOKUP(C11,Required_Ascension_Materials,5,FALSE)-VLOOKUP(C10,Required_Ascension_Materials,5,FALSE)</f>
        <v>0</v>
      </c>
      <c r="H15" s="184" t="s">
        <v>216</v>
      </c>
      <c r="I15" s="2" t="str">
        <f>E6</f>
        <v>Teachings of Transience</v>
      </c>
      <c r="J15" s="15">
        <f>SUM(F6,F19,F32)</f>
        <v>0</v>
      </c>
      <c r="K15" s="34" t="s">
        <v>202</v>
      </c>
    </row>
    <row r="16" spans="1:11" ht="15.75" thickBot="1" x14ac:dyDescent="0.3">
      <c r="A16" s="183"/>
      <c r="B16" s="9" t="str">
        <f>VLOOKUP(B1,Character_List,4,FALSE)</f>
        <v>Evergloom Ring</v>
      </c>
      <c r="C16" s="16">
        <f>VLOOKUP(C11,Required_Ascension_Materials,6,FALSE)-VLOOKUP(C10,Required_Ascension_Materials,6,FALSE)</f>
        <v>0</v>
      </c>
      <c r="E16" s="171" t="s">
        <v>151</v>
      </c>
      <c r="F16" s="172"/>
      <c r="H16" s="185"/>
      <c r="I16" s="1" t="str">
        <f>E7</f>
        <v>Guide to Transience</v>
      </c>
      <c r="J16" s="17">
        <f>SUM(F7,F20,F33)</f>
        <v>0</v>
      </c>
      <c r="K16" s="34" t="s">
        <v>202</v>
      </c>
    </row>
    <row r="17" spans="1:11" ht="15.75" thickBot="1" x14ac:dyDescent="0.3">
      <c r="A17" s="184" t="s">
        <v>207</v>
      </c>
      <c r="B17" s="2" t="str">
        <f>VLOOKUP(VLOOKUP(B1,Character_List,5,FALSE),Common_Mob_Drops,2,FALSE)</f>
        <v>Spectral Husk</v>
      </c>
      <c r="C17" s="15">
        <f>VLOOKUP(C11,Required_Ascension_Materials,7,FALSE)-VLOOKUP(C10,Required_Ascension_Materials,7,FALSE)</f>
        <v>0</v>
      </c>
      <c r="E17" s="12" t="s">
        <v>200</v>
      </c>
      <c r="F17" s="28">
        <v>9</v>
      </c>
      <c r="H17" s="186"/>
      <c r="I17" s="9" t="str">
        <f>E8</f>
        <v>Philosophies of Transience</v>
      </c>
      <c r="J17" s="16">
        <f>SUM(F8,F21,F34)</f>
        <v>0</v>
      </c>
      <c r="K17" s="34" t="s">
        <v>202</v>
      </c>
    </row>
    <row r="18" spans="1:11" ht="15.75" thickBot="1" x14ac:dyDescent="0.3">
      <c r="A18" s="185"/>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86"/>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Amakumo Fruit</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22" priority="1" operator="containsText" text="Done">
      <formula>NOT(ISERROR(SEARCH("Done",K4)))</formula>
    </cfRule>
    <cfRule type="containsText" dxfId="521" priority="2" operator="containsText" text="In Progress">
      <formula>NOT(ISERROR(SEARCH("In Progress",K4)))</formula>
    </cfRule>
  </conditionalFormatting>
  <dataValidations count="5">
    <dataValidation type="list" operator="equal" allowBlank="1" showInputMessage="1" showErrorMessage="1" sqref="B4:B5" xr:uid="{CCD53836-FF2D-4D02-8E84-5B192FF4D754}">
      <formula1>"1,20,40,50,60,70,80,90"</formula1>
    </dataValidation>
    <dataValidation type="list" allowBlank="1" showInputMessage="1" showErrorMessage="1" sqref="F4:F5 F17:F18 F30:F31" xr:uid="{4DAAA164-EA3A-4D12-8CA6-CAC160CBC0A4}">
      <formula1>"1,2,3,4,5,6,7,8,9,10"</formula1>
    </dataValidation>
    <dataValidation type="list" allowBlank="1" showInputMessage="1" showErrorMessage="1" sqref="B1" xr:uid="{B968EA54-72B7-4360-BD8F-05154BD58559}">
      <formula1>Character_Name_List</formula1>
    </dataValidation>
    <dataValidation type="list" allowBlank="1" showInputMessage="1" showErrorMessage="1" sqref="K4:K19" xr:uid="{81CEF4E2-9478-43C7-B147-D0BAC8C00F29}">
      <formula1>"In Progress, Done"</formula1>
    </dataValidation>
    <dataValidation type="list" allowBlank="1" showInputMessage="1" showErrorMessage="1" sqref="C10:C11" xr:uid="{3A7F0B73-9A7F-482E-94FD-120B60C36147}">
      <formula1>"0,1,2,3,4,5,6"</formula1>
    </dataValidation>
  </dataValidation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D07D5-77BA-F74A-87F2-CB1E5DDE79D0}">
  <sheetPr codeName="Sheet199">
    <tabColor theme="9" tint="0.59999389629810485"/>
  </sheetPr>
  <dimension ref="A1:K40"/>
  <sheetViews>
    <sheetView workbookViewId="0">
      <selection activeCell="M20" sqref="M20"/>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284</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Primordial Greenbloom</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Emperor’s Resolution</v>
      </c>
      <c r="J10" s="16">
        <f t="shared" si="0"/>
        <v>0</v>
      </c>
      <c r="K10" s="34" t="s">
        <v>202</v>
      </c>
    </row>
    <row r="11" spans="1:11" ht="15.75" thickBot="1" x14ac:dyDescent="0.3">
      <c r="A11" s="173" t="s">
        <v>208</v>
      </c>
      <c r="B11" s="202"/>
      <c r="C11" s="43">
        <v>6</v>
      </c>
      <c r="E11" s="14" t="str">
        <f>VLOOKUP(VLOOKUP(B1,Character_List,5,FALSE),Common_Mob_Drops,2,FALSE)</f>
        <v>Recruit's Insignia</v>
      </c>
      <c r="F11" s="17">
        <f>VLOOKUP(F5,Required_Talent_Materials,7,FALSE)-VLOOKUP(F4,Required_Talent_Materials,7,FALSE)</f>
        <v>0</v>
      </c>
      <c r="H11" s="184" t="s">
        <v>207</v>
      </c>
      <c r="I11" s="2" t="str">
        <f>B17</f>
        <v>Recruit's Insignia</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5"/>
      <c r="I12" s="1" t="str">
        <f>B18</f>
        <v>Sergeant's Insignia</v>
      </c>
      <c r="J12" s="17">
        <f>SUM(C18,F12,F25,F38)</f>
        <v>0</v>
      </c>
      <c r="K12" s="34" t="s">
        <v>202</v>
      </c>
    </row>
    <row r="13" spans="1:11" ht="15.75" thickBot="1" x14ac:dyDescent="0.3">
      <c r="A13" s="182"/>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6"/>
      <c r="I13" s="9" t="str">
        <f>B19</f>
        <v>Lieutenant's Insignia</v>
      </c>
      <c r="J13" s="16">
        <f>SUM(C19,F13,F26,F39)</f>
        <v>0</v>
      </c>
      <c r="K13" s="34" t="s">
        <v>202</v>
      </c>
    </row>
    <row r="14" spans="1:11" ht="15.75" thickBot="1" x14ac:dyDescent="0.3">
      <c r="A14" s="182"/>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Rainbow Rose</v>
      </c>
      <c r="J14" s="24">
        <f>C20</f>
        <v>0</v>
      </c>
      <c r="K14" s="34" t="s">
        <v>202</v>
      </c>
    </row>
    <row r="15" spans="1:11" ht="15.75" thickBot="1" x14ac:dyDescent="0.3">
      <c r="A15" s="182"/>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Equity</v>
      </c>
      <c r="J15" s="15">
        <f>SUM(F6,F19,F32)</f>
        <v>0</v>
      </c>
      <c r="K15" s="34" t="s">
        <v>202</v>
      </c>
    </row>
    <row r="16" spans="1:11" ht="15.75" thickBot="1" x14ac:dyDescent="0.3">
      <c r="A16" s="183"/>
      <c r="B16" s="9" t="str">
        <f>VLOOKUP(B1,Character_List,4,FALSE)</f>
        <v>Emperor’s Resolution</v>
      </c>
      <c r="C16" s="16">
        <f>VLOOKUP(C11,Required_Ascension_Materials,6,FALSE)-VLOOKUP(C10,Required_Ascension_Materials,6,FALSE)</f>
        <v>0</v>
      </c>
      <c r="E16" s="171" t="s">
        <v>151</v>
      </c>
      <c r="F16" s="172"/>
      <c r="H16" s="185"/>
      <c r="I16" s="1" t="str">
        <f>E7</f>
        <v>Guide to Equity</v>
      </c>
      <c r="J16" s="17">
        <f>SUM(F7,F20,F33)</f>
        <v>0</v>
      </c>
      <c r="K16" s="34" t="s">
        <v>202</v>
      </c>
    </row>
    <row r="17" spans="1:11" ht="15.75" thickBot="1" x14ac:dyDescent="0.3">
      <c r="A17" s="184" t="s">
        <v>207</v>
      </c>
      <c r="B17" s="2" t="str">
        <f>VLOOKUP(VLOOKUP(B1,Character_List,5,FALSE),Common_Mob_Drops,2,FALSE)</f>
        <v>Recruit's Insignia</v>
      </c>
      <c r="C17" s="15">
        <f>VLOOKUP(C11,Required_Ascension_Materials,7,FALSE)-VLOOKUP(C10,Required_Ascension_Materials,7,FALSE)</f>
        <v>0</v>
      </c>
      <c r="E17" s="12" t="s">
        <v>200</v>
      </c>
      <c r="F17" s="28">
        <v>9</v>
      </c>
      <c r="H17" s="186"/>
      <c r="I17" s="9" t="str">
        <f>E8</f>
        <v>Philosophies of Equity</v>
      </c>
      <c r="J17" s="16">
        <f>SUM(F8,F21,F34)</f>
        <v>0</v>
      </c>
      <c r="K17" s="34" t="s">
        <v>202</v>
      </c>
    </row>
    <row r="18" spans="1:11" ht="15.75" thickBot="1" x14ac:dyDescent="0.3">
      <c r="A18" s="185"/>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Primordial Greenbloom</v>
      </c>
      <c r="J18" s="24">
        <f>SUM(F9,F22,F35)</f>
        <v>0</v>
      </c>
      <c r="K18" s="34" t="s">
        <v>202</v>
      </c>
    </row>
    <row r="19" spans="1:11" ht="15.75" thickBot="1" x14ac:dyDescent="0.3">
      <c r="A19" s="186"/>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Rainbow Rose</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Primordial Greenbloom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Primordial Greenbloom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20" priority="1" operator="containsText" text="Done">
      <formula>NOT(ISERROR(SEARCH("Done",K4)))</formula>
    </cfRule>
    <cfRule type="containsText" dxfId="519" priority="2" operator="containsText" text="In Progress">
      <formula>NOT(ISERROR(SEARCH("In Progress",K4)))</formula>
    </cfRule>
  </conditionalFormatting>
  <dataValidations count="5">
    <dataValidation type="list" allowBlank="1" showInputMessage="1" showErrorMessage="1" sqref="C10:C11" xr:uid="{FD74D143-6A65-5C41-B93E-E669198150F8}">
      <formula1>"0,1,2,3,4,5,6"</formula1>
    </dataValidation>
    <dataValidation type="list" allowBlank="1" showInputMessage="1" showErrorMessage="1" sqref="K4:K19" xr:uid="{EE4948B5-8BEC-7645-B2DE-4F4D872AF1C8}">
      <formula1>"In Progress, Done"</formula1>
    </dataValidation>
    <dataValidation type="list" allowBlank="1" showInputMessage="1" showErrorMessage="1" sqref="B1" xr:uid="{C4ED2DF1-213E-F844-8B0E-4F970B66ADF2}">
      <formula1>Character_Name_List</formula1>
    </dataValidation>
    <dataValidation type="list" allowBlank="1" showInputMessage="1" showErrorMessage="1" sqref="F4:F5 F17:F18 F30:F31" xr:uid="{20D11F69-3E32-3140-8F12-30EE6C26521E}">
      <formula1>"1,2,3,4,5,6,7,8,9,10"</formula1>
    </dataValidation>
    <dataValidation type="list" operator="equal" allowBlank="1" showInputMessage="1" showErrorMessage="1" sqref="B4:B5" xr:uid="{74D400BB-DC08-DB48-A1B7-D2A04B385EEE}">
      <formula1>"1,20,40,50,60,70,80,90"</formula1>
    </dataValidation>
  </dataValidation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3E592-54D5-5F48-BE18-F8BC14723BA6}">
  <sheetPr codeName="Sheet200">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285</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84"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85"/>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85"/>
      <c r="I8" s="1" t="str">
        <f t="shared" si="0"/>
        <v>Vayuda Turquoise Chunk</v>
      </c>
      <c r="J8" s="17">
        <f t="shared" si="0"/>
        <v>0</v>
      </c>
      <c r="K8" s="34" t="s">
        <v>202</v>
      </c>
    </row>
    <row r="9" spans="1:11" ht="15.75" thickBot="1" x14ac:dyDescent="0.3">
      <c r="A9" s="171" t="s">
        <v>149</v>
      </c>
      <c r="B9" s="231"/>
      <c r="C9" s="172"/>
      <c r="E9" s="14" t="str">
        <f>VLOOKUP(VLOOKUP(B1,Character_List,8,FALSE),Weekly_Boss_Mats,2,FALSE)</f>
        <v>Everamber</v>
      </c>
      <c r="F9" s="17">
        <f>VLOOKUP(F5,Required_Talent_Materials,5,FALSE)-VLOOKUP(F4,Required_Talent_Materials,5,FALSE)</f>
        <v>0</v>
      </c>
      <c r="H9" s="185"/>
      <c r="I9" s="1" t="str">
        <f t="shared" si="0"/>
        <v>Vayuda Turquoise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Novel Spare Clockwork Component — Coppelia</v>
      </c>
      <c r="J10" s="16">
        <f t="shared" si="0"/>
        <v>0</v>
      </c>
      <c r="K10" s="34" t="s">
        <v>202</v>
      </c>
    </row>
    <row r="11" spans="1:11" ht="15.75" thickBot="1" x14ac:dyDescent="0.3">
      <c r="A11" s="173" t="s">
        <v>208</v>
      </c>
      <c r="B11" s="202"/>
      <c r="C11" s="43">
        <v>6</v>
      </c>
      <c r="E11" s="14" t="str">
        <f>VLOOKUP(VLOOKUP(B1,Character_List,5,FALSE),Common_Mob_Drops,2,FALSE)</f>
        <v>Clockwork Meka</v>
      </c>
      <c r="F11" s="17">
        <f>VLOOKUP(F5,Required_Talent_Materials,7,FALSE)-VLOOKUP(F4,Required_Talent_Materials,7,FALSE)</f>
        <v>0</v>
      </c>
      <c r="H11" s="184" t="s">
        <v>207</v>
      </c>
      <c r="I11" s="2" t="str">
        <f>B17</f>
        <v>Clockwork Meka</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85"/>
      <c r="I12" s="1" t="str">
        <f>B18</f>
        <v>Mechanical Spur Gear</v>
      </c>
      <c r="J12" s="17">
        <f>SUM(C18,F12,F25,F38)</f>
        <v>0</v>
      </c>
      <c r="K12" s="34" t="s">
        <v>202</v>
      </c>
    </row>
    <row r="13" spans="1:11" ht="15.75" thickBot="1" x14ac:dyDescent="0.3">
      <c r="A13" s="182"/>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86"/>
      <c r="I13" s="9" t="str">
        <f>B19</f>
        <v>Artificed Dynamic Gear</v>
      </c>
      <c r="J13" s="16">
        <f>SUM(C19,F13,F26,F39)</f>
        <v>0</v>
      </c>
      <c r="K13" s="34" t="s">
        <v>202</v>
      </c>
    </row>
    <row r="14" spans="1:11" ht="15.75" thickBot="1" x14ac:dyDescent="0.3">
      <c r="A14" s="182"/>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Lumidouce Bell</v>
      </c>
      <c r="J14" s="24">
        <f>C20</f>
        <v>0</v>
      </c>
      <c r="K14" s="34" t="s">
        <v>202</v>
      </c>
    </row>
    <row r="15" spans="1:11" ht="15.75" thickBot="1" x14ac:dyDescent="0.3">
      <c r="A15" s="182"/>
      <c r="B15" s="1" t="str">
        <f>_xlfn.CONCAT(VLOOKUP(VLOOKUP(B1,Character_List,2,FALSE),Boss_Mob_Drops,2,FALSE), " Gemstone")</f>
        <v>Vayuda Turquoise Gemstone</v>
      </c>
      <c r="C15" s="17">
        <f>VLOOKUP(C11,Required_Ascension_Materials,5,FALSE)-VLOOKUP(C10,Required_Ascension_Materials,5,FALSE)</f>
        <v>0</v>
      </c>
      <c r="H15" s="184" t="s">
        <v>216</v>
      </c>
      <c r="I15" s="2" t="str">
        <f>E6</f>
        <v>Teachings of Order</v>
      </c>
      <c r="J15" s="15">
        <f>SUM(F6,F19,F32)</f>
        <v>0</v>
      </c>
      <c r="K15" s="34" t="s">
        <v>202</v>
      </c>
    </row>
    <row r="16" spans="1:11" ht="15.75" thickBot="1" x14ac:dyDescent="0.3">
      <c r="A16" s="183"/>
      <c r="B16" s="9" t="str">
        <f>VLOOKUP(B1,Character_List,4,FALSE)</f>
        <v>Novel Spare Clockwork Component — Coppelia</v>
      </c>
      <c r="C16" s="16">
        <f>VLOOKUP(C11,Required_Ascension_Materials,6,FALSE)-VLOOKUP(C10,Required_Ascension_Materials,6,FALSE)</f>
        <v>0</v>
      </c>
      <c r="E16" s="171" t="s">
        <v>151</v>
      </c>
      <c r="F16" s="172"/>
      <c r="H16" s="185"/>
      <c r="I16" s="1" t="str">
        <f>E7</f>
        <v>Guide to Order</v>
      </c>
      <c r="J16" s="17">
        <f>SUM(F7,F20,F33)</f>
        <v>0</v>
      </c>
      <c r="K16" s="34" t="s">
        <v>202</v>
      </c>
    </row>
    <row r="17" spans="1:11" ht="15.75" thickBot="1" x14ac:dyDescent="0.3">
      <c r="A17" s="184" t="s">
        <v>207</v>
      </c>
      <c r="B17" s="2" t="str">
        <f>VLOOKUP(VLOOKUP(B1,Character_List,5,FALSE),Common_Mob_Drops,2,FALSE)</f>
        <v>Clockwork Meka</v>
      </c>
      <c r="C17" s="15">
        <f>VLOOKUP(C11,Required_Ascension_Materials,7,FALSE)-VLOOKUP(C10,Required_Ascension_Materials,7,FALSE)</f>
        <v>0</v>
      </c>
      <c r="E17" s="12" t="s">
        <v>200</v>
      </c>
      <c r="F17" s="28">
        <v>9</v>
      </c>
      <c r="H17" s="186"/>
      <c r="I17" s="9" t="str">
        <f>E8</f>
        <v>Philosophies of Order</v>
      </c>
      <c r="J17" s="16">
        <f>SUM(F8,F21,F34)</f>
        <v>0</v>
      </c>
      <c r="K17" s="34" t="s">
        <v>202</v>
      </c>
    </row>
    <row r="18" spans="1:11" ht="15.75" thickBot="1" x14ac:dyDescent="0.3">
      <c r="A18" s="185"/>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86"/>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Lumidouce Bell</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18" priority="1" operator="containsText" text="Done">
      <formula>NOT(ISERROR(SEARCH("Done",K4)))</formula>
    </cfRule>
    <cfRule type="containsText" dxfId="517" priority="2" operator="containsText" text="In Progress">
      <formula>NOT(ISERROR(SEARCH("In Progress",K4)))</formula>
    </cfRule>
  </conditionalFormatting>
  <dataValidations count="5">
    <dataValidation type="list" allowBlank="1" showInputMessage="1" showErrorMessage="1" sqref="C10:C11" xr:uid="{CAD55D07-1F8C-F845-9B7A-09B97FBEF446}">
      <formula1>"0,1,2,3,4,5,6"</formula1>
    </dataValidation>
    <dataValidation type="list" allowBlank="1" showInputMessage="1" showErrorMessage="1" sqref="K4:K19" xr:uid="{6AC834DC-6BBE-0448-9519-CF3A71494BFD}">
      <formula1>"In Progress, Done"</formula1>
    </dataValidation>
    <dataValidation type="list" allowBlank="1" showInputMessage="1" showErrorMessage="1" sqref="B1" xr:uid="{45B1D9F7-5D1F-8D45-B595-4157FBCD0C31}">
      <formula1>Character_Name_List</formula1>
    </dataValidation>
    <dataValidation type="list" allowBlank="1" showInputMessage="1" showErrorMessage="1" sqref="F4:F5 F17:F18 F30:F31" xr:uid="{51D6E814-A3F9-4E48-9DF2-A3380A086C7B}">
      <formula1>"1,2,3,4,5,6,7,8,9,10"</formula1>
    </dataValidation>
    <dataValidation type="list" operator="equal" allowBlank="1" showInputMessage="1" showErrorMessage="1" sqref="B4:B5" xr:uid="{C5D11A47-EA33-6B46-BAB2-E8EAB3153F20}">
      <formula1>"1,20,40,50,60,70,80,90"</formula1>
    </dataValidation>
  </dataValidation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A442-81A9-AB4C-B100-94196C599818}">
  <sheetPr codeName="Sheet251">
    <tabColor theme="9" tint="0.59999389629810485"/>
  </sheetPr>
  <dimension ref="A1:K40"/>
  <sheetViews>
    <sheetView workbookViewId="0">
      <selection activeCell="F31" sqref="F3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286</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Worldspan Fern</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Novel Spare Clockwork Component — Coppelius</v>
      </c>
      <c r="J10" s="16">
        <f t="shared" si="0"/>
        <v>0</v>
      </c>
      <c r="K10" s="34" t="s">
        <v>202</v>
      </c>
    </row>
    <row r="11" spans="1:11" ht="15.75" thickBot="1" x14ac:dyDescent="0.3">
      <c r="A11" s="173" t="s">
        <v>208</v>
      </c>
      <c r="B11" s="202"/>
      <c r="C11" s="43">
        <v>6</v>
      </c>
      <c r="E11" s="14" t="str">
        <f>VLOOKUP(VLOOKUP(B1,Character_List,5,FALSE),Common_Mob_Drops,2,FALSE)</f>
        <v>Transoceanic Pearl</v>
      </c>
      <c r="F11" s="17">
        <f>VLOOKUP(F5,Required_Talent_Materials,7,FALSE)-VLOOKUP(F4,Required_Talent_Materials,7,FALSE)</f>
        <v>0</v>
      </c>
      <c r="H11" s="184" t="s">
        <v>207</v>
      </c>
      <c r="I11" s="2" t="str">
        <f>B17</f>
        <v>Transoceanic Pearl</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85"/>
      <c r="I12" s="1" t="str">
        <f>B18</f>
        <v>Transoceanic Chunk</v>
      </c>
      <c r="J12" s="17">
        <f>SUM(C18,F12,F25,F38)</f>
        <v>0</v>
      </c>
      <c r="K12" s="34" t="s">
        <v>202</v>
      </c>
    </row>
    <row r="13" spans="1:11" ht="15.75" thickBot="1" x14ac:dyDescent="0.3">
      <c r="A13" s="182"/>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86"/>
      <c r="I13" s="9" t="str">
        <f>B19</f>
        <v>Xenochromatic Crystal</v>
      </c>
      <c r="J13" s="16">
        <f>SUM(C19,F13,F26,F39)</f>
        <v>0</v>
      </c>
      <c r="K13" s="34" t="s">
        <v>202</v>
      </c>
    </row>
    <row r="14" spans="1:11" ht="15.75" thickBot="1" x14ac:dyDescent="0.3">
      <c r="A14" s="182"/>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Romaritime Flower</v>
      </c>
      <c r="J14" s="24">
        <f>C20</f>
        <v>0</v>
      </c>
      <c r="K14" s="34" t="s">
        <v>202</v>
      </c>
    </row>
    <row r="15" spans="1:11" ht="15.75" thickBot="1" x14ac:dyDescent="0.3">
      <c r="A15" s="182"/>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Justice</v>
      </c>
      <c r="J15" s="15">
        <f>SUM(F6,F19,F32)</f>
        <v>0</v>
      </c>
      <c r="K15" s="34" t="s">
        <v>202</v>
      </c>
    </row>
    <row r="16" spans="1:11" ht="15.75" thickBot="1" x14ac:dyDescent="0.3">
      <c r="A16" s="183"/>
      <c r="B16" s="9" t="str">
        <f>VLOOKUP(B1,Character_List,4,FALSE)</f>
        <v>Novel Spare Clockwork Component — Coppelius</v>
      </c>
      <c r="C16" s="16">
        <f>VLOOKUP(C11,Required_Ascension_Materials,6,FALSE)-VLOOKUP(C10,Required_Ascension_Materials,6,FALSE)</f>
        <v>0</v>
      </c>
      <c r="E16" s="171" t="s">
        <v>151</v>
      </c>
      <c r="F16" s="172"/>
      <c r="H16" s="185"/>
      <c r="I16" s="1" t="str">
        <f>E7</f>
        <v>Guide to Justice</v>
      </c>
      <c r="J16" s="17">
        <f>SUM(F7,F20,F33)</f>
        <v>0</v>
      </c>
      <c r="K16" s="34" t="s">
        <v>202</v>
      </c>
    </row>
    <row r="17" spans="1:11" ht="15.75" thickBot="1" x14ac:dyDescent="0.3">
      <c r="A17" s="184" t="s">
        <v>207</v>
      </c>
      <c r="B17" s="2" t="str">
        <f>VLOOKUP(VLOOKUP(B1,Character_List,5,FALSE),Common_Mob_Drops,2,FALSE)</f>
        <v>Transoceanic Pearl</v>
      </c>
      <c r="C17" s="15">
        <f>VLOOKUP(C11,Required_Ascension_Materials,7,FALSE)-VLOOKUP(C10,Required_Ascension_Materials,7,FALSE)</f>
        <v>0</v>
      </c>
      <c r="E17" s="12" t="s">
        <v>200</v>
      </c>
      <c r="F17" s="28">
        <v>9</v>
      </c>
      <c r="H17" s="186"/>
      <c r="I17" s="9" t="str">
        <f>E8</f>
        <v>Philosophies of Justice</v>
      </c>
      <c r="J17" s="16">
        <f>SUM(F8,F21,F34)</f>
        <v>0</v>
      </c>
      <c r="K17" s="34" t="s">
        <v>202</v>
      </c>
    </row>
    <row r="18" spans="1:11" ht="15.75" thickBot="1" x14ac:dyDescent="0.3">
      <c r="A18" s="185"/>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Worldspan Fern</v>
      </c>
      <c r="J18" s="24">
        <f>SUM(F9,F22,F35)</f>
        <v>0</v>
      </c>
      <c r="K18" s="34" t="s">
        <v>202</v>
      </c>
    </row>
    <row r="19" spans="1:11" ht="15.75" thickBot="1" x14ac:dyDescent="0.3">
      <c r="A19" s="186"/>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Romaritime Flower</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Worldspan Fern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Worldspan Fern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16" priority="1" operator="containsText" text="Done">
      <formula>NOT(ISERROR(SEARCH("Done",K4)))</formula>
    </cfRule>
    <cfRule type="containsText" dxfId="515" priority="2" operator="containsText" text="In Progress">
      <formula>NOT(ISERROR(SEARCH("In Progress",K4)))</formula>
    </cfRule>
  </conditionalFormatting>
  <dataValidations count="5">
    <dataValidation type="list" allowBlank="1" showInputMessage="1" showErrorMessage="1" sqref="C10:C11" xr:uid="{A83B49F6-A3BB-8C40-89AE-521A421A643B}">
      <formula1>"0,1,2,3,4,5,6"</formula1>
    </dataValidation>
    <dataValidation type="list" allowBlank="1" showInputMessage="1" showErrorMessage="1" sqref="K4:K19" xr:uid="{491B7DCD-51DB-434F-AEFC-9C1C4C8ECC89}">
      <formula1>"In Progress, Done"</formula1>
    </dataValidation>
    <dataValidation type="list" allowBlank="1" showInputMessage="1" showErrorMessage="1" sqref="B1" xr:uid="{71612EB4-D83E-B34C-BCEC-25FA067D5940}">
      <formula1>Character_Name_List</formula1>
    </dataValidation>
    <dataValidation type="list" allowBlank="1" showInputMessage="1" showErrorMessage="1" sqref="F4:F5 F17:F18 F30:F31" xr:uid="{02A0BD4B-210F-194E-92BD-867A486EB836}">
      <formula1>"1,2,3,4,5,6,7,8,9,10"</formula1>
    </dataValidation>
    <dataValidation type="list" operator="equal" allowBlank="1" showInputMessage="1" showErrorMessage="1" sqref="B4:B5" xr:uid="{B56F7360-C701-824C-BF41-CC0A34FD8E1C}">
      <formula1>"1,20,40,50,60,70,80,90"</formula1>
    </dataValidation>
  </dataValidation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DC7D9-4C3A-4E59-B6D7-8089E924AFC5}">
  <sheetPr codeName="Sheet252">
    <tabColor theme="9" tint="0.59999389629810485"/>
  </sheetPr>
  <dimension ref="A1:K40"/>
  <sheetViews>
    <sheetView workbookViewId="0">
      <selection activeCell="J26" sqref="J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287</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84"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85"/>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85"/>
      <c r="I8" s="1" t="str">
        <f t="shared" si="0"/>
        <v>Varunada Lazurite Chunk</v>
      </c>
      <c r="J8" s="17">
        <f t="shared" si="0"/>
        <v>0</v>
      </c>
      <c r="K8" s="34" t="s">
        <v>202</v>
      </c>
    </row>
    <row r="9" spans="1:11" ht="15.75" thickBot="1" x14ac:dyDescent="0.3">
      <c r="A9" s="171" t="s">
        <v>149</v>
      </c>
      <c r="B9" s="231"/>
      <c r="C9" s="172"/>
      <c r="E9" s="14" t="str">
        <f>VLOOKUP(VLOOKUP(B1,Character_List,8,FALSE),Weekly_Boss_Mats,2,FALSE)</f>
        <v>Everamber</v>
      </c>
      <c r="F9" s="17">
        <f>VLOOKUP(F5,Required_Talent_Materials,5,FALSE)-VLOOKUP(F4,Required_Talent_Materials,5,FALSE)</f>
        <v>0</v>
      </c>
      <c r="H9" s="185"/>
      <c r="I9" s="1" t="str">
        <f t="shared" si="0"/>
        <v>Varunada Lazurite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Fontemer Unihorn</v>
      </c>
      <c r="J10" s="16">
        <f t="shared" si="0"/>
        <v>0</v>
      </c>
      <c r="K10" s="34" t="s">
        <v>202</v>
      </c>
    </row>
    <row r="11" spans="1:11" ht="15.75" thickBot="1" x14ac:dyDescent="0.3">
      <c r="A11" s="173" t="s">
        <v>208</v>
      </c>
      <c r="B11" s="202"/>
      <c r="C11" s="43">
        <v>6</v>
      </c>
      <c r="E11" s="14" t="str">
        <f>VLOOKUP(VLOOKUP(B1,Character_List,5,FALSE),Common_Mob_Drops,2,FALSE)</f>
        <v>Transoceanic Pearl</v>
      </c>
      <c r="F11" s="17">
        <f>VLOOKUP(F5,Required_Talent_Materials,7,FALSE)-VLOOKUP(F4,Required_Talent_Materials,7,FALSE)</f>
        <v>0</v>
      </c>
      <c r="H11" s="184" t="s">
        <v>207</v>
      </c>
      <c r="I11" s="2" t="str">
        <f>B17</f>
        <v>Transoceanic Pearl</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85"/>
      <c r="I12" s="1" t="str">
        <f>B18</f>
        <v>Transoceanic Chunk</v>
      </c>
      <c r="J12" s="17">
        <f>SUM(C18,F12,F25,F38)</f>
        <v>0</v>
      </c>
      <c r="K12" s="34" t="s">
        <v>202</v>
      </c>
    </row>
    <row r="13" spans="1:11" ht="15.75" thickBot="1" x14ac:dyDescent="0.3">
      <c r="A13" s="182"/>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86"/>
      <c r="I13" s="9" t="str">
        <f>B19</f>
        <v>Xenochromatic Crystal</v>
      </c>
      <c r="J13" s="16">
        <f>SUM(C19,F13,F26,F39)</f>
        <v>0</v>
      </c>
      <c r="K13" s="34" t="s">
        <v>202</v>
      </c>
    </row>
    <row r="14" spans="1:11" ht="15.75" thickBot="1" x14ac:dyDescent="0.3">
      <c r="A14" s="182"/>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Lumitoile</v>
      </c>
      <c r="J14" s="24">
        <f>C20</f>
        <v>0</v>
      </c>
      <c r="K14" s="34" t="s">
        <v>202</v>
      </c>
    </row>
    <row r="15" spans="1:11" ht="15.75" thickBot="1" x14ac:dyDescent="0.3">
      <c r="A15" s="182"/>
      <c r="B15" s="1" t="str">
        <f>_xlfn.CONCAT(VLOOKUP(VLOOKUP(B1,Character_List,2,FALSE),Boss_Mob_Drops,2,FALSE), " Gemstone")</f>
        <v>Varunada Lazurite Gemstone</v>
      </c>
      <c r="C15" s="17">
        <f>VLOOKUP(C11,Required_Ascension_Materials,5,FALSE)-VLOOKUP(C10,Required_Ascension_Materials,5,FALSE)</f>
        <v>0</v>
      </c>
      <c r="H15" s="184" t="s">
        <v>216</v>
      </c>
      <c r="I15" s="2" t="str">
        <f>E6</f>
        <v>Teachings of Equity</v>
      </c>
      <c r="J15" s="15">
        <f>SUM(F6,F19,F32)</f>
        <v>0</v>
      </c>
      <c r="K15" s="34" t="s">
        <v>202</v>
      </c>
    </row>
    <row r="16" spans="1:11" ht="15.75" thickBot="1" x14ac:dyDescent="0.3">
      <c r="A16" s="183"/>
      <c r="B16" s="9" t="str">
        <f>VLOOKUP(B1,Character_List,4,FALSE)</f>
        <v>Fontemer Unihorn</v>
      </c>
      <c r="C16" s="16">
        <f>VLOOKUP(C11,Required_Ascension_Materials,6,FALSE)-VLOOKUP(C10,Required_Ascension_Materials,6,FALSE)</f>
        <v>0</v>
      </c>
      <c r="E16" s="171" t="s">
        <v>151</v>
      </c>
      <c r="F16" s="172"/>
      <c r="H16" s="185"/>
      <c r="I16" s="1" t="str">
        <f>E7</f>
        <v>Guide to Equity</v>
      </c>
      <c r="J16" s="17">
        <f>SUM(F7,F20,F33)</f>
        <v>0</v>
      </c>
      <c r="K16" s="34" t="s">
        <v>202</v>
      </c>
    </row>
    <row r="17" spans="1:11" ht="15.75" thickBot="1" x14ac:dyDescent="0.3">
      <c r="A17" s="184" t="s">
        <v>207</v>
      </c>
      <c r="B17" s="2" t="str">
        <f>VLOOKUP(VLOOKUP(B1,Character_List,5,FALSE),Common_Mob_Drops,2,FALSE)</f>
        <v>Transoceanic Pearl</v>
      </c>
      <c r="C17" s="15">
        <f>VLOOKUP(C11,Required_Ascension_Materials,7,FALSE)-VLOOKUP(C10,Required_Ascension_Materials,7,FALSE)</f>
        <v>0</v>
      </c>
      <c r="E17" s="12" t="s">
        <v>200</v>
      </c>
      <c r="F17" s="28">
        <v>9</v>
      </c>
      <c r="H17" s="186"/>
      <c r="I17" s="9" t="str">
        <f>E8</f>
        <v>Philosophies of Equity</v>
      </c>
      <c r="J17" s="16">
        <f>SUM(F8,F21,F34)</f>
        <v>0</v>
      </c>
      <c r="K17" s="34" t="s">
        <v>202</v>
      </c>
    </row>
    <row r="18" spans="1:11" ht="15.75" thickBot="1" x14ac:dyDescent="0.3">
      <c r="A18" s="185"/>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86"/>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Lumitoile</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14" priority="1" operator="containsText" text="Done">
      <formula>NOT(ISERROR(SEARCH("Done",K4)))</formula>
    </cfRule>
    <cfRule type="containsText" dxfId="513" priority="2" operator="containsText" text="In Progress">
      <formula>NOT(ISERROR(SEARCH("In Progress",K4)))</formula>
    </cfRule>
  </conditionalFormatting>
  <dataValidations count="5">
    <dataValidation type="list" allowBlank="1" showInputMessage="1" showErrorMessage="1" sqref="C10:C11" xr:uid="{91464544-300A-49AE-B333-C47E4E4845F6}">
      <formula1>"0,1,2,3,4,5,6"</formula1>
    </dataValidation>
    <dataValidation type="list" allowBlank="1" showInputMessage="1" showErrorMessage="1" sqref="K4:K19" xr:uid="{10CFCA3F-FD1F-49BC-9D27-80D09721042E}">
      <formula1>"In Progress, Done"</formula1>
    </dataValidation>
    <dataValidation type="list" allowBlank="1" showInputMessage="1" showErrorMessage="1" sqref="B1" xr:uid="{CD8686CE-0408-4D85-83A7-B072A6C250DD}">
      <formula1>Character_Name_List</formula1>
    </dataValidation>
    <dataValidation type="list" allowBlank="1" showInputMessage="1" showErrorMessage="1" sqref="F4:F5 F17:F18 F30:F31" xr:uid="{EE02D8E0-913A-4621-A327-C53552F12348}">
      <formula1>"1,2,3,4,5,6,7,8,9,10"</formula1>
    </dataValidation>
    <dataValidation type="list" operator="equal" allowBlank="1" showInputMessage="1" showErrorMessage="1" sqref="B4:B5" xr:uid="{FA72B4D9-4CE9-4257-8DC1-C91BD638AD10}">
      <formula1>"1,20,40,50,60,70,80,90"</formula1>
    </dataValidation>
  </dataValidation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60E1-7808-4E11-A7D2-36555C6E43B3}">
  <sheetPr codeName="Sheet253">
    <tabColor theme="9" tint="0.59999389629810485"/>
  </sheetPr>
  <dimension ref="A1:K40"/>
  <sheetViews>
    <sheetView workbookViewId="0">
      <selection activeCell="K18" sqref="K18"/>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288</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Primordial Greenbloom</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Tourbillon Device</v>
      </c>
      <c r="J10" s="16">
        <f t="shared" si="0"/>
        <v>0</v>
      </c>
      <c r="K10" s="34" t="s">
        <v>202</v>
      </c>
    </row>
    <row r="11" spans="1:11" ht="15.75" thickBot="1" x14ac:dyDescent="0.3">
      <c r="A11" s="173" t="s">
        <v>208</v>
      </c>
      <c r="B11" s="202"/>
      <c r="C11" s="43">
        <v>6</v>
      </c>
      <c r="E11" s="14" t="str">
        <f>VLOOKUP(VLOOKUP(B1,Character_List,5,FALSE),Common_Mob_Drops,2,FALSE)</f>
        <v>Clockwork Meka</v>
      </c>
      <c r="F11" s="17">
        <f>VLOOKUP(F5,Required_Talent_Materials,7,FALSE)-VLOOKUP(F4,Required_Talent_Materials,7,FALSE)</f>
        <v>0</v>
      </c>
      <c r="H11" s="184" t="s">
        <v>207</v>
      </c>
      <c r="I11" s="2" t="str">
        <f>B17</f>
        <v>Clockwork Meka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85"/>
      <c r="I12" s="1" t="str">
        <f>B18</f>
        <v>Mechanical Spur Gear</v>
      </c>
      <c r="J12" s="17">
        <f>SUM(C18,F12,F25,F38)</f>
        <v>0</v>
      </c>
      <c r="K12" s="34" t="s">
        <v>202</v>
      </c>
    </row>
    <row r="13" spans="1:11" ht="15.75" thickBot="1" x14ac:dyDescent="0.3">
      <c r="A13" s="182"/>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86"/>
      <c r="I13" s="9" t="str">
        <f>B19</f>
        <v>Artificed Dynamic Gear</v>
      </c>
      <c r="J13" s="16">
        <f>SUM(C19,F13,F26,F39)</f>
        <v>0</v>
      </c>
      <c r="K13" s="34" t="s">
        <v>202</v>
      </c>
    </row>
    <row r="14" spans="1:11" ht="15.75" thickBot="1" x14ac:dyDescent="0.3">
      <c r="A14" s="182"/>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Subdetection Unit</v>
      </c>
      <c r="J14" s="24">
        <f>C20</f>
        <v>0</v>
      </c>
      <c r="K14" s="34" t="s">
        <v>202</v>
      </c>
    </row>
    <row r="15" spans="1:11" ht="15.75" thickBot="1" x14ac:dyDescent="0.3">
      <c r="A15" s="182"/>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Order</v>
      </c>
      <c r="J15" s="15">
        <f>SUM(F6,F19,F32)</f>
        <v>0</v>
      </c>
      <c r="K15" s="34" t="s">
        <v>202</v>
      </c>
    </row>
    <row r="16" spans="1:11" ht="15.75" thickBot="1" x14ac:dyDescent="0.3">
      <c r="A16" s="183"/>
      <c r="B16" s="9" t="str">
        <f>VLOOKUP(B1,Character_List,4,FALSE)</f>
        <v>Tourbillon Device</v>
      </c>
      <c r="C16" s="16">
        <f>VLOOKUP(C11,Required_Ascension_Materials,6,FALSE)-VLOOKUP(C10,Required_Ascension_Materials,6,FALSE)</f>
        <v>0</v>
      </c>
      <c r="E16" s="171" t="s">
        <v>151</v>
      </c>
      <c r="F16" s="172"/>
      <c r="H16" s="185"/>
      <c r="I16" s="1" t="str">
        <f>E7</f>
        <v>Guide to Order</v>
      </c>
      <c r="J16" s="17">
        <f>SUM(F7,F20,F33)</f>
        <v>0</v>
      </c>
      <c r="K16" s="34" t="s">
        <v>202</v>
      </c>
    </row>
    <row r="17" spans="1:11" ht="15.75" thickBot="1" x14ac:dyDescent="0.3">
      <c r="A17" s="184" t="s">
        <v>207</v>
      </c>
      <c r="B17" s="2" t="str">
        <f>VLOOKUP(VLOOKUP(B1,Character_List,5,FALSE),Common_Mob_Drops,2,FALSE)</f>
        <v>Clockwork Meka</v>
      </c>
      <c r="C17" s="15">
        <f>VLOOKUP(C11,Required_Ascension_Materials,7,FALSE)-VLOOKUP(C10,Required_Ascension_Materials,7,FALSE)</f>
        <v>0</v>
      </c>
      <c r="E17" s="12" t="s">
        <v>200</v>
      </c>
      <c r="F17" s="28">
        <v>9</v>
      </c>
      <c r="H17" s="186"/>
      <c r="I17" s="9" t="str">
        <f>E8</f>
        <v>Philosophies of Order</v>
      </c>
      <c r="J17" s="16">
        <f>SUM(F8,F21,F34)</f>
        <v>0</v>
      </c>
      <c r="K17" s="34" t="s">
        <v>202</v>
      </c>
    </row>
    <row r="18" spans="1:11" ht="15.75" thickBot="1" x14ac:dyDescent="0.3">
      <c r="A18" s="185"/>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Primordial Greenbloom</v>
      </c>
      <c r="J18" s="24">
        <f>SUM(F9,F22,F35)</f>
        <v>0</v>
      </c>
      <c r="K18" s="34" t="s">
        <v>202</v>
      </c>
    </row>
    <row r="19" spans="1:11" ht="15.75" thickBot="1" x14ac:dyDescent="0.3">
      <c r="A19" s="186"/>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Subdetection Unit</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Primordial Greenbloom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Primordial Greenbloom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12" priority="1" operator="containsText" text="Done">
      <formula>NOT(ISERROR(SEARCH("Done",K4)))</formula>
    </cfRule>
    <cfRule type="containsText" dxfId="511" priority="2" operator="containsText" text="In Progress">
      <formula>NOT(ISERROR(SEARCH("In Progress",K4)))</formula>
    </cfRule>
  </conditionalFormatting>
  <dataValidations count="5">
    <dataValidation type="list" operator="equal" allowBlank="1" showInputMessage="1" showErrorMessage="1" sqref="B4:B5" xr:uid="{590BA629-0BBE-4F42-B438-38A51B8D7F6A}">
      <formula1>"1,20,40,50,60,70,80,90"</formula1>
    </dataValidation>
    <dataValidation type="list" allowBlank="1" showInputMessage="1" showErrorMessage="1" sqref="F4:F5 F17:F18 F30:F31" xr:uid="{10DD7090-851B-4611-A6D3-BD8A655C9253}">
      <formula1>"1,2,3,4,5,6,7,8,9,10"</formula1>
    </dataValidation>
    <dataValidation type="list" allowBlank="1" showInputMessage="1" showErrorMessage="1" sqref="B1" xr:uid="{A0A37AF8-EE34-4D90-8673-615A2D941193}">
      <formula1>Character_Name_List</formula1>
    </dataValidation>
    <dataValidation type="list" allowBlank="1" showInputMessage="1" showErrorMessage="1" sqref="K4:K19" xr:uid="{591022C9-BA47-4C5D-891A-8E548B62848F}">
      <formula1>"In Progress, Done"</formula1>
    </dataValidation>
    <dataValidation type="list" allowBlank="1" showInputMessage="1" showErrorMessage="1" sqref="C10:C11" xr:uid="{F5F02832-3FC5-4F29-9E34-E38412BC6104}">
      <formula1>"0,1,2,3,4,5,6"</formula1>
    </dataValidation>
  </dataValidation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7AB32-178D-4481-9B06-6F8CAF3BE5C4}">
  <sheetPr codeName="Sheet255">
    <tabColor theme="9" tint="0.59999389629810485"/>
  </sheetPr>
  <dimension ref="A1:K40"/>
  <sheetViews>
    <sheetView workbookViewId="0">
      <selection activeCell="I26" sqref="I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289</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84"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85"/>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85"/>
      <c r="I8" s="1" t="str">
        <f t="shared" si="0"/>
        <v>Varunada Lazurite Chunk</v>
      </c>
      <c r="J8" s="17">
        <f t="shared" si="0"/>
        <v>0</v>
      </c>
      <c r="K8" s="34" t="s">
        <v>202</v>
      </c>
    </row>
    <row r="9" spans="1:11" ht="15.75" thickBot="1" x14ac:dyDescent="0.3">
      <c r="A9" s="171" t="s">
        <v>149</v>
      </c>
      <c r="B9" s="231"/>
      <c r="C9" s="172"/>
      <c r="E9" s="14" t="str">
        <f>VLOOKUP(VLOOKUP(B1,Character_List,8,FALSE),Weekly_Boss_Mats,2,FALSE)</f>
        <v>Lightless Mass</v>
      </c>
      <c r="F9" s="17">
        <f>VLOOKUP(F5,Required_Talent_Materials,5,FALSE)-VLOOKUP(F4,Required_Talent_Materials,5,FALSE)</f>
        <v>0</v>
      </c>
      <c r="H9" s="185"/>
      <c r="I9" s="1" t="str">
        <f t="shared" si="0"/>
        <v>Varunada Lazurite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Water That Failed To Transcend</v>
      </c>
      <c r="J10" s="16">
        <f t="shared" si="0"/>
        <v>0</v>
      </c>
      <c r="K10" s="34" t="s">
        <v>202</v>
      </c>
    </row>
    <row r="11" spans="1:11" ht="15.75" thickBot="1" x14ac:dyDescent="0.3">
      <c r="A11" s="173" t="s">
        <v>208</v>
      </c>
      <c r="B11" s="202"/>
      <c r="C11" s="43">
        <v>6</v>
      </c>
      <c r="E11" s="14" t="str">
        <f>VLOOKUP(VLOOKUP(B1,Character_List,5,FALSE),Common_Mob_Drops,2,FALSE)</f>
        <v>Whopperflower</v>
      </c>
      <c r="F11" s="17">
        <f>VLOOKUP(F5,Required_Talent_Materials,7,FALSE)-VLOOKUP(F4,Required_Talent_Materials,7,FALSE)</f>
        <v>0</v>
      </c>
      <c r="H11" s="184" t="s">
        <v>207</v>
      </c>
      <c r="I11" s="2" t="str">
        <f>B17</f>
        <v>Whopperflower</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5"/>
      <c r="I12" s="1" t="str">
        <f>B18</f>
        <v>Shimmering Nectar</v>
      </c>
      <c r="J12" s="17">
        <f>SUM(C18,F12,F25,F38)</f>
        <v>0</v>
      </c>
      <c r="K12" s="34" t="s">
        <v>202</v>
      </c>
    </row>
    <row r="13" spans="1:11" ht="15.75" thickBot="1" x14ac:dyDescent="0.3">
      <c r="A13" s="182"/>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6"/>
      <c r="I13" s="9" t="str">
        <f>B19</f>
        <v>Energy Nectar</v>
      </c>
      <c r="J13" s="16">
        <f>SUM(C19,F13,F26,F39)</f>
        <v>0</v>
      </c>
      <c r="K13" s="34" t="s">
        <v>202</v>
      </c>
    </row>
    <row r="14" spans="1:11" ht="15.75" thickBot="1" x14ac:dyDescent="0.3">
      <c r="A14" s="182"/>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Lakelight Lily</v>
      </c>
      <c r="J14" s="24">
        <f>C20</f>
        <v>0</v>
      </c>
      <c r="K14" s="34" t="s">
        <v>202</v>
      </c>
    </row>
    <row r="15" spans="1:11" ht="15.75" thickBot="1" x14ac:dyDescent="0.3">
      <c r="A15" s="182"/>
      <c r="B15" s="1" t="str">
        <f>_xlfn.CONCAT(VLOOKUP(VLOOKUP(B1,Character_List,2,FALSE),Boss_Mob_Drops,2,FALSE), " Gemstone")</f>
        <v>Varunada Lazurite Gemstone</v>
      </c>
      <c r="C15" s="17">
        <f>VLOOKUP(C11,Required_Ascension_Materials,5,FALSE)-VLOOKUP(C10,Required_Ascension_Materials,5,FALSE)</f>
        <v>0</v>
      </c>
      <c r="H15" s="184" t="s">
        <v>216</v>
      </c>
      <c r="I15" s="2" t="str">
        <f>E6</f>
        <v>Teachings of Justice</v>
      </c>
      <c r="J15" s="15">
        <f>SUM(F6,F19,F32)</f>
        <v>0</v>
      </c>
      <c r="K15" s="34" t="s">
        <v>202</v>
      </c>
    </row>
    <row r="16" spans="1:11" ht="15.75" thickBot="1" x14ac:dyDescent="0.3">
      <c r="A16" s="183"/>
      <c r="B16" s="9" t="str">
        <f>VLOOKUP(B1,Character_List,4,FALSE)</f>
        <v>Water That Failed To Transcend</v>
      </c>
      <c r="C16" s="16">
        <f>VLOOKUP(C11,Required_Ascension_Materials,6,FALSE)-VLOOKUP(C10,Required_Ascension_Materials,6,FALSE)</f>
        <v>0</v>
      </c>
      <c r="E16" s="171" t="s">
        <v>151</v>
      </c>
      <c r="F16" s="172"/>
      <c r="H16" s="185"/>
      <c r="I16" s="1" t="str">
        <f>E7</f>
        <v>Guide to Justice</v>
      </c>
      <c r="J16" s="17">
        <f>SUM(F7,F20,F33)</f>
        <v>0</v>
      </c>
      <c r="K16" s="34" t="s">
        <v>202</v>
      </c>
    </row>
    <row r="17" spans="1:11" ht="15.75" thickBot="1" x14ac:dyDescent="0.3">
      <c r="A17" s="184" t="s">
        <v>207</v>
      </c>
      <c r="B17" s="2" t="str">
        <f>VLOOKUP(VLOOKUP(B1,Character_List,5,FALSE),Common_Mob_Drops,2,FALSE)</f>
        <v>Whopperflower</v>
      </c>
      <c r="C17" s="15">
        <f>VLOOKUP(C11,Required_Ascension_Materials,7,FALSE)-VLOOKUP(C10,Required_Ascension_Materials,7,FALSE)</f>
        <v>0</v>
      </c>
      <c r="E17" s="12" t="s">
        <v>200</v>
      </c>
      <c r="F17" s="28">
        <v>9</v>
      </c>
      <c r="H17" s="186"/>
      <c r="I17" s="9" t="str">
        <f>E8</f>
        <v>Philosophies of Justice</v>
      </c>
      <c r="J17" s="16">
        <f>SUM(F8,F21,F34)</f>
        <v>0</v>
      </c>
      <c r="K17" s="34" t="s">
        <v>202</v>
      </c>
    </row>
    <row r="18" spans="1:11" ht="15.75" thickBot="1" x14ac:dyDescent="0.3">
      <c r="A18" s="185"/>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Lightless Mass</v>
      </c>
      <c r="J18" s="24">
        <f>SUM(F9,F22,F35)</f>
        <v>0</v>
      </c>
      <c r="K18" s="34" t="s">
        <v>202</v>
      </c>
    </row>
    <row r="19" spans="1:11" ht="15.75" thickBot="1" x14ac:dyDescent="0.3">
      <c r="A19" s="186"/>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Lakelight Lily</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Lightless Mass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Lightless Mass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10" priority="1" operator="containsText" text="Done">
      <formula>NOT(ISERROR(SEARCH("Done",K4)))</formula>
    </cfRule>
    <cfRule type="containsText" dxfId="509" priority="2" operator="containsText" text="In Progress">
      <formula>NOT(ISERROR(SEARCH("In Progress",K4)))</formula>
    </cfRule>
  </conditionalFormatting>
  <dataValidations count="5">
    <dataValidation type="list" allowBlank="1" showInputMessage="1" showErrorMessage="1" sqref="C10:C11" xr:uid="{F3565951-081C-46A4-8905-F445D0D32874}">
      <formula1>"0,1,2,3,4,5,6"</formula1>
    </dataValidation>
    <dataValidation type="list" allowBlank="1" showInputMessage="1" showErrorMessage="1" sqref="K4:K19" xr:uid="{7D0E3ABA-8D1A-4690-B98D-E4A09B3AF818}">
      <formula1>"In Progress, Done"</formula1>
    </dataValidation>
    <dataValidation type="list" allowBlank="1" showInputMessage="1" showErrorMessage="1" sqref="B1" xr:uid="{7F4DE6DA-4ED2-4312-8C11-E35E964A166C}">
      <formula1>Character_Name_List</formula1>
    </dataValidation>
    <dataValidation type="list" allowBlank="1" showInputMessage="1" showErrorMessage="1" sqref="F4:F5 F17:F18 F30:F31" xr:uid="{52ECE7A3-B45C-40E5-BC48-7162313D4238}">
      <formula1>"1,2,3,4,5,6,7,8,9,10"</formula1>
    </dataValidation>
    <dataValidation type="list" operator="equal" allowBlank="1" showInputMessage="1" showErrorMessage="1" sqref="B4:B5" xr:uid="{63817423-34CC-44A1-B25C-93A33A2DA200}">
      <formula1>"1,20,40,50,60,70,80,90"</formula1>
    </dataValidation>
  </dataValidation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13C85-42A5-4829-8EFB-FA91D0B935FC}">
  <sheetPr codeName="Sheet254">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290</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Lightless Silk String</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Tourbillon Device</v>
      </c>
      <c r="J10" s="16">
        <f t="shared" si="0"/>
        <v>0</v>
      </c>
      <c r="K10" s="34" t="s">
        <v>202</v>
      </c>
    </row>
    <row r="11" spans="1:11" ht="15.75" thickBot="1" x14ac:dyDescent="0.3">
      <c r="A11" s="173" t="s">
        <v>208</v>
      </c>
      <c r="B11" s="202"/>
      <c r="C11" s="43">
        <v>6</v>
      </c>
      <c r="E11" s="14" t="str">
        <f>VLOOKUP(VLOOKUP(B1,Character_List,5,FALSE),Common_Mob_Drops,2,FALSE)</f>
        <v>Clockwork Meka</v>
      </c>
      <c r="F11" s="17">
        <f>VLOOKUP(F5,Required_Talent_Materials,7,FALSE)-VLOOKUP(F4,Required_Talent_Materials,7,FALSE)</f>
        <v>0</v>
      </c>
      <c r="H11" s="184" t="s">
        <v>207</v>
      </c>
      <c r="I11" s="2" t="str">
        <f>B17</f>
        <v>Clockwork Meka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85"/>
      <c r="I12" s="1" t="str">
        <f>B18</f>
        <v>Mechanical Spur Gear</v>
      </c>
      <c r="J12" s="17">
        <f>SUM(C18,F12,F25,F38)</f>
        <v>0</v>
      </c>
      <c r="K12" s="34" t="s">
        <v>202</v>
      </c>
    </row>
    <row r="13" spans="1:11" ht="15.75" thickBot="1" x14ac:dyDescent="0.3">
      <c r="A13" s="182"/>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86"/>
      <c r="I13" s="9" t="str">
        <f>B19</f>
        <v>Artificed Dynamic Gear</v>
      </c>
      <c r="J13" s="16">
        <f>SUM(C19,F13,F26,F39)</f>
        <v>0</v>
      </c>
      <c r="K13" s="34" t="s">
        <v>202</v>
      </c>
    </row>
    <row r="14" spans="1:11" ht="15.75" thickBot="1" x14ac:dyDescent="0.3">
      <c r="A14" s="182"/>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Beryl Conch</v>
      </c>
      <c r="J14" s="24">
        <f>C20</f>
        <v>0</v>
      </c>
      <c r="K14" s="34" t="s">
        <v>202</v>
      </c>
    </row>
    <row r="15" spans="1:11" ht="15.75" thickBot="1" x14ac:dyDescent="0.3">
      <c r="A15" s="182"/>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Justice</v>
      </c>
      <c r="J15" s="15">
        <f>SUM(F6,F19,F32)</f>
        <v>0</v>
      </c>
      <c r="K15" s="34" t="s">
        <v>202</v>
      </c>
    </row>
    <row r="16" spans="1:11" ht="15.75" thickBot="1" x14ac:dyDescent="0.3">
      <c r="A16" s="183"/>
      <c r="B16" s="9" t="str">
        <f>VLOOKUP(B1,Character_List,4,FALSE)</f>
        <v>Tourbillon Device</v>
      </c>
      <c r="C16" s="16">
        <f>VLOOKUP(C11,Required_Ascension_Materials,6,FALSE)-VLOOKUP(C10,Required_Ascension_Materials,6,FALSE)</f>
        <v>0</v>
      </c>
      <c r="E16" s="171" t="s">
        <v>151</v>
      </c>
      <c r="F16" s="172"/>
      <c r="H16" s="185"/>
      <c r="I16" s="1" t="str">
        <f>E7</f>
        <v>Guide to Justice</v>
      </c>
      <c r="J16" s="17">
        <f>SUM(F7,F20,F33)</f>
        <v>0</v>
      </c>
      <c r="K16" s="34" t="s">
        <v>202</v>
      </c>
    </row>
    <row r="17" spans="1:11" ht="15.75" thickBot="1" x14ac:dyDescent="0.3">
      <c r="A17" s="184" t="s">
        <v>207</v>
      </c>
      <c r="B17" s="2" t="str">
        <f>VLOOKUP(VLOOKUP(B1,Character_List,5,FALSE),Common_Mob_Drops,2,FALSE)</f>
        <v>Clockwork Meka</v>
      </c>
      <c r="C17" s="15">
        <f>VLOOKUP(C11,Required_Ascension_Materials,7,FALSE)-VLOOKUP(C10,Required_Ascension_Materials,7,FALSE)</f>
        <v>0</v>
      </c>
      <c r="E17" s="12" t="s">
        <v>200</v>
      </c>
      <c r="F17" s="28">
        <v>9</v>
      </c>
      <c r="H17" s="186"/>
      <c r="I17" s="9" t="str">
        <f>E8</f>
        <v>Philosophies of Justice</v>
      </c>
      <c r="J17" s="16">
        <f>SUM(F8,F21,F34)</f>
        <v>0</v>
      </c>
      <c r="K17" s="34" t="s">
        <v>202</v>
      </c>
    </row>
    <row r="18" spans="1:11" ht="15.75" thickBot="1" x14ac:dyDescent="0.3">
      <c r="A18" s="185"/>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86"/>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Beryl Conch</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08" priority="1" operator="containsText" text="Done">
      <formula>NOT(ISERROR(SEARCH("Done",K4)))</formula>
    </cfRule>
    <cfRule type="containsText" dxfId="507" priority="2" operator="containsText" text="In Progress">
      <formula>NOT(ISERROR(SEARCH("In Progress",K4)))</formula>
    </cfRule>
  </conditionalFormatting>
  <dataValidations count="5">
    <dataValidation type="list" allowBlank="1" showInputMessage="1" showErrorMessage="1" sqref="C10:C11" xr:uid="{EA9ABC4A-58D2-474E-86EF-8F17B72985D2}">
      <formula1>"0,1,2,3,4,5,6"</formula1>
    </dataValidation>
    <dataValidation type="list" allowBlank="1" showInputMessage="1" showErrorMessage="1" sqref="K4:K19" xr:uid="{F979AD8F-BD3D-465F-A8F7-B3C30A7A5721}">
      <formula1>"In Progress, Done"</formula1>
    </dataValidation>
    <dataValidation type="list" allowBlank="1" showInputMessage="1" showErrorMessage="1" sqref="B1" xr:uid="{99D9961A-BF89-4596-861D-D361E96269BF}">
      <formula1>Character_Name_List</formula1>
    </dataValidation>
    <dataValidation type="list" allowBlank="1" showInputMessage="1" showErrorMessage="1" sqref="F4:F5 F17:F18 F30:F31" xr:uid="{508B747F-4AA6-4C38-9C96-51714137D770}">
      <formula1>"1,2,3,4,5,6,7,8,9,10"</formula1>
    </dataValidation>
    <dataValidation type="list" operator="equal" allowBlank="1" showInputMessage="1" showErrorMessage="1" sqref="B4:B5" xr:uid="{3A529258-D39B-4103-A54D-FA38C390D77B}">
      <formula1>"1,20,40,50,60,70,80,90"</formula1>
    </dataValidation>
  </dataValidation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52070-7313-42C2-A7F2-CE2B7CAD841E}">
  <sheetPr codeName="Sheet278">
    <tabColor rgb="FFC6E0B4"/>
  </sheetPr>
  <dimension ref="A1:K40"/>
  <sheetViews>
    <sheetView workbookViewId="0">
      <selection activeCell="J26" sqref="J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291</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84"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85"/>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85"/>
      <c r="I8" s="1" t="str">
        <f t="shared" si="0"/>
        <v>Prithiva Topaz Chunk</v>
      </c>
      <c r="J8" s="17">
        <f t="shared" si="0"/>
        <v>0</v>
      </c>
      <c r="K8" s="34" t="s">
        <v>202</v>
      </c>
    </row>
    <row r="9" spans="1:11" ht="15.75" thickBot="1" x14ac:dyDescent="0.3">
      <c r="A9" s="171" t="s">
        <v>149</v>
      </c>
      <c r="B9" s="231"/>
      <c r="C9" s="172"/>
      <c r="E9" s="14" t="str">
        <f>VLOOKUP(VLOOKUP(B1,Character_List,8,FALSE),Weekly_Boss_Mats,2,FALSE)</f>
        <v>Lightless Silk String</v>
      </c>
      <c r="F9" s="17">
        <f>VLOOKUP(F5,Required_Talent_Materials,5,FALSE)-VLOOKUP(F4,Required_Talent_Materials,5,FALSE)</f>
        <v>0</v>
      </c>
      <c r="H9" s="185"/>
      <c r="I9" s="1" t="str">
        <f t="shared" si="0"/>
        <v>Prithiva Topaz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Novel Spare Clockwork Component — Coppelius</v>
      </c>
      <c r="J10" s="16">
        <f t="shared" si="0"/>
        <v>0</v>
      </c>
      <c r="K10" s="34" t="s">
        <v>202</v>
      </c>
    </row>
    <row r="11" spans="1:11" ht="15.75" thickBot="1" x14ac:dyDescent="0.3">
      <c r="A11" s="173" t="s">
        <v>208</v>
      </c>
      <c r="B11" s="202"/>
      <c r="C11" s="43">
        <v>6</v>
      </c>
      <c r="E11" s="14" t="str">
        <f>VLOOKUP(VLOOKUP(B1,Character_List,5,FALSE),Common_Mob_Drops,2,FALSE)</f>
        <v>Transoceanic Pearl</v>
      </c>
      <c r="F11" s="17">
        <f>VLOOKUP(F5,Required_Talent_Materials,7,FALSE)-VLOOKUP(F4,Required_Talent_Materials,7,FALSE)</f>
        <v>0</v>
      </c>
      <c r="H11" s="184" t="s">
        <v>207</v>
      </c>
      <c r="I11" s="2" t="str">
        <f>B17</f>
        <v>Transoceanic Pearl</v>
      </c>
      <c r="J11" s="15">
        <f>SUM(C17,F11,F24,F37)</f>
        <v>0</v>
      </c>
      <c r="K11" s="34" t="s">
        <v>202</v>
      </c>
    </row>
    <row r="12" spans="1:11" x14ac:dyDescent="0.25">
      <c r="A12" s="188"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85"/>
      <c r="I12" s="1" t="str">
        <f>B18</f>
        <v>Transoceanic Chunk</v>
      </c>
      <c r="J12" s="17">
        <f>SUM(C18,F12,F25,F38)</f>
        <v>0</v>
      </c>
      <c r="K12" s="34" t="s">
        <v>202</v>
      </c>
    </row>
    <row r="13" spans="1:11" ht="15.75" thickBot="1" x14ac:dyDescent="0.3">
      <c r="A13" s="182"/>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86"/>
      <c r="I13" s="9" t="str">
        <f>B19</f>
        <v>Xenochromatic Crystal</v>
      </c>
      <c r="J13" s="16">
        <f>SUM(C19,F13,F26,F39)</f>
        <v>0</v>
      </c>
      <c r="K13" s="34" t="s">
        <v>202</v>
      </c>
    </row>
    <row r="14" spans="1:11" ht="15.75" thickBot="1" x14ac:dyDescent="0.3">
      <c r="A14" s="182"/>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Spring of the First Dewdrop</v>
      </c>
      <c r="J14" s="24">
        <f>C20</f>
        <v>0</v>
      </c>
      <c r="K14" s="34" t="s">
        <v>202</v>
      </c>
    </row>
    <row r="15" spans="1:11" ht="15.75" thickBot="1" x14ac:dyDescent="0.3">
      <c r="A15" s="182"/>
      <c r="B15" s="1" t="str">
        <f>_xlfn.CONCAT(VLOOKUP(VLOOKUP(B1,Character_List,2,FALSE),Boss_Mob_Drops,2,FALSE), " Gemstone")</f>
        <v>Prithiva Topaz Gemstone</v>
      </c>
      <c r="C15" s="17">
        <f>VLOOKUP(C11,Required_Ascension_Materials,5,FALSE)-VLOOKUP(C10,Required_Ascension_Materials,5,FALSE)</f>
        <v>0</v>
      </c>
      <c r="H15" s="184" t="s">
        <v>216</v>
      </c>
      <c r="I15" s="2" t="str">
        <f>E6</f>
        <v>Teachings of Equity</v>
      </c>
      <c r="J15" s="15">
        <f>SUM(F6,F19,F32)</f>
        <v>0</v>
      </c>
      <c r="K15" s="34" t="s">
        <v>202</v>
      </c>
    </row>
    <row r="16" spans="1:11" ht="15.75" thickBot="1" x14ac:dyDescent="0.3">
      <c r="A16" s="183"/>
      <c r="B16" s="9" t="str">
        <f>VLOOKUP(B1,Character_List,4,FALSE)</f>
        <v>Novel Spare Clockwork Component — Coppelius</v>
      </c>
      <c r="C16" s="16">
        <f>VLOOKUP(C11,Required_Ascension_Materials,6,FALSE)-VLOOKUP(C10,Required_Ascension_Materials,6,FALSE)</f>
        <v>0</v>
      </c>
      <c r="E16" s="171" t="s">
        <v>151</v>
      </c>
      <c r="F16" s="172"/>
      <c r="H16" s="185"/>
      <c r="I16" s="1" t="str">
        <f>E7</f>
        <v>Guide to Equity</v>
      </c>
      <c r="J16" s="17">
        <f>SUM(F7,F20,F33)</f>
        <v>0</v>
      </c>
      <c r="K16" s="34" t="s">
        <v>202</v>
      </c>
    </row>
    <row r="17" spans="1:11" ht="15.75" thickBot="1" x14ac:dyDescent="0.3">
      <c r="A17" s="184" t="s">
        <v>207</v>
      </c>
      <c r="B17" s="2" t="str">
        <f>VLOOKUP(VLOOKUP(B1,Character_List,5,FALSE),Common_Mob_Drops,2,FALSE)</f>
        <v>Transoceanic Pearl</v>
      </c>
      <c r="C17" s="15">
        <f>VLOOKUP(C11,Required_Ascension_Materials,7,FALSE)-VLOOKUP(C10,Required_Ascension_Materials,7,FALSE)</f>
        <v>0</v>
      </c>
      <c r="E17" s="12" t="s">
        <v>200</v>
      </c>
      <c r="F17" s="28">
        <v>9</v>
      </c>
      <c r="H17" s="186"/>
      <c r="I17" s="9" t="str">
        <f>E8</f>
        <v>Philosophies of Equity</v>
      </c>
      <c r="J17" s="16">
        <f>SUM(F8,F21,F34)</f>
        <v>0</v>
      </c>
      <c r="K17" s="34" t="s">
        <v>202</v>
      </c>
    </row>
    <row r="18" spans="1:11" ht="15.75" thickBot="1" x14ac:dyDescent="0.3">
      <c r="A18" s="185"/>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86"/>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Spring of the First Dewdrop</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06" priority="1" operator="containsText" text="Done">
      <formula>NOT(ISERROR(SEARCH("Done",K4)))</formula>
    </cfRule>
    <cfRule type="containsText" dxfId="505" priority="2" operator="containsText" text="In Progress">
      <formula>NOT(ISERROR(SEARCH("In Progress",K4)))</formula>
    </cfRule>
  </conditionalFormatting>
  <dataValidations count="5">
    <dataValidation type="list" allowBlank="1" showInputMessage="1" showErrorMessage="1" sqref="C10:C11" xr:uid="{AFB8E261-E6B6-4269-AD09-DF8B6B905CCC}">
      <formula1>"0,1,2,3,4,5,6"</formula1>
    </dataValidation>
    <dataValidation type="list" allowBlank="1" showInputMessage="1" showErrorMessage="1" sqref="K4:K19" xr:uid="{28306792-1678-4AEA-99E4-2E1D29AAA7A1}">
      <formula1>"In Progress, Done"</formula1>
    </dataValidation>
    <dataValidation type="list" allowBlank="1" showInputMessage="1" showErrorMessage="1" sqref="B1" xr:uid="{53A23ED9-19BD-4FE9-A301-20BF86ED1D15}">
      <formula1>Character_Name_List</formula1>
    </dataValidation>
    <dataValidation type="list" allowBlank="1" showInputMessage="1" showErrorMessage="1" sqref="F4:F5 F17:F18 F30:F31" xr:uid="{BD12E638-F2CA-4B0C-B78D-3150E4E02A19}">
      <formula1>"1,2,3,4,5,6,7,8,9,10"</formula1>
    </dataValidation>
    <dataValidation type="list" operator="equal" allowBlank="1" showInputMessage="1" showErrorMessage="1" sqref="B4:B5" xr:uid="{53CBB8C9-1144-4D1C-8D25-9DCD78204EF8}">
      <formula1>"1,20,40,50,60,70,80,90"</formula1>
    </dataValidation>
  </dataValidation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A50D8-8F81-489D-807D-4B1212185780}">
  <sheetPr codeName="Sheet279">
    <tabColor rgb="FFC6E0B4"/>
  </sheetPr>
  <dimension ref="A1:K40"/>
  <sheetViews>
    <sheetView workbookViewId="0">
      <selection activeCell="K52" sqref="K5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292</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Lightless Eye of the Maelstrom</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Fontemer Unihorn</v>
      </c>
      <c r="J10" s="16">
        <f t="shared" si="0"/>
        <v>0</v>
      </c>
      <c r="K10" s="34" t="s">
        <v>202</v>
      </c>
    </row>
    <row r="11" spans="1:11" ht="15.75" thickBot="1" x14ac:dyDescent="0.3">
      <c r="A11" s="173" t="s">
        <v>208</v>
      </c>
      <c r="B11" s="202"/>
      <c r="C11" s="43">
        <v>6</v>
      </c>
      <c r="E11" s="14" t="str">
        <f>VLOOKUP(VLOOKUP(B1,Character_List,5,FALSE),Common_Mob_Drops,2,FALSE)</f>
        <v>Clockwork Meka</v>
      </c>
      <c r="F11" s="17">
        <f>VLOOKUP(F5,Required_Talent_Materials,7,FALSE)-VLOOKUP(F4,Required_Talent_Materials,7,FALSE)</f>
        <v>0</v>
      </c>
      <c r="H11" s="184" t="s">
        <v>207</v>
      </c>
      <c r="I11" s="2" t="str">
        <f>B17</f>
        <v>Clockwork Meka</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85"/>
      <c r="I12" s="1" t="str">
        <f>B18</f>
        <v>Mechanical Spur Gear</v>
      </c>
      <c r="J12" s="17">
        <f>SUM(C18,F12,F25,F38)</f>
        <v>0</v>
      </c>
      <c r="K12" s="34" t="s">
        <v>202</v>
      </c>
    </row>
    <row r="13" spans="1:11" ht="15.75" thickBot="1" x14ac:dyDescent="0.3">
      <c r="A13" s="182"/>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86"/>
      <c r="I13" s="9" t="str">
        <f>B19</f>
        <v>Artificed Dynamic Gear</v>
      </c>
      <c r="J13" s="16">
        <f>SUM(C19,F13,F26,F39)</f>
        <v>0</v>
      </c>
      <c r="K13" s="34" t="s">
        <v>202</v>
      </c>
    </row>
    <row r="14" spans="1:11" ht="15.75" thickBot="1" x14ac:dyDescent="0.3">
      <c r="A14" s="182"/>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Lumidouce Bell</v>
      </c>
      <c r="J14" s="24">
        <f>C20</f>
        <v>0</v>
      </c>
      <c r="K14" s="34" t="s">
        <v>202</v>
      </c>
    </row>
    <row r="15" spans="1:11" ht="15.75" thickBot="1" x14ac:dyDescent="0.3">
      <c r="A15" s="182"/>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Order</v>
      </c>
      <c r="J15" s="15">
        <f>SUM(F6,F19,F32)</f>
        <v>0</v>
      </c>
      <c r="K15" s="34" t="s">
        <v>202</v>
      </c>
    </row>
    <row r="16" spans="1:11" ht="15.75" thickBot="1" x14ac:dyDescent="0.3">
      <c r="A16" s="183"/>
      <c r="B16" s="9" t="str">
        <f>VLOOKUP(B1,Character_List,4,FALSE)</f>
        <v>Fontemer Unihorn</v>
      </c>
      <c r="C16" s="16">
        <f>VLOOKUP(C11,Required_Ascension_Materials,6,FALSE)-VLOOKUP(C10,Required_Ascension_Materials,6,FALSE)</f>
        <v>0</v>
      </c>
      <c r="E16" s="171" t="s">
        <v>151</v>
      </c>
      <c r="F16" s="172"/>
      <c r="H16" s="185"/>
      <c r="I16" s="1" t="str">
        <f>E7</f>
        <v>Guide to Order</v>
      </c>
      <c r="J16" s="17">
        <f>SUM(F7,F20,F33)</f>
        <v>0</v>
      </c>
      <c r="K16" s="34" t="s">
        <v>202</v>
      </c>
    </row>
    <row r="17" spans="1:11" ht="15.75" thickBot="1" x14ac:dyDescent="0.3">
      <c r="A17" s="184" t="s">
        <v>207</v>
      </c>
      <c r="B17" s="2" t="str">
        <f>VLOOKUP(VLOOKUP(B1,Character_List,5,FALSE),Common_Mob_Drops,2,FALSE)</f>
        <v>Clockwork Meka</v>
      </c>
      <c r="C17" s="15">
        <f>VLOOKUP(C11,Required_Ascension_Materials,7,FALSE)-VLOOKUP(C10,Required_Ascension_Materials,7,FALSE)</f>
        <v>0</v>
      </c>
      <c r="E17" s="12" t="s">
        <v>200</v>
      </c>
      <c r="F17" s="28">
        <v>9</v>
      </c>
      <c r="H17" s="186"/>
      <c r="I17" s="9" t="str">
        <f>E8</f>
        <v>Philosophies of Order</v>
      </c>
      <c r="J17" s="16">
        <f>SUM(F8,F21,F34)</f>
        <v>0</v>
      </c>
      <c r="K17" s="34" t="s">
        <v>202</v>
      </c>
    </row>
    <row r="18" spans="1:11" ht="15.75" thickBot="1" x14ac:dyDescent="0.3">
      <c r="A18" s="185"/>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Lightless Eye of the Maelstrom</v>
      </c>
      <c r="J18" s="24">
        <f>SUM(F9,F22,F35)</f>
        <v>0</v>
      </c>
      <c r="K18" s="34" t="s">
        <v>202</v>
      </c>
    </row>
    <row r="19" spans="1:11" ht="15.75" thickBot="1" x14ac:dyDescent="0.3">
      <c r="A19" s="186"/>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Lumidouce Bell</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Lightless Eye of the Maelstrom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Lightless Eye of the Maelstrom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04" priority="1" operator="containsText" text="Done">
      <formula>NOT(ISERROR(SEARCH("Done",K4)))</formula>
    </cfRule>
    <cfRule type="containsText" dxfId="503" priority="2" operator="containsText" text="In Progress">
      <formula>NOT(ISERROR(SEARCH("In Progress",K4)))</formula>
    </cfRule>
  </conditionalFormatting>
  <dataValidations count="5">
    <dataValidation type="list" allowBlank="1" showInputMessage="1" showErrorMessage="1" sqref="C10:C11" xr:uid="{50A5B7A4-FBB7-4BAF-8ED6-FF4D492E01EF}">
      <formula1>"0,1,2,3,4,5,6"</formula1>
    </dataValidation>
    <dataValidation type="list" allowBlank="1" showInputMessage="1" showErrorMessage="1" sqref="K4:K19" xr:uid="{5B6BF7BE-0574-4636-8D42-7D85E2C61177}">
      <formula1>"In Progress, Done"</formula1>
    </dataValidation>
    <dataValidation type="list" allowBlank="1" showInputMessage="1" showErrorMessage="1" sqref="B1" xr:uid="{ED320426-E9C8-4B14-BAB1-D43113437D4A}">
      <formula1>Character_Name_List</formula1>
    </dataValidation>
    <dataValidation type="list" allowBlank="1" showInputMessage="1" showErrorMessage="1" sqref="F4:F5 F17:F18 F30:F31" xr:uid="{EC5348BF-46CF-4533-945B-3CFE8B25E8E7}">
      <formula1>"1,2,3,4,5,6,7,8,9,10"</formula1>
    </dataValidation>
    <dataValidation type="list" operator="equal" allowBlank="1" showInputMessage="1" showErrorMessage="1" sqref="B4:B5" xr:uid="{EB3D55E6-60D7-4253-B487-8DB66D90970B}">
      <formula1>"1,20,40,50,60,70,80,90"</formula1>
    </dataValidation>
  </dataValidation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8D158-7D51-4D39-8B82-22A4D63F5BD3}">
  <sheetPr codeName="Sheet277">
    <tabColor rgb="FFC6E0B4"/>
  </sheetPr>
  <dimension ref="A1:K40"/>
  <sheetViews>
    <sheetView workbookViewId="0">
      <selection activeCell="J26" sqref="J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293</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84"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85"/>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85"/>
      <c r="I8" s="1" t="str">
        <f t="shared" si="0"/>
        <v>Vayuda Turquoise Chunk</v>
      </c>
      <c r="J8" s="17">
        <f t="shared" si="0"/>
        <v>0</v>
      </c>
      <c r="K8" s="34" t="s">
        <v>202</v>
      </c>
    </row>
    <row r="9" spans="1:11" ht="15.75" thickBot="1" x14ac:dyDescent="0.3">
      <c r="A9" s="171" t="s">
        <v>149</v>
      </c>
      <c r="B9" s="231"/>
      <c r="C9" s="172"/>
      <c r="E9" s="14" t="str">
        <f>VLOOKUP(VLOOKUP(B1,Character_List,8,FALSE),Weekly_Boss_Mats,2,FALSE)</f>
        <v>Lightless Eye of the Maelstrom</v>
      </c>
      <c r="F9" s="17">
        <f>VLOOKUP(F5,Required_Talent_Materials,5,FALSE)-VLOOKUP(F4,Required_Talent_Materials,5,FALSE)</f>
        <v>0</v>
      </c>
      <c r="H9" s="185"/>
      <c r="I9" s="1" t="str">
        <f t="shared" si="0"/>
        <v>Vayuda Turquoise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Cloudseam Scale</v>
      </c>
      <c r="J10" s="16">
        <f t="shared" si="0"/>
        <v>0</v>
      </c>
      <c r="K10" s="34" t="s">
        <v>202</v>
      </c>
    </row>
    <row r="11" spans="1:11" ht="15.75" thickBot="1" x14ac:dyDescent="0.3">
      <c r="A11" s="173" t="s">
        <v>208</v>
      </c>
      <c r="B11" s="202"/>
      <c r="C11" s="43">
        <v>6</v>
      </c>
      <c r="E11" s="14" t="str">
        <f>VLOOKUP(VLOOKUP(B1,Character_List,5,FALSE),Common_Mob_Drops,2,FALSE)</f>
        <v>Divining Scroll</v>
      </c>
      <c r="F11" s="17">
        <f>VLOOKUP(F5,Required_Talent_Materials,7,FALSE)-VLOOKUP(F4,Required_Talent_Materials,7,FALSE)</f>
        <v>0</v>
      </c>
      <c r="H11" s="184" t="s">
        <v>207</v>
      </c>
      <c r="I11" s="2" t="str">
        <f>B17</f>
        <v>Divining Scroll</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85"/>
      <c r="I12" s="1" t="str">
        <f>B18</f>
        <v>Sealed Scroll</v>
      </c>
      <c r="J12" s="17">
        <f>SUM(C18,F12,F25,F38)</f>
        <v>0</v>
      </c>
      <c r="K12" s="34" t="s">
        <v>202</v>
      </c>
    </row>
    <row r="13" spans="1:11" ht="15.75" thickBot="1" x14ac:dyDescent="0.3">
      <c r="A13" s="182"/>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86"/>
      <c r="I13" s="9" t="str">
        <f>B19</f>
        <v>Forbidden Scroll</v>
      </c>
      <c r="J13" s="16">
        <f>SUM(C19,F13,F26,F39)</f>
        <v>0</v>
      </c>
      <c r="K13" s="34" t="s">
        <v>202</v>
      </c>
    </row>
    <row r="14" spans="1:11" ht="15.75" thickBot="1" x14ac:dyDescent="0.3">
      <c r="A14" s="182"/>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Clearwater Jade</v>
      </c>
      <c r="J14" s="24">
        <f>C20</f>
        <v>0</v>
      </c>
      <c r="K14" s="34" t="s">
        <v>202</v>
      </c>
    </row>
    <row r="15" spans="1:11" ht="15.75" thickBot="1" x14ac:dyDescent="0.3">
      <c r="A15" s="182"/>
      <c r="B15" s="1" t="str">
        <f>_xlfn.CONCAT(VLOOKUP(VLOOKUP(B1,Character_List,2,FALSE),Boss_Mob_Drops,2,FALSE), " Gemstone")</f>
        <v>Vayuda Turquoise Gemstone</v>
      </c>
      <c r="C15" s="17">
        <f>VLOOKUP(C11,Required_Ascension_Materials,5,FALSE)-VLOOKUP(C10,Required_Ascension_Materials,5,FALSE)</f>
        <v>0</v>
      </c>
      <c r="H15" s="184" t="s">
        <v>216</v>
      </c>
      <c r="I15" s="2" t="str">
        <f>E6</f>
        <v>Teachings of Gold</v>
      </c>
      <c r="J15" s="15">
        <f>SUM(F6,F19,F32)</f>
        <v>0</v>
      </c>
      <c r="K15" s="34" t="s">
        <v>202</v>
      </c>
    </row>
    <row r="16" spans="1:11" ht="15.75" thickBot="1" x14ac:dyDescent="0.3">
      <c r="A16" s="183"/>
      <c r="B16" s="9" t="str">
        <f>VLOOKUP(B1,Character_List,4,FALSE)</f>
        <v>Cloudseam Scale</v>
      </c>
      <c r="C16" s="16">
        <f>VLOOKUP(C11,Required_Ascension_Materials,6,FALSE)-VLOOKUP(C10,Required_Ascension_Materials,6,FALSE)</f>
        <v>0</v>
      </c>
      <c r="E16" s="171" t="s">
        <v>151</v>
      </c>
      <c r="F16" s="172"/>
      <c r="H16" s="185"/>
      <c r="I16" s="1" t="str">
        <f>E7</f>
        <v>Guide to Gold</v>
      </c>
      <c r="J16" s="17">
        <f>SUM(F7,F20,F33)</f>
        <v>0</v>
      </c>
      <c r="K16" s="34" t="s">
        <v>202</v>
      </c>
    </row>
    <row r="17" spans="1:11" ht="15.75" thickBot="1" x14ac:dyDescent="0.3">
      <c r="A17" s="184" t="s">
        <v>207</v>
      </c>
      <c r="B17" s="2" t="str">
        <f>VLOOKUP(VLOOKUP(B1,Character_List,5,FALSE),Common_Mob_Drops,2,FALSE)</f>
        <v>Divining Scroll</v>
      </c>
      <c r="C17" s="15">
        <f>VLOOKUP(C11,Required_Ascension_Materials,7,FALSE)-VLOOKUP(C10,Required_Ascension_Materials,7,FALSE)</f>
        <v>0</v>
      </c>
      <c r="E17" s="12" t="s">
        <v>200</v>
      </c>
      <c r="F17" s="28">
        <v>9</v>
      </c>
      <c r="H17" s="186"/>
      <c r="I17" s="9" t="str">
        <f>E8</f>
        <v>Philosophies of Gold</v>
      </c>
      <c r="J17" s="16">
        <f>SUM(F8,F21,F34)</f>
        <v>0</v>
      </c>
      <c r="K17" s="34" t="s">
        <v>202</v>
      </c>
    </row>
    <row r="18" spans="1:11" ht="15.75" thickBot="1" x14ac:dyDescent="0.3">
      <c r="A18" s="185"/>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Lightless Eye of the Maelstrom</v>
      </c>
      <c r="J18" s="24">
        <f>SUM(F9,F22,F35)</f>
        <v>0</v>
      </c>
      <c r="K18" s="34" t="s">
        <v>202</v>
      </c>
    </row>
    <row r="19" spans="1:11" ht="15.75" thickBot="1" x14ac:dyDescent="0.3">
      <c r="A19" s="186"/>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Clearwater Jade</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Lightless Eye of the Maelstrom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Lightless Eye of the Maelstrom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02" priority="1" operator="containsText" text="Done">
      <formula>NOT(ISERROR(SEARCH("Done",K4)))</formula>
    </cfRule>
    <cfRule type="containsText" dxfId="501" priority="2" operator="containsText" text="In Progress">
      <formula>NOT(ISERROR(SEARCH("In Progress",K4)))</formula>
    </cfRule>
  </conditionalFormatting>
  <dataValidations count="5">
    <dataValidation type="list" allowBlank="1" showInputMessage="1" showErrorMessage="1" sqref="C10:C11" xr:uid="{78705EE1-1FDC-4607-8A95-A0460D58AD57}">
      <formula1>"0,1,2,3,4,5,6"</formula1>
    </dataValidation>
    <dataValidation type="list" allowBlank="1" showInputMessage="1" showErrorMessage="1" sqref="K4:K19" xr:uid="{4675A748-EF3A-4166-8E8B-C1436FD99BE3}">
      <formula1>"In Progress, Done"</formula1>
    </dataValidation>
    <dataValidation type="list" allowBlank="1" showInputMessage="1" showErrorMessage="1" sqref="B1" xr:uid="{29389C39-E7F7-45DA-BF2D-65131216BBD9}">
      <formula1>Character_Name_List</formula1>
    </dataValidation>
    <dataValidation type="list" allowBlank="1" showInputMessage="1" showErrorMessage="1" sqref="F4:F5 F17:F18 F30:F31" xr:uid="{6B6DC33E-4B71-4660-BDE9-5F191C3F5B01}">
      <formula1>"1,2,3,4,5,6,7,8,9,10"</formula1>
    </dataValidation>
    <dataValidation type="list" operator="equal" allowBlank="1" showInputMessage="1" showErrorMessage="1" sqref="B4:B5" xr:uid="{7C76C675-672D-49FA-83E1-0CD4B01ED291}">
      <formula1>"1,20,40,50,60,70,80,90"</formula1>
    </dataValidation>
  </dataValidation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B90A3-BEF4-4E7E-9950-E032B583F462}">
  <sheetPr codeName="Sheet280">
    <tabColor rgb="FFC6E0B4"/>
  </sheetPr>
  <dimension ref="A1:K40"/>
  <sheetViews>
    <sheetView workbookViewId="0">
      <selection activeCell="I26" sqref="I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294</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Lightless Mass</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Emperor’s Resolution</v>
      </c>
      <c r="J10" s="16">
        <f t="shared" si="0"/>
        <v>0</v>
      </c>
      <c r="K10" s="34" t="s">
        <v>202</v>
      </c>
    </row>
    <row r="11" spans="1:11" ht="15.75" thickBot="1" x14ac:dyDescent="0.3">
      <c r="A11" s="173" t="s">
        <v>208</v>
      </c>
      <c r="B11" s="202"/>
      <c r="C11" s="43">
        <v>6</v>
      </c>
      <c r="E11" s="14" t="str">
        <f>VLOOKUP(VLOOKUP(B1,Character_List,5,FALSE),Common_Mob_Drops,2,FALSE)</f>
        <v>Slime Condensate</v>
      </c>
      <c r="F11" s="17">
        <f>VLOOKUP(F5,Required_Talent_Materials,7,FALSE)-VLOOKUP(F4,Required_Talent_Materials,7,FALSE)</f>
        <v>0</v>
      </c>
      <c r="H11" s="184" t="s">
        <v>207</v>
      </c>
      <c r="I11" s="2" t="str">
        <f>B17</f>
        <v>Slime Condensate</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85"/>
      <c r="I12" s="1" t="str">
        <f>B18</f>
        <v>Slime Secretions</v>
      </c>
      <c r="J12" s="17">
        <f>SUM(C18,F12,F25,F38)</f>
        <v>0</v>
      </c>
      <c r="K12" s="34" t="s">
        <v>202</v>
      </c>
    </row>
    <row r="13" spans="1:11" ht="15.75" thickBot="1" x14ac:dyDescent="0.3">
      <c r="A13" s="182"/>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86"/>
      <c r="I13" s="9" t="str">
        <f>B19</f>
        <v>Slime Concentrate</v>
      </c>
      <c r="J13" s="16">
        <f>SUM(C19,F13,F26,F39)</f>
        <v>0</v>
      </c>
      <c r="K13" s="34" t="s">
        <v>202</v>
      </c>
    </row>
    <row r="14" spans="1:11" ht="15.75" thickBot="1" x14ac:dyDescent="0.3">
      <c r="A14" s="182"/>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Starconch</v>
      </c>
      <c r="J14" s="24">
        <f>C20</f>
        <v>0</v>
      </c>
      <c r="K14" s="34" t="s">
        <v>202</v>
      </c>
    </row>
    <row r="15" spans="1:11" ht="15.75" thickBot="1" x14ac:dyDescent="0.3">
      <c r="A15" s="182"/>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Prosperity</v>
      </c>
      <c r="J15" s="15">
        <f>SUM(F6,F19,F32)</f>
        <v>0</v>
      </c>
      <c r="K15" s="34" t="s">
        <v>202</v>
      </c>
    </row>
    <row r="16" spans="1:11" ht="15.75" thickBot="1" x14ac:dyDescent="0.3">
      <c r="A16" s="183"/>
      <c r="B16" s="9" t="str">
        <f>VLOOKUP(B1,Character_List,4,FALSE)</f>
        <v>Emperor’s Resolution</v>
      </c>
      <c r="C16" s="16">
        <f>VLOOKUP(C11,Required_Ascension_Materials,6,FALSE)-VLOOKUP(C10,Required_Ascension_Materials,6,FALSE)</f>
        <v>0</v>
      </c>
      <c r="E16" s="171" t="s">
        <v>151</v>
      </c>
      <c r="F16" s="172"/>
      <c r="H16" s="185"/>
      <c r="I16" s="1" t="str">
        <f>E7</f>
        <v>Guide to Prosperity</v>
      </c>
      <c r="J16" s="17">
        <f>SUM(F7,F20,F33)</f>
        <v>0</v>
      </c>
      <c r="K16" s="34" t="s">
        <v>202</v>
      </c>
    </row>
    <row r="17" spans="1:11" ht="15.75" thickBot="1" x14ac:dyDescent="0.3">
      <c r="A17" s="184" t="s">
        <v>207</v>
      </c>
      <c r="B17" s="2" t="str">
        <f>VLOOKUP(VLOOKUP(B1,Character_List,5,FALSE),Common_Mob_Drops,2,FALSE)</f>
        <v>Slime Condensate</v>
      </c>
      <c r="C17" s="15">
        <f>VLOOKUP(C11,Required_Ascension_Materials,7,FALSE)-VLOOKUP(C10,Required_Ascension_Materials,7,FALSE)</f>
        <v>0</v>
      </c>
      <c r="E17" s="12" t="s">
        <v>200</v>
      </c>
      <c r="F17" s="28">
        <v>9</v>
      </c>
      <c r="H17" s="186"/>
      <c r="I17" s="9" t="str">
        <f>E8</f>
        <v>Philosophies of Prosperity</v>
      </c>
      <c r="J17" s="16">
        <f>SUM(F8,F21,F34)</f>
        <v>0</v>
      </c>
      <c r="K17" s="34" t="s">
        <v>202</v>
      </c>
    </row>
    <row r="18" spans="1:11" ht="15.75" thickBot="1" x14ac:dyDescent="0.3">
      <c r="A18" s="185"/>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Lightless Mass</v>
      </c>
      <c r="J18" s="24">
        <f>SUM(F9,F22,F35)</f>
        <v>0</v>
      </c>
      <c r="K18" s="34" t="s">
        <v>202</v>
      </c>
    </row>
    <row r="19" spans="1:11" ht="15.75" thickBot="1" x14ac:dyDescent="0.3">
      <c r="A19" s="186"/>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Starconch</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Lightless Mass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Lightless Mass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00" priority="1" operator="containsText" text="Done">
      <formula>NOT(ISERROR(SEARCH("Done",K4)))</formula>
    </cfRule>
    <cfRule type="containsText" dxfId="499" priority="2" operator="containsText" text="In Progress">
      <formula>NOT(ISERROR(SEARCH("In Progress",K4)))</formula>
    </cfRule>
  </conditionalFormatting>
  <dataValidations count="5">
    <dataValidation type="list" allowBlank="1" showInputMessage="1" showErrorMessage="1" sqref="C10:C11" xr:uid="{12596077-7270-4A59-8AD5-92FCFD578562}">
      <formula1>"0,1,2,3,4,5,6"</formula1>
    </dataValidation>
    <dataValidation type="list" allowBlank="1" showInputMessage="1" showErrorMessage="1" sqref="K4:K19" xr:uid="{20AE2236-4DB5-40D1-A99E-7FE81AB56352}">
      <formula1>"In Progress, Done"</formula1>
    </dataValidation>
    <dataValidation type="list" allowBlank="1" showInputMessage="1" showErrorMessage="1" sqref="B1" xr:uid="{51D83736-A28F-48B2-AF24-BC9DC58D6812}">
      <formula1>Character_Name_List</formula1>
    </dataValidation>
    <dataValidation type="list" allowBlank="1" showInputMessage="1" showErrorMessage="1" sqref="F4:F5 F17:F18 F30:F31" xr:uid="{1F0E616A-A685-4394-B416-E889628B1FFB}">
      <formula1>"1,2,3,4,5,6,7,8,9,10"</formula1>
    </dataValidation>
    <dataValidation type="list" operator="equal" allowBlank="1" showInputMessage="1" showErrorMessage="1" sqref="B4:B5" xr:uid="{6094DE1E-964D-423F-918D-B639C59DD1ED}">
      <formula1>"1,20,40,50,60,70,80,90"</formula1>
    </dataValidation>
  </dataValidation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A157A-2F84-B74A-BADE-3F5CE96BA67A}">
  <sheetPr codeName="Sheet283">
    <tabColor rgb="FFC6E0B4"/>
  </sheetPr>
  <dimension ref="A1:K40"/>
  <sheetViews>
    <sheetView workbookViewId="0">
      <selection activeCell="I24" sqref="I24"/>
    </sheetView>
  </sheetViews>
  <sheetFormatPr defaultColWidth="11.42578125"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6" max="6" width="9.140625" bestFit="1" customWidth="1"/>
    <col min="7" max="7" width="8.85546875"/>
    <col min="8" max="8" width="18" bestFit="1" customWidth="1"/>
    <col min="9" max="9" width="26.85546875" bestFit="1" customWidth="1"/>
    <col min="10" max="10" width="9.140625" bestFit="1" customWidth="1"/>
    <col min="11" max="11" width="10.7109375" bestFit="1" customWidth="1"/>
  </cols>
  <sheetData>
    <row r="1" spans="1:11" ht="15.75" thickBot="1" x14ac:dyDescent="0.3">
      <c r="A1" s="11" t="s">
        <v>196</v>
      </c>
      <c r="B1" s="27" t="s">
        <v>295</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84"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85"/>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85"/>
      <c r="I8" s="1" t="str">
        <f t="shared" si="0"/>
        <v>Prithiva Topaz Chunk</v>
      </c>
      <c r="J8" s="17">
        <f t="shared" si="0"/>
        <v>0</v>
      </c>
      <c r="K8" s="34" t="s">
        <v>202</v>
      </c>
    </row>
    <row r="9" spans="1:11" ht="15.75" thickBot="1" x14ac:dyDescent="0.3">
      <c r="A9" s="171" t="s">
        <v>149</v>
      </c>
      <c r="B9" s="231"/>
      <c r="C9" s="172"/>
      <c r="E9" s="14" t="str">
        <f>VLOOKUP(VLOOKUP(B1,Character_List,8,FALSE),Weekly_Boss_Mats,2,FALSE)</f>
        <v>Lightless Silk String</v>
      </c>
      <c r="F9" s="17">
        <f>VLOOKUP(F5,Required_Talent_Materials,5,FALSE)-VLOOKUP(F4,Required_Talent_Materials,5,FALSE)</f>
        <v>0</v>
      </c>
      <c r="H9" s="185"/>
      <c r="I9" s="1" t="str">
        <f t="shared" si="0"/>
        <v>Prithiva Topaz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Novel Spare Clockwork Component — Coppelia</v>
      </c>
      <c r="J10" s="16">
        <f t="shared" si="0"/>
        <v>0</v>
      </c>
      <c r="K10" s="34" t="s">
        <v>202</v>
      </c>
    </row>
    <row r="11" spans="1:11" ht="15.75" thickBot="1" x14ac:dyDescent="0.3">
      <c r="A11" s="173" t="s">
        <v>208</v>
      </c>
      <c r="B11" s="202"/>
      <c r="C11" s="43">
        <v>6</v>
      </c>
      <c r="E11" s="14" t="str">
        <f>VLOOKUP(VLOOKUP(B1,Character_List,5,FALSE),Common_Mob_Drops,2,FALSE)</f>
        <v>Spectral Husk</v>
      </c>
      <c r="F11" s="17">
        <f>VLOOKUP(F5,Required_Talent_Materials,7,FALSE)-VLOOKUP(F4,Required_Talent_Materials,7,FALSE)</f>
        <v>0</v>
      </c>
      <c r="H11" s="184" t="s">
        <v>207</v>
      </c>
      <c r="I11" s="2" t="str">
        <f>B17</f>
        <v>Spectral Husk</v>
      </c>
      <c r="J11" s="15">
        <f>SUM(C17,F11,F24,F37)</f>
        <v>0</v>
      </c>
      <c r="K11" s="34" t="s">
        <v>202</v>
      </c>
    </row>
    <row r="12" spans="1:11" x14ac:dyDescent="0.25">
      <c r="A12" s="188"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85"/>
      <c r="I12" s="1" t="str">
        <f>B18</f>
        <v>Spectral Heart</v>
      </c>
      <c r="J12" s="17">
        <f>SUM(C18,F12,F25,F38)</f>
        <v>0</v>
      </c>
      <c r="K12" s="34" t="s">
        <v>202</v>
      </c>
    </row>
    <row r="13" spans="1:11" ht="15.75" thickBot="1" x14ac:dyDescent="0.3">
      <c r="A13" s="182"/>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86"/>
      <c r="I13" s="9" t="str">
        <f>B19</f>
        <v>Spectral Nucleus</v>
      </c>
      <c r="J13" s="16">
        <f>SUM(C19,F13,F26,F39)</f>
        <v>0</v>
      </c>
      <c r="K13" s="34" t="s">
        <v>202</v>
      </c>
    </row>
    <row r="14" spans="1:11" ht="15.75" thickBot="1" x14ac:dyDescent="0.3">
      <c r="A14" s="182"/>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Dendrobium</v>
      </c>
      <c r="J14" s="24">
        <f>C20</f>
        <v>0</v>
      </c>
      <c r="K14" s="34" t="s">
        <v>202</v>
      </c>
    </row>
    <row r="15" spans="1:11" ht="15.75" thickBot="1" x14ac:dyDescent="0.3">
      <c r="A15" s="182"/>
      <c r="B15" s="1" t="str">
        <f>_xlfn.CONCAT(VLOOKUP(VLOOKUP(B1,Character_List,2,FALSE),Boss_Mob_Drops,2,FALSE), " Gemstone")</f>
        <v>Prithiva Topaz Gemstone</v>
      </c>
      <c r="C15" s="17">
        <f>VLOOKUP(C11,Required_Ascension_Materials,5,FALSE)-VLOOKUP(C10,Required_Ascension_Materials,5,FALSE)</f>
        <v>0</v>
      </c>
      <c r="H15" s="184" t="s">
        <v>216</v>
      </c>
      <c r="I15" s="2" t="str">
        <f>E6</f>
        <v>Teachings of Light</v>
      </c>
      <c r="J15" s="15">
        <f>SUM(F6,F19,F32)</f>
        <v>0</v>
      </c>
      <c r="K15" s="34" t="s">
        <v>202</v>
      </c>
    </row>
    <row r="16" spans="1:11" ht="15.75" thickBot="1" x14ac:dyDescent="0.3">
      <c r="A16" s="183"/>
      <c r="B16" s="9" t="str">
        <f>VLOOKUP(B1,Character_List,4,FALSE)</f>
        <v>Novel Spare Clockwork Component — Coppelia</v>
      </c>
      <c r="C16" s="16">
        <f>VLOOKUP(C11,Required_Ascension_Materials,6,FALSE)-VLOOKUP(C10,Required_Ascension_Materials,6,FALSE)</f>
        <v>0</v>
      </c>
      <c r="E16" s="171" t="s">
        <v>151</v>
      </c>
      <c r="F16" s="172"/>
      <c r="H16" s="185"/>
      <c r="I16" s="1" t="str">
        <f>E7</f>
        <v>Guide to Light</v>
      </c>
      <c r="J16" s="17">
        <f>SUM(F7,F20,F33)</f>
        <v>0</v>
      </c>
      <c r="K16" s="34" t="s">
        <v>202</v>
      </c>
    </row>
    <row r="17" spans="1:11" ht="15.75" thickBot="1" x14ac:dyDescent="0.3">
      <c r="A17" s="184" t="s">
        <v>207</v>
      </c>
      <c r="B17" s="2" t="str">
        <f>VLOOKUP(VLOOKUP(B1,Character_List,5,FALSE),Common_Mob_Drops,2,FALSE)</f>
        <v>Spectral Husk</v>
      </c>
      <c r="C17" s="15">
        <f>VLOOKUP(C11,Required_Ascension_Materials,7,FALSE)-VLOOKUP(C10,Required_Ascension_Materials,7,FALSE)</f>
        <v>0</v>
      </c>
      <c r="E17" s="12" t="s">
        <v>200</v>
      </c>
      <c r="F17" s="28">
        <v>9</v>
      </c>
      <c r="H17" s="186"/>
      <c r="I17" s="9" t="str">
        <f>E8</f>
        <v>Philosophies of Light</v>
      </c>
      <c r="J17" s="16">
        <f>SUM(F8,F21,F34)</f>
        <v>0</v>
      </c>
      <c r="K17" s="34" t="s">
        <v>202</v>
      </c>
    </row>
    <row r="18" spans="1:11" ht="15.75" thickBot="1" x14ac:dyDescent="0.3">
      <c r="A18" s="185"/>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86"/>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Dendrobium</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98" priority="1" operator="containsText" text="Done">
      <formula>NOT(ISERROR(SEARCH("Done",K4)))</formula>
    </cfRule>
    <cfRule type="containsText" dxfId="497" priority="2" operator="containsText" text="In Progress">
      <formula>NOT(ISERROR(SEARCH("In Progress",K4)))</formula>
    </cfRule>
  </conditionalFormatting>
  <dataValidations count="5">
    <dataValidation type="list" allowBlank="1" showInputMessage="1" showErrorMessage="1" sqref="C10:C11" xr:uid="{46A92065-4780-DC40-8B9E-E055C93F1400}">
      <formula1>"0,1,2,3,4,5,6"</formula1>
    </dataValidation>
    <dataValidation type="list" allowBlank="1" showInputMessage="1" showErrorMessage="1" sqref="K4:K19" xr:uid="{B89301D7-2757-7A4E-942C-DD8C260CF20B}">
      <formula1>"In Progress, Done"</formula1>
    </dataValidation>
    <dataValidation type="list" allowBlank="1" showInputMessage="1" showErrorMessage="1" sqref="B1" xr:uid="{B9186353-DBD8-194D-8F5D-C35C09359532}">
      <formula1>Character_Name_List</formula1>
    </dataValidation>
    <dataValidation type="list" allowBlank="1" showInputMessage="1" showErrorMessage="1" sqref="F4:F5 F17:F18 F30:F31" xr:uid="{97DBA7A2-0193-1446-8A23-9A0E079A9685}">
      <formula1>"1,2,3,4,5,6,7,8,9,10"</formula1>
    </dataValidation>
    <dataValidation type="list" operator="equal" allowBlank="1" showInputMessage="1" showErrorMessage="1" sqref="B4:B5" xr:uid="{410B61BB-AB07-6543-B5B2-D2231A3414C0}">
      <formula1>"1,20,40,50,60,70,80,90"</formula1>
    </dataValidation>
  </dataValidation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D2B42-8CFE-457E-88DE-73D9DE95D3DD}">
  <sheetPr codeName="Sheet287">
    <tabColor rgb="FFC6E0B4"/>
  </sheetPr>
  <dimension ref="A1:K40"/>
  <sheetViews>
    <sheetView workbookViewId="0">
      <selection activeCell="J22" sqref="J22"/>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296</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Fading Candle</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Fragment of a Golden Melody</v>
      </c>
      <c r="J10" s="16">
        <f t="shared" si="0"/>
        <v>0</v>
      </c>
      <c r="K10" s="34" t="s">
        <v>202</v>
      </c>
    </row>
    <row r="11" spans="1:11" ht="15.75" thickBot="1" x14ac:dyDescent="0.3">
      <c r="A11" s="173" t="s">
        <v>208</v>
      </c>
      <c r="B11" s="202"/>
      <c r="C11" s="43">
        <v>6</v>
      </c>
      <c r="E11" s="14" t="str">
        <f>VLOOKUP(VLOOKUP(B1,Character_List,5,FALSE),Common_Mob_Drops,2,FALSE)</f>
        <v>Recruit's Insignia</v>
      </c>
      <c r="F11" s="17">
        <f>VLOOKUP(F5,Required_Talent_Materials,7,FALSE)-VLOOKUP(F4,Required_Talent_Materials,7,FALSE)</f>
        <v>0</v>
      </c>
      <c r="H11" s="184" t="s">
        <v>207</v>
      </c>
      <c r="I11" s="2" t="str">
        <f>B17</f>
        <v>Recruit's Insignia</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85"/>
      <c r="I12" s="1" t="str">
        <f>B18</f>
        <v>Sergeant's Insignia</v>
      </c>
      <c r="J12" s="17">
        <f>SUM(C18,F12,F25,F38)</f>
        <v>0</v>
      </c>
      <c r="K12" s="34" t="s">
        <v>202</v>
      </c>
    </row>
    <row r="13" spans="1:11" ht="15.75" thickBot="1" x14ac:dyDescent="0.3">
      <c r="A13" s="182"/>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86"/>
      <c r="I13" s="9" t="str">
        <f>B19</f>
        <v>Lieutenant's Insignia</v>
      </c>
      <c r="J13" s="16">
        <f>SUM(C19,F13,F26,F39)</f>
        <v>0</v>
      </c>
      <c r="K13" s="34" t="s">
        <v>202</v>
      </c>
    </row>
    <row r="14" spans="1:11" ht="15.75" thickBot="1" x14ac:dyDescent="0.3">
      <c r="A14" s="182"/>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Rainbow Rose</v>
      </c>
      <c r="J14" s="24">
        <f>C20</f>
        <v>0</v>
      </c>
      <c r="K14" s="34" t="s">
        <v>202</v>
      </c>
    </row>
    <row r="15" spans="1:11" ht="15.75" thickBot="1" x14ac:dyDescent="0.3">
      <c r="A15" s="182"/>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Order</v>
      </c>
      <c r="J15" s="15">
        <f>SUM(F6,F19,F32)</f>
        <v>0</v>
      </c>
      <c r="K15" s="34" t="s">
        <v>202</v>
      </c>
    </row>
    <row r="16" spans="1:11" ht="15.75" thickBot="1" x14ac:dyDescent="0.3">
      <c r="A16" s="183"/>
      <c r="B16" s="9" t="str">
        <f>VLOOKUP(B1,Character_List,4,FALSE)</f>
        <v>Fragment of a Golden Melody</v>
      </c>
      <c r="C16" s="16">
        <f>VLOOKUP(C11,Required_Ascension_Materials,6,FALSE)-VLOOKUP(C10,Required_Ascension_Materials,6,FALSE)</f>
        <v>0</v>
      </c>
      <c r="E16" s="171" t="s">
        <v>151</v>
      </c>
      <c r="F16" s="172"/>
      <c r="H16" s="185"/>
      <c r="I16" s="1" t="str">
        <f>E7</f>
        <v>Guide to Order</v>
      </c>
      <c r="J16" s="17">
        <f>SUM(F7,F20,F33)</f>
        <v>0</v>
      </c>
      <c r="K16" s="34" t="s">
        <v>202</v>
      </c>
    </row>
    <row r="17" spans="1:11" ht="15.75" thickBot="1" x14ac:dyDescent="0.3">
      <c r="A17" s="184" t="s">
        <v>207</v>
      </c>
      <c r="B17" s="2" t="str">
        <f>VLOOKUP(VLOOKUP(B1,Character_List,5,FALSE),Common_Mob_Drops,2,FALSE)</f>
        <v>Recruit's Insignia</v>
      </c>
      <c r="C17" s="15">
        <f>VLOOKUP(C11,Required_Ascension_Materials,7,FALSE)-VLOOKUP(C10,Required_Ascension_Materials,7,FALSE)</f>
        <v>0</v>
      </c>
      <c r="E17" s="12" t="s">
        <v>200</v>
      </c>
      <c r="F17" s="28">
        <v>9</v>
      </c>
      <c r="H17" s="186"/>
      <c r="I17" s="9" t="str">
        <f>E8</f>
        <v>Philosophies of Order</v>
      </c>
      <c r="J17" s="16">
        <f>SUM(F8,F21,F34)</f>
        <v>0</v>
      </c>
      <c r="K17" s="34" t="s">
        <v>202</v>
      </c>
    </row>
    <row r="18" spans="1:11" ht="15.75" thickBot="1" x14ac:dyDescent="0.3">
      <c r="A18" s="185"/>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Fading Candle</v>
      </c>
      <c r="J18" s="24">
        <f>SUM(F9,F22,F35)</f>
        <v>0</v>
      </c>
      <c r="K18" s="34" t="s">
        <v>202</v>
      </c>
    </row>
    <row r="19" spans="1:11" ht="15.75" thickBot="1" x14ac:dyDescent="0.3">
      <c r="A19" s="186"/>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Rainbow Rose</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Fading Candle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Fading Candle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96" priority="1" operator="containsText" text="Done">
      <formula>NOT(ISERROR(SEARCH("Done",K4)))</formula>
    </cfRule>
    <cfRule type="containsText" dxfId="495" priority="2" operator="containsText" text="In Progress">
      <formula>NOT(ISERROR(SEARCH("In Progress",K4)))</formula>
    </cfRule>
  </conditionalFormatting>
  <dataValidations count="5">
    <dataValidation type="list" allowBlank="1" showInputMessage="1" showErrorMessage="1" sqref="C10:C11" xr:uid="{77250D18-0067-4CC9-ACB7-73C4857FFD04}">
      <formula1>"0,1,2,3,4,5,6"</formula1>
    </dataValidation>
    <dataValidation type="list" allowBlank="1" showInputMessage="1" showErrorMessage="1" sqref="K4:K19" xr:uid="{E13E1E32-5D84-4A0C-A17E-976FD9D4EE41}">
      <formula1>"In Progress, Done"</formula1>
    </dataValidation>
    <dataValidation type="list" allowBlank="1" showInputMessage="1" showErrorMessage="1" sqref="B1" xr:uid="{C323A31A-B72B-4AF5-B600-E2DB15150BF7}">
      <formula1>Character_Name_List</formula1>
    </dataValidation>
    <dataValidation type="list" allowBlank="1" showInputMessage="1" showErrorMessage="1" sqref="F4:F5 F17:F18 F30:F31" xr:uid="{A67F7236-33DC-4547-BF58-B75D05E507D7}">
      <formula1>"1,2,3,4,5,6,7,8,9,10"</formula1>
    </dataValidation>
    <dataValidation type="list" operator="equal" allowBlank="1" showInputMessage="1" showErrorMessage="1" sqref="B4:B5" xr:uid="{13862F95-E242-4335-8C0D-BE2C0C88B005}">
      <formula1>"1,20,40,50,60,70,80,90"</formula1>
    </dataValidation>
  </dataValidation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3A4C4-BE32-47B8-BE2F-62871EEA069A}">
  <sheetPr codeName="Sheet291">
    <tabColor rgb="FFC6E0B4"/>
  </sheetPr>
  <dimension ref="A1:K40"/>
  <sheetViews>
    <sheetView workbookViewId="0">
      <selection activeCell="F31" sqref="F31"/>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297</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Everamber</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Fontemer Unihorn</v>
      </c>
      <c r="J10" s="16">
        <f t="shared" si="0"/>
        <v>0</v>
      </c>
      <c r="K10" s="34" t="s">
        <v>202</v>
      </c>
    </row>
    <row r="11" spans="1:11" ht="15.75" thickBot="1" x14ac:dyDescent="0.3">
      <c r="A11" s="173" t="s">
        <v>208</v>
      </c>
      <c r="B11" s="202"/>
      <c r="C11" s="43">
        <v>6</v>
      </c>
      <c r="E11" s="14" t="str">
        <f>VLOOKUP(VLOOKUP(B1,Character_List,5,FALSE),Common_Mob_Drops,2,FALSE)</f>
        <v>Transoceanic Pearl</v>
      </c>
      <c r="F11" s="17">
        <f>VLOOKUP(F5,Required_Talent_Materials,7,FALSE)-VLOOKUP(F4,Required_Talent_Materials,7,FALSE)</f>
        <v>0</v>
      </c>
      <c r="H11" s="184" t="s">
        <v>207</v>
      </c>
      <c r="I11" s="2" t="str">
        <f>B17</f>
        <v>Transoceanic Pearl</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85"/>
      <c r="I12" s="1" t="str">
        <f>B18</f>
        <v>Transoceanic Chunk</v>
      </c>
      <c r="J12" s="17">
        <f>SUM(C18,F12,F25,F38)</f>
        <v>0</v>
      </c>
      <c r="K12" s="34" t="s">
        <v>202</v>
      </c>
    </row>
    <row r="13" spans="1:11" ht="15.75" thickBot="1" x14ac:dyDescent="0.3">
      <c r="A13" s="182"/>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86"/>
      <c r="I13" s="9" t="str">
        <f>B19</f>
        <v>Xenochromatic Crystal</v>
      </c>
      <c r="J13" s="16">
        <f>SUM(C19,F13,F26,F39)</f>
        <v>0</v>
      </c>
      <c r="K13" s="34" t="s">
        <v>202</v>
      </c>
    </row>
    <row r="14" spans="1:11" ht="15.75" thickBot="1" x14ac:dyDescent="0.3">
      <c r="A14" s="182"/>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Lumitoile</v>
      </c>
      <c r="J14" s="24">
        <f>C20</f>
        <v>0</v>
      </c>
      <c r="K14" s="34" t="s">
        <v>202</v>
      </c>
    </row>
    <row r="15" spans="1:11" ht="15.75" thickBot="1" x14ac:dyDescent="0.3">
      <c r="A15" s="182"/>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Justice</v>
      </c>
      <c r="J15" s="15">
        <f>SUM(F6,F19,F32)</f>
        <v>0</v>
      </c>
      <c r="K15" s="34" t="s">
        <v>202</v>
      </c>
    </row>
    <row r="16" spans="1:11" ht="15.75" thickBot="1" x14ac:dyDescent="0.3">
      <c r="A16" s="183"/>
      <c r="B16" s="9" t="str">
        <f>VLOOKUP(B1,Character_List,4,FALSE)</f>
        <v>Fontemer Unihorn</v>
      </c>
      <c r="C16" s="16">
        <f>VLOOKUP(C11,Required_Ascension_Materials,6,FALSE)-VLOOKUP(C10,Required_Ascension_Materials,6,FALSE)</f>
        <v>0</v>
      </c>
      <c r="E16" s="171" t="s">
        <v>151</v>
      </c>
      <c r="F16" s="172"/>
      <c r="H16" s="185"/>
      <c r="I16" s="1" t="str">
        <f>E7</f>
        <v>Guide to Justice</v>
      </c>
      <c r="J16" s="17">
        <f>SUM(F7,F20,F33)</f>
        <v>0</v>
      </c>
      <c r="K16" s="34" t="s">
        <v>202</v>
      </c>
    </row>
    <row r="17" spans="1:11" ht="15.75" thickBot="1" x14ac:dyDescent="0.3">
      <c r="A17" s="184" t="s">
        <v>207</v>
      </c>
      <c r="B17" s="2" t="str">
        <f>VLOOKUP(VLOOKUP(B1,Character_List,5,FALSE),Common_Mob_Drops,2,FALSE)</f>
        <v>Transoceanic Pearl</v>
      </c>
      <c r="C17" s="15">
        <f>VLOOKUP(C11,Required_Ascension_Materials,7,FALSE)-VLOOKUP(C10,Required_Ascension_Materials,7,FALSE)</f>
        <v>0</v>
      </c>
      <c r="E17" s="12" t="s">
        <v>200</v>
      </c>
      <c r="F17" s="28">
        <v>9</v>
      </c>
      <c r="H17" s="186"/>
      <c r="I17" s="9" t="str">
        <f>E8</f>
        <v>Philosophies of Justice</v>
      </c>
      <c r="J17" s="16">
        <f>SUM(F8,F21,F34)</f>
        <v>0</v>
      </c>
      <c r="K17" s="34" t="s">
        <v>202</v>
      </c>
    </row>
    <row r="18" spans="1:11" ht="15.75" thickBot="1" x14ac:dyDescent="0.3">
      <c r="A18" s="185"/>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86"/>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Lumitoile</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94" priority="1" operator="containsText" text="Done">
      <formula>NOT(ISERROR(SEARCH("Done",K4)))</formula>
    </cfRule>
    <cfRule type="containsText" dxfId="493" priority="2" operator="containsText" text="In Progress">
      <formula>NOT(ISERROR(SEARCH("In Progress",K4)))</formula>
    </cfRule>
  </conditionalFormatting>
  <dataValidations count="5">
    <dataValidation type="list" allowBlank="1" showInputMessage="1" showErrorMessage="1" sqref="C10:C11" xr:uid="{A6E1A010-2694-49D1-BBDB-DF4F56F42AFC}">
      <formula1>"0,1,2,3,4,5,6"</formula1>
    </dataValidation>
    <dataValidation type="list" allowBlank="1" showInputMessage="1" showErrorMessage="1" sqref="K4:K19" xr:uid="{92744608-C6F6-413A-88F0-E0F089ED5999}">
      <formula1>"In Progress, Done"</formula1>
    </dataValidation>
    <dataValidation type="list" allowBlank="1" showInputMessage="1" showErrorMessage="1" sqref="B1" xr:uid="{4746B624-5B86-4592-B787-A744506DE4D2}">
      <formula1>Character_Name_List</formula1>
    </dataValidation>
    <dataValidation type="list" allowBlank="1" showInputMessage="1" showErrorMessage="1" sqref="F4:F5 F17:F18 F30:F31" xr:uid="{9FE2FB91-6A63-46C3-8B1A-E158F31F51C9}">
      <formula1>"1,2,3,4,5,6,7,8,9,10"</formula1>
    </dataValidation>
    <dataValidation type="list" operator="equal" allowBlank="1" showInputMessage="1" showErrorMessage="1" sqref="B4:B5" xr:uid="{00BC1814-1DD3-4DB6-9C4C-FE16E22AA3BB}">
      <formula1>"1,20,40,50,60,70,80,90"</formula1>
    </dataValidation>
  </dataValidation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E0F01-C071-4026-9830-9005CD025951}">
  <sheetPr codeName="Sheet290">
    <tabColor rgb="FFC6E0B4"/>
  </sheetPr>
  <dimension ref="A1:K40"/>
  <sheetViews>
    <sheetView workbookViewId="0">
      <selection activeCell="D14" sqref="D1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298</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Daka's Bell</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Cloudseam Scale</v>
      </c>
      <c r="J10" s="16">
        <f t="shared" si="0"/>
        <v>0</v>
      </c>
      <c r="K10" s="34" t="s">
        <v>202</v>
      </c>
    </row>
    <row r="11" spans="1:11" ht="15.75" thickBot="1" x14ac:dyDescent="0.3">
      <c r="A11" s="173" t="s">
        <v>208</v>
      </c>
      <c r="B11" s="202"/>
      <c r="C11" s="43">
        <v>6</v>
      </c>
      <c r="E11" s="14" t="str">
        <f>VLOOKUP(VLOOKUP(B1,Character_List,5,FALSE),Common_Mob_Drops,2,FALSE)</f>
        <v>Faded Red Satin</v>
      </c>
      <c r="F11" s="17">
        <f>VLOOKUP(F5,Required_Talent_Materials,7,FALSE)-VLOOKUP(F4,Required_Talent_Materials,7,FALSE)</f>
        <v>0</v>
      </c>
      <c r="H11" s="184" t="s">
        <v>207</v>
      </c>
      <c r="I11" s="2" t="str">
        <f>B17</f>
        <v>Faded Red Satin</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85"/>
      <c r="I12" s="1" t="str">
        <f>B18</f>
        <v>Trimmed Red Silk</v>
      </c>
      <c r="J12" s="17">
        <f>SUM(C18,F12,F25,F38)</f>
        <v>0</v>
      </c>
      <c r="K12" s="34" t="s">
        <v>202</v>
      </c>
    </row>
    <row r="13" spans="1:11" ht="15.75" thickBot="1" x14ac:dyDescent="0.3">
      <c r="A13" s="182"/>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86"/>
      <c r="I13" s="9" t="str">
        <f>B19</f>
        <v>Rich Red Brocade</v>
      </c>
      <c r="J13" s="16">
        <f>SUM(C19,F13,F26,F39)</f>
        <v>0</v>
      </c>
      <c r="K13" s="34" t="s">
        <v>202</v>
      </c>
    </row>
    <row r="14" spans="1:11" ht="15.75" thickBot="1" x14ac:dyDescent="0.3">
      <c r="A14" s="182"/>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Trishiraite</v>
      </c>
      <c r="J14" s="24">
        <f>C20</f>
        <v>0</v>
      </c>
      <c r="K14" s="34" t="s">
        <v>202</v>
      </c>
    </row>
    <row r="15" spans="1:11" ht="15.75" thickBot="1" x14ac:dyDescent="0.3">
      <c r="A15" s="182"/>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Praxis</v>
      </c>
      <c r="J15" s="15">
        <f>SUM(F6,F19,F32)</f>
        <v>0</v>
      </c>
      <c r="K15" s="34" t="s">
        <v>202</v>
      </c>
    </row>
    <row r="16" spans="1:11" ht="15.75" thickBot="1" x14ac:dyDescent="0.3">
      <c r="A16" s="183"/>
      <c r="B16" s="9" t="str">
        <f>VLOOKUP(B1,Character_List,4,FALSE)</f>
        <v>Cloudseam Scale</v>
      </c>
      <c r="C16" s="16">
        <f>VLOOKUP(C11,Required_Ascension_Materials,6,FALSE)-VLOOKUP(C10,Required_Ascension_Materials,6,FALSE)</f>
        <v>0</v>
      </c>
      <c r="E16" s="171" t="s">
        <v>151</v>
      </c>
      <c r="F16" s="172"/>
      <c r="H16" s="185"/>
      <c r="I16" s="1" t="str">
        <f>E7</f>
        <v>Guide to Praxis</v>
      </c>
      <c r="J16" s="17">
        <f>SUM(F7,F20,F33)</f>
        <v>0</v>
      </c>
      <c r="K16" s="34" t="s">
        <v>202</v>
      </c>
    </row>
    <row r="17" spans="1:11" ht="15.75" thickBot="1" x14ac:dyDescent="0.3">
      <c r="A17" s="184" t="s">
        <v>207</v>
      </c>
      <c r="B17" s="2" t="str">
        <f>VLOOKUP(VLOOKUP(B1,Character_List,5,FALSE),Common_Mob_Drops,2,FALSE)</f>
        <v>Faded Red Satin</v>
      </c>
      <c r="C17" s="15">
        <f>VLOOKUP(C11,Required_Ascension_Materials,7,FALSE)-VLOOKUP(C10,Required_Ascension_Materials,7,FALSE)</f>
        <v>0</v>
      </c>
      <c r="E17" s="12" t="s">
        <v>200</v>
      </c>
      <c r="F17" s="28">
        <v>9</v>
      </c>
      <c r="H17" s="186"/>
      <c r="I17" s="9" t="str">
        <f>E8</f>
        <v>Philosophies of Praxis</v>
      </c>
      <c r="J17" s="16">
        <f>SUM(F8,F21,F34)</f>
        <v>0</v>
      </c>
      <c r="K17" s="34" t="s">
        <v>202</v>
      </c>
    </row>
    <row r="18" spans="1:11" ht="15.75" thickBot="1" x14ac:dyDescent="0.3">
      <c r="A18" s="185"/>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Daka's Bell</v>
      </c>
      <c r="J18" s="24">
        <f>SUM(F9,F22,F35)</f>
        <v>0</v>
      </c>
      <c r="K18" s="34" t="s">
        <v>202</v>
      </c>
    </row>
    <row r="19" spans="1:11" ht="15.75" thickBot="1" x14ac:dyDescent="0.3">
      <c r="A19" s="186"/>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Trishiraite</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Daka's Bell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Daka's Bell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92" priority="1" operator="containsText" text="Done">
      <formula>NOT(ISERROR(SEARCH("Done",K4)))</formula>
    </cfRule>
    <cfRule type="containsText" dxfId="491" priority="2" operator="containsText" text="In Progress">
      <formula>NOT(ISERROR(SEARCH("In Progress",K4)))</formula>
    </cfRule>
  </conditionalFormatting>
  <dataValidations count="5">
    <dataValidation type="list" allowBlank="1" showInputMessage="1" showErrorMessage="1" sqref="C10:C11" xr:uid="{6D8E8759-4033-42DE-89BD-A11A0E94DE57}">
      <formula1>"0,1,2,3,4,5,6"</formula1>
    </dataValidation>
    <dataValidation type="list" allowBlank="1" showInputMessage="1" showErrorMessage="1" sqref="K4:K19" xr:uid="{7AAC25AB-B381-4B4D-9606-740AA103BC82}">
      <formula1>"In Progress, Done"</formula1>
    </dataValidation>
    <dataValidation type="list" allowBlank="1" showInputMessage="1" showErrorMessage="1" sqref="B1" xr:uid="{B4F88DF5-3005-46CE-8CC2-1C814FA0B0BF}">
      <formula1>Character_Name_List</formula1>
    </dataValidation>
    <dataValidation type="list" allowBlank="1" showInputMessage="1" showErrorMessage="1" sqref="F4:F5 F17:F18 F30:F31" xr:uid="{8CD73064-8477-4A09-A950-B7D33A1FCD88}">
      <formula1>"1,2,3,4,5,6,7,8,9,10"</formula1>
    </dataValidation>
    <dataValidation type="list" operator="equal" allowBlank="1" showInputMessage="1" showErrorMessage="1" sqref="B4:B5" xr:uid="{3722A7B2-AFB6-44B3-8394-3F174988E03D}">
      <formula1>"1,20,40,50,60,70,80,90"</formula1>
    </dataValidation>
  </dataValidations>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51EEB-F018-403F-B873-85093AA5A6AC}">
  <sheetPr codeName="Sheet289">
    <tabColor rgb="FFC6E0B4"/>
  </sheetPr>
  <dimension ref="A1:K40"/>
  <sheetViews>
    <sheetView workbookViewId="0">
      <selection activeCell="I23" sqref="I23"/>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299</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84"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85"/>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85"/>
      <c r="I8" s="1" t="str">
        <f t="shared" si="0"/>
        <v>Varunada Lazurite Chunk</v>
      </c>
      <c r="J8" s="17">
        <f t="shared" si="0"/>
        <v>0</v>
      </c>
      <c r="K8" s="34" t="s">
        <v>202</v>
      </c>
    </row>
    <row r="9" spans="1:11" ht="15.75" thickBot="1" x14ac:dyDescent="0.3">
      <c r="A9" s="171" t="s">
        <v>149</v>
      </c>
      <c r="B9" s="231"/>
      <c r="C9" s="172"/>
      <c r="E9" s="14" t="str">
        <f>VLOOKUP(VLOOKUP(B1,Character_List,8,FALSE),Weekly_Boss_Mats,2,FALSE)</f>
        <v>Lightless Eye of the Maelstrom</v>
      </c>
      <c r="F9" s="17">
        <f>VLOOKUP(F5,Required_Talent_Materials,5,FALSE)-VLOOKUP(F4,Required_Talent_Materials,5,FALSE)</f>
        <v>0</v>
      </c>
      <c r="H9" s="185"/>
      <c r="I9" s="1" t="str">
        <f t="shared" si="0"/>
        <v>Varunada Lazurite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Water That Failed To Transcend</v>
      </c>
      <c r="J10" s="16">
        <f t="shared" si="0"/>
        <v>0</v>
      </c>
      <c r="K10" s="34" t="s">
        <v>202</v>
      </c>
    </row>
    <row r="11" spans="1:11" ht="15.75" thickBot="1" x14ac:dyDescent="0.3">
      <c r="A11" s="173" t="s">
        <v>208</v>
      </c>
      <c r="B11" s="202"/>
      <c r="C11" s="43">
        <v>6</v>
      </c>
      <c r="E11" s="14" t="str">
        <f>VLOOKUP(VLOOKUP(B1,Character_List,5,FALSE),Common_Mob_Drops,2,FALSE)</f>
        <v>Transoceanic Pearl</v>
      </c>
      <c r="F11" s="17">
        <f>VLOOKUP(F5,Required_Talent_Materials,7,FALSE)-VLOOKUP(F4,Required_Talent_Materials,7,FALSE)</f>
        <v>0</v>
      </c>
      <c r="H11" s="184" t="s">
        <v>207</v>
      </c>
      <c r="I11" s="2" t="str">
        <f>B17</f>
        <v>Transoceanic Pearl</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85"/>
      <c r="I12" s="1" t="str">
        <f>B18</f>
        <v>Transoceanic Chunk</v>
      </c>
      <c r="J12" s="17">
        <f>SUM(C18,F12,F25,F38)</f>
        <v>0</v>
      </c>
      <c r="K12" s="34" t="s">
        <v>202</v>
      </c>
    </row>
    <row r="13" spans="1:11" ht="15.75" thickBot="1" x14ac:dyDescent="0.3">
      <c r="A13" s="182"/>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86"/>
      <c r="I13" s="9" t="str">
        <f>B19</f>
        <v>Xenochromatic Crystal</v>
      </c>
      <c r="J13" s="16">
        <f>SUM(C19,F13,F26,F39)</f>
        <v>0</v>
      </c>
      <c r="K13" s="34" t="s">
        <v>202</v>
      </c>
    </row>
    <row r="14" spans="1:11" ht="15.75" thickBot="1" x14ac:dyDescent="0.3">
      <c r="A14" s="182"/>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Romaritime Flower</v>
      </c>
      <c r="J14" s="24">
        <f>C20</f>
        <v>0</v>
      </c>
      <c r="K14" s="34" t="s">
        <v>202</v>
      </c>
    </row>
    <row r="15" spans="1:11" ht="15.75" thickBot="1" x14ac:dyDescent="0.3">
      <c r="A15" s="182"/>
      <c r="B15" s="1" t="str">
        <f>_xlfn.CONCAT(VLOOKUP(VLOOKUP(B1,Character_List,2,FALSE),Boss_Mob_Drops,2,FALSE), " Gemstone")</f>
        <v>Varunada Lazurite Gemstone</v>
      </c>
      <c r="C15" s="17">
        <f>VLOOKUP(C11,Required_Ascension_Materials,5,FALSE)-VLOOKUP(C10,Required_Ascension_Materials,5,FALSE)</f>
        <v>0</v>
      </c>
      <c r="H15" s="184" t="s">
        <v>216</v>
      </c>
      <c r="I15" s="2" t="str">
        <f>E6</f>
        <v>Teachings of Equity</v>
      </c>
      <c r="J15" s="15">
        <f>SUM(F6,F19,F32)</f>
        <v>0</v>
      </c>
      <c r="K15" s="34" t="s">
        <v>202</v>
      </c>
    </row>
    <row r="16" spans="1:11" ht="15.75" thickBot="1" x14ac:dyDescent="0.3">
      <c r="A16" s="183"/>
      <c r="B16" s="9" t="str">
        <f>VLOOKUP(B1,Character_List,4,FALSE)</f>
        <v>Water That Failed To Transcend</v>
      </c>
      <c r="C16" s="16">
        <f>VLOOKUP(C11,Required_Ascension_Materials,6,FALSE)-VLOOKUP(C10,Required_Ascension_Materials,6,FALSE)</f>
        <v>0</v>
      </c>
      <c r="E16" s="171" t="s">
        <v>151</v>
      </c>
      <c r="F16" s="172"/>
      <c r="H16" s="185"/>
      <c r="I16" s="1" t="str">
        <f>E7</f>
        <v>Guide to Equity</v>
      </c>
      <c r="J16" s="17">
        <f>SUM(F7,F20,F33)</f>
        <v>0</v>
      </c>
      <c r="K16" s="34" t="s">
        <v>202</v>
      </c>
    </row>
    <row r="17" spans="1:11" ht="15.75" thickBot="1" x14ac:dyDescent="0.3">
      <c r="A17" s="184" t="s">
        <v>207</v>
      </c>
      <c r="B17" s="2" t="str">
        <f>VLOOKUP(VLOOKUP(B1,Character_List,5,FALSE),Common_Mob_Drops,2,FALSE)</f>
        <v>Transoceanic Pearl</v>
      </c>
      <c r="C17" s="15">
        <f>VLOOKUP(C11,Required_Ascension_Materials,7,FALSE)-VLOOKUP(C10,Required_Ascension_Materials,7,FALSE)</f>
        <v>0</v>
      </c>
      <c r="E17" s="12" t="s">
        <v>200</v>
      </c>
      <c r="F17" s="28">
        <v>9</v>
      </c>
      <c r="H17" s="186"/>
      <c r="I17" s="9" t="str">
        <f>E8</f>
        <v>Philosophies of Equity</v>
      </c>
      <c r="J17" s="16">
        <f>SUM(F8,F21,F34)</f>
        <v>0</v>
      </c>
      <c r="K17" s="34" t="s">
        <v>202</v>
      </c>
    </row>
    <row r="18" spans="1:11" ht="15.75" thickBot="1" x14ac:dyDescent="0.3">
      <c r="A18" s="185"/>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Lightless Eye of the Maelstrom</v>
      </c>
      <c r="J18" s="24">
        <f>SUM(F9,F22,F35)</f>
        <v>0</v>
      </c>
      <c r="K18" s="34" t="s">
        <v>202</v>
      </c>
    </row>
    <row r="19" spans="1:11" ht="15.75" thickBot="1" x14ac:dyDescent="0.3">
      <c r="A19" s="186"/>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Romaritime Flower</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Lightless Eye of the Maelstrom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Lightless Eye of the Maelstrom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90" priority="1" operator="containsText" text="Done">
      <formula>NOT(ISERROR(SEARCH("Done",K4)))</formula>
    </cfRule>
    <cfRule type="containsText" dxfId="489" priority="2" operator="containsText" text="In Progress">
      <formula>NOT(ISERROR(SEARCH("In Progress",K4)))</formula>
    </cfRule>
  </conditionalFormatting>
  <dataValidations count="5">
    <dataValidation type="list" allowBlank="1" showInputMessage="1" showErrorMessage="1" sqref="C10:C11" xr:uid="{CE2798CC-4E7D-4C39-9EFB-49995622E660}">
      <formula1>"0,1,2,3,4,5,6"</formula1>
    </dataValidation>
    <dataValidation type="list" allowBlank="1" showInputMessage="1" showErrorMessage="1" sqref="K4:K19" xr:uid="{3C1D49A1-A52A-4C7B-A280-BDF330F4ECAF}">
      <formula1>"In Progress, Done"</formula1>
    </dataValidation>
    <dataValidation type="list" allowBlank="1" showInputMessage="1" showErrorMessage="1" sqref="B1" xr:uid="{D0C0D26B-7B00-459D-86E0-FA71A84B830E}">
      <formula1>Character_Name_List</formula1>
    </dataValidation>
    <dataValidation type="list" allowBlank="1" showInputMessage="1" showErrorMessage="1" sqref="F4:F5 F17:F18 F30:F31" xr:uid="{B2FC819E-04D1-4126-A239-DAD04333776D}">
      <formula1>"1,2,3,4,5,6,7,8,9,10"</formula1>
    </dataValidation>
    <dataValidation type="list" operator="equal" allowBlank="1" showInputMessage="1" showErrorMessage="1" sqref="B4:B5" xr:uid="{ACE1A565-94C3-442B-BB1E-894564B69FB5}">
      <formula1>"1,20,40,50,60,70,80,90"</formula1>
    </dataValidation>
  </dataValidation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331-0B16-4F70-BA05-FC448E988976}">
  <sheetPr codeName="Sheet295">
    <tabColor rgb="FFC6E0B4"/>
  </sheetPr>
  <dimension ref="A1:K40"/>
  <sheetViews>
    <sheetView workbookViewId="0">
      <selection activeCell="H28" sqref="H28"/>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300</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84"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85"/>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85"/>
      <c r="I8" s="1" t="str">
        <f t="shared" si="0"/>
        <v>Nagadus Emerald Chunk</v>
      </c>
      <c r="J8" s="17">
        <f t="shared" si="0"/>
        <v>0</v>
      </c>
      <c r="K8" s="34" t="s">
        <v>202</v>
      </c>
    </row>
    <row r="9" spans="1:11" ht="15.75" thickBot="1" x14ac:dyDescent="0.3">
      <c r="A9" s="171" t="s">
        <v>149</v>
      </c>
      <c r="B9" s="231"/>
      <c r="C9" s="172"/>
      <c r="E9" s="14" t="str">
        <f>VLOOKUP(VLOOKUP(B1,Character_List,8,FALSE),Weekly_Boss_Mats,2,FALSE)</f>
        <v>Silken Feather</v>
      </c>
      <c r="F9" s="17">
        <f>VLOOKUP(F5,Required_Talent_Materials,5,FALSE)-VLOOKUP(F4,Required_Talent_Materials,5,FALSE)</f>
        <v>0</v>
      </c>
      <c r="H9" s="185"/>
      <c r="I9" s="1" t="str">
        <f t="shared" si="0"/>
        <v>Nagadus Emerald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Fragment of a Golden Melody</v>
      </c>
      <c r="J10" s="16">
        <f t="shared" si="0"/>
        <v>0</v>
      </c>
      <c r="K10" s="34" t="s">
        <v>202</v>
      </c>
    </row>
    <row r="11" spans="1:11" ht="15.75" thickBot="1" x14ac:dyDescent="0.3">
      <c r="A11" s="173" t="s">
        <v>208</v>
      </c>
      <c r="B11" s="202"/>
      <c r="C11" s="43">
        <v>6</v>
      </c>
      <c r="E11" s="14" t="str">
        <f>VLOOKUP(VLOOKUP(B1,Character_List,5,FALSE),Common_Mob_Drops,2,FALSE)</f>
        <v>Clockwork Meka</v>
      </c>
      <c r="F11" s="17">
        <f>VLOOKUP(F5,Required_Talent_Materials,7,FALSE)-VLOOKUP(F4,Required_Talent_Materials,7,FALSE)</f>
        <v>0</v>
      </c>
      <c r="H11" s="184" t="s">
        <v>207</v>
      </c>
      <c r="I11" s="2" t="str">
        <f>B17</f>
        <v>Clockwork Meka</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85"/>
      <c r="I12" s="1" t="str">
        <f>B18</f>
        <v>Mechanical Spur Gear</v>
      </c>
      <c r="J12" s="17">
        <f>SUM(C18,F12,F25,F38)</f>
        <v>0</v>
      </c>
      <c r="K12" s="34" t="s">
        <v>202</v>
      </c>
    </row>
    <row r="13" spans="1:11" ht="15.75" thickBot="1" x14ac:dyDescent="0.3">
      <c r="A13" s="182"/>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86"/>
      <c r="I13" s="9" t="str">
        <f>B19</f>
        <v>Artificed Dynamic Gear</v>
      </c>
      <c r="J13" s="16">
        <f>SUM(C19,F13,F26,F39)</f>
        <v>0</v>
      </c>
      <c r="K13" s="34" t="s">
        <v>202</v>
      </c>
    </row>
    <row r="14" spans="1:11" ht="15.75" thickBot="1" x14ac:dyDescent="0.3">
      <c r="A14" s="182"/>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Lakelight Lily</v>
      </c>
      <c r="J14" s="24">
        <f>C20</f>
        <v>0</v>
      </c>
      <c r="K14" s="34" t="s">
        <v>202</v>
      </c>
    </row>
    <row r="15" spans="1:11" ht="15.75" thickBot="1" x14ac:dyDescent="0.3">
      <c r="A15" s="182"/>
      <c r="B15" s="1" t="str">
        <f>_xlfn.CONCAT(VLOOKUP(VLOOKUP(B1,Character_List,2,FALSE),Boss_Mob_Drops,2,FALSE), " Gemstone")</f>
        <v>Nagadus Emerald Gemstone</v>
      </c>
      <c r="C15" s="17">
        <f>VLOOKUP(C11,Required_Ascension_Materials,5,FALSE)-VLOOKUP(C10,Required_Ascension_Materials,5,FALSE)</f>
        <v>0</v>
      </c>
      <c r="H15" s="184" t="s">
        <v>216</v>
      </c>
      <c r="I15" s="2" t="str">
        <f>E6</f>
        <v>Teachings of Order</v>
      </c>
      <c r="J15" s="15">
        <f>SUM(F6,F19,F32)</f>
        <v>0</v>
      </c>
      <c r="K15" s="34" t="s">
        <v>202</v>
      </c>
    </row>
    <row r="16" spans="1:11" ht="15.75" thickBot="1" x14ac:dyDescent="0.3">
      <c r="A16" s="183"/>
      <c r="B16" s="9" t="str">
        <f>VLOOKUP(B1,Character_List,4,FALSE)</f>
        <v>Fragment of a Golden Melody</v>
      </c>
      <c r="C16" s="16">
        <f>VLOOKUP(C11,Required_Ascension_Materials,6,FALSE)-VLOOKUP(C10,Required_Ascension_Materials,6,FALSE)</f>
        <v>0</v>
      </c>
      <c r="E16" s="171" t="s">
        <v>151</v>
      </c>
      <c r="F16" s="172"/>
      <c r="H16" s="185"/>
      <c r="I16" s="1" t="str">
        <f>E7</f>
        <v>Guide to Order</v>
      </c>
      <c r="J16" s="17">
        <f>SUM(F7,F20,F33)</f>
        <v>0</v>
      </c>
      <c r="K16" s="34" t="s">
        <v>202</v>
      </c>
    </row>
    <row r="17" spans="1:11" ht="15.75" thickBot="1" x14ac:dyDescent="0.3">
      <c r="A17" s="184" t="s">
        <v>207</v>
      </c>
      <c r="B17" s="2" t="str">
        <f>VLOOKUP(VLOOKUP(B1,Character_List,5,FALSE),Common_Mob_Drops,2,FALSE)</f>
        <v>Clockwork Meka</v>
      </c>
      <c r="C17" s="15">
        <f>VLOOKUP(C11,Required_Ascension_Materials,7,FALSE)-VLOOKUP(C10,Required_Ascension_Materials,7,FALSE)</f>
        <v>0</v>
      </c>
      <c r="E17" s="12" t="s">
        <v>200</v>
      </c>
      <c r="F17" s="28">
        <v>9</v>
      </c>
      <c r="H17" s="186"/>
      <c r="I17" s="9" t="str">
        <f>E8</f>
        <v>Philosophies of Order</v>
      </c>
      <c r="J17" s="16">
        <f>SUM(F8,F21,F34)</f>
        <v>0</v>
      </c>
      <c r="K17" s="34" t="s">
        <v>202</v>
      </c>
    </row>
    <row r="18" spans="1:11" ht="15.75" thickBot="1" x14ac:dyDescent="0.3">
      <c r="A18" s="185"/>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Silken Feather</v>
      </c>
      <c r="J18" s="24">
        <f>SUM(F9,F22,F35)</f>
        <v>0</v>
      </c>
      <c r="K18" s="34" t="s">
        <v>202</v>
      </c>
    </row>
    <row r="19" spans="1:11" ht="15.75" thickBot="1" x14ac:dyDescent="0.3">
      <c r="A19" s="186"/>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Lakelight Lily</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Silken Feather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Silken Feather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88" priority="1" operator="containsText" text="Done">
      <formula>NOT(ISERROR(SEARCH("Done",K4)))</formula>
    </cfRule>
    <cfRule type="containsText" dxfId="487" priority="2" operator="containsText" text="In Progress">
      <formula>NOT(ISERROR(SEARCH("In Progress",K4)))</formula>
    </cfRule>
  </conditionalFormatting>
  <dataValidations count="5">
    <dataValidation type="list" allowBlank="1" showInputMessage="1" showErrorMessage="1" sqref="C10:C11" xr:uid="{B95CBCFA-32BD-4387-9359-2B006320FEC6}">
      <formula1>"0,1,2,3,4,5,6"</formula1>
    </dataValidation>
    <dataValidation type="list" allowBlank="1" showInputMessage="1" showErrorMessage="1" sqref="K4:K19" xr:uid="{5C3E7485-0062-44E5-827D-53A0DE25B6C3}">
      <formula1>"In Progress, Done"</formula1>
    </dataValidation>
    <dataValidation type="list" allowBlank="1" showInputMessage="1" showErrorMessage="1" sqref="B1" xr:uid="{50DA4A87-7C3A-48D8-B0B9-13B090E481D1}">
      <formula1>Character_Name_List</formula1>
    </dataValidation>
    <dataValidation type="list" allowBlank="1" showInputMessage="1" showErrorMessage="1" sqref="F4:F5 F17:F18 F30:F31" xr:uid="{76A2C897-59EA-4B3F-909C-18DB29527A32}">
      <formula1>"1,2,3,4,5,6,7,8,9,10"</formula1>
    </dataValidation>
    <dataValidation type="list" operator="equal" allowBlank="1" showInputMessage="1" showErrorMessage="1" sqref="B4:B5" xr:uid="{34B7875D-FD0A-493A-A574-0617E80A1FBF}">
      <formula1>"1,20,40,50,60,70,80,90"</formula1>
    </dataValidation>
  </dataValidations>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0D92E-F158-4D32-AAFC-E7CE5915C133}">
  <sheetPr codeName="Sheet297">
    <tabColor rgb="FFC6E0B4"/>
  </sheetPr>
  <dimension ref="A1:K40"/>
  <sheetViews>
    <sheetView workbookViewId="0">
      <selection activeCell="J26" sqref="J26"/>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301</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84"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85"/>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85"/>
      <c r="I8" s="1" t="str">
        <f t="shared" si="0"/>
        <v>Varunada Lazurite Chunk</v>
      </c>
      <c r="J8" s="17">
        <f t="shared" si="0"/>
        <v>0</v>
      </c>
      <c r="K8" s="34" t="s">
        <v>202</v>
      </c>
    </row>
    <row r="9" spans="1:11" ht="15.75" thickBot="1" x14ac:dyDescent="0.3">
      <c r="A9" s="171" t="s">
        <v>149</v>
      </c>
      <c r="B9" s="231"/>
      <c r="C9" s="172"/>
      <c r="E9" s="14" t="str">
        <f>VLOOKUP(VLOOKUP(B1,Character_List,8,FALSE),Weekly_Boss_Mats,2,FALSE)</f>
        <v>Lightless Mass</v>
      </c>
      <c r="F9" s="17">
        <f>VLOOKUP(F5,Required_Talent_Materials,5,FALSE)-VLOOKUP(F4,Required_Talent_Materials,5,FALSE)</f>
        <v>0</v>
      </c>
      <c r="H9" s="185"/>
      <c r="I9" s="1" t="str">
        <f t="shared" si="0"/>
        <v>Varunada Lazurite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Mark of the Binding Blessing</v>
      </c>
      <c r="J10" s="16">
        <f t="shared" si="0"/>
        <v>0</v>
      </c>
      <c r="K10" s="34" t="s">
        <v>202</v>
      </c>
    </row>
    <row r="11" spans="1:11" ht="15.75" thickBot="1" x14ac:dyDescent="0.3">
      <c r="A11" s="173" t="s">
        <v>208</v>
      </c>
      <c r="B11" s="202"/>
      <c r="C11" s="43">
        <v>6</v>
      </c>
      <c r="E11" s="14" t="str">
        <f>VLOOKUP(VLOOKUP(B1,Character_List,5,FALSE),Common_Mob_Drops,2,FALSE)</f>
        <v>Sentry’s Wooden Whistle</v>
      </c>
      <c r="F11" s="17">
        <f>VLOOKUP(F5,Required_Talent_Materials,7,FALSE)-VLOOKUP(F4,Required_Talent_Materials,7,FALSE)</f>
        <v>0</v>
      </c>
      <c r="H11" s="184" t="s">
        <v>207</v>
      </c>
      <c r="I11" s="2" t="str">
        <f>B17</f>
        <v>Sentry’s Wooden Whistle</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85"/>
      <c r="I12" s="1" t="str">
        <f>B18</f>
        <v>Warrior’s Metal Whistle</v>
      </c>
      <c r="J12" s="17">
        <f>SUM(C18,F12,F25,F38)</f>
        <v>0</v>
      </c>
      <c r="K12" s="34" t="s">
        <v>202</v>
      </c>
    </row>
    <row r="13" spans="1:11" ht="15.75" thickBot="1" x14ac:dyDescent="0.3">
      <c r="A13" s="182"/>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86"/>
      <c r="I13" s="9" t="str">
        <f>B19</f>
        <v>Saurian-Crowned Warrior’s Golden Whistle</v>
      </c>
      <c r="J13" s="16">
        <f>SUM(C19,F13,F26,F39)</f>
        <v>0</v>
      </c>
      <c r="K13" s="34" t="s">
        <v>202</v>
      </c>
    </row>
    <row r="14" spans="1:11" ht="15.75" thickBot="1" x14ac:dyDescent="0.3">
      <c r="A14" s="182"/>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Sprayfeather Gill</v>
      </c>
      <c r="J14" s="24">
        <f>C20</f>
        <v>0</v>
      </c>
      <c r="K14" s="34" t="s">
        <v>202</v>
      </c>
    </row>
    <row r="15" spans="1:11" ht="15.75" thickBot="1" x14ac:dyDescent="0.3">
      <c r="A15" s="182"/>
      <c r="B15" s="1" t="str">
        <f>_xlfn.CONCAT(VLOOKUP(VLOOKUP(B1,Character_List,2,FALSE),Boss_Mob_Drops,2,FALSE), " Gemstone")</f>
        <v>Varunada Lazurite Gemstone</v>
      </c>
      <c r="C15" s="17">
        <f>VLOOKUP(C11,Required_Ascension_Materials,5,FALSE)-VLOOKUP(C10,Required_Ascension_Materials,5,FALSE)</f>
        <v>0</v>
      </c>
      <c r="H15" s="184" t="s">
        <v>216</v>
      </c>
      <c r="I15" s="2" t="str">
        <f>E6</f>
        <v>Teachings of Contention</v>
      </c>
      <c r="J15" s="15">
        <f>SUM(F6,F19,F32)</f>
        <v>0</v>
      </c>
      <c r="K15" s="34" t="s">
        <v>202</v>
      </c>
    </row>
    <row r="16" spans="1:11" ht="15.75" thickBot="1" x14ac:dyDescent="0.3">
      <c r="A16" s="183"/>
      <c r="B16" s="9" t="str">
        <f>VLOOKUP(B1,Character_List,4,FALSE)</f>
        <v>Mark of the Binding Blessing</v>
      </c>
      <c r="C16" s="16">
        <f>VLOOKUP(C11,Required_Ascension_Materials,6,FALSE)-VLOOKUP(C10,Required_Ascension_Materials,6,FALSE)</f>
        <v>0</v>
      </c>
      <c r="E16" s="171" t="s">
        <v>151</v>
      </c>
      <c r="F16" s="172"/>
      <c r="H16" s="185"/>
      <c r="I16" s="1" t="str">
        <f>E7</f>
        <v>Guide to Contention</v>
      </c>
      <c r="J16" s="17">
        <f>SUM(F7,F20,F33)</f>
        <v>0</v>
      </c>
      <c r="K16" s="34" t="s">
        <v>202</v>
      </c>
    </row>
    <row r="17" spans="1:11" ht="15.75" thickBot="1" x14ac:dyDescent="0.3">
      <c r="A17" s="184" t="s">
        <v>207</v>
      </c>
      <c r="B17" s="2" t="str">
        <f>VLOOKUP(VLOOKUP(B1,Character_List,5,FALSE),Common_Mob_Drops,2,FALSE)</f>
        <v>Sentry’s Wooden Whistle</v>
      </c>
      <c r="C17" s="15">
        <f>VLOOKUP(C11,Required_Ascension_Materials,7,FALSE)-VLOOKUP(C10,Required_Ascension_Materials,7,FALSE)</f>
        <v>0</v>
      </c>
      <c r="E17" s="12" t="s">
        <v>200</v>
      </c>
      <c r="F17" s="28">
        <v>9</v>
      </c>
      <c r="H17" s="186"/>
      <c r="I17" s="9" t="str">
        <f>E8</f>
        <v>Philosophies of Contention</v>
      </c>
      <c r="J17" s="16">
        <f>SUM(F8,F21,F34)</f>
        <v>0</v>
      </c>
      <c r="K17" s="34" t="s">
        <v>202</v>
      </c>
    </row>
    <row r="18" spans="1:11" ht="15.75" thickBot="1" x14ac:dyDescent="0.3">
      <c r="A18" s="185"/>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Lightless Mass</v>
      </c>
      <c r="J18" s="24">
        <f>SUM(F9,F22,F35)</f>
        <v>0</v>
      </c>
      <c r="K18" s="34" t="s">
        <v>202</v>
      </c>
    </row>
    <row r="19" spans="1:11" ht="15.75" thickBot="1" x14ac:dyDescent="0.3">
      <c r="A19" s="186"/>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Sprayfeather Gill</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Lightless Mass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Lightless Mass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86" priority="1" operator="containsText" text="Done">
      <formula>NOT(ISERROR(SEARCH("Done",K4)))</formula>
    </cfRule>
    <cfRule type="containsText" dxfId="485" priority="2" operator="containsText" text="In Progress">
      <formula>NOT(ISERROR(SEARCH("In Progress",K4)))</formula>
    </cfRule>
  </conditionalFormatting>
  <dataValidations count="5">
    <dataValidation type="list" allowBlank="1" showInputMessage="1" showErrorMessage="1" sqref="C10:C11" xr:uid="{8D120B53-10F0-454D-9B45-F05B081673D1}">
      <formula1>"0,1,2,3,4,5,6"</formula1>
    </dataValidation>
    <dataValidation type="list" allowBlank="1" showInputMessage="1" showErrorMessage="1" sqref="K4:K19" xr:uid="{C66249FB-98D4-49CE-B539-F6A251C82DFA}">
      <formula1>"In Progress, Done"</formula1>
    </dataValidation>
    <dataValidation type="list" allowBlank="1" showInputMessage="1" showErrorMessage="1" sqref="B1" xr:uid="{9E3FDCB6-B18C-4A31-BA31-7CD9C49763E9}">
      <formula1>Character_Name_List</formula1>
    </dataValidation>
    <dataValidation type="list" allowBlank="1" showInputMessage="1" showErrorMessage="1" sqref="F4:F5 F17:F18 F30:F31" xr:uid="{A24265D0-ED49-4B6E-8C26-8DC404EBE277}">
      <formula1>"1,2,3,4,5,6,7,8,9,10"</formula1>
    </dataValidation>
    <dataValidation type="list" operator="equal" allowBlank="1" showInputMessage="1" showErrorMessage="1" sqref="B4:B5" xr:uid="{F03CF4D6-A536-42F7-9335-7FF5C96D856E}">
      <formula1>"1,20,40,50,60,70,80,90"</formula1>
    </dataValidation>
  </dataValidations>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6AC26-9F20-4C1E-AAB4-7BF5691BA2D1}">
  <sheetPr codeName="Sheet299">
    <tabColor rgb="FFC6E0B4"/>
  </sheetPr>
  <dimension ref="A1:K40"/>
  <sheetViews>
    <sheetView workbookViewId="0">
      <selection activeCell="I26" sqref="I26"/>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302</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84"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85"/>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85"/>
      <c r="I8" s="1" t="str">
        <f t="shared" si="0"/>
        <v>Prithiva Topaz Chunk</v>
      </c>
      <c r="J8" s="17">
        <f t="shared" si="0"/>
        <v>0</v>
      </c>
      <c r="K8" s="34" t="s">
        <v>202</v>
      </c>
    </row>
    <row r="9" spans="1:11" ht="15.75" thickBot="1" x14ac:dyDescent="0.3">
      <c r="A9" s="171" t="s">
        <v>149</v>
      </c>
      <c r="B9" s="231"/>
      <c r="C9" s="172"/>
      <c r="E9" s="14" t="str">
        <f>VLOOKUP(VLOOKUP(B1,Character_List,8,FALSE),Weekly_Boss_Mats,2,FALSE)</f>
        <v>Fading Candle</v>
      </c>
      <c r="F9" s="17">
        <f>VLOOKUP(F5,Required_Talent_Materials,5,FALSE)-VLOOKUP(F4,Required_Talent_Materials,5,FALSE)</f>
        <v>0</v>
      </c>
      <c r="H9" s="185"/>
      <c r="I9" s="1" t="str">
        <f t="shared" si="0"/>
        <v>Prithiva Topaz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Overripe Flamegranate</v>
      </c>
      <c r="J10" s="16">
        <f t="shared" si="0"/>
        <v>0</v>
      </c>
      <c r="K10" s="34" t="s">
        <v>202</v>
      </c>
    </row>
    <row r="11" spans="1:11" ht="15.75" thickBot="1" x14ac:dyDescent="0.3">
      <c r="A11" s="173" t="s">
        <v>208</v>
      </c>
      <c r="B11" s="202"/>
      <c r="C11" s="43">
        <v>6</v>
      </c>
      <c r="E11" s="14" t="str">
        <f>VLOOKUP(VLOOKUP(B1,Character_List,5,FALSE),Common_Mob_Drops,2,FALSE)</f>
        <v>Sentry’s Wooden Whistle</v>
      </c>
      <c r="F11" s="17">
        <f>VLOOKUP(F5,Required_Talent_Materials,7,FALSE)-VLOOKUP(F4,Required_Talent_Materials,7,FALSE)</f>
        <v>0</v>
      </c>
      <c r="H11" s="184" t="s">
        <v>207</v>
      </c>
      <c r="I11" s="2" t="str">
        <f>B17</f>
        <v>Sentry’s Wooden Whistle</v>
      </c>
      <c r="J11" s="15">
        <f>SUM(C17,F11,F24,F37)</f>
        <v>0</v>
      </c>
      <c r="K11" s="34" t="s">
        <v>202</v>
      </c>
    </row>
    <row r="12" spans="1:11" x14ac:dyDescent="0.25">
      <c r="A12" s="188"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85"/>
      <c r="I12" s="1" t="str">
        <f>B18</f>
        <v>Warrior’s Metal Whistle</v>
      </c>
      <c r="J12" s="17">
        <f>SUM(C18,F12,F25,F38)</f>
        <v>0</v>
      </c>
      <c r="K12" s="34" t="s">
        <v>202</v>
      </c>
    </row>
    <row r="13" spans="1:11" ht="15.75" thickBot="1" x14ac:dyDescent="0.3">
      <c r="A13" s="182"/>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86"/>
      <c r="I13" s="9" t="str">
        <f>B19</f>
        <v>Saurian-Crowned Warrior’s Golden Whistle</v>
      </c>
      <c r="J13" s="16">
        <f>SUM(C19,F13,F26,F39)</f>
        <v>0</v>
      </c>
      <c r="K13" s="34" t="s">
        <v>202</v>
      </c>
    </row>
    <row r="14" spans="1:11" ht="15.75" thickBot="1" x14ac:dyDescent="0.3">
      <c r="A14" s="182"/>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Quenepa Berry</v>
      </c>
      <c r="J14" s="24">
        <f>C20</f>
        <v>0</v>
      </c>
      <c r="K14" s="34" t="s">
        <v>202</v>
      </c>
    </row>
    <row r="15" spans="1:11" ht="15.75" thickBot="1" x14ac:dyDescent="0.3">
      <c r="A15" s="182"/>
      <c r="B15" s="1" t="str">
        <f>_xlfn.CONCAT(VLOOKUP(VLOOKUP(B1,Character_List,2,FALSE),Boss_Mob_Drops,2,FALSE), " Gemstone")</f>
        <v>Prithiva Topaz Gemstone</v>
      </c>
      <c r="C15" s="17">
        <f>VLOOKUP(C11,Required_Ascension_Materials,5,FALSE)-VLOOKUP(C10,Required_Ascension_Materials,5,FALSE)</f>
        <v>0</v>
      </c>
      <c r="H15" s="184" t="s">
        <v>216</v>
      </c>
      <c r="I15" s="2" t="str">
        <f>E6</f>
        <v>Teachings of Conflict</v>
      </c>
      <c r="J15" s="15">
        <f>SUM(F6,F19,F32)</f>
        <v>0</v>
      </c>
      <c r="K15" s="34" t="s">
        <v>202</v>
      </c>
    </row>
    <row r="16" spans="1:11" ht="15.75" thickBot="1" x14ac:dyDescent="0.3">
      <c r="A16" s="183"/>
      <c r="B16" s="9" t="str">
        <f>VLOOKUP(B1,Character_List,4,FALSE)</f>
        <v>Overripe Flamegranate</v>
      </c>
      <c r="C16" s="16">
        <f>VLOOKUP(C11,Required_Ascension_Materials,6,FALSE)-VLOOKUP(C10,Required_Ascension_Materials,6,FALSE)</f>
        <v>0</v>
      </c>
      <c r="E16" s="171" t="s">
        <v>151</v>
      </c>
      <c r="F16" s="172"/>
      <c r="H16" s="185"/>
      <c r="I16" s="1" t="str">
        <f>E7</f>
        <v>Guide to Conflict</v>
      </c>
      <c r="J16" s="17">
        <f>SUM(F7,F20,F33)</f>
        <v>0</v>
      </c>
      <c r="K16" s="34" t="s">
        <v>202</v>
      </c>
    </row>
    <row r="17" spans="1:11" ht="15.75" thickBot="1" x14ac:dyDescent="0.3">
      <c r="A17" s="184" t="s">
        <v>207</v>
      </c>
      <c r="B17" s="2" t="str">
        <f>VLOOKUP(VLOOKUP(B1,Character_List,5,FALSE),Common_Mob_Drops,2,FALSE)</f>
        <v>Sentry’s Wooden Whistle</v>
      </c>
      <c r="C17" s="15">
        <f>VLOOKUP(C11,Required_Ascension_Materials,7,FALSE)-VLOOKUP(C10,Required_Ascension_Materials,7,FALSE)</f>
        <v>0</v>
      </c>
      <c r="E17" s="12" t="s">
        <v>200</v>
      </c>
      <c r="F17" s="28">
        <v>9</v>
      </c>
      <c r="H17" s="186"/>
      <c r="I17" s="9" t="str">
        <f>E8</f>
        <v>Philosophies of Conflict</v>
      </c>
      <c r="J17" s="16">
        <f>SUM(F8,F21,F34)</f>
        <v>0</v>
      </c>
      <c r="K17" s="34" t="s">
        <v>202</v>
      </c>
    </row>
    <row r="18" spans="1:11" ht="15.75" thickBot="1" x14ac:dyDescent="0.3">
      <c r="A18" s="185"/>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Fading Candle</v>
      </c>
      <c r="J18" s="24">
        <f>SUM(F9,F22,F35)</f>
        <v>0</v>
      </c>
      <c r="K18" s="34" t="s">
        <v>202</v>
      </c>
    </row>
    <row r="19" spans="1:11" ht="15.75" thickBot="1" x14ac:dyDescent="0.3">
      <c r="A19" s="186"/>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Quenepa Berry</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Fading Candle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Fading Candle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84" priority="1" operator="containsText" text="Done">
      <formula>NOT(ISERROR(SEARCH("Done",K4)))</formula>
    </cfRule>
    <cfRule type="containsText" dxfId="483" priority="2" operator="containsText" text="In Progress">
      <formula>NOT(ISERROR(SEARCH("In Progress",K4)))</formula>
    </cfRule>
  </conditionalFormatting>
  <dataValidations count="5">
    <dataValidation type="list" allowBlank="1" showInputMessage="1" showErrorMessage="1" sqref="C10:C11" xr:uid="{E2C269E3-0756-4ADB-8BCC-E8B95050F212}">
      <formula1>"0,1,2,3,4,5,6"</formula1>
    </dataValidation>
    <dataValidation type="list" allowBlank="1" showInputMessage="1" showErrorMessage="1" sqref="K4:K19" xr:uid="{66DBF127-B16B-453F-A84D-1F826BBF33B1}">
      <formula1>"In Progress, Done"</formula1>
    </dataValidation>
    <dataValidation type="list" allowBlank="1" showInputMessage="1" showErrorMessage="1" sqref="B1" xr:uid="{EC282C8B-33CC-4D60-BD62-C79AEC23362A}">
      <formula1>Character_Name_List</formula1>
    </dataValidation>
    <dataValidation type="list" allowBlank="1" showInputMessage="1" showErrorMessage="1" sqref="F4:F5 F17:F18 F30:F31" xr:uid="{E544D2CC-1462-4434-B923-ACF1E52DA7C6}">
      <formula1>"1,2,3,4,5,6,7,8,9,10"</formula1>
    </dataValidation>
    <dataValidation type="list" operator="equal" allowBlank="1" showInputMessage="1" showErrorMessage="1" sqref="B4:B5" xr:uid="{F35CBDBC-4E75-434B-91D1-B1B3F46458DF}">
      <formula1>"1,20,40,50,60,70,80,90"</formula1>
    </dataValidation>
  </dataValidations>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02952-CA08-4289-AA5D-7EA1B80B8C4A}">
  <sheetPr codeName="Sheet298">
    <tabColor rgb="FFC6E0B4"/>
  </sheetPr>
  <dimension ref="A1:K40"/>
  <sheetViews>
    <sheetView workbookViewId="0">
      <selection activeCell="I24" sqref="I2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303</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84"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85"/>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85"/>
      <c r="I8" s="1" t="str">
        <f t="shared" si="0"/>
        <v>Nagadus Emerald Chunk</v>
      </c>
      <c r="J8" s="17">
        <f t="shared" si="0"/>
        <v>0</v>
      </c>
      <c r="K8" s="34" t="s">
        <v>202</v>
      </c>
    </row>
    <row r="9" spans="1:11" ht="15.75" thickBot="1" x14ac:dyDescent="0.3">
      <c r="A9" s="171" t="s">
        <v>149</v>
      </c>
      <c r="B9" s="231"/>
      <c r="C9" s="172"/>
      <c r="E9" s="14" t="str">
        <f>VLOOKUP(VLOOKUP(B1,Character_List,8,FALSE),Weekly_Boss_Mats,2,FALSE)</f>
        <v>Denial and Judgment</v>
      </c>
      <c r="F9" s="17">
        <f>VLOOKUP(F5,Required_Talent_Materials,5,FALSE)-VLOOKUP(F4,Required_Talent_Materials,5,FALSE)</f>
        <v>0</v>
      </c>
      <c r="H9" s="185"/>
      <c r="I9" s="1" t="str">
        <f t="shared" si="0"/>
        <v>Nagadus Emerald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Overripe Flamegranate</v>
      </c>
      <c r="J10" s="16">
        <f t="shared" si="0"/>
        <v>0</v>
      </c>
      <c r="K10" s="34" t="s">
        <v>202</v>
      </c>
    </row>
    <row r="11" spans="1:11" ht="15.75" thickBot="1" x14ac:dyDescent="0.3">
      <c r="A11" s="173" t="s">
        <v>208</v>
      </c>
      <c r="B11" s="202"/>
      <c r="C11" s="43">
        <v>6</v>
      </c>
      <c r="E11" s="14" t="str">
        <f>VLOOKUP(VLOOKUP(B1,Character_List,5,FALSE),Common_Mob_Drops,2,FALSE)</f>
        <v>Juvenile Fang</v>
      </c>
      <c r="F11" s="17">
        <f>VLOOKUP(F5,Required_Talent_Materials,7,FALSE)-VLOOKUP(F4,Required_Talent_Materials,7,FALSE)</f>
        <v>0</v>
      </c>
      <c r="H11" s="184" t="s">
        <v>207</v>
      </c>
      <c r="I11" s="2" t="str">
        <f>B17</f>
        <v>Juvenile Fang</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85"/>
      <c r="I12" s="1" t="str">
        <f>B18</f>
        <v>Seasoned Fang</v>
      </c>
      <c r="J12" s="17">
        <f>SUM(C18,F12,F25,F38)</f>
        <v>0</v>
      </c>
      <c r="K12" s="34" t="s">
        <v>202</v>
      </c>
    </row>
    <row r="13" spans="1:11" ht="15.75" thickBot="1" x14ac:dyDescent="0.3">
      <c r="A13" s="182"/>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86"/>
      <c r="I13" s="9" t="str">
        <f>B19</f>
        <v>Tyrant’s Fang</v>
      </c>
      <c r="J13" s="16">
        <f>SUM(C19,F13,F26,F39)</f>
        <v>0</v>
      </c>
      <c r="K13" s="34" t="s">
        <v>202</v>
      </c>
    </row>
    <row r="14" spans="1:11" ht="15.75" thickBot="1" x14ac:dyDescent="0.3">
      <c r="A14" s="182"/>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Saurian Claw Succulent</v>
      </c>
      <c r="J14" s="24">
        <f>C20</f>
        <v>0</v>
      </c>
      <c r="K14" s="34" t="s">
        <v>202</v>
      </c>
    </row>
    <row r="15" spans="1:11" ht="15.75" thickBot="1" x14ac:dyDescent="0.3">
      <c r="A15" s="182"/>
      <c r="B15" s="1" t="str">
        <f>_xlfn.CONCAT(VLOOKUP(VLOOKUP(B1,Character_List,2,FALSE),Boss_Mob_Drops,2,FALSE), " Gemstone")</f>
        <v>Nagadus Emerald Gemstone</v>
      </c>
      <c r="C15" s="17">
        <f>VLOOKUP(C11,Required_Ascension_Materials,5,FALSE)-VLOOKUP(C10,Required_Ascension_Materials,5,FALSE)</f>
        <v>0</v>
      </c>
      <c r="H15" s="184" t="s">
        <v>216</v>
      </c>
      <c r="I15" s="2" t="str">
        <f>E6</f>
        <v>Teachings of Kindling</v>
      </c>
      <c r="J15" s="15">
        <f>SUM(F6,F19,F32)</f>
        <v>0</v>
      </c>
      <c r="K15" s="34" t="s">
        <v>202</v>
      </c>
    </row>
    <row r="16" spans="1:11" ht="15.75" thickBot="1" x14ac:dyDescent="0.3">
      <c r="A16" s="183"/>
      <c r="B16" s="9" t="str">
        <f>VLOOKUP(B1,Character_List,4,FALSE)</f>
        <v>Overripe Flamegranate</v>
      </c>
      <c r="C16" s="16">
        <f>VLOOKUP(C11,Required_Ascension_Materials,6,FALSE)-VLOOKUP(C10,Required_Ascension_Materials,6,FALSE)</f>
        <v>0</v>
      </c>
      <c r="E16" s="171" t="s">
        <v>151</v>
      </c>
      <c r="F16" s="172"/>
      <c r="H16" s="185"/>
      <c r="I16" s="1" t="str">
        <f>E7</f>
        <v>Guide to Kindling</v>
      </c>
      <c r="J16" s="17">
        <f>SUM(F7,F20,F33)</f>
        <v>0</v>
      </c>
      <c r="K16" s="34" t="s">
        <v>202</v>
      </c>
    </row>
    <row r="17" spans="1:11" ht="15.75" thickBot="1" x14ac:dyDescent="0.3">
      <c r="A17" s="184" t="s">
        <v>207</v>
      </c>
      <c r="B17" s="2" t="str">
        <f>VLOOKUP(VLOOKUP(B1,Character_List,5,FALSE),Common_Mob_Drops,2,FALSE)</f>
        <v>Juvenile Fang</v>
      </c>
      <c r="C17" s="15">
        <f>VLOOKUP(C11,Required_Ascension_Materials,7,FALSE)-VLOOKUP(C10,Required_Ascension_Materials,7,FALSE)</f>
        <v>0</v>
      </c>
      <c r="E17" s="12" t="s">
        <v>200</v>
      </c>
      <c r="F17" s="28">
        <v>9</v>
      </c>
      <c r="H17" s="186"/>
      <c r="I17" s="9" t="str">
        <f>E8</f>
        <v>Philosophies of Kindling</v>
      </c>
      <c r="J17" s="16">
        <f>SUM(F8,F21,F34)</f>
        <v>0</v>
      </c>
      <c r="K17" s="34" t="s">
        <v>202</v>
      </c>
    </row>
    <row r="18" spans="1:11" ht="15.75" thickBot="1" x14ac:dyDescent="0.3">
      <c r="A18" s="185"/>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Denial and Judgment</v>
      </c>
      <c r="J18" s="24">
        <f>SUM(F9,F22,F35)</f>
        <v>0</v>
      </c>
      <c r="K18" s="34" t="s">
        <v>202</v>
      </c>
    </row>
    <row r="19" spans="1:11" ht="15.75" thickBot="1" x14ac:dyDescent="0.3">
      <c r="A19" s="186"/>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Saurian Claw Succulent</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Denial and Judgment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Denial and Judgment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82" priority="1" operator="containsText" text="Done">
      <formula>NOT(ISERROR(SEARCH("Done",K4)))</formula>
    </cfRule>
    <cfRule type="containsText" dxfId="481" priority="2" operator="containsText" text="In Progress">
      <formula>NOT(ISERROR(SEARCH("In Progress",K4)))</formula>
    </cfRule>
  </conditionalFormatting>
  <dataValidations count="5">
    <dataValidation type="list" allowBlank="1" showInputMessage="1" showErrorMessage="1" sqref="C10:C11" xr:uid="{97F5DD82-68DA-453D-8799-14112A373C90}">
      <formula1>"0,1,2,3,4,5,6"</formula1>
    </dataValidation>
    <dataValidation type="list" allowBlank="1" showInputMessage="1" showErrorMessage="1" sqref="K4:K19" xr:uid="{A9C671A3-82EF-4A1E-BCA6-946709CCC754}">
      <formula1>"In Progress, Done"</formula1>
    </dataValidation>
    <dataValidation type="list" allowBlank="1" showInputMessage="1" showErrorMessage="1" sqref="B1" xr:uid="{30D037C0-027D-4C50-BD79-DFCF2CD3433E}">
      <formula1>Character_Name_List</formula1>
    </dataValidation>
    <dataValidation type="list" allowBlank="1" showInputMessage="1" showErrorMessage="1" sqref="F4:F5 F17:F18 F30:F31" xr:uid="{B33A4E9F-18E5-4BF2-ACBC-317759616BAC}">
      <formula1>"1,2,3,4,5,6,7,8,9,10"</formula1>
    </dataValidation>
    <dataValidation type="list" operator="equal" allowBlank="1" showInputMessage="1" showErrorMessage="1" sqref="B4:B5" xr:uid="{46F8E26C-D9BC-4FA5-9547-7C6237671485}">
      <formula1>"1,20,40,50,60,70,80,90"</formula1>
    </dataValidation>
  </dataValidations>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62306-8965-43F3-B9C4-1093237FB3A2}">
  <sheetPr codeName="Sheet309">
    <tabColor rgb="FFC6E0B4"/>
  </sheetPr>
  <dimension ref="A1:K40"/>
  <sheetViews>
    <sheetView workbookViewId="0">
      <selection activeCell="I24" sqref="I2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304</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84"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85"/>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85"/>
      <c r="I8" s="1" t="str">
        <f t="shared" si="0"/>
        <v>Prithiva Topaz Chunk</v>
      </c>
      <c r="J8" s="17">
        <f t="shared" si="0"/>
        <v>0</v>
      </c>
      <c r="K8" s="34" t="s">
        <v>202</v>
      </c>
    </row>
    <row r="9" spans="1:11" ht="15.75" thickBot="1" x14ac:dyDescent="0.3">
      <c r="A9" s="171" t="s">
        <v>149</v>
      </c>
      <c r="B9" s="231"/>
      <c r="C9" s="172"/>
      <c r="E9" s="14" t="str">
        <f>VLOOKUP(VLOOKUP(B1,Character_List,8,FALSE),Weekly_Boss_Mats,2,FALSE)</f>
        <v>Mirror of Mushin</v>
      </c>
      <c r="F9" s="17">
        <f>VLOOKUP(F5,Required_Talent_Materials,5,FALSE)-VLOOKUP(F4,Required_Talent_Materials,5,FALSE)</f>
        <v>0</v>
      </c>
      <c r="H9" s="185"/>
      <c r="I9" s="1" t="str">
        <f t="shared" si="0"/>
        <v>Prithiva Topaz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Gold-Inscribed Secret Source Core</v>
      </c>
      <c r="J10" s="16">
        <f t="shared" si="0"/>
        <v>0</v>
      </c>
      <c r="K10" s="34" t="s">
        <v>202</v>
      </c>
    </row>
    <row r="11" spans="1:11" ht="15.75" thickBot="1" x14ac:dyDescent="0.3">
      <c r="A11" s="173" t="s">
        <v>208</v>
      </c>
      <c r="B11" s="202"/>
      <c r="C11" s="43">
        <v>6</v>
      </c>
      <c r="E11" s="14" t="str">
        <f>VLOOKUP(VLOOKUP(B1,Character_List,5,FALSE),Common_Mob_Drops,2,FALSE)</f>
        <v>Sentry’s Wooden Whistle</v>
      </c>
      <c r="F11" s="17">
        <f>VLOOKUP(F5,Required_Talent_Materials,7,FALSE)-VLOOKUP(F4,Required_Talent_Materials,7,FALSE)</f>
        <v>0</v>
      </c>
      <c r="H11" s="184" t="s">
        <v>207</v>
      </c>
      <c r="I11" s="2" t="str">
        <f>B17</f>
        <v>Sentry’s Wooden Whistle</v>
      </c>
      <c r="J11" s="15">
        <f>SUM(C17,F11,F24,F37)</f>
        <v>0</v>
      </c>
      <c r="K11" s="34" t="s">
        <v>202</v>
      </c>
    </row>
    <row r="12" spans="1:11" x14ac:dyDescent="0.25">
      <c r="A12" s="188"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85"/>
      <c r="I12" s="1" t="str">
        <f>B18</f>
        <v>Warrior’s Metal Whistle</v>
      </c>
      <c r="J12" s="17">
        <f>SUM(C18,F12,F25,F38)</f>
        <v>0</v>
      </c>
      <c r="K12" s="34" t="s">
        <v>202</v>
      </c>
    </row>
    <row r="13" spans="1:11" ht="15.75" thickBot="1" x14ac:dyDescent="0.3">
      <c r="A13" s="182"/>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86"/>
      <c r="I13" s="9" t="str">
        <f>B19</f>
        <v>Saurian-Crowned Warrior’s Golden Whistle</v>
      </c>
      <c r="J13" s="16">
        <f>SUM(C19,F13,F26,F39)</f>
        <v>0</v>
      </c>
      <c r="K13" s="34" t="s">
        <v>202</v>
      </c>
    </row>
    <row r="14" spans="1:11" ht="15.75" thickBot="1" x14ac:dyDescent="0.3">
      <c r="A14" s="182"/>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Brilliant Chrysanthemum</v>
      </c>
      <c r="J14" s="24">
        <f>C20</f>
        <v>0</v>
      </c>
      <c r="K14" s="34" t="s">
        <v>202</v>
      </c>
    </row>
    <row r="15" spans="1:11" ht="15.75" thickBot="1" x14ac:dyDescent="0.3">
      <c r="A15" s="182"/>
      <c r="B15" s="1" t="str">
        <f>_xlfn.CONCAT(VLOOKUP(VLOOKUP(B1,Character_List,2,FALSE),Boss_Mob_Drops,2,FALSE), " Gemstone")</f>
        <v>Prithiva Topaz Gemstone</v>
      </c>
      <c r="C15" s="17">
        <f>VLOOKUP(C11,Required_Ascension_Materials,5,FALSE)-VLOOKUP(C10,Required_Ascension_Materials,5,FALSE)</f>
        <v>0</v>
      </c>
      <c r="H15" s="184" t="s">
        <v>216</v>
      </c>
      <c r="I15" s="2" t="str">
        <f>E6</f>
        <v>Teachings of Kindling</v>
      </c>
      <c r="J15" s="15">
        <f>SUM(F6,F19,F32)</f>
        <v>0</v>
      </c>
      <c r="K15" s="34" t="s">
        <v>202</v>
      </c>
    </row>
    <row r="16" spans="1:11" ht="15.75" thickBot="1" x14ac:dyDescent="0.3">
      <c r="A16" s="183"/>
      <c r="B16" s="9" t="str">
        <f>VLOOKUP(B1,Character_List,4,FALSE)</f>
        <v>Gold-Inscribed Secret Source Core</v>
      </c>
      <c r="C16" s="16">
        <f>VLOOKUP(C11,Required_Ascension_Materials,6,FALSE)-VLOOKUP(C10,Required_Ascension_Materials,6,FALSE)</f>
        <v>0</v>
      </c>
      <c r="E16" s="171" t="s">
        <v>151</v>
      </c>
      <c r="F16" s="172"/>
      <c r="H16" s="185"/>
      <c r="I16" s="1" t="str">
        <f>E7</f>
        <v>Guide to Kindling</v>
      </c>
      <c r="J16" s="17">
        <f>SUM(F7,F20,F33)</f>
        <v>0</v>
      </c>
      <c r="K16" s="34" t="s">
        <v>202</v>
      </c>
    </row>
    <row r="17" spans="1:11" ht="15.75" thickBot="1" x14ac:dyDescent="0.3">
      <c r="A17" s="184" t="s">
        <v>207</v>
      </c>
      <c r="B17" s="2" t="str">
        <f>VLOOKUP(VLOOKUP(B1,Character_List,5,FALSE),Common_Mob_Drops,2,FALSE)</f>
        <v>Sentry’s Wooden Whistle</v>
      </c>
      <c r="C17" s="15">
        <f>VLOOKUP(C11,Required_Ascension_Materials,7,FALSE)-VLOOKUP(C10,Required_Ascension_Materials,7,FALSE)</f>
        <v>0</v>
      </c>
      <c r="E17" s="12" t="s">
        <v>200</v>
      </c>
      <c r="F17" s="28">
        <v>9</v>
      </c>
      <c r="H17" s="186"/>
      <c r="I17" s="9" t="str">
        <f>E8</f>
        <v>Philosophies of Kindling</v>
      </c>
      <c r="J17" s="16">
        <f>SUM(F8,F21,F34)</f>
        <v>0</v>
      </c>
      <c r="K17" s="34" t="s">
        <v>202</v>
      </c>
    </row>
    <row r="18" spans="1:11" ht="15.75" thickBot="1" x14ac:dyDescent="0.3">
      <c r="A18" s="185"/>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86"/>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Brilliant Chrysanthemum</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0" priority="1" operator="containsText" text="Done">
      <formula>NOT(ISERROR(SEARCH("Done",K4)))</formula>
    </cfRule>
    <cfRule type="containsText" dxfId="479" priority="2" operator="containsText" text="In Progress">
      <formula>NOT(ISERROR(SEARCH("In Progress",K4)))</formula>
    </cfRule>
  </conditionalFormatting>
  <dataValidations count="5">
    <dataValidation type="list" allowBlank="1" showInputMessage="1" showErrorMessage="1" sqref="C10:C11" xr:uid="{107448EC-CAC2-4384-BDB7-F57B76543C8D}">
      <formula1>"0,1,2,3,4,5,6"</formula1>
    </dataValidation>
    <dataValidation type="list" allowBlank="1" showInputMessage="1" showErrorMessage="1" sqref="K4:K19" xr:uid="{BC6B584E-2C0D-42D9-B78B-0697436B1EF4}">
      <formula1>"In Progress, Done"</formula1>
    </dataValidation>
    <dataValidation type="list" allowBlank="1" showInputMessage="1" showErrorMessage="1" sqref="B1" xr:uid="{295DEC55-7C32-48AB-A904-2AA3B44ECD3B}">
      <formula1>Character_Name_List</formula1>
    </dataValidation>
    <dataValidation type="list" allowBlank="1" showInputMessage="1" showErrorMessage="1" sqref="F4:F5 F17:F18 F30:F31" xr:uid="{BF8C9E52-57B7-4781-A9E0-D56960C9E653}">
      <formula1>"1,2,3,4,5,6,7,8,9,10"</formula1>
    </dataValidation>
    <dataValidation type="list" operator="equal" allowBlank="1" showInputMessage="1" showErrorMessage="1" sqref="B4:B5" xr:uid="{B51095F5-F0F0-42F6-B92A-9FF49C8EA5DD}">
      <formula1>"1,20,40,50,60,70,80,90"</formula1>
    </dataValidation>
  </dataValidations>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F9E21-2B5D-4B45-93D2-548D181C85D3}">
  <sheetPr codeName="Sheet314">
    <tabColor rgb="FFC6E0B4"/>
  </sheetPr>
  <dimension ref="A1:K40"/>
  <sheetViews>
    <sheetView workbookViewId="0">
      <selection activeCell="H29" sqref="H29"/>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305</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Silken Feather</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Ensnaring Gaze</v>
      </c>
      <c r="J10" s="16">
        <f t="shared" si="0"/>
        <v>0</v>
      </c>
      <c r="K10" s="34" t="s">
        <v>202</v>
      </c>
    </row>
    <row r="11" spans="1:11" ht="15.75" thickBot="1" x14ac:dyDescent="0.3">
      <c r="A11" s="173" t="s">
        <v>208</v>
      </c>
      <c r="B11" s="202"/>
      <c r="C11" s="43">
        <v>6</v>
      </c>
      <c r="E11" s="14" t="str">
        <f>VLOOKUP(VLOOKUP(B1,Character_List,5,FALSE),Common_Mob_Drops,2,FALSE)</f>
        <v>Juvenile Fang</v>
      </c>
      <c r="F11" s="17">
        <f>VLOOKUP(F5,Required_Talent_Materials,7,FALSE)-VLOOKUP(F4,Required_Talent_Materials,7,FALSE)</f>
        <v>0</v>
      </c>
      <c r="H11" s="184" t="s">
        <v>207</v>
      </c>
      <c r="I11" s="2" t="str">
        <f>B17</f>
        <v>Juvenile Fang</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85"/>
      <c r="I12" s="1" t="str">
        <f>B18</f>
        <v>Seasoned Fang</v>
      </c>
      <c r="J12" s="17">
        <f>SUM(C18,F12,F25,F38)</f>
        <v>0</v>
      </c>
      <c r="K12" s="34" t="s">
        <v>202</v>
      </c>
    </row>
    <row r="13" spans="1:11" ht="15.75" thickBot="1" x14ac:dyDescent="0.3">
      <c r="A13" s="182"/>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86"/>
      <c r="I13" s="9" t="str">
        <f>B19</f>
        <v>Tyrant’s Fang</v>
      </c>
      <c r="J13" s="16">
        <f>SUM(C19,F13,F26,F39)</f>
        <v>0</v>
      </c>
      <c r="K13" s="34" t="s">
        <v>202</v>
      </c>
    </row>
    <row r="14" spans="1:11" ht="15.75" thickBot="1" x14ac:dyDescent="0.3">
      <c r="A14" s="182"/>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Withering Purpurbloom</v>
      </c>
      <c r="J14" s="24">
        <f>C20</f>
        <v>0</v>
      </c>
      <c r="K14" s="34" t="s">
        <v>202</v>
      </c>
    </row>
    <row r="15" spans="1:11" ht="15.75" thickBot="1" x14ac:dyDescent="0.3">
      <c r="A15" s="182"/>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Conflict</v>
      </c>
      <c r="J15" s="15">
        <f>SUM(F6,F19,F32)</f>
        <v>0</v>
      </c>
      <c r="K15" s="34" t="s">
        <v>202</v>
      </c>
    </row>
    <row r="16" spans="1:11" ht="15.75" thickBot="1" x14ac:dyDescent="0.3">
      <c r="A16" s="183"/>
      <c r="B16" s="9" t="str">
        <f>VLOOKUP(B1,Character_List,4,FALSE)</f>
        <v>Ensnaring Gaze</v>
      </c>
      <c r="C16" s="16">
        <f>VLOOKUP(C11,Required_Ascension_Materials,6,FALSE)-VLOOKUP(C10,Required_Ascension_Materials,6,FALSE)</f>
        <v>0</v>
      </c>
      <c r="E16" s="171" t="s">
        <v>151</v>
      </c>
      <c r="F16" s="172"/>
      <c r="H16" s="185"/>
      <c r="I16" s="1" t="str">
        <f>E7</f>
        <v>Guide to Conflict</v>
      </c>
      <c r="J16" s="17">
        <f>SUM(F7,F20,F33)</f>
        <v>0</v>
      </c>
      <c r="K16" s="34" t="s">
        <v>202</v>
      </c>
    </row>
    <row r="17" spans="1:11" ht="15.75" thickBot="1" x14ac:dyDescent="0.3">
      <c r="A17" s="184" t="s">
        <v>207</v>
      </c>
      <c r="B17" s="2" t="str">
        <f>VLOOKUP(VLOOKUP(B1,Character_List,5,FALSE),Common_Mob_Drops,2,FALSE)</f>
        <v>Juvenile Fang</v>
      </c>
      <c r="C17" s="15">
        <f>VLOOKUP(C11,Required_Ascension_Materials,7,FALSE)-VLOOKUP(C10,Required_Ascension_Materials,7,FALSE)</f>
        <v>0</v>
      </c>
      <c r="E17" s="12" t="s">
        <v>200</v>
      </c>
      <c r="F17" s="28">
        <v>9</v>
      </c>
      <c r="H17" s="186"/>
      <c r="I17" s="9" t="str">
        <f>E8</f>
        <v>Philosophies of Conflict</v>
      </c>
      <c r="J17" s="16">
        <f>SUM(F8,F21,F34)</f>
        <v>0</v>
      </c>
      <c r="K17" s="34" t="s">
        <v>202</v>
      </c>
    </row>
    <row r="18" spans="1:11" ht="15.75" thickBot="1" x14ac:dyDescent="0.3">
      <c r="A18" s="185"/>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Silken Feather</v>
      </c>
      <c r="J18" s="24">
        <f>SUM(F9,F22,F35)</f>
        <v>0</v>
      </c>
      <c r="K18" s="34" t="s">
        <v>202</v>
      </c>
    </row>
    <row r="19" spans="1:11" ht="15.75" thickBot="1" x14ac:dyDescent="0.3">
      <c r="A19" s="186"/>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Withering Purpurbloom</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Silken Feather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Silken Feather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78" priority="1" operator="containsText" text="Done">
      <formula>NOT(ISERROR(SEARCH("Done",K4)))</formula>
    </cfRule>
    <cfRule type="containsText" dxfId="477" priority="2" operator="containsText" text="In Progress">
      <formula>NOT(ISERROR(SEARCH("In Progress",K4)))</formula>
    </cfRule>
  </conditionalFormatting>
  <dataValidations count="5">
    <dataValidation type="list" allowBlank="1" showInputMessage="1" showErrorMessage="1" sqref="C10:C11" xr:uid="{995CBE52-ABAE-4DEC-9FAE-0ADE2CA77240}">
      <formula1>"0,1,2,3,4,5,6"</formula1>
    </dataValidation>
    <dataValidation type="list" allowBlank="1" showInputMessage="1" showErrorMessage="1" sqref="K4:K19" xr:uid="{3E7C216C-DD4D-4A2D-B71D-0EF34B84C889}">
      <formula1>"In Progress, Done"</formula1>
    </dataValidation>
    <dataValidation type="list" allowBlank="1" showInputMessage="1" showErrorMessage="1" sqref="B1" xr:uid="{CF499859-2088-4CE5-820E-CF0A82C54BFD}">
      <formula1>Character_Name_List</formula1>
    </dataValidation>
    <dataValidation type="list" allowBlank="1" showInputMessage="1" showErrorMessage="1" sqref="F4:F5 F17:F18 F30:F31" xr:uid="{73DB4A13-708D-4AC3-85CF-7DCFB17A69A3}">
      <formula1>"1,2,3,4,5,6,7,8,9,10"</formula1>
    </dataValidation>
    <dataValidation type="list" operator="equal" allowBlank="1" showInputMessage="1" showErrorMessage="1" sqref="B4:B5" xr:uid="{513C73C4-BC61-4155-BE68-1B46CDDEC2C5}">
      <formula1>"1,20,40,50,60,70,80,90"</formula1>
    </dataValidation>
  </dataValidations>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6ED6E-F1ED-472A-BD02-C2246FA24643}">
  <sheetPr codeName="Sheet315">
    <tabColor rgb="FFC6E0B4"/>
  </sheetPr>
  <dimension ref="A1:K40"/>
  <sheetViews>
    <sheetView workbookViewId="0">
      <selection activeCell="I26" sqref="I26"/>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306</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Lightless Silk String</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Mark of the Binding Blessing</v>
      </c>
      <c r="J10" s="16">
        <f t="shared" si="0"/>
        <v>0</v>
      </c>
      <c r="K10" s="34" t="s">
        <v>202</v>
      </c>
    </row>
    <row r="11" spans="1:11" ht="15.75" thickBot="1" x14ac:dyDescent="0.3">
      <c r="A11" s="173" t="s">
        <v>208</v>
      </c>
      <c r="B11" s="202"/>
      <c r="C11" s="43">
        <v>6</v>
      </c>
      <c r="E11" s="14" t="str">
        <f>VLOOKUP(VLOOKUP(B1,Character_List,5,FALSE),Common_Mob_Drops,2,FALSE)</f>
        <v>Juvenile Fang</v>
      </c>
      <c r="F11" s="17">
        <f>VLOOKUP(F5,Required_Talent_Materials,7,FALSE)-VLOOKUP(F4,Required_Talent_Materials,7,FALSE)</f>
        <v>0</v>
      </c>
      <c r="H11" s="184" t="s">
        <v>207</v>
      </c>
      <c r="I11" s="2" t="str">
        <f>B17</f>
        <v>Juvenile Fang</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85"/>
      <c r="I12" s="1" t="str">
        <f>B18</f>
        <v>Seasoned Fang</v>
      </c>
      <c r="J12" s="17">
        <f>SUM(C18,F12,F25,F38)</f>
        <v>0</v>
      </c>
      <c r="K12" s="34" t="s">
        <v>202</v>
      </c>
    </row>
    <row r="13" spans="1:11" ht="15.75" thickBot="1" x14ac:dyDescent="0.3">
      <c r="A13" s="182"/>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86"/>
      <c r="I13" s="9" t="str">
        <f>B19</f>
        <v>Tyrant’s Fang</v>
      </c>
      <c r="J13" s="16">
        <f>SUM(C19,F13,F26,F39)</f>
        <v>0</v>
      </c>
      <c r="K13" s="34" t="s">
        <v>202</v>
      </c>
    </row>
    <row r="14" spans="1:11" ht="15.75" thickBot="1" x14ac:dyDescent="0.3">
      <c r="A14" s="182"/>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Glowing Hornshroom</v>
      </c>
      <c r="J14" s="24">
        <f>C20</f>
        <v>0</v>
      </c>
      <c r="K14" s="34" t="s">
        <v>202</v>
      </c>
    </row>
    <row r="15" spans="1:11" ht="15.75" thickBot="1" x14ac:dyDescent="0.3">
      <c r="A15" s="182"/>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Kindling</v>
      </c>
      <c r="J15" s="15">
        <f>SUM(F6,F19,F32)</f>
        <v>0</v>
      </c>
      <c r="K15" s="34" t="s">
        <v>202</v>
      </c>
    </row>
    <row r="16" spans="1:11" ht="15.75" thickBot="1" x14ac:dyDescent="0.3">
      <c r="A16" s="183"/>
      <c r="B16" s="9" t="str">
        <f>VLOOKUP(B1,Character_List,4,FALSE)</f>
        <v>Mark of the Binding Blessing</v>
      </c>
      <c r="C16" s="16">
        <f>VLOOKUP(C11,Required_Ascension_Materials,6,FALSE)-VLOOKUP(C10,Required_Ascension_Materials,6,FALSE)</f>
        <v>0</v>
      </c>
      <c r="E16" s="171" t="s">
        <v>151</v>
      </c>
      <c r="F16" s="172"/>
      <c r="H16" s="185"/>
      <c r="I16" s="1" t="str">
        <f>E7</f>
        <v>Guide to Kindling</v>
      </c>
      <c r="J16" s="17">
        <f>SUM(F7,F20,F33)</f>
        <v>0</v>
      </c>
      <c r="K16" s="34" t="s">
        <v>202</v>
      </c>
    </row>
    <row r="17" spans="1:11" ht="15.75" thickBot="1" x14ac:dyDescent="0.3">
      <c r="A17" s="184" t="s">
        <v>207</v>
      </c>
      <c r="B17" s="2" t="str">
        <f>VLOOKUP(VLOOKUP(B1,Character_List,5,FALSE),Common_Mob_Drops,2,FALSE)</f>
        <v>Juvenile Fang</v>
      </c>
      <c r="C17" s="15">
        <f>VLOOKUP(C11,Required_Ascension_Materials,7,FALSE)-VLOOKUP(C10,Required_Ascension_Materials,7,FALSE)</f>
        <v>0</v>
      </c>
      <c r="E17" s="12" t="s">
        <v>200</v>
      </c>
      <c r="F17" s="28">
        <v>9</v>
      </c>
      <c r="H17" s="186"/>
      <c r="I17" s="9" t="str">
        <f>E8</f>
        <v>Philosophies of Kindling</v>
      </c>
      <c r="J17" s="16">
        <f>SUM(F8,F21,F34)</f>
        <v>0</v>
      </c>
      <c r="K17" s="34" t="s">
        <v>202</v>
      </c>
    </row>
    <row r="18" spans="1:11" ht="15.75" thickBot="1" x14ac:dyDescent="0.3">
      <c r="A18" s="185"/>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86"/>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Glowing Hornshroom</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76" priority="1" operator="containsText" text="Done">
      <formula>NOT(ISERROR(SEARCH("Done",K4)))</formula>
    </cfRule>
    <cfRule type="containsText" dxfId="475" priority="2" operator="containsText" text="In Progress">
      <formula>NOT(ISERROR(SEARCH("In Progress",K4)))</formula>
    </cfRule>
  </conditionalFormatting>
  <dataValidations count="5">
    <dataValidation type="list" allowBlank="1" showInputMessage="1" showErrorMessage="1" sqref="C10:C11" xr:uid="{2FDAE3C7-23C3-43D8-83C6-DB3A435CDAEF}">
      <formula1>"0,1,2,3,4,5,6"</formula1>
    </dataValidation>
    <dataValidation type="list" allowBlank="1" showInputMessage="1" showErrorMessage="1" sqref="K4:K19" xr:uid="{79F21115-A6CD-4936-84D6-8183B5527EBF}">
      <formula1>"In Progress, Done"</formula1>
    </dataValidation>
    <dataValidation type="list" allowBlank="1" showInputMessage="1" showErrorMessage="1" sqref="B1" xr:uid="{569F7257-0831-4463-8B13-82118E8451AD}">
      <formula1>Character_Name_List</formula1>
    </dataValidation>
    <dataValidation type="list" allowBlank="1" showInputMessage="1" showErrorMessage="1" sqref="F4:F5 F17:F18 F30:F31" xr:uid="{2546E6B4-3E72-4E64-B936-44829997E6D4}">
      <formula1>"1,2,3,4,5,6,7,8,9,10"</formula1>
    </dataValidation>
    <dataValidation type="list" operator="equal" allowBlank="1" showInputMessage="1" showErrorMessage="1" sqref="B4:B5" xr:uid="{0DB8034F-E70A-4ACA-91C3-33B1555B8426}">
      <formula1>"1,20,40,50,60,70,80,90"</formula1>
    </dataValidation>
  </dataValidations>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10F51-51A8-485A-9455-D593714B9393}">
  <sheetPr codeName="Sheet316">
    <tabColor rgb="FFC6E0B4"/>
  </sheetPr>
  <dimension ref="A1:K40"/>
  <sheetViews>
    <sheetView workbookViewId="0">
      <selection activeCell="I24" sqref="I2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307</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84"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85"/>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85"/>
      <c r="I8" s="1" t="str">
        <f t="shared" si="0"/>
        <v>Agnidus Agate Chunk</v>
      </c>
      <c r="J8" s="17">
        <f t="shared" si="0"/>
        <v>0</v>
      </c>
      <c r="K8" s="34" t="s">
        <v>202</v>
      </c>
    </row>
    <row r="9" spans="1:11" ht="15.75" thickBot="1" x14ac:dyDescent="0.3">
      <c r="A9" s="171" t="s">
        <v>149</v>
      </c>
      <c r="B9" s="231"/>
      <c r="C9" s="172"/>
      <c r="E9" s="14" t="str">
        <f>VLOOKUP(VLOOKUP(B1,Character_List,8,FALSE),Weekly_Boss_Mats,2,FALSE)</f>
        <v>Eroded Horn</v>
      </c>
      <c r="F9" s="17">
        <f>VLOOKUP(F5,Required_Talent_Materials,5,FALSE)-VLOOKUP(F4,Required_Talent_Materials,5,FALSE)</f>
        <v>0</v>
      </c>
      <c r="H9" s="185"/>
      <c r="I9" s="1" t="str">
        <f t="shared" si="0"/>
        <v>Agnidus Agate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Gold-Inscribed Secret Source Core</v>
      </c>
      <c r="J10" s="16">
        <f t="shared" si="0"/>
        <v>0</v>
      </c>
      <c r="K10" s="34" t="s">
        <v>202</v>
      </c>
    </row>
    <row r="11" spans="1:11" ht="15.75" thickBot="1" x14ac:dyDescent="0.3">
      <c r="A11" s="173" t="s">
        <v>208</v>
      </c>
      <c r="B11" s="202"/>
      <c r="C11" s="43">
        <v>6</v>
      </c>
      <c r="E11" s="14" t="str">
        <f>VLOOKUP(VLOOKUP(B1,Character_List,5,FALSE),Common_Mob_Drops,2,FALSE)</f>
        <v>Sentry’s Wooden Whistle</v>
      </c>
      <c r="F11" s="17">
        <f>VLOOKUP(F5,Required_Talent_Materials,7,FALSE)-VLOOKUP(F4,Required_Talent_Materials,7,FALSE)</f>
        <v>0</v>
      </c>
      <c r="H11" s="184" t="s">
        <v>207</v>
      </c>
      <c r="I11" s="2" t="str">
        <f>B17</f>
        <v>Sentry’s Wooden Whistle</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85"/>
      <c r="I12" s="1" t="str">
        <f>B18</f>
        <v>Warrior’s Metal Whistle</v>
      </c>
      <c r="J12" s="17">
        <f>SUM(C18,F12,F25,F38)</f>
        <v>0</v>
      </c>
      <c r="K12" s="34" t="s">
        <v>202</v>
      </c>
    </row>
    <row r="13" spans="1:11" ht="15.75" thickBot="1" x14ac:dyDescent="0.3">
      <c r="A13" s="182"/>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86"/>
      <c r="I13" s="9" t="str">
        <f>B19</f>
        <v>Saurian-Crowned Warrior’s Golden Whistle</v>
      </c>
      <c r="J13" s="16">
        <f>SUM(C19,F13,F26,F39)</f>
        <v>0</v>
      </c>
      <c r="K13" s="34" t="s">
        <v>202</v>
      </c>
    </row>
    <row r="14" spans="1:11" ht="15.75" thickBot="1" x14ac:dyDescent="0.3">
      <c r="A14" s="182"/>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Withering Purpurbloom</v>
      </c>
      <c r="J14" s="24">
        <f>C20</f>
        <v>0</v>
      </c>
      <c r="K14" s="34" t="s">
        <v>202</v>
      </c>
    </row>
    <row r="15" spans="1:11" ht="15.75" thickBot="1" x14ac:dyDescent="0.3">
      <c r="A15" s="182"/>
      <c r="B15" s="1" t="str">
        <f>_xlfn.CONCAT(VLOOKUP(VLOOKUP(B1,Character_List,2,FALSE),Boss_Mob_Drops,2,FALSE), " Gemstone")</f>
        <v>Agnidus Agate Gemstone</v>
      </c>
      <c r="C15" s="17">
        <f>VLOOKUP(C11,Required_Ascension_Materials,5,FALSE)-VLOOKUP(C10,Required_Ascension_Materials,5,FALSE)</f>
        <v>0</v>
      </c>
      <c r="H15" s="184" t="s">
        <v>216</v>
      </c>
      <c r="I15" s="2" t="str">
        <f>E6</f>
        <v>Teachings of Contention</v>
      </c>
      <c r="J15" s="15">
        <f>SUM(F6,F19,F32)</f>
        <v>0</v>
      </c>
      <c r="K15" s="34" t="s">
        <v>202</v>
      </c>
    </row>
    <row r="16" spans="1:11" ht="15.75" thickBot="1" x14ac:dyDescent="0.3">
      <c r="A16" s="183"/>
      <c r="B16" s="9" t="str">
        <f>VLOOKUP(B1,Character_List,4,FALSE)</f>
        <v>Gold-Inscribed Secret Source Core</v>
      </c>
      <c r="C16" s="16">
        <f>VLOOKUP(C11,Required_Ascension_Materials,6,FALSE)-VLOOKUP(C10,Required_Ascension_Materials,6,FALSE)</f>
        <v>0</v>
      </c>
      <c r="E16" s="171" t="s">
        <v>151</v>
      </c>
      <c r="F16" s="172"/>
      <c r="H16" s="185"/>
      <c r="I16" s="1" t="str">
        <f>E7</f>
        <v>Guide to Contention</v>
      </c>
      <c r="J16" s="17">
        <f>SUM(F7,F20,F33)</f>
        <v>0</v>
      </c>
      <c r="K16" s="34" t="s">
        <v>202</v>
      </c>
    </row>
    <row r="17" spans="1:11" ht="15.75" thickBot="1" x14ac:dyDescent="0.3">
      <c r="A17" s="184" t="s">
        <v>207</v>
      </c>
      <c r="B17" s="2" t="str">
        <f>VLOOKUP(VLOOKUP(B1,Character_List,5,FALSE),Common_Mob_Drops,2,FALSE)</f>
        <v>Sentry’s Wooden Whistle</v>
      </c>
      <c r="C17" s="15">
        <f>VLOOKUP(C11,Required_Ascension_Materials,7,FALSE)-VLOOKUP(C10,Required_Ascension_Materials,7,FALSE)</f>
        <v>0</v>
      </c>
      <c r="E17" s="12" t="s">
        <v>200</v>
      </c>
      <c r="F17" s="28">
        <v>9</v>
      </c>
      <c r="H17" s="186"/>
      <c r="I17" s="9" t="str">
        <f>E8</f>
        <v>Philosophies of Contention</v>
      </c>
      <c r="J17" s="16">
        <f>SUM(F8,F21,F34)</f>
        <v>0</v>
      </c>
      <c r="K17" s="34" t="s">
        <v>202</v>
      </c>
    </row>
    <row r="18" spans="1:11" ht="15.75" thickBot="1" x14ac:dyDescent="0.3">
      <c r="A18" s="185"/>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Eroded Horn</v>
      </c>
      <c r="J18" s="24">
        <f>SUM(F9,F22,F35)</f>
        <v>0</v>
      </c>
      <c r="K18" s="34" t="s">
        <v>202</v>
      </c>
    </row>
    <row r="19" spans="1:11" ht="15.75" thickBot="1" x14ac:dyDescent="0.3">
      <c r="A19" s="186"/>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Withering Purpurbloom</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Eroded Horn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Eroded Horn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74" priority="1" operator="containsText" text="Done">
      <formula>NOT(ISERROR(SEARCH("Done",K4)))</formula>
    </cfRule>
    <cfRule type="containsText" dxfId="473" priority="2" operator="containsText" text="In Progress">
      <formula>NOT(ISERROR(SEARCH("In Progress",K4)))</formula>
    </cfRule>
  </conditionalFormatting>
  <dataValidations count="5">
    <dataValidation type="list" allowBlank="1" showInputMessage="1" showErrorMessage="1" sqref="C10:C11" xr:uid="{4AC82D61-10B1-4E07-8269-B0947BDB3058}">
      <formula1>"0,1,2,3,4,5,6"</formula1>
    </dataValidation>
    <dataValidation type="list" allowBlank="1" showInputMessage="1" showErrorMessage="1" sqref="K4:K19" xr:uid="{411131C4-6B0E-444C-89F0-95CE41B7D95B}">
      <formula1>"In Progress, Done"</formula1>
    </dataValidation>
    <dataValidation type="list" allowBlank="1" showInputMessage="1" showErrorMessage="1" sqref="B1" xr:uid="{33BFEEA1-05B7-4FD3-BEBA-9B031FB42F33}">
      <formula1>Character_Name_List</formula1>
    </dataValidation>
    <dataValidation type="list" allowBlank="1" showInputMessage="1" showErrorMessage="1" sqref="F4:F5 F17:F18 F30:F31" xr:uid="{3EC761C2-A21B-4938-878A-16BFD88BAE03}">
      <formula1>"1,2,3,4,5,6,7,8,9,10"</formula1>
    </dataValidation>
    <dataValidation type="list" operator="equal" allowBlank="1" showInputMessage="1" showErrorMessage="1" sqref="B4:B5" xr:uid="{A0B06EA4-C859-4E54-8069-1D808A83AADB}">
      <formula1>"1,20,40,50,60,70,80,90"</formula1>
    </dataValidation>
  </dataValidations>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A92CB-AE5B-4603-A160-631F7B57979E}">
  <sheetPr codeName="Sheet318">
    <tabColor rgb="FFC6E0B4"/>
  </sheetPr>
  <dimension ref="A1:K40"/>
  <sheetViews>
    <sheetView workbookViewId="0">
      <selection activeCell="H27" sqref="H27"/>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308</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Denial and Judgment</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Talisman of the Enigmatic Land</v>
      </c>
      <c r="J10" s="16">
        <f t="shared" si="0"/>
        <v>0</v>
      </c>
      <c r="K10" s="34" t="s">
        <v>202</v>
      </c>
    </row>
    <row r="11" spans="1:11" ht="15.75" thickBot="1" x14ac:dyDescent="0.3">
      <c r="A11" s="173" t="s">
        <v>208</v>
      </c>
      <c r="B11" s="202"/>
      <c r="C11" s="43">
        <v>6</v>
      </c>
      <c r="E11" s="14" t="str">
        <f>VLOOKUP(VLOOKUP(B1,Character_List,5,FALSE),Common_Mob_Drops,2,FALSE)</f>
        <v>Juvenile Fang</v>
      </c>
      <c r="F11" s="17">
        <f>VLOOKUP(F5,Required_Talent_Materials,7,FALSE)-VLOOKUP(F4,Required_Talent_Materials,7,FALSE)</f>
        <v>0</v>
      </c>
      <c r="H11" s="184" t="s">
        <v>207</v>
      </c>
      <c r="I11" s="2" t="str">
        <f>B17</f>
        <v>Juvenile Fang</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85"/>
      <c r="I12" s="1" t="str">
        <f>B18</f>
        <v>Seasoned Fang</v>
      </c>
      <c r="J12" s="17">
        <f>SUM(C18,F12,F25,F38)</f>
        <v>0</v>
      </c>
      <c r="K12" s="34" t="s">
        <v>202</v>
      </c>
    </row>
    <row r="13" spans="1:11" ht="15.75" thickBot="1" x14ac:dyDescent="0.3">
      <c r="A13" s="182"/>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86"/>
      <c r="I13" s="9" t="str">
        <f>B19</f>
        <v>Tyrant’s Fang</v>
      </c>
      <c r="J13" s="16">
        <f>SUM(C19,F13,F26,F39)</f>
        <v>0</v>
      </c>
      <c r="K13" s="34" t="s">
        <v>202</v>
      </c>
    </row>
    <row r="14" spans="1:11" ht="15.75" thickBot="1" x14ac:dyDescent="0.3">
      <c r="A14" s="182"/>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Quenepa Berry</v>
      </c>
      <c r="J14" s="24">
        <f>C20</f>
        <v>0</v>
      </c>
      <c r="K14" s="34" t="s">
        <v>202</v>
      </c>
    </row>
    <row r="15" spans="1:11" ht="15.75" thickBot="1" x14ac:dyDescent="0.3">
      <c r="A15" s="182"/>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Kindling</v>
      </c>
      <c r="J15" s="15">
        <f>SUM(F6,F19,F32)</f>
        <v>0</v>
      </c>
      <c r="K15" s="34" t="s">
        <v>202</v>
      </c>
    </row>
    <row r="16" spans="1:11" ht="15.75" thickBot="1" x14ac:dyDescent="0.3">
      <c r="A16" s="183"/>
      <c r="B16" s="9" t="str">
        <f>VLOOKUP(B1,Character_List,4,FALSE)</f>
        <v>Talisman of the Enigmatic Land</v>
      </c>
      <c r="C16" s="16">
        <f>VLOOKUP(C11,Required_Ascension_Materials,6,FALSE)-VLOOKUP(C10,Required_Ascension_Materials,6,FALSE)</f>
        <v>0</v>
      </c>
      <c r="E16" s="171" t="s">
        <v>151</v>
      </c>
      <c r="F16" s="172"/>
      <c r="H16" s="185"/>
      <c r="I16" s="1" t="str">
        <f>E7</f>
        <v>Guide to Kindling</v>
      </c>
      <c r="J16" s="17">
        <f>SUM(F7,F20,F33)</f>
        <v>0</v>
      </c>
      <c r="K16" s="34" t="s">
        <v>202</v>
      </c>
    </row>
    <row r="17" spans="1:11" ht="15.75" thickBot="1" x14ac:dyDescent="0.3">
      <c r="A17" s="184" t="s">
        <v>207</v>
      </c>
      <c r="B17" s="2" t="str">
        <f>VLOOKUP(VLOOKUP(B1,Character_List,5,FALSE),Common_Mob_Drops,2,FALSE)</f>
        <v>Juvenile Fang</v>
      </c>
      <c r="C17" s="15">
        <f>VLOOKUP(C11,Required_Ascension_Materials,7,FALSE)-VLOOKUP(C10,Required_Ascension_Materials,7,FALSE)</f>
        <v>0</v>
      </c>
      <c r="E17" s="12" t="s">
        <v>200</v>
      </c>
      <c r="F17" s="28">
        <v>9</v>
      </c>
      <c r="H17" s="186"/>
      <c r="I17" s="9" t="str">
        <f>E8</f>
        <v>Philosophies of Kindling</v>
      </c>
      <c r="J17" s="16">
        <f>SUM(F8,F21,F34)</f>
        <v>0</v>
      </c>
      <c r="K17" s="34" t="s">
        <v>202</v>
      </c>
    </row>
    <row r="18" spans="1:11" ht="15.75" thickBot="1" x14ac:dyDescent="0.3">
      <c r="A18" s="185"/>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Denial and Judgment</v>
      </c>
      <c r="J18" s="24">
        <f>SUM(F9,F22,F35)</f>
        <v>0</v>
      </c>
      <c r="K18" s="34" t="s">
        <v>202</v>
      </c>
    </row>
    <row r="19" spans="1:11" ht="15.75" thickBot="1" x14ac:dyDescent="0.3">
      <c r="A19" s="186"/>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Quenepa Berry</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Denial and Judgment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Denial and Judgment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72" priority="1" operator="containsText" text="Done">
      <formula>NOT(ISERROR(SEARCH("Done",K4)))</formula>
    </cfRule>
    <cfRule type="containsText" dxfId="471" priority="2" operator="containsText" text="In Progress">
      <formula>NOT(ISERROR(SEARCH("In Progress",K4)))</formula>
    </cfRule>
  </conditionalFormatting>
  <dataValidations count="5">
    <dataValidation type="list" allowBlank="1" showInputMessage="1" showErrorMessage="1" sqref="C10:C11" xr:uid="{5BA364DF-19DF-410B-9290-E67AA59A5C3E}">
      <formula1>"0,1,2,3,4,5,6"</formula1>
    </dataValidation>
    <dataValidation type="list" allowBlank="1" showInputMessage="1" showErrorMessage="1" sqref="K4:K19" xr:uid="{BF26D825-51A6-4C7B-8FCD-52235C4C3A91}">
      <formula1>"In Progress, Done"</formula1>
    </dataValidation>
    <dataValidation type="list" allowBlank="1" showInputMessage="1" showErrorMessage="1" sqref="B1" xr:uid="{F3FCB77E-A9B5-4B3B-A901-B2B413F9DE15}">
      <formula1>Character_Name_List</formula1>
    </dataValidation>
    <dataValidation type="list" allowBlank="1" showInputMessage="1" showErrorMessage="1" sqref="F4:F5 F17:F18 F30:F31" xr:uid="{82D293F0-C62A-4BFF-9D6D-1878E2663E02}">
      <formula1>"1,2,3,4,5,6,7,8,9,10"</formula1>
    </dataValidation>
    <dataValidation type="list" operator="equal" allowBlank="1" showInputMessage="1" showErrorMessage="1" sqref="B4:B5" xr:uid="{5CC8141A-BED3-486C-8ADE-01288CC55F9B}">
      <formula1>"1,20,40,50,60,70,80,90"</formula1>
    </dataValidation>
  </dataValidations>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8D416-3A27-48B6-B46C-946FC46C7252}">
  <sheetPr codeName="Sheet322">
    <tabColor rgb="FFC6E0B4"/>
  </sheetPr>
  <dimension ref="A1:K40"/>
  <sheetViews>
    <sheetView workbookViewId="0">
      <selection activeCell="M18" sqref="M18"/>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309</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84"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85"/>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85"/>
      <c r="I8" s="1" t="str">
        <f t="shared" si="0"/>
        <v>Vayuda Turquoise Chunk</v>
      </c>
      <c r="J8" s="17">
        <f t="shared" si="0"/>
        <v>0</v>
      </c>
      <c r="K8" s="34" t="s">
        <v>202</v>
      </c>
    </row>
    <row r="9" spans="1:11" ht="15.75" thickBot="1" x14ac:dyDescent="0.3">
      <c r="A9" s="171" t="s">
        <v>149</v>
      </c>
      <c r="B9" s="231"/>
      <c r="C9" s="172"/>
      <c r="E9" s="14" t="str">
        <f>VLOOKUP(VLOOKUP(B1,Character_List,8,FALSE),Weekly_Boss_Mats,2,FALSE)</f>
        <v>Eroded Sunfire</v>
      </c>
      <c r="F9" s="17">
        <f>VLOOKUP(F5,Required_Talent_Materials,5,FALSE)-VLOOKUP(F4,Required_Talent_Materials,5,FALSE)</f>
        <v>0</v>
      </c>
      <c r="H9" s="185"/>
      <c r="I9" s="1" t="str">
        <f t="shared" si="0"/>
        <v>Vayuda Turquoise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Gold-Inscribed Secret Source Core</v>
      </c>
      <c r="J10" s="16">
        <f t="shared" si="0"/>
        <v>0</v>
      </c>
      <c r="K10" s="34" t="s">
        <v>202</v>
      </c>
    </row>
    <row r="11" spans="1:11" ht="15.75" thickBot="1" x14ac:dyDescent="0.3">
      <c r="A11" s="173" t="s">
        <v>208</v>
      </c>
      <c r="B11" s="202"/>
      <c r="C11" s="43">
        <v>6</v>
      </c>
      <c r="E11" s="14" t="str">
        <f>VLOOKUP(VLOOKUP(B1,Character_List,5,FALSE),Common_Mob_Drops,2,FALSE)</f>
        <v>Whopperflower</v>
      </c>
      <c r="F11" s="17">
        <f>VLOOKUP(F5,Required_Talent_Materials,7,FALSE)-VLOOKUP(F4,Required_Talent_Materials,7,FALSE)</f>
        <v>0</v>
      </c>
      <c r="H11" s="184" t="s">
        <v>207</v>
      </c>
      <c r="I11" s="2" t="str">
        <f>B17</f>
        <v>Whopperflower</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85"/>
      <c r="I12" s="1" t="str">
        <f>B18</f>
        <v>Shimmering Nectar</v>
      </c>
      <c r="J12" s="17">
        <f>SUM(C18,F12,F25,F38)</f>
        <v>0</v>
      </c>
      <c r="K12" s="34" t="s">
        <v>202</v>
      </c>
    </row>
    <row r="13" spans="1:11" ht="15.75" thickBot="1" x14ac:dyDescent="0.3">
      <c r="A13" s="182"/>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86"/>
      <c r="I13" s="9" t="str">
        <f>B19</f>
        <v>Energy Nectar</v>
      </c>
      <c r="J13" s="16">
        <f>SUM(C19,F13,F26,F39)</f>
        <v>0</v>
      </c>
      <c r="K13" s="34" t="s">
        <v>202</v>
      </c>
    </row>
    <row r="14" spans="1:11" ht="15.75" thickBot="1" x14ac:dyDescent="0.3">
      <c r="A14" s="182"/>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Clearwater Jade</v>
      </c>
      <c r="J14" s="24">
        <f>C20</f>
        <v>0</v>
      </c>
      <c r="K14" s="34" t="s">
        <v>202</v>
      </c>
    </row>
    <row r="15" spans="1:11" ht="15.75" thickBot="1" x14ac:dyDescent="0.3">
      <c r="A15" s="182"/>
      <c r="B15" s="1" t="str">
        <f>_xlfn.CONCAT(VLOOKUP(VLOOKUP(B1,Character_List,2,FALSE),Boss_Mob_Drops,2,FALSE), " Gemstone")</f>
        <v>Vayuda Turquoise Gemstone</v>
      </c>
      <c r="C15" s="17">
        <f>VLOOKUP(C11,Required_Ascension_Materials,5,FALSE)-VLOOKUP(C10,Required_Ascension_Materials,5,FALSE)</f>
        <v>0</v>
      </c>
      <c r="H15" s="184" t="s">
        <v>216</v>
      </c>
      <c r="I15" s="2" t="str">
        <f>E6</f>
        <v>Teachings of Diligence</v>
      </c>
      <c r="J15" s="15">
        <f>SUM(F6,F19,F32)</f>
        <v>0</v>
      </c>
      <c r="K15" s="34" t="s">
        <v>202</v>
      </c>
    </row>
    <row r="16" spans="1:11" ht="15.75" thickBot="1" x14ac:dyDescent="0.3">
      <c r="A16" s="183"/>
      <c r="B16" s="9" t="str">
        <f>VLOOKUP(B1,Character_List,4,FALSE)</f>
        <v>Gold-Inscribed Secret Source Core</v>
      </c>
      <c r="C16" s="16">
        <f>VLOOKUP(C11,Required_Ascension_Materials,6,FALSE)-VLOOKUP(C10,Required_Ascension_Materials,6,FALSE)</f>
        <v>0</v>
      </c>
      <c r="E16" s="171" t="s">
        <v>151</v>
      </c>
      <c r="F16" s="172"/>
      <c r="H16" s="185"/>
      <c r="I16" s="1" t="str">
        <f>E7</f>
        <v>Guide to Diligence</v>
      </c>
      <c r="J16" s="17">
        <f>SUM(F7,F20,F33)</f>
        <v>0</v>
      </c>
      <c r="K16" s="34" t="s">
        <v>202</v>
      </c>
    </row>
    <row r="17" spans="1:11" ht="15.75" thickBot="1" x14ac:dyDescent="0.3">
      <c r="A17" s="184" t="s">
        <v>207</v>
      </c>
      <c r="B17" s="2" t="str">
        <f>VLOOKUP(VLOOKUP(B1,Character_List,5,FALSE),Common_Mob_Drops,2,FALSE)</f>
        <v>Whopperflower</v>
      </c>
      <c r="C17" s="15">
        <f>VLOOKUP(C11,Required_Ascension_Materials,7,FALSE)-VLOOKUP(C10,Required_Ascension_Materials,7,FALSE)</f>
        <v>0</v>
      </c>
      <c r="E17" s="12" t="s">
        <v>200</v>
      </c>
      <c r="F17" s="28">
        <v>9</v>
      </c>
      <c r="H17" s="186"/>
      <c r="I17" s="9" t="str">
        <f>E8</f>
        <v>Philosophies of Diligence</v>
      </c>
      <c r="J17" s="16">
        <f>SUM(F8,F21,F34)</f>
        <v>0</v>
      </c>
      <c r="K17" s="34" t="s">
        <v>202</v>
      </c>
    </row>
    <row r="18" spans="1:11" ht="15.75" thickBot="1" x14ac:dyDescent="0.3">
      <c r="A18" s="185"/>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Eroded Sunfire</v>
      </c>
      <c r="J18" s="24">
        <f>SUM(F9,F22,F35)</f>
        <v>0</v>
      </c>
      <c r="K18" s="34" t="s">
        <v>202</v>
      </c>
    </row>
    <row r="19" spans="1:11" ht="15.75" thickBot="1" x14ac:dyDescent="0.3">
      <c r="A19" s="186"/>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Clearwater Jade</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Eroded Sunfire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Eroded Sunfire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70" priority="1" operator="containsText" text="Done">
      <formula>NOT(ISERROR(SEARCH("Done",K4)))</formula>
    </cfRule>
    <cfRule type="containsText" dxfId="469" priority="2" operator="containsText" text="In Progress">
      <formula>NOT(ISERROR(SEARCH("In Progress",K4)))</formula>
    </cfRule>
  </conditionalFormatting>
  <dataValidations count="5">
    <dataValidation type="list" allowBlank="1" showInputMessage="1" showErrorMessage="1" sqref="C10:C11" xr:uid="{8B4D4B0D-079E-4F1C-A102-5FA1C8CF4AF7}">
      <formula1>"0,1,2,3,4,5,6"</formula1>
    </dataValidation>
    <dataValidation type="list" allowBlank="1" showInputMessage="1" showErrorMessage="1" sqref="K4:K19" xr:uid="{9E8B2C3A-E6C2-4E37-A9F0-9A52D22FF454}">
      <formula1>"In Progress, Done"</formula1>
    </dataValidation>
    <dataValidation type="list" allowBlank="1" showInputMessage="1" showErrorMessage="1" sqref="B1" xr:uid="{C7E09390-C9E1-46CB-B991-4C3377A799A4}">
      <formula1>Character_Name_List</formula1>
    </dataValidation>
    <dataValidation type="list" allowBlank="1" showInputMessage="1" showErrorMessage="1" sqref="F4:F5 F17:F18 F30:F31" xr:uid="{7B293744-55EA-4939-BEF1-7BA52A59678A}">
      <formula1>"1,2,3,4,5,6,7,8,9,10"</formula1>
    </dataValidation>
    <dataValidation type="list" operator="equal" allowBlank="1" showInputMessage="1" showErrorMessage="1" sqref="B4:B5" xr:uid="{170FD85C-D202-48B9-9DD1-C7B21887138C}">
      <formula1>"1,20,40,50,60,70,80,90"</formula1>
    </dataValidation>
  </dataValidations>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C87B9-FEAA-49D5-B874-CFB112D3116E}">
  <sheetPr codeName="Sheet325">
    <tabColor rgb="FFC6E0B4"/>
  </sheetPr>
  <dimension ref="A1:K40"/>
  <sheetViews>
    <sheetView workbookViewId="0">
      <selection activeCell="I53" sqref="I53"/>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893</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84"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85"/>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85"/>
      <c r="I8" s="1" t="str">
        <f t="shared" si="0"/>
        <v>Vayuda Turquoise Chunk</v>
      </c>
      <c r="J8" s="17">
        <f t="shared" si="0"/>
        <v>0</v>
      </c>
      <c r="K8" s="34" t="s">
        <v>202</v>
      </c>
    </row>
    <row r="9" spans="1:11" ht="15.75" thickBot="1" x14ac:dyDescent="0.3">
      <c r="A9" s="171" t="s">
        <v>149</v>
      </c>
      <c r="B9" s="231"/>
      <c r="C9" s="172"/>
      <c r="E9" s="14" t="str">
        <f>VLOOKUP(VLOOKUP(B1,Character_List,8,FALSE),Weekly_Boss_Mats,2,FALSE)</f>
        <v>Fading Candle</v>
      </c>
      <c r="F9" s="17">
        <f>VLOOKUP(F5,Required_Talent_Materials,5,FALSE)-VLOOKUP(F4,Required_Talent_Materials,5,FALSE)</f>
        <v>0</v>
      </c>
      <c r="H9" s="185"/>
      <c r="I9" s="1" t="str">
        <f t="shared" si="0"/>
        <v>Vayuda Turquoise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Talisman of the Enigmatic Land</v>
      </c>
      <c r="J10" s="16">
        <f t="shared" si="0"/>
        <v>0</v>
      </c>
      <c r="K10" s="34" t="s">
        <v>202</v>
      </c>
    </row>
    <row r="11" spans="1:11" ht="15.75" thickBot="1" x14ac:dyDescent="0.3">
      <c r="A11" s="173" t="s">
        <v>208</v>
      </c>
      <c r="B11" s="202"/>
      <c r="C11" s="43">
        <v>6</v>
      </c>
      <c r="E11" s="14" t="str">
        <f>VLOOKUP(VLOOKUP(B1,Character_List,5,FALSE),Common_Mob_Drops,2,FALSE)</f>
        <v>Old Nobushi</v>
      </c>
      <c r="F11" s="17">
        <f>VLOOKUP(F5,Required_Talent_Materials,7,FALSE)-VLOOKUP(F4,Required_Talent_Materials,7,FALSE)</f>
        <v>0</v>
      </c>
      <c r="H11" s="184" t="s">
        <v>207</v>
      </c>
      <c r="I11" s="2" t="str">
        <f>B17</f>
        <v>Old Nobushi</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85"/>
      <c r="I12" s="1" t="str">
        <f>B18</f>
        <v>Kageuchi Nobushi</v>
      </c>
      <c r="J12" s="17">
        <f>SUM(C18,F12,F25,F38)</f>
        <v>0</v>
      </c>
      <c r="K12" s="34" t="s">
        <v>202</v>
      </c>
    </row>
    <row r="13" spans="1:11" ht="15.75" thickBot="1" x14ac:dyDescent="0.3">
      <c r="A13" s="182"/>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86"/>
      <c r="I13" s="9" t="str">
        <f>B19</f>
        <v>Famed Nobushi</v>
      </c>
      <c r="J13" s="16">
        <f>SUM(C19,F13,F26,F39)</f>
        <v>0</v>
      </c>
      <c r="K13" s="34" t="s">
        <v>202</v>
      </c>
    </row>
    <row r="14" spans="1:11" ht="15.75" thickBot="1" x14ac:dyDescent="0.3">
      <c r="A14" s="182"/>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Sea Ganoderma</v>
      </c>
      <c r="J14" s="24">
        <f>C20</f>
        <v>0</v>
      </c>
      <c r="K14" s="34" t="s">
        <v>202</v>
      </c>
    </row>
    <row r="15" spans="1:11" ht="15.75" thickBot="1" x14ac:dyDescent="0.3">
      <c r="A15" s="182"/>
      <c r="B15" s="1" t="str">
        <f>_xlfn.CONCAT(VLOOKUP(VLOOKUP(B1,Character_List,2,FALSE),Boss_Mob_Drops,2,FALSE), " Gemstone")</f>
        <v>Vayuda Turquoise Gemstone</v>
      </c>
      <c r="C15" s="17">
        <f>VLOOKUP(C11,Required_Ascension_Materials,5,FALSE)-VLOOKUP(C10,Required_Ascension_Materials,5,FALSE)</f>
        <v>0</v>
      </c>
      <c r="H15" s="184" t="s">
        <v>216</v>
      </c>
      <c r="I15" s="2" t="str">
        <f>E6</f>
        <v>Teachings of Transience</v>
      </c>
      <c r="J15" s="15">
        <f>SUM(F6,F19,F32)</f>
        <v>0</v>
      </c>
      <c r="K15" s="34" t="s">
        <v>202</v>
      </c>
    </row>
    <row r="16" spans="1:11" ht="15.75" thickBot="1" x14ac:dyDescent="0.3">
      <c r="A16" s="183"/>
      <c r="B16" s="9" t="str">
        <f>VLOOKUP(B1,Character_List,4,FALSE)</f>
        <v>Talisman of the Enigmatic Land</v>
      </c>
      <c r="C16" s="16">
        <f>VLOOKUP(C11,Required_Ascension_Materials,6,FALSE)-VLOOKUP(C10,Required_Ascension_Materials,6,FALSE)</f>
        <v>0</v>
      </c>
      <c r="E16" s="171" t="s">
        <v>151</v>
      </c>
      <c r="F16" s="172"/>
      <c r="H16" s="185"/>
      <c r="I16" s="1" t="str">
        <f>E7</f>
        <v>Guide to Transience</v>
      </c>
      <c r="J16" s="17">
        <f>SUM(F7,F20,F33)</f>
        <v>0</v>
      </c>
      <c r="K16" s="34" t="s">
        <v>202</v>
      </c>
    </row>
    <row r="17" spans="1:11" ht="15.75" thickBot="1" x14ac:dyDescent="0.3">
      <c r="A17" s="184" t="s">
        <v>207</v>
      </c>
      <c r="B17" s="2" t="str">
        <f>VLOOKUP(VLOOKUP(B1,Character_List,5,FALSE),Common_Mob_Drops,2,FALSE)</f>
        <v>Old Nobushi</v>
      </c>
      <c r="C17" s="15">
        <f>VLOOKUP(C11,Required_Ascension_Materials,7,FALSE)-VLOOKUP(C10,Required_Ascension_Materials,7,FALSE)</f>
        <v>0</v>
      </c>
      <c r="E17" s="12" t="s">
        <v>200</v>
      </c>
      <c r="F17" s="28">
        <v>9</v>
      </c>
      <c r="H17" s="186"/>
      <c r="I17" s="9" t="str">
        <f>E8</f>
        <v>Philosophies of Transience</v>
      </c>
      <c r="J17" s="16">
        <f>SUM(F8,F21,F34)</f>
        <v>0</v>
      </c>
      <c r="K17" s="34" t="s">
        <v>202</v>
      </c>
    </row>
    <row r="18" spans="1:11" ht="15.75" thickBot="1" x14ac:dyDescent="0.3">
      <c r="A18" s="185"/>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Fading Candle</v>
      </c>
      <c r="J18" s="24">
        <f>SUM(F9,F22,F35)</f>
        <v>0</v>
      </c>
      <c r="K18" s="34" t="s">
        <v>202</v>
      </c>
    </row>
    <row r="19" spans="1:11" ht="15.75" thickBot="1" x14ac:dyDescent="0.3">
      <c r="A19" s="186"/>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Sea Ganoderma</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Fading Candle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Fading Candle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68" priority="1" operator="containsText" text="Done">
      <formula>NOT(ISERROR(SEARCH("Done",K4)))</formula>
    </cfRule>
    <cfRule type="containsText" dxfId="467" priority="2" operator="containsText" text="In Progress">
      <formula>NOT(ISERROR(SEARCH("In Progress",K4)))</formula>
    </cfRule>
  </conditionalFormatting>
  <dataValidations count="5">
    <dataValidation type="list" allowBlank="1" showInputMessage="1" showErrorMessage="1" sqref="C10:C11" xr:uid="{1192A861-2334-434A-89A4-676CD9C9580E}">
      <formula1>"0,1,2,3,4,5,6"</formula1>
    </dataValidation>
    <dataValidation type="list" allowBlank="1" showInputMessage="1" showErrorMessage="1" sqref="K4:K19" xr:uid="{E1C6831C-7EB9-4530-A80A-DAFA2D7B49FB}">
      <formula1>"In Progress, Done"</formula1>
    </dataValidation>
    <dataValidation type="list" allowBlank="1" showInputMessage="1" showErrorMessage="1" sqref="B1" xr:uid="{15226536-6105-4562-84F2-26E91A0545B1}">
      <formula1>Character_Name_List</formula1>
    </dataValidation>
    <dataValidation type="list" allowBlank="1" showInputMessage="1" showErrorMessage="1" sqref="F4:F5 F17:F18 F30:F31" xr:uid="{45B91F6C-2B55-40EB-B62E-30076DAF22D2}">
      <formula1>"1,2,3,4,5,6,7,8,9,10"</formula1>
    </dataValidation>
    <dataValidation type="list" operator="equal" allowBlank="1" showInputMessage="1" showErrorMessage="1" sqref="B4:B5" xr:uid="{14FE5482-E2CF-40C5-8AD1-1251E4BC8088}">
      <formula1>"1,20,40,50,60,70,80,90"</formula1>
    </dataValidation>
  </dataValidations>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024B3-8BC8-4E1A-93C7-12D706FE8A3E}">
  <sheetPr codeName="Sheet328">
    <tabColor rgb="FFC6E0B4"/>
  </sheetPr>
  <dimension ref="A1:K40"/>
  <sheetViews>
    <sheetView workbookViewId="0">
      <selection activeCell="I27" sqref="I27"/>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895</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Eroded Scale-Feather</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Sparkless Statue Core</v>
      </c>
      <c r="J10" s="16">
        <f t="shared" si="0"/>
        <v>0</v>
      </c>
      <c r="K10" s="34" t="s">
        <v>202</v>
      </c>
    </row>
    <row r="11" spans="1:11" ht="15.75" thickBot="1" x14ac:dyDescent="0.3">
      <c r="A11" s="173" t="s">
        <v>208</v>
      </c>
      <c r="B11" s="202"/>
      <c r="C11" s="43">
        <v>6</v>
      </c>
      <c r="E11" s="14" t="str">
        <f>VLOOKUP(VLOOKUP(B1,Character_List,5,FALSE),Common_Mob_Drops,2,FALSE)</f>
        <v>Juvenile Fang</v>
      </c>
      <c r="F11" s="17">
        <f>VLOOKUP(F5,Required_Talent_Materials,7,FALSE)-VLOOKUP(F4,Required_Talent_Materials,7,FALSE)</f>
        <v>0</v>
      </c>
      <c r="H11" s="184" t="s">
        <v>207</v>
      </c>
      <c r="I11" s="2" t="str">
        <f>B17</f>
        <v>Juvenile Fang</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85"/>
      <c r="I12" s="1" t="str">
        <f>B18</f>
        <v>Seasoned Fang</v>
      </c>
      <c r="J12" s="17">
        <f>SUM(C18,F12,F25,F38)</f>
        <v>0</v>
      </c>
      <c r="K12" s="34" t="s">
        <v>202</v>
      </c>
    </row>
    <row r="13" spans="1:11" ht="15.75" thickBot="1" x14ac:dyDescent="0.3">
      <c r="A13" s="182"/>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86"/>
      <c r="I13" s="9" t="str">
        <f>B19</f>
        <v>Tyrant’s Fang</v>
      </c>
      <c r="J13" s="16">
        <f>SUM(C19,F13,F26,F39)</f>
        <v>0</v>
      </c>
      <c r="K13" s="34" t="s">
        <v>202</v>
      </c>
    </row>
    <row r="14" spans="1:11" ht="15.75" thickBot="1" x14ac:dyDescent="0.3">
      <c r="A14" s="182"/>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Skysplit Gembloom</v>
      </c>
      <c r="J14" s="24">
        <f>C20</f>
        <v>0</v>
      </c>
      <c r="K14" s="34" t="s">
        <v>202</v>
      </c>
    </row>
    <row r="15" spans="1:11" ht="15.75" thickBot="1" x14ac:dyDescent="0.3">
      <c r="A15" s="182"/>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Conflict</v>
      </c>
      <c r="J15" s="15">
        <f>SUM(F6,F19,F32)</f>
        <v>0</v>
      </c>
      <c r="K15" s="34" t="s">
        <v>202</v>
      </c>
    </row>
    <row r="16" spans="1:11" ht="15.75" thickBot="1" x14ac:dyDescent="0.3">
      <c r="A16" s="183"/>
      <c r="B16" s="9" t="str">
        <f>VLOOKUP(B1,Character_List,4,FALSE)</f>
        <v>Sparkless Statue Core</v>
      </c>
      <c r="C16" s="16">
        <f>VLOOKUP(C11,Required_Ascension_Materials,6,FALSE)-VLOOKUP(C10,Required_Ascension_Materials,6,FALSE)</f>
        <v>0</v>
      </c>
      <c r="E16" s="171" t="s">
        <v>151</v>
      </c>
      <c r="F16" s="172"/>
      <c r="H16" s="185"/>
      <c r="I16" s="1" t="str">
        <f>E7</f>
        <v>Guide to Conflict</v>
      </c>
      <c r="J16" s="17">
        <f>SUM(F7,F20,F33)</f>
        <v>0</v>
      </c>
      <c r="K16" s="34" t="s">
        <v>202</v>
      </c>
    </row>
    <row r="17" spans="1:11" ht="15.75" thickBot="1" x14ac:dyDescent="0.3">
      <c r="A17" s="184" t="s">
        <v>207</v>
      </c>
      <c r="B17" s="2" t="str">
        <f>VLOOKUP(VLOOKUP(B1,Character_List,5,FALSE),Common_Mob_Drops,2,FALSE)</f>
        <v>Juvenile Fang</v>
      </c>
      <c r="C17" s="15">
        <f>VLOOKUP(C11,Required_Ascension_Materials,7,FALSE)-VLOOKUP(C10,Required_Ascension_Materials,7,FALSE)</f>
        <v>0</v>
      </c>
      <c r="E17" s="12" t="s">
        <v>200</v>
      </c>
      <c r="F17" s="28">
        <v>9</v>
      </c>
      <c r="H17" s="186"/>
      <c r="I17" s="9" t="str">
        <f>E8</f>
        <v>Philosophies of Conflict</v>
      </c>
      <c r="J17" s="16">
        <f>SUM(F8,F21,F34)</f>
        <v>0</v>
      </c>
      <c r="K17" s="34" t="s">
        <v>202</v>
      </c>
    </row>
    <row r="18" spans="1:11" ht="15.75" thickBot="1" x14ac:dyDescent="0.3">
      <c r="A18" s="185"/>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Eroded Scale-Feather</v>
      </c>
      <c r="J18" s="24">
        <f>SUM(F9,F22,F35)</f>
        <v>0</v>
      </c>
      <c r="K18" s="34" t="s">
        <v>202</v>
      </c>
    </row>
    <row r="19" spans="1:11" ht="15.75" thickBot="1" x14ac:dyDescent="0.3">
      <c r="A19" s="186"/>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Skysplit Gembloom</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Eroded Scale-Feather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Eroded Scale-Feather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66" priority="1" operator="containsText" text="Done">
      <formula>NOT(ISERROR(SEARCH("Done",K4)))</formula>
    </cfRule>
    <cfRule type="containsText" dxfId="465" priority="2" operator="containsText" text="In Progress">
      <formula>NOT(ISERROR(SEARCH("In Progress",K4)))</formula>
    </cfRule>
  </conditionalFormatting>
  <dataValidations count="5">
    <dataValidation type="list" allowBlank="1" showInputMessage="1" showErrorMessage="1" sqref="C10:C11" xr:uid="{3EF0DD8B-2308-410A-ABEF-0E8E7F940058}">
      <formula1>"0,1,2,3,4,5,6"</formula1>
    </dataValidation>
    <dataValidation type="list" allowBlank="1" showInputMessage="1" showErrorMessage="1" sqref="K4:K19" xr:uid="{F7AC33CE-BA14-4B82-9162-9377CB73779E}">
      <formula1>"In Progress, Done"</formula1>
    </dataValidation>
    <dataValidation type="list" allowBlank="1" showInputMessage="1" showErrorMessage="1" sqref="B1" xr:uid="{2B1FE7E8-A2DF-4870-878F-2740B3477F09}">
      <formula1>Character_Name_List</formula1>
    </dataValidation>
    <dataValidation type="list" allowBlank="1" showInputMessage="1" showErrorMessage="1" sqref="F4:F5 F17:F18 F30:F31" xr:uid="{A96066BF-2855-440C-A8DC-ECF7E0F3D71B}">
      <formula1>"1,2,3,4,5,6,7,8,9,10"</formula1>
    </dataValidation>
    <dataValidation type="list" operator="equal" allowBlank="1" showInputMessage="1" showErrorMessage="1" sqref="B4:B5" xr:uid="{BF57214E-7230-4B33-8878-AC1408F22124}">
      <formula1>"1,20,40,50,60,70,80,90"</formula1>
    </dataValidation>
  </dataValidations>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E5C6D-21B7-4C91-BB0C-1B0885C7ADDF}">
  <sheetPr codeName="Sheet329">
    <tabColor rgb="FFC6E0B4"/>
  </sheetPr>
  <dimension ref="A1:K40"/>
  <sheetViews>
    <sheetView workbookViewId="0">
      <selection activeCell="F5" sqref="F5"/>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898</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Denial and Judgment</v>
      </c>
      <c r="F9" s="17">
        <f>VLOOKUP(F5,Required_Talent_Materials,5,FALSE)-VLOOKUP(F4,Required_Talent_Materials,5,FALSE)</f>
        <v>0</v>
      </c>
      <c r="H9" s="185"/>
      <c r="I9" s="1" t="str">
        <f t="shared" si="0"/>
        <v>Vajrada Amethyst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Ensnaring Gaze</v>
      </c>
      <c r="J10" s="16">
        <f t="shared" si="0"/>
        <v>0</v>
      </c>
      <c r="K10" s="34" t="s">
        <v>202</v>
      </c>
    </row>
    <row r="11" spans="1:11" ht="15.75" thickBot="1" x14ac:dyDescent="0.3">
      <c r="A11" s="173" t="s">
        <v>208</v>
      </c>
      <c r="B11" s="202"/>
      <c r="C11" s="43">
        <v>6</v>
      </c>
      <c r="E11" s="14" t="str">
        <f>VLOOKUP(VLOOKUP(B1,Character_List,5,FALSE),Common_Mob_Drops,2,FALSE)</f>
        <v>Sentry’s Wooden Whistle</v>
      </c>
      <c r="F11" s="17">
        <f>VLOOKUP(F5,Required_Talent_Materials,7,FALSE)-VLOOKUP(F4,Required_Talent_Materials,7,FALSE)</f>
        <v>0</v>
      </c>
      <c r="H11" s="184" t="s">
        <v>207</v>
      </c>
      <c r="I11" s="2" t="str">
        <f>B17</f>
        <v>Sentry’s Wooden Whistle</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85"/>
      <c r="I12" s="1" t="str">
        <f>B18</f>
        <v>Warrior’s Metal Whistle</v>
      </c>
      <c r="J12" s="17">
        <f>SUM(C18,F12,F25,F38)</f>
        <v>0</v>
      </c>
      <c r="K12" s="34" t="s">
        <v>202</v>
      </c>
    </row>
    <row r="13" spans="1:11" ht="15.75" thickBot="1" x14ac:dyDescent="0.3">
      <c r="A13" s="182"/>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86"/>
      <c r="I13" s="9" t="str">
        <f>B19</f>
        <v>Saurian-Crowned Warrior’s Golden Whistle</v>
      </c>
      <c r="J13" s="16">
        <f>SUM(C19,F13,F26,F39)</f>
        <v>0</v>
      </c>
      <c r="K13" s="34" t="s">
        <v>202</v>
      </c>
    </row>
    <row r="14" spans="1:11" ht="15.75" thickBot="1" x14ac:dyDescent="0.3">
      <c r="A14" s="182"/>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Dracolite</v>
      </c>
      <c r="J14" s="24">
        <f>C20</f>
        <v>0</v>
      </c>
      <c r="K14" s="34" t="s">
        <v>202</v>
      </c>
    </row>
    <row r="15" spans="1:11" ht="15.75" thickBot="1" x14ac:dyDescent="0.3">
      <c r="A15" s="182"/>
      <c r="B15" s="1" t="str">
        <f>_xlfn.CONCAT(VLOOKUP(VLOOKUP(B1,Character_List,2,FALSE),Boss_Mob_Drops,2,FALSE), " Gemstone")</f>
        <v>Vajrada Amethyst Gemstone</v>
      </c>
      <c r="C15" s="17">
        <f>VLOOKUP(C11,Required_Ascension_Materials,5,FALSE)-VLOOKUP(C10,Required_Ascension_Materials,5,FALSE)</f>
        <v>0</v>
      </c>
      <c r="H15" s="184" t="s">
        <v>216</v>
      </c>
      <c r="I15" s="2" t="str">
        <f>E6</f>
        <v>Teachings of Contention</v>
      </c>
      <c r="J15" s="15">
        <f>SUM(F6,F19,F32)</f>
        <v>0</v>
      </c>
      <c r="K15" s="34" t="s">
        <v>202</v>
      </c>
    </row>
    <row r="16" spans="1:11" ht="15.75" thickBot="1" x14ac:dyDescent="0.3">
      <c r="A16" s="183"/>
      <c r="B16" s="9" t="str">
        <f>VLOOKUP(B1,Character_List,4,FALSE)</f>
        <v>Ensnaring Gaze</v>
      </c>
      <c r="C16" s="16">
        <f>VLOOKUP(C11,Required_Ascension_Materials,6,FALSE)-VLOOKUP(C10,Required_Ascension_Materials,6,FALSE)</f>
        <v>0</v>
      </c>
      <c r="E16" s="171" t="s">
        <v>151</v>
      </c>
      <c r="F16" s="172"/>
      <c r="H16" s="185"/>
      <c r="I16" s="1" t="str">
        <f>E7</f>
        <v>Guide to Contention</v>
      </c>
      <c r="J16" s="17">
        <f>SUM(F7,F20,F33)</f>
        <v>0</v>
      </c>
      <c r="K16" s="34" t="s">
        <v>202</v>
      </c>
    </row>
    <row r="17" spans="1:11" ht="15.75" thickBot="1" x14ac:dyDescent="0.3">
      <c r="A17" s="184" t="s">
        <v>207</v>
      </c>
      <c r="B17" s="2" t="str">
        <f>VLOOKUP(VLOOKUP(B1,Character_List,5,FALSE),Common_Mob_Drops,2,FALSE)</f>
        <v>Sentry’s Wooden Whistle</v>
      </c>
      <c r="C17" s="15">
        <f>VLOOKUP(C11,Required_Ascension_Materials,7,FALSE)-VLOOKUP(C10,Required_Ascension_Materials,7,FALSE)</f>
        <v>0</v>
      </c>
      <c r="E17" s="12" t="s">
        <v>200</v>
      </c>
      <c r="F17" s="28">
        <v>9</v>
      </c>
      <c r="H17" s="186"/>
      <c r="I17" s="9" t="str">
        <f>E8</f>
        <v>Philosophies of Contention</v>
      </c>
      <c r="J17" s="16">
        <f>SUM(F8,F21,F34)</f>
        <v>0</v>
      </c>
      <c r="K17" s="34" t="s">
        <v>202</v>
      </c>
    </row>
    <row r="18" spans="1:11" ht="15.75" thickBot="1" x14ac:dyDescent="0.3">
      <c r="A18" s="185"/>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Denial and Judgment</v>
      </c>
      <c r="J18" s="24">
        <f>SUM(F9,F22,F35)</f>
        <v>0</v>
      </c>
      <c r="K18" s="34" t="s">
        <v>202</v>
      </c>
    </row>
    <row r="19" spans="1:11" ht="15.75" thickBot="1" x14ac:dyDescent="0.3">
      <c r="A19" s="186"/>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Dracolite</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Denial and Judgment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Denial and Judgment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64" priority="1" operator="containsText" text="Done">
      <formula>NOT(ISERROR(SEARCH("Done",K4)))</formula>
    </cfRule>
    <cfRule type="containsText" dxfId="463" priority="2" operator="containsText" text="In Progress">
      <formula>NOT(ISERROR(SEARCH("In Progress",K4)))</formula>
    </cfRule>
  </conditionalFormatting>
  <dataValidations count="5">
    <dataValidation type="list" allowBlank="1" showInputMessage="1" showErrorMessage="1" sqref="C10:C11" xr:uid="{EB5145F0-27E7-4A3A-B0F2-249DDC8E36C3}">
      <formula1>"0,1,2,3,4,5,6"</formula1>
    </dataValidation>
    <dataValidation type="list" allowBlank="1" showInputMessage="1" showErrorMessage="1" sqref="K4:K19" xr:uid="{5A62DE7F-E8DD-4782-B894-2078FB406063}">
      <formula1>"In Progress, Done"</formula1>
    </dataValidation>
    <dataValidation type="list" allowBlank="1" showInputMessage="1" showErrorMessage="1" sqref="B1" xr:uid="{6CBED18B-6521-4377-9028-5168445BFA2B}">
      <formula1>Character_Name_List</formula1>
    </dataValidation>
    <dataValidation type="list" allowBlank="1" showInputMessage="1" showErrorMessage="1" sqref="F4:F5 F17:F18 F30:F31" xr:uid="{C3A33981-C435-4CE7-A6CF-ED7B71238B97}">
      <formula1>"1,2,3,4,5,6,7,8,9,10"</formula1>
    </dataValidation>
    <dataValidation type="list" operator="equal" allowBlank="1" showInputMessage="1" showErrorMessage="1" sqref="B4:B5" xr:uid="{F366278C-B6DC-46DD-8CEC-14E17CC14A7C}">
      <formula1>"1,20,40,50,60,70,80,90"</formula1>
    </dataValidation>
  </dataValidations>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818EA-C80D-41E6-8C9D-5ADE12C98E77}">
  <sheetPr codeName="Sheet331">
    <tabColor rgb="FFC6E0B4"/>
  </sheetPr>
  <dimension ref="A1:K40"/>
  <sheetViews>
    <sheetView workbookViewId="0">
      <selection activeCell="I26" sqref="I26:I27"/>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907</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Eroded Horn</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Secret Source Airflow Accumulator</v>
      </c>
      <c r="J10" s="16">
        <f t="shared" si="0"/>
        <v>0</v>
      </c>
      <c r="K10" s="34" t="s">
        <v>202</v>
      </c>
    </row>
    <row r="11" spans="1:11" ht="15.75" thickBot="1" x14ac:dyDescent="0.3">
      <c r="A11" s="173" t="s">
        <v>208</v>
      </c>
      <c r="B11" s="202"/>
      <c r="C11" s="43">
        <v>6</v>
      </c>
      <c r="E11" s="14" t="str">
        <f>VLOOKUP(VLOOKUP(B1,Character_List,5,FALSE),Common_Mob_Drops,2,FALSE)</f>
        <v>Clockwork Meka</v>
      </c>
      <c r="F11" s="17">
        <f>VLOOKUP(F5,Required_Talent_Materials,7,FALSE)-VLOOKUP(F4,Required_Talent_Materials,7,FALSE)</f>
        <v>0</v>
      </c>
      <c r="H11" s="184" t="s">
        <v>207</v>
      </c>
      <c r="I11" s="2" t="str">
        <f>B17</f>
        <v>Clockwork Meka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85"/>
      <c r="I12" s="1" t="str">
        <f>B18</f>
        <v>Mechanical Spur Gear</v>
      </c>
      <c r="J12" s="17">
        <f>SUM(C18,F12,F25,F38)</f>
        <v>0</v>
      </c>
      <c r="K12" s="34" t="s">
        <v>202</v>
      </c>
    </row>
    <row r="13" spans="1:11" ht="15.75" thickBot="1" x14ac:dyDescent="0.3">
      <c r="A13" s="182"/>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86"/>
      <c r="I13" s="9" t="str">
        <f>B19</f>
        <v>Artificed Dynamic Gear</v>
      </c>
      <c r="J13" s="16">
        <f>SUM(C19,F13,F26,F39)</f>
        <v>0</v>
      </c>
      <c r="K13" s="34" t="s">
        <v>202</v>
      </c>
    </row>
    <row r="14" spans="1:11" ht="15.75" thickBot="1" x14ac:dyDescent="0.3">
      <c r="A14" s="182"/>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Beryl Conch</v>
      </c>
      <c r="J14" s="24">
        <f>C20</f>
        <v>0</v>
      </c>
      <c r="K14" s="34" t="s">
        <v>202</v>
      </c>
    </row>
    <row r="15" spans="1:11" ht="15.75" thickBot="1" x14ac:dyDescent="0.3">
      <c r="A15" s="182"/>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Justice</v>
      </c>
      <c r="J15" s="15">
        <f>SUM(F6,F19,F32)</f>
        <v>0</v>
      </c>
      <c r="K15" s="34" t="s">
        <v>202</v>
      </c>
    </row>
    <row r="16" spans="1:11" ht="15.75" thickBot="1" x14ac:dyDescent="0.3">
      <c r="A16" s="183"/>
      <c r="B16" s="9" t="str">
        <f>VLOOKUP(B1,Character_List,4,FALSE)</f>
        <v>Secret Source Airflow Accumulator</v>
      </c>
      <c r="C16" s="16">
        <f>VLOOKUP(C11,Required_Ascension_Materials,6,FALSE)-VLOOKUP(C10,Required_Ascension_Materials,6,FALSE)</f>
        <v>0</v>
      </c>
      <c r="E16" s="171" t="s">
        <v>151</v>
      </c>
      <c r="F16" s="172"/>
      <c r="H16" s="185"/>
      <c r="I16" s="1" t="str">
        <f>E7</f>
        <v>Guide to Justice</v>
      </c>
      <c r="J16" s="17">
        <f>SUM(F7,F20,F33)</f>
        <v>0</v>
      </c>
      <c r="K16" s="34" t="s">
        <v>202</v>
      </c>
    </row>
    <row r="17" spans="1:11" ht="15.75" thickBot="1" x14ac:dyDescent="0.3">
      <c r="A17" s="184" t="s">
        <v>207</v>
      </c>
      <c r="B17" s="2" t="str">
        <f>VLOOKUP(VLOOKUP(B1,Character_List,5,FALSE),Common_Mob_Drops,2,FALSE)</f>
        <v>Clockwork Meka</v>
      </c>
      <c r="C17" s="15">
        <f>VLOOKUP(C11,Required_Ascension_Materials,7,FALSE)-VLOOKUP(C10,Required_Ascension_Materials,7,FALSE)</f>
        <v>0</v>
      </c>
      <c r="E17" s="12" t="s">
        <v>200</v>
      </c>
      <c r="F17" s="28">
        <v>9</v>
      </c>
      <c r="H17" s="186"/>
      <c r="I17" s="9" t="str">
        <f>E8</f>
        <v>Philosophies of Justice</v>
      </c>
      <c r="J17" s="16">
        <f>SUM(F8,F21,F34)</f>
        <v>0</v>
      </c>
      <c r="K17" s="34" t="s">
        <v>202</v>
      </c>
    </row>
    <row r="18" spans="1:11" ht="15.75" thickBot="1" x14ac:dyDescent="0.3">
      <c r="A18" s="185"/>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Eroded Horn</v>
      </c>
      <c r="J18" s="24">
        <f>SUM(F9,F22,F35)</f>
        <v>0</v>
      </c>
      <c r="K18" s="34" t="s">
        <v>202</v>
      </c>
    </row>
    <row r="19" spans="1:11" ht="15.75" thickBot="1" x14ac:dyDescent="0.3">
      <c r="A19" s="186"/>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Beryl Conch</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Eroded Horn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Eroded Horn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62" priority="1" operator="containsText" text="Done">
      <formula>NOT(ISERROR(SEARCH("Done",K4)))</formula>
    </cfRule>
    <cfRule type="containsText" dxfId="461" priority="2" operator="containsText" text="In Progress">
      <formula>NOT(ISERROR(SEARCH("In Progress",K4)))</formula>
    </cfRule>
  </conditionalFormatting>
  <dataValidations count="5">
    <dataValidation type="list" allowBlank="1" showInputMessage="1" showErrorMessage="1" sqref="C10:C11" xr:uid="{0A10974F-8A8C-4785-8B09-477A12FA7D85}">
      <formula1>"0,1,2,3,4,5,6"</formula1>
    </dataValidation>
    <dataValidation type="list" allowBlank="1" showInputMessage="1" showErrorMessage="1" sqref="K4:K19" xr:uid="{7F4B8696-5D5E-4FF4-AC3C-CD2CC1B80059}">
      <formula1>"In Progress, Done"</formula1>
    </dataValidation>
    <dataValidation type="list" allowBlank="1" showInputMessage="1" showErrorMessage="1" sqref="B1" xr:uid="{C94CF8D1-BFF2-4591-BAFA-C898FD707E22}">
      <formula1>Character_Name_List</formula1>
    </dataValidation>
    <dataValidation type="list" allowBlank="1" showInputMessage="1" showErrorMessage="1" sqref="F4:F5 F17:F18 F30:F31" xr:uid="{4663E867-2E1A-476D-83C7-1E0A0032E746}">
      <formula1>"1,2,3,4,5,6,7,8,9,10"</formula1>
    </dataValidation>
    <dataValidation type="list" operator="equal" allowBlank="1" showInputMessage="1" showErrorMessage="1" sqref="B4:B5" xr:uid="{74C13820-4AC7-4359-B3A9-4C09C1549B29}">
      <formula1>"1,20,40,50,60,70,80,90"</formula1>
    </dataValidation>
  </dataValidations>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5944E-6548-4709-A661-489CAF4DC0A7}">
  <sheetPr codeName="Sheet332">
    <tabColor rgb="FFC6E0B4"/>
  </sheetPr>
  <dimension ref="A1:K40"/>
  <sheetViews>
    <sheetView workbookViewId="0">
      <selection activeCell="I25" sqref="I25"/>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909</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84"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85"/>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85"/>
      <c r="I8" s="1" t="str">
        <f t="shared" si="0"/>
        <v>Vayuda Turquoise Chunk</v>
      </c>
      <c r="J8" s="17">
        <f t="shared" si="0"/>
        <v>0</v>
      </c>
      <c r="K8" s="34" t="s">
        <v>202</v>
      </c>
    </row>
    <row r="9" spans="1:11" ht="15.75" thickBot="1" x14ac:dyDescent="0.3">
      <c r="A9" s="171" t="s">
        <v>149</v>
      </c>
      <c r="B9" s="231"/>
      <c r="C9" s="172"/>
      <c r="E9" s="14" t="str">
        <f>VLOOKUP(VLOOKUP(B1,Character_List,8,FALSE),Weekly_Boss_Mats,2,FALSE)</f>
        <v>Ascended Sample: Rook</v>
      </c>
      <c r="F9" s="17">
        <f>VLOOKUP(F5,Required_Talent_Materials,5,FALSE)-VLOOKUP(F4,Required_Talent_Materials,5,FALSE)</f>
        <v>0</v>
      </c>
      <c r="H9" s="185"/>
      <c r="I9" s="1" t="str">
        <f t="shared" si="0"/>
        <v>Vayuda Turquoise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Sparkless Statue Core</v>
      </c>
      <c r="J10" s="16">
        <f t="shared" si="0"/>
        <v>0</v>
      </c>
      <c r="K10" s="34" t="s">
        <v>202</v>
      </c>
    </row>
    <row r="11" spans="1:11" ht="15.75" thickBot="1" x14ac:dyDescent="0.3">
      <c r="A11" s="173" t="s">
        <v>208</v>
      </c>
      <c r="B11" s="202"/>
      <c r="C11" s="43">
        <v>6</v>
      </c>
      <c r="E11" s="14" t="str">
        <f>VLOOKUP(VLOOKUP(B1,Character_List,5,FALSE),Common_Mob_Drops,2,FALSE)</f>
        <v>Juvenile Fang</v>
      </c>
      <c r="F11" s="17">
        <f>VLOOKUP(F5,Required_Talent_Materials,7,FALSE)-VLOOKUP(F4,Required_Talent_Materials,7,FALSE)</f>
        <v>0</v>
      </c>
      <c r="H11" s="184" t="s">
        <v>207</v>
      </c>
      <c r="I11" s="2" t="str">
        <f>B17</f>
        <v>Juvenile Fang</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85"/>
      <c r="I12" s="1" t="str">
        <f>B18</f>
        <v>Seasoned Fang</v>
      </c>
      <c r="J12" s="17">
        <f>SUM(C18,F12,F25,F38)</f>
        <v>0</v>
      </c>
      <c r="K12" s="34" t="s">
        <v>202</v>
      </c>
    </row>
    <row r="13" spans="1:11" ht="15.75" thickBot="1" x14ac:dyDescent="0.3">
      <c r="A13" s="182"/>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86"/>
      <c r="I13" s="9" t="str">
        <f>B19</f>
        <v>Tyrant’s Fang</v>
      </c>
      <c r="J13" s="16">
        <f>SUM(C19,F13,F26,F39)</f>
        <v>0</v>
      </c>
      <c r="K13" s="34" t="s">
        <v>202</v>
      </c>
    </row>
    <row r="14" spans="1:11" ht="15.75" thickBot="1" x14ac:dyDescent="0.3">
      <c r="A14" s="182"/>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Saurian Claw Succulent</v>
      </c>
      <c r="J14" s="24">
        <f>C20</f>
        <v>0</v>
      </c>
      <c r="K14" s="34" t="s">
        <v>202</v>
      </c>
    </row>
    <row r="15" spans="1:11" ht="15.75" thickBot="1" x14ac:dyDescent="0.3">
      <c r="A15" s="182"/>
      <c r="B15" s="1" t="str">
        <f>_xlfn.CONCAT(VLOOKUP(VLOOKUP(B1,Character_List,2,FALSE),Boss_Mob_Drops,2,FALSE), " Gemstone")</f>
        <v>Vayuda Turquoise Gemstone</v>
      </c>
      <c r="C15" s="17">
        <f>VLOOKUP(C11,Required_Ascension_Materials,5,FALSE)-VLOOKUP(C10,Required_Ascension_Materials,5,FALSE)</f>
        <v>0</v>
      </c>
      <c r="H15" s="184" t="s">
        <v>216</v>
      </c>
      <c r="I15" s="2" t="str">
        <f>E6</f>
        <v>Teachings of Conflict</v>
      </c>
      <c r="J15" s="15">
        <f>SUM(F6,F19,F32)</f>
        <v>0</v>
      </c>
      <c r="K15" s="34" t="s">
        <v>202</v>
      </c>
    </row>
    <row r="16" spans="1:11" ht="15.75" thickBot="1" x14ac:dyDescent="0.3">
      <c r="A16" s="183"/>
      <c r="B16" s="9" t="str">
        <f>VLOOKUP(B1,Character_List,4,FALSE)</f>
        <v>Sparkless Statue Core</v>
      </c>
      <c r="C16" s="16">
        <f>VLOOKUP(C11,Required_Ascension_Materials,6,FALSE)-VLOOKUP(C10,Required_Ascension_Materials,6,FALSE)</f>
        <v>0</v>
      </c>
      <c r="E16" s="171" t="s">
        <v>151</v>
      </c>
      <c r="F16" s="172"/>
      <c r="H16" s="185"/>
      <c r="I16" s="1" t="str">
        <f>E7</f>
        <v>Guide to Conflict</v>
      </c>
      <c r="J16" s="17">
        <f>SUM(F7,F20,F33)</f>
        <v>0</v>
      </c>
      <c r="K16" s="34" t="s">
        <v>202</v>
      </c>
    </row>
    <row r="17" spans="1:11" ht="15.75" thickBot="1" x14ac:dyDescent="0.3">
      <c r="A17" s="184" t="s">
        <v>207</v>
      </c>
      <c r="B17" s="2" t="str">
        <f>VLOOKUP(VLOOKUP(B1,Character_List,5,FALSE),Common_Mob_Drops,2,FALSE)</f>
        <v>Juvenile Fang</v>
      </c>
      <c r="C17" s="15">
        <f>VLOOKUP(C11,Required_Ascension_Materials,7,FALSE)-VLOOKUP(C10,Required_Ascension_Materials,7,FALSE)</f>
        <v>0</v>
      </c>
      <c r="E17" s="12" t="s">
        <v>200</v>
      </c>
      <c r="F17" s="28">
        <v>9</v>
      </c>
      <c r="H17" s="186"/>
      <c r="I17" s="9" t="str">
        <f>E8</f>
        <v>Philosophies of Conflict</v>
      </c>
      <c r="J17" s="16">
        <f>SUM(F8,F21,F34)</f>
        <v>0</v>
      </c>
      <c r="K17" s="34" t="s">
        <v>202</v>
      </c>
    </row>
    <row r="18" spans="1:11" ht="15.75" thickBot="1" x14ac:dyDescent="0.3">
      <c r="A18" s="185"/>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Ascended Sample: Rook</v>
      </c>
      <c r="J18" s="24">
        <f>SUM(F9,F22,F35)</f>
        <v>0</v>
      </c>
      <c r="K18" s="34" t="s">
        <v>202</v>
      </c>
    </row>
    <row r="19" spans="1:11" ht="15.75" thickBot="1" x14ac:dyDescent="0.3">
      <c r="A19" s="186"/>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Saurian Claw Succulent</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Ascended Sample: Rook</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Ascended Sample: Rook</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60" priority="1" operator="containsText" text="Done">
      <formula>NOT(ISERROR(SEARCH("Done",K4)))</formula>
    </cfRule>
    <cfRule type="containsText" dxfId="459" priority="2" operator="containsText" text="In Progress">
      <formula>NOT(ISERROR(SEARCH("In Progress",K4)))</formula>
    </cfRule>
  </conditionalFormatting>
  <dataValidations count="5">
    <dataValidation type="list" allowBlank="1" showInputMessage="1" showErrorMessage="1" sqref="C10:C11" xr:uid="{966D74C9-9D78-45A1-8130-5C341BF9AB3D}">
      <formula1>"0,1,2,3,4,5,6"</formula1>
    </dataValidation>
    <dataValidation type="list" allowBlank="1" showInputMessage="1" showErrorMessage="1" sqref="K4:K19" xr:uid="{CD57B194-A598-4673-BF14-18FF39E8F157}">
      <formula1>"In Progress, Done"</formula1>
    </dataValidation>
    <dataValidation type="list" allowBlank="1" showInputMessage="1" showErrorMessage="1" sqref="B1" xr:uid="{20E3E9CD-EAD6-4FA7-9E1A-0D6ED9C526CF}">
      <formula1>Character_Name_List</formula1>
    </dataValidation>
    <dataValidation type="list" allowBlank="1" showInputMessage="1" showErrorMessage="1" sqref="F4:F5 F17:F18 F30:F31" xr:uid="{78D0AD47-A9B1-4C92-BFEC-8E95F937DEFD}">
      <formula1>"1,2,3,4,5,6,7,8,9,10"</formula1>
    </dataValidation>
    <dataValidation type="list" operator="equal" allowBlank="1" showInputMessage="1" showErrorMessage="1" sqref="B4:B5" xr:uid="{A629361D-EC1B-473A-8A6C-BAF260A5D6CF}">
      <formula1>"1,20,40,50,60,70,80,90"</formula1>
    </dataValidation>
  </dataValidations>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4CE4D-E717-4709-A951-AF12DF19561D}">
  <sheetPr codeName="Sheet335">
    <tabColor rgb="FFC6E0B4"/>
  </sheetPr>
  <dimension ref="A1:K40"/>
  <sheetViews>
    <sheetView workbookViewId="0">
      <selection activeCell="I23" sqref="I23"/>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914</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9</v>
      </c>
      <c r="H4" s="222" t="s">
        <v>201</v>
      </c>
      <c r="I4" s="22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84"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85"/>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85"/>
      <c r="I8" s="1" t="str">
        <f t="shared" si="0"/>
        <v>Shivada Jade Chunk</v>
      </c>
      <c r="J8" s="17">
        <f t="shared" si="0"/>
        <v>0</v>
      </c>
      <c r="K8" s="34" t="s">
        <v>202</v>
      </c>
    </row>
    <row r="9" spans="1:11" ht="15.75" thickBot="1" x14ac:dyDescent="0.3">
      <c r="A9" s="171" t="s">
        <v>149</v>
      </c>
      <c r="B9" s="231"/>
      <c r="C9" s="172"/>
      <c r="E9" s="14" t="str">
        <f>VLOOKUP(VLOOKUP(B1,Character_List,8,FALSE),Weekly_Boss_Mats,2,FALSE)</f>
        <v>Ascended Sample: Knight</v>
      </c>
      <c r="F9" s="17">
        <f>VLOOKUP(F5,Required_Talent_Materials,5,FALSE)-VLOOKUP(F4,Required_Talent_Materials,5,FALSE)</f>
        <v>0</v>
      </c>
      <c r="H9" s="185"/>
      <c r="I9" s="1" t="str">
        <f t="shared" si="0"/>
        <v>Shivada Jade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Ensnaring Gaze</v>
      </c>
      <c r="J10" s="16">
        <f t="shared" si="0"/>
        <v>0</v>
      </c>
      <c r="K10" s="34" t="s">
        <v>202</v>
      </c>
    </row>
    <row r="11" spans="1:11" ht="15.75" thickBot="1" x14ac:dyDescent="0.3">
      <c r="A11" s="173" t="s">
        <v>208</v>
      </c>
      <c r="B11" s="202"/>
      <c r="C11" s="43">
        <v>6</v>
      </c>
      <c r="E11" s="14" t="str">
        <f>VLOOKUP(VLOOKUP(B1,Character_List,5,FALSE),Common_Mob_Drops,2,FALSE)</f>
        <v>Clockwork Meka</v>
      </c>
      <c r="F11" s="17">
        <f>VLOOKUP(F5,Required_Talent_Materials,7,FALSE)-VLOOKUP(F4,Required_Talent_Materials,7,FALSE)</f>
        <v>0</v>
      </c>
      <c r="H11" s="184" t="s">
        <v>207</v>
      </c>
      <c r="I11" s="2" t="str">
        <f>B17</f>
        <v>Clockwork Meka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85"/>
      <c r="I12" s="1" t="str">
        <f>B18</f>
        <v>Mechanical Spur Gear</v>
      </c>
      <c r="J12" s="17">
        <f>SUM(C18,F12,F25,F38)</f>
        <v>0</v>
      </c>
      <c r="K12" s="34" t="s">
        <v>202</v>
      </c>
    </row>
    <row r="13" spans="1:11" ht="15.75" thickBot="1" x14ac:dyDescent="0.3">
      <c r="A13" s="182"/>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86"/>
      <c r="I13" s="9" t="str">
        <f>B19</f>
        <v>Artificed Dynamic Gear</v>
      </c>
      <c r="J13" s="16">
        <f>SUM(C19,F13,F26,F39)</f>
        <v>0</v>
      </c>
      <c r="K13" s="34" t="s">
        <v>202</v>
      </c>
    </row>
    <row r="14" spans="1:11" ht="15.75" thickBot="1" x14ac:dyDescent="0.3">
      <c r="A14" s="182"/>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Skysplit Gembloom</v>
      </c>
      <c r="J14" s="24">
        <f>C20</f>
        <v>0</v>
      </c>
      <c r="K14" s="34" t="s">
        <v>202</v>
      </c>
    </row>
    <row r="15" spans="1:11" ht="15.75" thickBot="1" x14ac:dyDescent="0.3">
      <c r="A15" s="182"/>
      <c r="B15" s="1" t="str">
        <f>_xlfn.CONCAT(VLOOKUP(VLOOKUP(B1,Character_List,2,FALSE),Boss_Mob_Drops,2,FALSE), " Gemstone")</f>
        <v>Shivada Jade Gemstone</v>
      </c>
      <c r="C15" s="17">
        <f>VLOOKUP(C11,Required_Ascension_Materials,5,FALSE)-VLOOKUP(C10,Required_Ascension_Materials,5,FALSE)</f>
        <v>0</v>
      </c>
      <c r="H15" s="184" t="s">
        <v>216</v>
      </c>
      <c r="I15" s="2" t="str">
        <f>E6</f>
        <v>Teachings of Contention</v>
      </c>
      <c r="J15" s="15">
        <f>SUM(F6,F19,F32)</f>
        <v>0</v>
      </c>
      <c r="K15" s="34" t="s">
        <v>202</v>
      </c>
    </row>
    <row r="16" spans="1:11" ht="15.75" thickBot="1" x14ac:dyDescent="0.3">
      <c r="A16" s="183"/>
      <c r="B16" s="9" t="str">
        <f>VLOOKUP(B1,Character_List,4,FALSE)</f>
        <v>Ensnaring Gaze</v>
      </c>
      <c r="C16" s="16">
        <f>VLOOKUP(C11,Required_Ascension_Materials,6,FALSE)-VLOOKUP(C10,Required_Ascension_Materials,6,FALSE)</f>
        <v>0</v>
      </c>
      <c r="E16" s="171" t="s">
        <v>151</v>
      </c>
      <c r="F16" s="172"/>
      <c r="H16" s="185"/>
      <c r="I16" s="1" t="str">
        <f>E7</f>
        <v>Guide to Contention</v>
      </c>
      <c r="J16" s="17">
        <f>SUM(F7,F20,F33)</f>
        <v>0</v>
      </c>
      <c r="K16" s="34" t="s">
        <v>202</v>
      </c>
    </row>
    <row r="17" spans="1:11" ht="15.75" thickBot="1" x14ac:dyDescent="0.3">
      <c r="A17" s="184" t="s">
        <v>207</v>
      </c>
      <c r="B17" s="2" t="str">
        <f>VLOOKUP(VLOOKUP(B1,Character_List,5,FALSE),Common_Mob_Drops,2,FALSE)</f>
        <v>Clockwork Meka</v>
      </c>
      <c r="C17" s="15">
        <f>VLOOKUP(C11,Required_Ascension_Materials,7,FALSE)-VLOOKUP(C10,Required_Ascension_Materials,7,FALSE)</f>
        <v>0</v>
      </c>
      <c r="E17" s="12" t="s">
        <v>200</v>
      </c>
      <c r="F17" s="28">
        <v>9</v>
      </c>
      <c r="H17" s="186"/>
      <c r="I17" s="9" t="str">
        <f>E8</f>
        <v>Philosophies of Contention</v>
      </c>
      <c r="J17" s="16">
        <f>SUM(F8,F21,F34)</f>
        <v>0</v>
      </c>
      <c r="K17" s="34" t="s">
        <v>202</v>
      </c>
    </row>
    <row r="18" spans="1:11" ht="15.75" thickBot="1" x14ac:dyDescent="0.3">
      <c r="A18" s="185"/>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Ascended Sample: Knight</v>
      </c>
      <c r="J18" s="24">
        <f>SUM(F9,F22,F35)</f>
        <v>0</v>
      </c>
      <c r="K18" s="34" t="s">
        <v>202</v>
      </c>
    </row>
    <row r="19" spans="1:11" ht="15.75" thickBot="1" x14ac:dyDescent="0.3">
      <c r="A19" s="186"/>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Skysplit Gembloom</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Ascended Sample: Knight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171" t="s">
        <v>152</v>
      </c>
      <c r="F29" s="172"/>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Ascended Sample: Knight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58" priority="1" operator="containsText" text="Done">
      <formula>NOT(ISERROR(SEARCH("Done",K4)))</formula>
    </cfRule>
    <cfRule type="containsText" dxfId="457" priority="2" operator="containsText" text="In Progress">
      <formula>NOT(ISERROR(SEARCH("In Progress",K4)))</formula>
    </cfRule>
  </conditionalFormatting>
  <dataValidations count="5">
    <dataValidation type="list" allowBlank="1" showInputMessage="1" showErrorMessage="1" sqref="C10:C11" xr:uid="{746DECC2-EBCC-4EC1-B171-43CFD430CE21}">
      <formula1>"0,1,2,3,4,5,6"</formula1>
    </dataValidation>
    <dataValidation type="list" allowBlank="1" showInputMessage="1" showErrorMessage="1" sqref="K4:K19" xr:uid="{E5264746-1662-4D4B-A707-6D1B01F3CA86}">
      <formula1>"In Progress, Done"</formula1>
    </dataValidation>
    <dataValidation type="list" allowBlank="1" showInputMessage="1" showErrorMessage="1" sqref="B1" xr:uid="{6E4D037F-6E1E-4FFE-A1EC-598B7D0DA9FB}">
      <formula1>Character_Name_List</formula1>
    </dataValidation>
    <dataValidation type="list" allowBlank="1" showInputMessage="1" showErrorMessage="1" sqref="F4:F5 F17:F18 F30:F31" xr:uid="{0B9A1B46-B532-452C-B588-5AEF4DA837D8}">
      <formula1>"1,2,3,4,5,6,7,8,9,10"</formula1>
    </dataValidation>
    <dataValidation type="list" operator="equal" allowBlank="1" showInputMessage="1" showErrorMessage="1" sqref="B4:B5" xr:uid="{9EC47939-9C74-4E87-AD60-954FA9B174A0}">
      <formula1>"1,20,40,50,60,70,80,90"</formula1>
    </dataValidation>
  </dataValidations>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5F3E7-E4EE-49B2-9B77-5795A2899B88}">
  <sheetPr codeName="Sheet336">
    <tabColor rgb="FFC6E0B4"/>
  </sheetPr>
  <dimension ref="A1:K40"/>
  <sheetViews>
    <sheetView workbookViewId="0">
      <selection activeCell="J14" sqref="J1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915</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90</v>
      </c>
      <c r="E4" s="12" t="s">
        <v>200</v>
      </c>
      <c r="F4" s="28">
        <v>8</v>
      </c>
      <c r="H4" s="222" t="s">
        <v>201</v>
      </c>
      <c r="I4" s="223"/>
      <c r="J4" s="15">
        <f>B6</f>
        <v>0</v>
      </c>
      <c r="K4" s="33" t="s">
        <v>202</v>
      </c>
    </row>
    <row r="5" spans="1:11" ht="15.75" thickBot="1" x14ac:dyDescent="0.3">
      <c r="A5" s="13" t="s">
        <v>203</v>
      </c>
      <c r="B5" s="26">
        <v>90</v>
      </c>
      <c r="E5" s="13" t="s">
        <v>203</v>
      </c>
      <c r="F5" s="29">
        <v>9</v>
      </c>
      <c r="H5" s="232" t="s">
        <v>204</v>
      </c>
      <c r="I5" s="233"/>
      <c r="J5" s="16">
        <f>SUM(B7,C21,F14,F27,F40)</f>
        <v>1350000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84"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85"/>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12</v>
      </c>
      <c r="H8" s="185"/>
      <c r="I8" s="1" t="str">
        <f t="shared" si="0"/>
        <v>Varunada Lazurite Chunk</v>
      </c>
      <c r="J8" s="17">
        <f t="shared" si="0"/>
        <v>0</v>
      </c>
      <c r="K8" s="34" t="s">
        <v>202</v>
      </c>
    </row>
    <row r="9" spans="1:11" ht="15.75" thickBot="1" x14ac:dyDescent="0.3">
      <c r="A9" s="171" t="s">
        <v>149</v>
      </c>
      <c r="B9" s="231"/>
      <c r="C9" s="172"/>
      <c r="E9" s="14" t="str">
        <f>VLOOKUP(VLOOKUP(B1,Character_List,8,FALSE),Weekly_Boss_Mats,2,FALSE)</f>
        <v>Eroded Scale-Feather</v>
      </c>
      <c r="F9" s="17">
        <f>VLOOKUP(F5,Required_Talent_Materials,5,FALSE)-VLOOKUP(F4,Required_Talent_Materials,5,FALSE)</f>
        <v>2</v>
      </c>
      <c r="H9" s="185"/>
      <c r="I9" s="1" t="str">
        <f t="shared" si="0"/>
        <v>Varunada Lazurite Gemstone</v>
      </c>
      <c r="J9" s="17">
        <f t="shared" si="0"/>
        <v>0</v>
      </c>
      <c r="K9" s="34" t="s">
        <v>202</v>
      </c>
    </row>
    <row r="10" spans="1:11" ht="15.75" thickBot="1" x14ac:dyDescent="0.3">
      <c r="A10" s="173" t="s">
        <v>206</v>
      </c>
      <c r="B10" s="202"/>
      <c r="C10" s="43">
        <v>6</v>
      </c>
      <c r="E10" s="14" t="s">
        <v>213</v>
      </c>
      <c r="F10" s="17">
        <f>VLOOKUP(F5,Required_Talent_Materials,6,FALSE)-VLOOKUP(F4,Required_Talent_Materials,6,FALSE)</f>
        <v>0</v>
      </c>
      <c r="H10" s="186"/>
      <c r="I10" s="9" t="str">
        <f t="shared" si="0"/>
        <v>Secret Source Airflow Accumulator</v>
      </c>
      <c r="J10" s="16">
        <f t="shared" si="0"/>
        <v>0</v>
      </c>
      <c r="K10" s="34" t="s">
        <v>202</v>
      </c>
    </row>
    <row r="11" spans="1:11" ht="15.75" thickBot="1" x14ac:dyDescent="0.3">
      <c r="A11" s="173" t="s">
        <v>208</v>
      </c>
      <c r="B11" s="202"/>
      <c r="C11" s="43">
        <v>6</v>
      </c>
      <c r="E11" s="14" t="str">
        <f>VLOOKUP(VLOOKUP(B1,Character_List,5,FALSE),Common_Mob_Drops,2,FALSE)</f>
        <v>Firm Arrowhead</v>
      </c>
      <c r="F11" s="17">
        <f>VLOOKUP(F5,Required_Talent_Materials,7,FALSE)-VLOOKUP(F4,Required_Talent_Materials,7,FALSE)</f>
        <v>0</v>
      </c>
      <c r="H11" s="184" t="s">
        <v>207</v>
      </c>
      <c r="I11" s="2" t="str">
        <f>B17</f>
        <v>Firm Arrowhead</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85"/>
      <c r="I12" s="1" t="str">
        <f>B18</f>
        <v>Sharp Arrowhead</v>
      </c>
      <c r="J12" s="17">
        <f>SUM(C18,F12,F25,F38)</f>
        <v>0</v>
      </c>
      <c r="K12" s="34" t="s">
        <v>202</v>
      </c>
    </row>
    <row r="13" spans="1:11" ht="15.75" thickBot="1" x14ac:dyDescent="0.3">
      <c r="A13" s="182"/>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9</v>
      </c>
      <c r="H13" s="186"/>
      <c r="I13" s="9" t="str">
        <f>B19</f>
        <v>Weathered Arrowhead</v>
      </c>
      <c r="J13" s="16">
        <f>SUM(C19,F13,F26,F39)</f>
        <v>27</v>
      </c>
      <c r="K13" s="34" t="s">
        <v>202</v>
      </c>
    </row>
    <row r="14" spans="1:11" ht="15.75" thickBot="1" x14ac:dyDescent="0.3">
      <c r="A14" s="182"/>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450000</v>
      </c>
      <c r="H14" s="11" t="s">
        <v>209</v>
      </c>
      <c r="I14" s="7" t="str">
        <f>B20</f>
        <v>Calla Lily</v>
      </c>
      <c r="J14" s="24">
        <f>C20</f>
        <v>0</v>
      </c>
      <c r="K14" s="34" t="s">
        <v>202</v>
      </c>
    </row>
    <row r="15" spans="1:11" ht="15.75" thickBot="1" x14ac:dyDescent="0.3">
      <c r="A15" s="182"/>
      <c r="B15" s="1" t="str">
        <f>_xlfn.CONCAT(VLOOKUP(VLOOKUP(B1,Character_List,2,FALSE),Boss_Mob_Drops,2,FALSE), " Gemstone")</f>
        <v>Varunada Lazurite Gemstone</v>
      </c>
      <c r="C15" s="17">
        <f>VLOOKUP(C11,Required_Ascension_Materials,5,FALSE)-VLOOKUP(C10,Required_Ascension_Materials,5,FALSE)</f>
        <v>0</v>
      </c>
      <c r="H15" s="184" t="s">
        <v>216</v>
      </c>
      <c r="I15" s="2" t="str">
        <f>E6</f>
        <v>Teachings of Ballad</v>
      </c>
      <c r="J15" s="15">
        <f>SUM(F6,F19,F32)</f>
        <v>0</v>
      </c>
      <c r="K15" s="34" t="s">
        <v>202</v>
      </c>
    </row>
    <row r="16" spans="1:11" ht="15.75" thickBot="1" x14ac:dyDescent="0.3">
      <c r="A16" s="183"/>
      <c r="B16" s="9" t="str">
        <f>VLOOKUP(B1,Character_List,4,FALSE)</f>
        <v>Secret Source Airflow Accumulator</v>
      </c>
      <c r="C16" s="16">
        <f>VLOOKUP(C11,Required_Ascension_Materials,6,FALSE)-VLOOKUP(C10,Required_Ascension_Materials,6,FALSE)</f>
        <v>0</v>
      </c>
      <c r="E16" s="171" t="s">
        <v>151</v>
      </c>
      <c r="F16" s="172"/>
      <c r="H16" s="185"/>
      <c r="I16" s="1" t="str">
        <f>E7</f>
        <v>Guide to Ballad</v>
      </c>
      <c r="J16" s="17">
        <f>SUM(F7,F20,F33)</f>
        <v>0</v>
      </c>
      <c r="K16" s="34" t="s">
        <v>202</v>
      </c>
    </row>
    <row r="17" spans="1:11" ht="15.75" thickBot="1" x14ac:dyDescent="0.3">
      <c r="A17" s="184" t="s">
        <v>207</v>
      </c>
      <c r="B17" s="2" t="str">
        <f>VLOOKUP(VLOOKUP(B1,Character_List,5,FALSE),Common_Mob_Drops,2,FALSE)</f>
        <v>Firm Arrowhead</v>
      </c>
      <c r="C17" s="15">
        <f>VLOOKUP(C11,Required_Ascension_Materials,7,FALSE)-VLOOKUP(C10,Required_Ascension_Materials,7,FALSE)</f>
        <v>0</v>
      </c>
      <c r="E17" s="12" t="s">
        <v>200</v>
      </c>
      <c r="F17" s="28">
        <v>8</v>
      </c>
      <c r="H17" s="186"/>
      <c r="I17" s="9" t="str">
        <f>E8</f>
        <v>Philosophies of Ballad</v>
      </c>
      <c r="J17" s="16">
        <f>SUM(F8,F21,F34)</f>
        <v>36</v>
      </c>
      <c r="K17" s="34" t="s">
        <v>202</v>
      </c>
    </row>
    <row r="18" spans="1:11" ht="15.75" thickBot="1" x14ac:dyDescent="0.3">
      <c r="A18" s="185"/>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Eroded Scale-Feather</v>
      </c>
      <c r="J18" s="24">
        <f>SUM(F9,F22,F35)</f>
        <v>6</v>
      </c>
      <c r="K18" s="34" t="s">
        <v>214</v>
      </c>
    </row>
    <row r="19" spans="1:11" ht="15.75" thickBot="1" x14ac:dyDescent="0.3">
      <c r="A19" s="186"/>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Calla Lily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12</v>
      </c>
    </row>
    <row r="22" spans="1:11" x14ac:dyDescent="0.25">
      <c r="E22" s="14" t="str">
        <f>VLOOKUP(VLOOKUP(B1,Character_List,8,FALSE),Weekly_Boss_Mats,2,FALSE)</f>
        <v>Eroded Scale-Feather</v>
      </c>
      <c r="F22" s="17">
        <f>VLOOKUP(F18,Required_Talent_Materials,5,FALSE)-VLOOKUP(F17,Required_Talent_Materials,5,FALSE)</f>
        <v>2</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9</v>
      </c>
    </row>
    <row r="27" spans="1:11" ht="15.75" thickBot="1" x14ac:dyDescent="0.3">
      <c r="E27" s="13" t="s">
        <v>204</v>
      </c>
      <c r="F27" s="16">
        <f>VLOOKUP(F18,Required_Talent_Materials,10,FALSE)-VLOOKUP(F17,Required_Talent_Materials,10,FALSE)</f>
        <v>450000</v>
      </c>
    </row>
    <row r="28" spans="1:11" ht="15.75" thickBot="1" x14ac:dyDescent="0.3"/>
    <row r="29" spans="1:11" ht="15.75" thickBot="1" x14ac:dyDescent="0.3">
      <c r="E29" s="171" t="s">
        <v>152</v>
      </c>
      <c r="F29" s="172"/>
    </row>
    <row r="30" spans="1:11" x14ac:dyDescent="0.25">
      <c r="E30" s="12" t="s">
        <v>200</v>
      </c>
      <c r="F30" s="28">
        <v>8</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12</v>
      </c>
    </row>
    <row r="35" spans="5:6" x14ac:dyDescent="0.25">
      <c r="E35" s="14" t="str">
        <f>VLOOKUP(VLOOKUP(B1,Character_List,8,FALSE),Weekly_Boss_Mats,2,FALSE)</f>
        <v>Eroded Scale-Feather</v>
      </c>
      <c r="F35" s="17">
        <f>VLOOKUP(F31,Required_Talent_Materials,5,FALSE)-VLOOKUP(F30,Required_Talent_Materials,5,FALSE)</f>
        <v>2</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9</v>
      </c>
    </row>
    <row r="40" spans="5:6" ht="15.75" thickBot="1" x14ac:dyDescent="0.3">
      <c r="E40" s="13" t="s">
        <v>204</v>
      </c>
      <c r="F40" s="16">
        <f>VLOOKUP(F31,Required_Talent_Materials,10,FALSE)-VLOOKUP(F30,Required_Talent_Materials,10,FALSE)</f>
        <v>450000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56" priority="1" operator="containsText" text="Done">
      <formula>NOT(ISERROR(SEARCH("Done",K4)))</formula>
    </cfRule>
    <cfRule type="containsText" dxfId="455" priority="2" operator="containsText" text="In Progress">
      <formula>NOT(ISERROR(SEARCH("In Progress",K4)))</formula>
    </cfRule>
  </conditionalFormatting>
  <dataValidations count="5">
    <dataValidation type="list" allowBlank="1" showInputMessage="1" showErrorMessage="1" sqref="C10:C11" xr:uid="{863650D4-0CB6-45A3-AC92-4A28C40047DD}">
      <formula1>"0,1,2,3,4,5,6"</formula1>
    </dataValidation>
    <dataValidation type="list" allowBlank="1" showInputMessage="1" showErrorMessage="1" sqref="K4:K19" xr:uid="{D02EAB43-930D-4124-A253-3A62B90F0277}">
      <formula1>"In Progress, Done"</formula1>
    </dataValidation>
    <dataValidation type="list" allowBlank="1" showInputMessage="1" showErrorMessage="1" sqref="B1" xr:uid="{C8347CE1-8841-4CAD-BD1F-178EEA48B8B8}">
      <formula1>Character_Name_List</formula1>
    </dataValidation>
    <dataValidation type="list" allowBlank="1" showInputMessage="1" showErrorMessage="1" sqref="F4:F5 F17:F18 F30:F31" xr:uid="{5F1F5E3B-F876-4E55-A02E-1BB723C62407}">
      <formula1>"1,2,3,4,5,6,7,8,9,10"</formula1>
    </dataValidation>
    <dataValidation type="list" operator="equal" allowBlank="1" showInputMessage="1" showErrorMessage="1" sqref="B4:B5" xr:uid="{07153DCE-0753-4ABF-AC8C-801CC4D68114}">
      <formula1>"1,20,40,50,60,70,80,90"</formula1>
    </dataValidation>
  </dataValidations>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813A1-A902-4AFD-A12F-0620A42B1F63}">
  <sheetPr codeName="Sheet338">
    <tabColor rgb="FFC6E0B4"/>
  </sheetPr>
  <dimension ref="A1:K40"/>
  <sheetViews>
    <sheetView workbookViewId="0">
      <selection activeCell="J14" sqref="J1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923</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80</v>
      </c>
      <c r="E4" s="12" t="s">
        <v>200</v>
      </c>
      <c r="F4" s="28">
        <v>8</v>
      </c>
      <c r="H4" s="222" t="s">
        <v>201</v>
      </c>
      <c r="I4" s="223"/>
      <c r="J4" s="15">
        <f>B6</f>
        <v>3423125</v>
      </c>
      <c r="K4" s="33" t="s">
        <v>202</v>
      </c>
    </row>
    <row r="5" spans="1:11" ht="15.75" thickBot="1" x14ac:dyDescent="0.3">
      <c r="A5" s="13" t="s">
        <v>203</v>
      </c>
      <c r="B5" s="26">
        <v>90</v>
      </c>
      <c r="E5" s="13" t="s">
        <v>203</v>
      </c>
      <c r="F5" s="29">
        <v>9</v>
      </c>
      <c r="H5" s="232" t="s">
        <v>204</v>
      </c>
      <c r="I5" s="233"/>
      <c r="J5" s="16">
        <f>SUM(B7,C21,F14,F27,F40)</f>
        <v>2154800</v>
      </c>
      <c r="K5" s="34" t="s">
        <v>202</v>
      </c>
    </row>
    <row r="6" spans="1:11" x14ac:dyDescent="0.25">
      <c r="A6" s="12" t="s">
        <v>201</v>
      </c>
      <c r="B6" s="15">
        <f>VLOOKUP(B5,Levelling_Materials,3,FALSE)-VLOOKUP(B4,Levelling_Materials,3,FALSE)</f>
        <v>3423125</v>
      </c>
      <c r="E6" s="14" t="str">
        <f>_xlfn.CONCAT("Teachings of ", VLOOKUP(VLOOKUP(B1,Character_List,7,FALSE),Character_Talent_Materials,2,FALSE))</f>
        <v>Teachings of Conflict</v>
      </c>
      <c r="F6" s="17">
        <f>VLOOKUP(F5,Required_Talent_Materials,2,FALSE)-VLOOKUP(F4,Required_Talent_Materials,2,FALSE)</f>
        <v>0</v>
      </c>
      <c r="H6" s="184"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684800</v>
      </c>
      <c r="E7" s="14" t="str">
        <f>_xlfn.CONCAT("Guide to ", VLOOKUP(VLOOKUP(B1,Character_List,7,FALSE),Character_Talent_Materials,2,FALSE))</f>
        <v>Guide to Conflict</v>
      </c>
      <c r="F7" s="17">
        <f>VLOOKUP(F5,Required_Talent_Materials,3,FALSE)-VLOOKUP(F4,Required_Talent_Materials,3,FALSE)</f>
        <v>0</v>
      </c>
      <c r="H7" s="185"/>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12</v>
      </c>
      <c r="H8" s="185"/>
      <c r="I8" s="1" t="str">
        <f t="shared" si="0"/>
        <v>Vajrada Amethyst Chunk</v>
      </c>
      <c r="J8" s="17">
        <f t="shared" si="0"/>
        <v>0</v>
      </c>
      <c r="K8" s="34" t="s">
        <v>202</v>
      </c>
    </row>
    <row r="9" spans="1:11" ht="15.75" thickBot="1" x14ac:dyDescent="0.3">
      <c r="A9" s="171" t="s">
        <v>149</v>
      </c>
      <c r="B9" s="231"/>
      <c r="C9" s="172"/>
      <c r="E9" s="14" t="str">
        <f>VLOOKUP(VLOOKUP(B1,Character_List,8,FALSE),Weekly_Boss_Mats,2,FALSE)</f>
        <v>Eroded Sunfire</v>
      </c>
      <c r="F9" s="17">
        <f>VLOOKUP(F5,Required_Talent_Materials,5,FALSE)-VLOOKUP(F4,Required_Talent_Materials,5,FALSE)</f>
        <v>2</v>
      </c>
      <c r="H9" s="185"/>
      <c r="I9" s="1" t="str">
        <f t="shared" si="0"/>
        <v>Vajrada Amethyst Gemstone</v>
      </c>
      <c r="J9" s="17">
        <f t="shared" si="0"/>
        <v>6</v>
      </c>
      <c r="K9" s="34" t="s">
        <v>202</v>
      </c>
    </row>
    <row r="10" spans="1:11" ht="15.75" thickBot="1" x14ac:dyDescent="0.3">
      <c r="A10" s="173" t="s">
        <v>206</v>
      </c>
      <c r="B10" s="202"/>
      <c r="C10" s="43">
        <v>5</v>
      </c>
      <c r="E10" s="14" t="s">
        <v>213</v>
      </c>
      <c r="F10" s="17">
        <f>VLOOKUP(F5,Required_Talent_Materials,6,FALSE)-VLOOKUP(F4,Required_Talent_Materials,6,FALSE)</f>
        <v>0</v>
      </c>
      <c r="H10" s="186"/>
      <c r="I10" s="9" t="str">
        <f t="shared" si="0"/>
        <v>Secret Source Airflow Accumulator</v>
      </c>
      <c r="J10" s="16">
        <f t="shared" si="0"/>
        <v>20</v>
      </c>
      <c r="K10" s="34" t="s">
        <v>202</v>
      </c>
    </row>
    <row r="11" spans="1:11" ht="15.75" thickBot="1" x14ac:dyDescent="0.3">
      <c r="A11" s="173" t="s">
        <v>208</v>
      </c>
      <c r="B11" s="202"/>
      <c r="C11" s="43">
        <v>6</v>
      </c>
      <c r="E11" s="14" t="str">
        <f>VLOOKUP(VLOOKUP(B1,Character_List,5,FALSE),Common_Mob_Drops,2,FALSE)</f>
        <v>Sentry’s Wooden Whistle</v>
      </c>
      <c r="F11" s="17">
        <f>VLOOKUP(F5,Required_Talent_Materials,7,FALSE)-VLOOKUP(F4,Required_Talent_Materials,7,FALSE)</f>
        <v>0</v>
      </c>
      <c r="H11" s="184" t="s">
        <v>207</v>
      </c>
      <c r="I11" s="2" t="str">
        <f>B17</f>
        <v>Sentry’s Wooden Whistle</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85"/>
      <c r="I12" s="1" t="str">
        <f>B18</f>
        <v>Warrior’s Metal Whistle</v>
      </c>
      <c r="J12" s="17">
        <f>SUM(C18,F12,F25,F38)</f>
        <v>0</v>
      </c>
      <c r="K12" s="34" t="s">
        <v>202</v>
      </c>
    </row>
    <row r="13" spans="1:11" ht="15.75" thickBot="1" x14ac:dyDescent="0.3">
      <c r="A13" s="182"/>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9</v>
      </c>
      <c r="H13" s="186"/>
      <c r="I13" s="9" t="str">
        <f>B19</f>
        <v>Saurian-Crowned Warrior’s Golden Whistle</v>
      </c>
      <c r="J13" s="16">
        <f>SUM(C19,F13,F26,F39)</f>
        <v>51</v>
      </c>
      <c r="K13" s="34" t="s">
        <v>202</v>
      </c>
    </row>
    <row r="14" spans="1:11" ht="15.75" thickBot="1" x14ac:dyDescent="0.3">
      <c r="A14" s="182"/>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450000</v>
      </c>
      <c r="H14" s="11" t="s">
        <v>209</v>
      </c>
      <c r="I14" s="7" t="str">
        <f>B20</f>
        <v>Glowing Hornshroom</v>
      </c>
      <c r="J14" s="24">
        <f>C20</f>
        <v>60</v>
      </c>
      <c r="K14" s="34" t="s">
        <v>214</v>
      </c>
    </row>
    <row r="15" spans="1:11" ht="15.75" thickBot="1" x14ac:dyDescent="0.3">
      <c r="A15" s="182"/>
      <c r="B15" s="1" t="str">
        <f>_xlfn.CONCAT(VLOOKUP(VLOOKUP(B1,Character_List,2,FALSE),Boss_Mob_Drops,2,FALSE), " Gemstone")</f>
        <v>Vajrada Amethyst Gemstone</v>
      </c>
      <c r="C15" s="17">
        <f>VLOOKUP(C11,Required_Ascension_Materials,5,FALSE)-VLOOKUP(C10,Required_Ascension_Materials,5,FALSE)</f>
        <v>6</v>
      </c>
      <c r="H15" s="184" t="s">
        <v>216</v>
      </c>
      <c r="I15" s="2" t="str">
        <f>E6</f>
        <v>Teachings of Conflict</v>
      </c>
      <c r="J15" s="15">
        <f>SUM(F6,F19,F32)</f>
        <v>0</v>
      </c>
      <c r="K15" s="34" t="s">
        <v>202</v>
      </c>
    </row>
    <row r="16" spans="1:11" ht="15.75" thickBot="1" x14ac:dyDescent="0.3">
      <c r="A16" s="183"/>
      <c r="B16" s="9" t="str">
        <f>VLOOKUP(B1,Character_List,4,FALSE)</f>
        <v>Secret Source Airflow Accumulator</v>
      </c>
      <c r="C16" s="16">
        <f>VLOOKUP(C11,Required_Ascension_Materials,6,FALSE)-VLOOKUP(C10,Required_Ascension_Materials,6,FALSE)</f>
        <v>20</v>
      </c>
      <c r="E16" s="171" t="s">
        <v>151</v>
      </c>
      <c r="F16" s="172"/>
      <c r="H16" s="185"/>
      <c r="I16" s="1" t="str">
        <f>E7</f>
        <v>Guide to Conflict</v>
      </c>
      <c r="J16" s="17">
        <f>SUM(F7,F20,F33)</f>
        <v>0</v>
      </c>
      <c r="K16" s="34" t="s">
        <v>202</v>
      </c>
    </row>
    <row r="17" spans="1:11" ht="15.75" thickBot="1" x14ac:dyDescent="0.3">
      <c r="A17" s="184" t="s">
        <v>207</v>
      </c>
      <c r="B17" s="2" t="str">
        <f>VLOOKUP(VLOOKUP(B1,Character_List,5,FALSE),Common_Mob_Drops,2,FALSE)</f>
        <v>Sentry’s Wooden Whistle</v>
      </c>
      <c r="C17" s="15">
        <f>VLOOKUP(C11,Required_Ascension_Materials,7,FALSE)-VLOOKUP(C10,Required_Ascension_Materials,7,FALSE)</f>
        <v>0</v>
      </c>
      <c r="E17" s="12" t="s">
        <v>200</v>
      </c>
      <c r="F17" s="28">
        <v>8</v>
      </c>
      <c r="H17" s="186"/>
      <c r="I17" s="9" t="str">
        <f>E8</f>
        <v>Philosophies of Conflict</v>
      </c>
      <c r="J17" s="16">
        <f>SUM(F8,F21,F34)</f>
        <v>36</v>
      </c>
      <c r="K17" s="34" t="s">
        <v>214</v>
      </c>
    </row>
    <row r="18" spans="1:11" ht="15.75" thickBot="1" x14ac:dyDescent="0.3">
      <c r="A18" s="185"/>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Eroded Sunfire</v>
      </c>
      <c r="J18" s="24">
        <f>SUM(F9,F22,F35)</f>
        <v>6</v>
      </c>
      <c r="K18" s="34" t="s">
        <v>214</v>
      </c>
    </row>
    <row r="19" spans="1:11" ht="15.75" thickBot="1" x14ac:dyDescent="0.3">
      <c r="A19" s="186"/>
      <c r="B19" s="9" t="str">
        <f>VLOOKUP(VLOOKUP(B1,Character_List,5,FALSE),Common_Mob_Drops,4,FALSE)</f>
        <v>Saurian-Crowned Warrior’s Golden Whistle</v>
      </c>
      <c r="C19" s="16">
        <f>VLOOKUP(C11,Required_Ascension_Materials,9,FALSE)-VLOOKUP(C10,Required_Ascension_Materials,9,FALSE)</f>
        <v>24</v>
      </c>
      <c r="E19" s="14" t="str">
        <f>_xlfn.CONCAT("Teachings of ", VLOOKUP(VLOOKUP(B1,Character_List,7,FALSE),Character_Talent_Materials,2,FALSE))</f>
        <v>Teachings of Conflict</v>
      </c>
      <c r="F19" s="17">
        <f>VLOOKUP(F18,Required_Talent_Materials,2,FALSE)-VLOOKUP(F17,Required_Talent_Materials,2,FALSE)</f>
        <v>0</v>
      </c>
      <c r="H19" s="171" t="s">
        <v>213</v>
      </c>
      <c r="I19" s="231"/>
      <c r="J19" s="24">
        <f>SUM(F10,F23,F36)</f>
        <v>0</v>
      </c>
      <c r="K19" s="35" t="s">
        <v>202</v>
      </c>
    </row>
    <row r="20" spans="1:11" ht="15.75" thickBot="1" x14ac:dyDescent="0.3">
      <c r="A20" s="11" t="s">
        <v>210</v>
      </c>
      <c r="B20" s="7" t="str">
        <f>VLOOKUP(B1,Character_List,6,FALSE)</f>
        <v>Glowing Hornshroom</v>
      </c>
      <c r="C20" s="24">
        <f>VLOOKUP(C11,Required_Ascension_Materials,10,FALSE)-VLOOKUP(C10,Required_Ascension_Materials,10,FALSE)</f>
        <v>60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120000</v>
      </c>
      <c r="E21" s="14" t="str">
        <f>_xlfn.CONCAT("Philosophies of ", VLOOKUP(VLOOKUP(B1,Character_List,7,FALSE),Character_Talent_Materials,2,FALSE))</f>
        <v>Philosophies of Conflict</v>
      </c>
      <c r="F21" s="17">
        <f>VLOOKUP(F18,Required_Talent_Materials,4,FALSE)-VLOOKUP(F17,Required_Talent_Materials,4,FALSE)</f>
        <v>12</v>
      </c>
    </row>
    <row r="22" spans="1:11" x14ac:dyDescent="0.25">
      <c r="E22" s="14" t="str">
        <f>VLOOKUP(VLOOKUP(B1,Character_List,8,FALSE),Weekly_Boss_Mats,2,FALSE)</f>
        <v>Eroded Sunfire</v>
      </c>
      <c r="F22" s="17">
        <f>VLOOKUP(F18,Required_Talent_Materials,5,FALSE)-VLOOKUP(F17,Required_Talent_Materials,5,FALSE)</f>
        <v>2</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9</v>
      </c>
    </row>
    <row r="27" spans="1:11" ht="15.75" thickBot="1" x14ac:dyDescent="0.3">
      <c r="E27" s="13" t="s">
        <v>204</v>
      </c>
      <c r="F27" s="16">
        <f>VLOOKUP(F18,Required_Talent_Materials,10,FALSE)-VLOOKUP(F17,Required_Talent_Materials,10,FALSE)</f>
        <v>450000</v>
      </c>
    </row>
    <row r="28" spans="1:11" ht="15.75" thickBot="1" x14ac:dyDescent="0.3"/>
    <row r="29" spans="1:11" ht="15.75" thickBot="1" x14ac:dyDescent="0.3">
      <c r="E29" s="171" t="s">
        <v>152</v>
      </c>
      <c r="F29" s="172"/>
    </row>
    <row r="30" spans="1:11" x14ac:dyDescent="0.25">
      <c r="E30" s="12" t="s">
        <v>200</v>
      </c>
      <c r="F30" s="28">
        <v>8</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12</v>
      </c>
    </row>
    <row r="35" spans="5:6" x14ac:dyDescent="0.25">
      <c r="E35" s="14" t="str">
        <f>VLOOKUP(VLOOKUP(B1,Character_List,8,FALSE),Weekly_Boss_Mats,2,FALSE)</f>
        <v>Eroded Sunfire</v>
      </c>
      <c r="F35" s="17">
        <f>VLOOKUP(F31,Required_Talent_Materials,5,FALSE)-VLOOKUP(F30,Required_Talent_Materials,5,FALSE)</f>
        <v>2</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9</v>
      </c>
    </row>
    <row r="40" spans="5:6" ht="15.75" thickBot="1" x14ac:dyDescent="0.3">
      <c r="E40" s="13" t="s">
        <v>204</v>
      </c>
      <c r="F40" s="16">
        <f>VLOOKUP(F31,Required_Talent_Materials,10,FALSE)-VLOOKUP(F30,Required_Talent_Materials,10,FALSE)</f>
        <v>450000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54" priority="1" operator="containsText" text="Done">
      <formula>NOT(ISERROR(SEARCH("Done",K4)))</formula>
    </cfRule>
    <cfRule type="containsText" dxfId="453" priority="2" operator="containsText" text="In Progress">
      <formula>NOT(ISERROR(SEARCH("In Progress",K4)))</formula>
    </cfRule>
  </conditionalFormatting>
  <dataValidations count="5">
    <dataValidation type="list" allowBlank="1" showInputMessage="1" showErrorMessage="1" sqref="C10:C11" xr:uid="{D998A311-C6CE-479E-8555-A1EF4B50AB1A}">
      <formula1>"0,1,2,3,4,5,6"</formula1>
    </dataValidation>
    <dataValidation type="list" allowBlank="1" showInputMessage="1" showErrorMessage="1" sqref="K4:K19" xr:uid="{B41FE762-65E2-4506-A586-EB1A9ABDC63D}">
      <formula1>"In Progress, Done"</formula1>
    </dataValidation>
    <dataValidation type="list" allowBlank="1" showInputMessage="1" showErrorMessage="1" sqref="B1" xr:uid="{BE3F266A-687B-4193-8B1E-A7B13ECC0F86}">
      <formula1>Character_Name_List</formula1>
    </dataValidation>
    <dataValidation type="list" allowBlank="1" showInputMessage="1" showErrorMessage="1" sqref="F4:F5 F17:F18 F30:F31" xr:uid="{E2B41630-C8DF-4EF7-9471-AFEBC682A5D2}">
      <formula1>"1,2,3,4,5,6,7,8,9,10"</formula1>
    </dataValidation>
    <dataValidation type="list" operator="equal" allowBlank="1" showInputMessage="1" showErrorMessage="1" sqref="B4:B5" xr:uid="{75F55584-5FDB-41CB-92D8-1D89139DF6CE}">
      <formula1>"1,20,40,50,60,70,80,90"</formula1>
    </dataValidation>
  </dataValidations>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CE456-AFD4-4E66-81BA-816BCCE8525B}">
  <sheetPr codeName="Sheet341">
    <tabColor rgb="FFC6E0B4"/>
  </sheetPr>
  <dimension ref="A1:K40"/>
  <sheetViews>
    <sheetView workbookViewId="0">
      <selection activeCell="I31" sqref="I31"/>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926</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1</v>
      </c>
      <c r="E4" s="12" t="s">
        <v>200</v>
      </c>
      <c r="F4" s="28">
        <v>1</v>
      </c>
      <c r="H4" s="222" t="s">
        <v>201</v>
      </c>
      <c r="I4" s="223"/>
      <c r="J4" s="15">
        <f>B6</f>
        <v>8362650</v>
      </c>
      <c r="K4" s="33" t="s">
        <v>214</v>
      </c>
    </row>
    <row r="5" spans="1:11" ht="15.75" thickBot="1" x14ac:dyDescent="0.3">
      <c r="A5" s="13" t="s">
        <v>203</v>
      </c>
      <c r="B5" s="26">
        <v>90</v>
      </c>
      <c r="E5" s="13" t="s">
        <v>203</v>
      </c>
      <c r="F5" s="29">
        <v>9</v>
      </c>
      <c r="H5" s="232" t="s">
        <v>204</v>
      </c>
      <c r="I5" s="233"/>
      <c r="J5" s="16">
        <f>SUM(B7,C21,F14,F27,F40)</f>
        <v>4950900</v>
      </c>
      <c r="K5" s="34" t="s">
        <v>214</v>
      </c>
    </row>
    <row r="6" spans="1:11" x14ac:dyDescent="0.25">
      <c r="A6" s="12" t="s">
        <v>201</v>
      </c>
      <c r="B6" s="15">
        <f>VLOOKUP(B5,Levelling_Materials,3,FALSE)-VLOOKUP(B4,Levelling_Materials,3,FALSE)</f>
        <v>8362650</v>
      </c>
      <c r="E6" s="14" t="str">
        <f>_xlfn.CONCAT("Teachings of ", VLOOKUP(VLOOKUP(B1,Character_List,7,FALSE),Character_Talent_Materials,2,FALSE))</f>
        <v>Teachings of Moonlight</v>
      </c>
      <c r="F6" s="17">
        <f>VLOOKUP(F5,Required_Talent_Materials,2,FALSE)-VLOOKUP(F4,Required_Talent_Materials,2,FALSE)</f>
        <v>3</v>
      </c>
      <c r="H6" s="184" t="s">
        <v>215</v>
      </c>
      <c r="I6" s="2" t="str">
        <f t="shared" ref="I6:J10" si="0">B12</f>
        <v>Nagadus Emerald Sliver</v>
      </c>
      <c r="J6" s="15">
        <f t="shared" si="0"/>
        <v>1</v>
      </c>
      <c r="K6" s="34" t="s">
        <v>214</v>
      </c>
    </row>
    <row r="7" spans="1:11" ht="15.75" thickBot="1" x14ac:dyDescent="0.3">
      <c r="A7" s="13" t="s">
        <v>204</v>
      </c>
      <c r="B7" s="16">
        <f>VLOOKUP(B5,Levelling_Materials,5,FALSE)-VLOOKUP(B4,Levelling_Materials,5,FALSE)</f>
        <v>1673400</v>
      </c>
      <c r="E7" s="14" t="str">
        <f>_xlfn.CONCAT("Guide to ", VLOOKUP(VLOOKUP(B1,Character_List,7,FALSE),Character_Talent_Materials,2,FALSE))</f>
        <v>Guide to Moonlight</v>
      </c>
      <c r="F7" s="17">
        <f>VLOOKUP(F5,Required_Talent_Materials,3,FALSE)-VLOOKUP(F4,Required_Talent_Materials,3,FALSE)</f>
        <v>21</v>
      </c>
      <c r="H7" s="185"/>
      <c r="I7" s="1" t="str">
        <f t="shared" si="0"/>
        <v>Nagadus Emerald Fragment</v>
      </c>
      <c r="J7" s="17">
        <f t="shared" si="0"/>
        <v>9</v>
      </c>
      <c r="K7" s="34" t="s">
        <v>214</v>
      </c>
    </row>
    <row r="8" spans="1:11" ht="15.75" thickBot="1" x14ac:dyDescent="0.3">
      <c r="E8" s="14" t="str">
        <f>_xlfn.CONCAT("Philosophies of ", VLOOKUP(VLOOKUP(B1,Character_List,7,FALSE),Character_Talent_Materials,2,FALSE))</f>
        <v>Philosophies of Moonlight</v>
      </c>
      <c r="F8" s="17">
        <f>VLOOKUP(F5,Required_Talent_Materials,4,FALSE)-VLOOKUP(F4,Required_Talent_Materials,4,FALSE)</f>
        <v>22</v>
      </c>
      <c r="H8" s="185"/>
      <c r="I8" s="1" t="str">
        <f t="shared" si="0"/>
        <v>Nagadus Emerald Chunk</v>
      </c>
      <c r="J8" s="17">
        <f t="shared" si="0"/>
        <v>9</v>
      </c>
      <c r="K8" s="34" t="s">
        <v>214</v>
      </c>
    </row>
    <row r="9" spans="1:11" ht="15.75" thickBot="1" x14ac:dyDescent="0.3">
      <c r="A9" s="171" t="s">
        <v>149</v>
      </c>
      <c r="B9" s="231"/>
      <c r="C9" s="172"/>
      <c r="E9" s="14" t="str">
        <f>VLOOKUP(VLOOKUP(B1,Character_List,8,FALSE),Weekly_Boss_Mats,2,FALSE)</f>
        <v>Eroded Scale-Feather</v>
      </c>
      <c r="F9" s="17">
        <f>VLOOKUP(F5,Required_Talent_Materials,5,FALSE)-VLOOKUP(F4,Required_Talent_Materials,5,FALSE)</f>
        <v>4</v>
      </c>
      <c r="H9" s="185"/>
      <c r="I9" s="1" t="str">
        <f t="shared" si="0"/>
        <v>Nagadus Emerald Gemstone</v>
      </c>
      <c r="J9" s="17">
        <f t="shared" si="0"/>
        <v>6</v>
      </c>
      <c r="K9" s="34" t="s">
        <v>214</v>
      </c>
    </row>
    <row r="10" spans="1:11" ht="15.75" thickBot="1" x14ac:dyDescent="0.3">
      <c r="A10" s="173" t="s">
        <v>206</v>
      </c>
      <c r="B10" s="202"/>
      <c r="C10" s="43">
        <v>0</v>
      </c>
      <c r="E10" s="14" t="s">
        <v>213</v>
      </c>
      <c r="F10" s="17">
        <f>VLOOKUP(F5,Required_Talent_Materials,6,FALSE)-VLOOKUP(F4,Required_Talent_Materials,6,FALSE)</f>
        <v>0</v>
      </c>
      <c r="H10" s="186"/>
      <c r="I10" s="9" t="str">
        <f t="shared" si="0"/>
        <v>Lightbearing Wings</v>
      </c>
      <c r="J10" s="16">
        <f t="shared" si="0"/>
        <v>46</v>
      </c>
      <c r="K10" s="34" t="s">
        <v>214</v>
      </c>
    </row>
    <row r="11" spans="1:11" ht="15.75" thickBot="1" x14ac:dyDescent="0.3">
      <c r="A11" s="173" t="s">
        <v>208</v>
      </c>
      <c r="B11" s="202"/>
      <c r="C11" s="43">
        <v>6</v>
      </c>
      <c r="E11" s="14" t="e">
        <f>VLOOKUP(VLOOKUP(B1,Character_List,5,FALSE),Common_Mob_Drops,2,FALSE)</f>
        <v>#N/A</v>
      </c>
      <c r="F11" s="17">
        <f>VLOOKUP(F5,Required_Talent_Materials,7,FALSE)-VLOOKUP(F4,Required_Talent_Materials,7,FALSE)</f>
        <v>6</v>
      </c>
      <c r="H11" s="184" t="s">
        <v>207</v>
      </c>
      <c r="I11" s="2" t="e">
        <f>B17</f>
        <v>#N/A</v>
      </c>
      <c r="J11" s="15">
        <f>SUM(C17,F11,F24,F37)</f>
        <v>36</v>
      </c>
      <c r="K11" s="34" t="s">
        <v>214</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1</v>
      </c>
      <c r="E12" s="14" t="e">
        <f>VLOOKUP(VLOOKUP(B1,Character_List,5,FALSE),Common_Mob_Drops,3,FALSE)</f>
        <v>#N/A</v>
      </c>
      <c r="F12" s="17">
        <f>VLOOKUP(F5,Required_Talent_Materials,8,FALSE)-VLOOKUP(F4,Required_Talent_Materials,8,FALSE)</f>
        <v>22</v>
      </c>
      <c r="H12" s="185"/>
      <c r="I12" s="1" t="e">
        <f>B18</f>
        <v>#N/A</v>
      </c>
      <c r="J12" s="17">
        <f>SUM(C18,F12,F25,F38)</f>
        <v>96</v>
      </c>
      <c r="K12" s="34" t="s">
        <v>214</v>
      </c>
    </row>
    <row r="13" spans="1:11" ht="15.75" thickBot="1" x14ac:dyDescent="0.3">
      <c r="A13" s="182"/>
      <c r="B13" s="1" t="str">
        <f>_xlfn.CONCAT(VLOOKUP(VLOOKUP(B1,Character_List,2,FALSE),Boss_Mob_Drops,2,FALSE), " Fragment")</f>
        <v>Nagadus Emerald Fragment</v>
      </c>
      <c r="C13" s="17">
        <f>VLOOKUP(C11,Required_Ascension_Materials,3,FALSE)-VLOOKUP(C10,Required_Ascension_Materials,3,FALSE)</f>
        <v>9</v>
      </c>
      <c r="E13" s="14" t="e">
        <f>VLOOKUP(VLOOKUP(B1,Character_List,5,FALSE),Common_Mob_Drops,4,FALSE)</f>
        <v>#N/A</v>
      </c>
      <c r="F13" s="17">
        <f>VLOOKUP(F5,Required_Talent_Materials,9,FALSE)-VLOOKUP(F4,Required_Talent_Materials,9,FALSE)</f>
        <v>19</v>
      </c>
      <c r="H13" s="186"/>
      <c r="I13" s="9" t="e">
        <f>B19</f>
        <v>#N/A</v>
      </c>
      <c r="J13" s="16">
        <f>SUM(C19,F13,F26,F39)</f>
        <v>93</v>
      </c>
      <c r="K13" s="34" t="s">
        <v>214</v>
      </c>
    </row>
    <row r="14" spans="1:11" ht="15.75" thickBot="1" x14ac:dyDescent="0.3">
      <c r="A14" s="182"/>
      <c r="B14" s="1" t="str">
        <f>_xlfn.CONCAT(VLOOKUP(VLOOKUP(B1,Character_List,2,FALSE),Boss_Mob_Drops,2,FALSE), " Chunk")</f>
        <v>Nagadus Emerald Chunk</v>
      </c>
      <c r="C14" s="17">
        <f>VLOOKUP(C11,Required_Ascension_Materials,4,FALSE)-VLOOKUP(C10,Required_Ascension_Materials,4,FALSE)</f>
        <v>9</v>
      </c>
      <c r="E14" s="13" t="s">
        <v>204</v>
      </c>
      <c r="F14" s="16">
        <f>VLOOKUP(F5,Required_Talent_Materials,10,FALSE)-VLOOKUP(F4,Required_Talent_Materials,10,FALSE)</f>
        <v>952500</v>
      </c>
      <c r="H14" s="11" t="s">
        <v>209</v>
      </c>
      <c r="I14" s="7" t="str">
        <f>B20</f>
        <v>Moonfall Silver</v>
      </c>
      <c r="J14" s="24">
        <f>C20</f>
        <v>168</v>
      </c>
      <c r="K14" s="34" t="s">
        <v>214</v>
      </c>
    </row>
    <row r="15" spans="1:11" ht="15.75" thickBot="1" x14ac:dyDescent="0.3">
      <c r="A15" s="182"/>
      <c r="B15" s="1" t="str">
        <f>_xlfn.CONCAT(VLOOKUP(VLOOKUP(B1,Character_List,2,FALSE),Boss_Mob_Drops,2,FALSE), " Gemstone")</f>
        <v>Nagadus Emerald Gemstone</v>
      </c>
      <c r="C15" s="17">
        <f>VLOOKUP(C11,Required_Ascension_Materials,5,FALSE)-VLOOKUP(C10,Required_Ascension_Materials,5,FALSE)</f>
        <v>6</v>
      </c>
      <c r="H15" s="184" t="s">
        <v>216</v>
      </c>
      <c r="I15" s="2" t="str">
        <f>E6</f>
        <v>Teachings of Moonlight</v>
      </c>
      <c r="J15" s="15">
        <f>SUM(F6,F19,F32)</f>
        <v>9</v>
      </c>
      <c r="K15" s="34" t="s">
        <v>214</v>
      </c>
    </row>
    <row r="16" spans="1:11" ht="15.75" thickBot="1" x14ac:dyDescent="0.3">
      <c r="A16" s="183"/>
      <c r="B16" s="9" t="str">
        <f>VLOOKUP(B1,Character_List,4,FALSE)</f>
        <v>Lightbearing Wings</v>
      </c>
      <c r="C16" s="16">
        <f>VLOOKUP(C11,Required_Ascension_Materials,6,FALSE)-VLOOKUP(C10,Required_Ascension_Materials,6,FALSE)</f>
        <v>46</v>
      </c>
      <c r="E16" s="171" t="s">
        <v>151</v>
      </c>
      <c r="F16" s="172"/>
      <c r="H16" s="185"/>
      <c r="I16" s="1" t="str">
        <f>E7</f>
        <v>Guide to Moonlight</v>
      </c>
      <c r="J16" s="17">
        <f>SUM(F7,F20,F33)</f>
        <v>63</v>
      </c>
      <c r="K16" s="34" t="s">
        <v>214</v>
      </c>
    </row>
    <row r="17" spans="1:11" ht="15.75" thickBot="1" x14ac:dyDescent="0.3">
      <c r="A17" s="184" t="s">
        <v>207</v>
      </c>
      <c r="B17" s="2" t="e">
        <f>VLOOKUP(VLOOKUP(B1,Character_List,5,FALSE),Common_Mob_Drops,2,FALSE)</f>
        <v>#N/A</v>
      </c>
      <c r="C17" s="15">
        <f>VLOOKUP(C11,Required_Ascension_Materials,7,FALSE)-VLOOKUP(C10,Required_Ascension_Materials,7,FALSE)</f>
        <v>18</v>
      </c>
      <c r="E17" s="12" t="s">
        <v>200</v>
      </c>
      <c r="F17" s="28">
        <v>1</v>
      </c>
      <c r="H17" s="186"/>
      <c r="I17" s="9" t="str">
        <f>E8</f>
        <v>Philosophies of Moonlight</v>
      </c>
      <c r="J17" s="16">
        <f>SUM(F8,F21,F34)</f>
        <v>66</v>
      </c>
      <c r="K17" s="34" t="s">
        <v>214</v>
      </c>
    </row>
    <row r="18" spans="1:11" ht="15.75" thickBot="1" x14ac:dyDescent="0.3">
      <c r="A18" s="185"/>
      <c r="B18" s="1" t="e">
        <f>VLOOKUP(VLOOKUP(B1,Character_List,5,FALSE),Common_Mob_Drops,3,FALSE)</f>
        <v>#N/A</v>
      </c>
      <c r="C18" s="17">
        <f>VLOOKUP(C11,Required_Ascension_Materials,8,FALSE)-VLOOKUP(C10,Required_Ascension_Materials,8,FALSE)</f>
        <v>30</v>
      </c>
      <c r="E18" s="13" t="s">
        <v>203</v>
      </c>
      <c r="F18" s="29">
        <v>9</v>
      </c>
      <c r="H18" s="11" t="s">
        <v>177</v>
      </c>
      <c r="I18" s="7" t="str">
        <f>E9</f>
        <v>Eroded Scale-Feather</v>
      </c>
      <c r="J18" s="24">
        <f>SUM(F9,F22,F35)</f>
        <v>12</v>
      </c>
      <c r="K18" s="34" t="s">
        <v>214</v>
      </c>
    </row>
    <row r="19" spans="1:11" ht="15.75" thickBot="1" x14ac:dyDescent="0.3">
      <c r="A19" s="186"/>
      <c r="B19" s="9" t="e">
        <f>VLOOKUP(VLOOKUP(B1,Character_List,5,FALSE),Common_Mob_Drops,4,FALSE)</f>
        <v>#N/A</v>
      </c>
      <c r="C19" s="16">
        <f>VLOOKUP(C11,Required_Ascension_Materials,9,FALSE)-VLOOKUP(C10,Required_Ascension_Materials,9,FALSE)</f>
        <v>36</v>
      </c>
      <c r="E19" s="14" t="str">
        <f>_xlfn.CONCAT("Teachings of ", VLOOKUP(VLOOKUP(B1,Character_List,7,FALSE),Character_Talent_Materials,2,FALSE))</f>
        <v>Teachings of Moonlight</v>
      </c>
      <c r="F19" s="17">
        <f>VLOOKUP(F18,Required_Talent_Materials,2,FALSE)-VLOOKUP(F17,Required_Talent_Materials,2,FALSE)</f>
        <v>3</v>
      </c>
      <c r="H19" s="171" t="s">
        <v>213</v>
      </c>
      <c r="I19" s="231"/>
      <c r="J19" s="24">
        <f>SUM(F10,F23,F36)</f>
        <v>0</v>
      </c>
      <c r="K19" s="35" t="s">
        <v>214</v>
      </c>
    </row>
    <row r="20" spans="1:11" ht="15.75" thickBot="1" x14ac:dyDescent="0.3">
      <c r="A20" s="11" t="s">
        <v>210</v>
      </c>
      <c r="B20" s="7" t="str">
        <f>VLOOKUP(B1,Character_List,6,FALSE)</f>
        <v>Moonfall Silver</v>
      </c>
      <c r="C20" s="24">
        <f>VLOOKUP(C11,Required_Ascension_Materials,10,FALSE)-VLOOKUP(C10,Required_Ascension_Materials,10,FALSE)</f>
        <v>168</v>
      </c>
      <c r="E20" s="14" t="str">
        <f>_xlfn.CONCAT("Guide to ", VLOOKUP(VLOOKUP(B1,Character_List,7,FALSE),Character_Talent_Materials,2,FALSE))</f>
        <v>Guide to Moonlight</v>
      </c>
      <c r="F20" s="17">
        <f>VLOOKUP(F18,Required_Talent_Materials,3,FALSE)-VLOOKUP(F17,Required_Talent_Materials,3,FALSE)</f>
        <v>21</v>
      </c>
    </row>
    <row r="21" spans="1:11" ht="15.75" thickBot="1" x14ac:dyDescent="0.3">
      <c r="A21" s="21" t="s">
        <v>204</v>
      </c>
      <c r="B21" s="22" t="s">
        <v>204</v>
      </c>
      <c r="C21" s="23">
        <f>VLOOKUP(C11,Required_Ascension_Materials,11,FALSE)-VLOOKUP(C10,Required_Ascension_Materials,11,FALSE)</f>
        <v>420000</v>
      </c>
      <c r="E21" s="14" t="str">
        <f>_xlfn.CONCAT("Philosophies of ", VLOOKUP(VLOOKUP(B1,Character_List,7,FALSE),Character_Talent_Materials,2,FALSE))</f>
        <v>Philosophies of Moonlight</v>
      </c>
      <c r="F21" s="17">
        <f>VLOOKUP(F18,Required_Talent_Materials,4,FALSE)-VLOOKUP(F17,Required_Talent_Materials,4,FALSE)</f>
        <v>22</v>
      </c>
    </row>
    <row r="22" spans="1:11" x14ac:dyDescent="0.25">
      <c r="E22" s="14" t="str">
        <f>VLOOKUP(VLOOKUP(B1,Character_List,8,FALSE),Weekly_Boss_Mats,2,FALSE)</f>
        <v>Eroded Scale-Feather</v>
      </c>
      <c r="F22" s="17">
        <f>VLOOKUP(F18,Required_Talent_Materials,5,FALSE)-VLOOKUP(F17,Required_Talent_Materials,5,FALSE)</f>
        <v>4</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6</v>
      </c>
    </row>
    <row r="25" spans="1:11" x14ac:dyDescent="0.25">
      <c r="E25" s="14" t="e">
        <f>VLOOKUP(VLOOKUP(B1,Character_List,5,FALSE),Common_Mob_Drops,3,FALSE)</f>
        <v>#N/A</v>
      </c>
      <c r="F25" s="17">
        <f>VLOOKUP(F18,Required_Talent_Materials,8,FALSE)-VLOOKUP(F17,Required_Talent_Materials,8,FALSE)</f>
        <v>22</v>
      </c>
    </row>
    <row r="26" spans="1:11" x14ac:dyDescent="0.25">
      <c r="E26" s="14" t="e">
        <f>VLOOKUP(VLOOKUP(B1,Character_List,5,FALSE),Common_Mob_Drops,4,FALSE)</f>
        <v>#N/A</v>
      </c>
      <c r="F26" s="17">
        <f>VLOOKUP(F18,Required_Talent_Materials,9,FALSE)-VLOOKUP(F17,Required_Talent_Materials,9,FALSE)</f>
        <v>19</v>
      </c>
    </row>
    <row r="27" spans="1:11" ht="15.75" thickBot="1" x14ac:dyDescent="0.3">
      <c r="E27" s="13" t="s">
        <v>204</v>
      </c>
      <c r="F27" s="16">
        <f>VLOOKUP(F18,Required_Talent_Materials,10,FALSE)-VLOOKUP(F17,Required_Talent_Materials,10,FALSE)</f>
        <v>952500</v>
      </c>
    </row>
    <row r="28" spans="1:11" ht="15.75" thickBot="1" x14ac:dyDescent="0.3"/>
    <row r="29" spans="1:11" ht="15.75" thickBot="1" x14ac:dyDescent="0.3">
      <c r="E29" s="171" t="s">
        <v>152</v>
      </c>
      <c r="F29" s="172"/>
    </row>
    <row r="30" spans="1:11" x14ac:dyDescent="0.25">
      <c r="E30" s="12" t="s">
        <v>200</v>
      </c>
      <c r="F30" s="28">
        <v>1</v>
      </c>
    </row>
    <row r="31" spans="1:11" ht="15.75" thickBot="1" x14ac:dyDescent="0.3">
      <c r="E31" s="13" t="s">
        <v>203</v>
      </c>
      <c r="F31" s="29">
        <v>9</v>
      </c>
    </row>
    <row r="32" spans="1:11" x14ac:dyDescent="0.25">
      <c r="E32" s="14" t="str">
        <f>_xlfn.CONCAT("Teachings of ", VLOOKUP(VLOOKUP(B1,Character_List,7,FALSE),Character_Talent_Materials,2,FALSE))</f>
        <v>Teachings of Moonlight</v>
      </c>
      <c r="F32" s="17">
        <f>VLOOKUP(F31,Required_Talent_Materials,2,FALSE)-VLOOKUP(F30,Required_Talent_Materials,2,FALSE)</f>
        <v>3</v>
      </c>
    </row>
    <row r="33" spans="5:6" x14ac:dyDescent="0.25">
      <c r="E33" s="14" t="str">
        <f>_xlfn.CONCAT("Guide to ", VLOOKUP(VLOOKUP(B1,Character_List,7,FALSE),Character_Talent_Materials,2,FALSE))</f>
        <v>Guide to Moonlight</v>
      </c>
      <c r="F33" s="17">
        <f>VLOOKUP(F31,Required_Talent_Materials,3,FALSE)-VLOOKUP(F30,Required_Talent_Materials,3,FALSE)</f>
        <v>21</v>
      </c>
    </row>
    <row r="34" spans="5:6" x14ac:dyDescent="0.25">
      <c r="E34" s="14" t="str">
        <f>_xlfn.CONCAT("Philosophies of ", VLOOKUP(VLOOKUP(B1,Character_List,7,FALSE),Character_Talent_Materials,2,FALSE))</f>
        <v>Philosophies of Moonlight</v>
      </c>
      <c r="F34" s="17">
        <f>VLOOKUP(F31,Required_Talent_Materials,4,FALSE)-VLOOKUP(F30,Required_Talent_Materials,4,FALSE)</f>
        <v>22</v>
      </c>
    </row>
    <row r="35" spans="5:6" x14ac:dyDescent="0.25">
      <c r="E35" s="14" t="str">
        <f>VLOOKUP(VLOOKUP(B1,Character_List,8,FALSE),Weekly_Boss_Mats,2,FALSE)</f>
        <v>Eroded Scale-Feather</v>
      </c>
      <c r="F35" s="17">
        <f>VLOOKUP(F31,Required_Talent_Materials,5,FALSE)-VLOOKUP(F30,Required_Talent_Materials,5,FALSE)</f>
        <v>4</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6</v>
      </c>
    </row>
    <row r="38" spans="5:6" x14ac:dyDescent="0.25">
      <c r="E38" s="14" t="e">
        <f>VLOOKUP(VLOOKUP(B1,Character_List,5,FALSE),Common_Mob_Drops,3,FALSE)</f>
        <v>#N/A</v>
      </c>
      <c r="F38" s="17">
        <f>VLOOKUP(F31,Required_Talent_Materials,8,FALSE)-VLOOKUP(F30,Required_Talent_Materials,8,FALSE)</f>
        <v>22</v>
      </c>
    </row>
    <row r="39" spans="5:6" x14ac:dyDescent="0.25">
      <c r="E39" s="14" t="e">
        <f>VLOOKUP(VLOOKUP(B1,Character_List,5,FALSE),Common_Mob_Drops,4,FALSE)</f>
        <v>#N/A</v>
      </c>
      <c r="F39" s="17">
        <f>VLOOKUP(F31,Required_Talent_Materials,9,FALSE)-VLOOKUP(F30,Required_Talent_Materials,9,FALSE)</f>
        <v>19</v>
      </c>
    </row>
    <row r="40" spans="5:6" ht="15.75" thickBot="1" x14ac:dyDescent="0.3">
      <c r="E40" s="13" t="s">
        <v>204</v>
      </c>
      <c r="F40" s="16">
        <f>VLOOKUP(F31,Required_Talent_Materials,10,FALSE)-VLOOKUP(F30,Required_Talent_Materials,10,FALSE)</f>
        <v>952500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52" priority="1" operator="containsText" text="Done">
      <formula>NOT(ISERROR(SEARCH("Done",K4)))</formula>
    </cfRule>
    <cfRule type="containsText" dxfId="451" priority="2" operator="containsText" text="In Progress">
      <formula>NOT(ISERROR(SEARCH("In Progress",K4)))</formula>
    </cfRule>
  </conditionalFormatting>
  <dataValidations count="5">
    <dataValidation type="list" allowBlank="1" showInputMessage="1" showErrorMessage="1" sqref="C10:C11" xr:uid="{63A0B088-7FCD-4AEC-9FDE-E8B23A50C461}">
      <formula1>"0,1,2,3,4,5,6"</formula1>
    </dataValidation>
    <dataValidation type="list" allowBlank="1" showInputMessage="1" showErrorMessage="1" sqref="K4:K19" xr:uid="{34DBFBD5-5C15-48AB-9871-A6F49687FB4B}">
      <formula1>"In Progress, Done"</formula1>
    </dataValidation>
    <dataValidation type="list" allowBlank="1" showInputMessage="1" showErrorMessage="1" sqref="B1" xr:uid="{98EFF023-D28C-4C45-9DB2-33049467F8B3}">
      <formula1>Character_Name_List</formula1>
    </dataValidation>
    <dataValidation type="list" allowBlank="1" showInputMessage="1" showErrorMessage="1" sqref="F4:F5 F17:F18 F30:F31" xr:uid="{9A6C8615-EAD6-4E6A-829F-D51AD6C8FCAB}">
      <formula1>"1,2,3,4,5,6,7,8,9,10"</formula1>
    </dataValidation>
    <dataValidation type="list" operator="equal" allowBlank="1" showInputMessage="1" showErrorMessage="1" sqref="B4:B5" xr:uid="{37950834-D9AB-4BE5-953A-07FA17C16B07}">
      <formula1>"1,20,40,50,60,70,80,90"</formula1>
    </dataValidation>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98BF1-7DCA-4486-B529-2BF1A28EAEAB}">
  <sheetPr codeName="Sheet342">
    <tabColor rgb="FFC6E0B4"/>
  </sheetPr>
  <dimension ref="A1:K40"/>
  <sheetViews>
    <sheetView workbookViewId="0">
      <selection activeCell="F31" sqref="F31"/>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927</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1</v>
      </c>
      <c r="E4" s="12" t="s">
        <v>200</v>
      </c>
      <c r="F4" s="28">
        <v>1</v>
      </c>
      <c r="H4" s="222" t="s">
        <v>201</v>
      </c>
      <c r="I4" s="223"/>
      <c r="J4" s="15">
        <f>B6</f>
        <v>8362650</v>
      </c>
      <c r="K4" s="33" t="s">
        <v>214</v>
      </c>
    </row>
    <row r="5" spans="1:11" ht="15.75" thickBot="1" x14ac:dyDescent="0.3">
      <c r="A5" s="13" t="s">
        <v>203</v>
      </c>
      <c r="B5" s="26">
        <v>90</v>
      </c>
      <c r="E5" s="13" t="s">
        <v>203</v>
      </c>
      <c r="F5" s="29">
        <v>9</v>
      </c>
      <c r="H5" s="232" t="s">
        <v>204</v>
      </c>
      <c r="I5" s="233"/>
      <c r="J5" s="16">
        <f>SUM(B7,C21,F14,F27,F40)</f>
        <v>4950900</v>
      </c>
      <c r="K5" s="34" t="s">
        <v>214</v>
      </c>
    </row>
    <row r="6" spans="1:11" x14ac:dyDescent="0.25">
      <c r="A6" s="12" t="s">
        <v>201</v>
      </c>
      <c r="B6" s="15">
        <f>VLOOKUP(B5,Levelling_Materials,3,FALSE)-VLOOKUP(B4,Levelling_Materials,3,FALSE)</f>
        <v>8362650</v>
      </c>
      <c r="E6" s="14" t="str">
        <f>_xlfn.CONCAT("Teachings of ", VLOOKUP(VLOOKUP(B1,Character_List,7,FALSE),Character_Talent_Materials,2,FALSE))</f>
        <v>Teachings of Vagrancy</v>
      </c>
      <c r="F6" s="17">
        <f>VLOOKUP(F5,Required_Talent_Materials,2,FALSE)-VLOOKUP(F4,Required_Talent_Materials,2,FALSE)</f>
        <v>3</v>
      </c>
      <c r="H6" s="184" t="s">
        <v>215</v>
      </c>
      <c r="I6" s="2" t="str">
        <f t="shared" ref="I6:J10" si="0">B12</f>
        <v>Vajrada Amethyst Sliver</v>
      </c>
      <c r="J6" s="15">
        <f t="shared" si="0"/>
        <v>1</v>
      </c>
      <c r="K6" s="34" t="s">
        <v>214</v>
      </c>
    </row>
    <row r="7" spans="1:11" ht="15.75" thickBot="1" x14ac:dyDescent="0.3">
      <c r="A7" s="13" t="s">
        <v>204</v>
      </c>
      <c r="B7" s="16">
        <f>VLOOKUP(B5,Levelling_Materials,5,FALSE)-VLOOKUP(B4,Levelling_Materials,5,FALSE)</f>
        <v>1673400</v>
      </c>
      <c r="E7" s="14" t="str">
        <f>_xlfn.CONCAT("Guide to ", VLOOKUP(VLOOKUP(B1,Character_List,7,FALSE),Character_Talent_Materials,2,FALSE))</f>
        <v>Guide to Vagrancy</v>
      </c>
      <c r="F7" s="17">
        <f>VLOOKUP(F5,Required_Talent_Materials,3,FALSE)-VLOOKUP(F4,Required_Talent_Materials,3,FALSE)</f>
        <v>21</v>
      </c>
      <c r="H7" s="185"/>
      <c r="I7" s="1" t="str">
        <f t="shared" si="0"/>
        <v>Vajrada Amethyst Fragment</v>
      </c>
      <c r="J7" s="17">
        <f t="shared" si="0"/>
        <v>9</v>
      </c>
      <c r="K7" s="34" t="s">
        <v>214</v>
      </c>
    </row>
    <row r="8" spans="1:11" ht="15.75" thickBot="1" x14ac:dyDescent="0.3">
      <c r="E8" s="14" t="str">
        <f>_xlfn.CONCAT("Philosophies of ", VLOOKUP(VLOOKUP(B1,Character_List,7,FALSE),Character_Talent_Materials,2,FALSE))</f>
        <v>Philosophies of Vagrancy</v>
      </c>
      <c r="F8" s="17">
        <f>VLOOKUP(F5,Required_Talent_Materials,4,FALSE)-VLOOKUP(F4,Required_Talent_Materials,4,FALSE)</f>
        <v>22</v>
      </c>
      <c r="H8" s="185"/>
      <c r="I8" s="1" t="str">
        <f t="shared" si="0"/>
        <v>Vajrada Amethyst Chunk</v>
      </c>
      <c r="J8" s="17">
        <f t="shared" si="0"/>
        <v>9</v>
      </c>
      <c r="K8" s="34" t="s">
        <v>214</v>
      </c>
    </row>
    <row r="9" spans="1:11" ht="15.75" thickBot="1" x14ac:dyDescent="0.3">
      <c r="A9" s="171" t="s">
        <v>149</v>
      </c>
      <c r="B9" s="231"/>
      <c r="C9" s="172"/>
      <c r="E9" s="14" t="str">
        <f>VLOOKUP(VLOOKUP(B1,Character_List,8,FALSE),Weekly_Boss_Mats,2,FALSE)</f>
        <v>Ascended Sample: Queen</v>
      </c>
      <c r="F9" s="17">
        <f>VLOOKUP(F5,Required_Talent_Materials,5,FALSE)-VLOOKUP(F4,Required_Talent_Materials,5,FALSE)</f>
        <v>4</v>
      </c>
      <c r="H9" s="185"/>
      <c r="I9" s="1" t="str">
        <f t="shared" si="0"/>
        <v>Vajrada Amethyst Gemstone</v>
      </c>
      <c r="J9" s="17">
        <f t="shared" si="0"/>
        <v>6</v>
      </c>
      <c r="K9" s="34" t="s">
        <v>214</v>
      </c>
    </row>
    <row r="10" spans="1:11" ht="15.75" thickBot="1" x14ac:dyDescent="0.3">
      <c r="A10" s="173" t="s">
        <v>206</v>
      </c>
      <c r="B10" s="202"/>
      <c r="C10" s="43">
        <v>0</v>
      </c>
      <c r="E10" s="14" t="s">
        <v>213</v>
      </c>
      <c r="F10" s="17">
        <f>VLOOKUP(F5,Required_Talent_Materials,6,FALSE)-VLOOKUP(F4,Required_Talent_Materials,6,FALSE)</f>
        <v>0</v>
      </c>
      <c r="H10" s="186"/>
      <c r="I10" s="9" t="str">
        <f t="shared" si="0"/>
        <v>Precision Kuuvahki Stamping D-uck-ie</v>
      </c>
      <c r="J10" s="16">
        <f t="shared" si="0"/>
        <v>46</v>
      </c>
      <c r="K10" s="34" t="s">
        <v>214</v>
      </c>
    </row>
    <row r="11" spans="1:11" ht="15.75" thickBot="1" x14ac:dyDescent="0.3">
      <c r="A11" s="173" t="s">
        <v>208</v>
      </c>
      <c r="B11" s="202"/>
      <c r="C11" s="43">
        <v>6</v>
      </c>
      <c r="E11" s="14" t="e">
        <f>VLOOKUP(VLOOKUP(B1,Character_List,5,FALSE),Common_Mob_Drops,2,FALSE)</f>
        <v>#N/A</v>
      </c>
      <c r="F11" s="17">
        <f>VLOOKUP(F5,Required_Talent_Materials,7,FALSE)-VLOOKUP(F4,Required_Talent_Materials,7,FALSE)</f>
        <v>6</v>
      </c>
      <c r="H11" s="184" t="s">
        <v>207</v>
      </c>
      <c r="I11" s="2" t="e">
        <f>B17</f>
        <v>#N/A</v>
      </c>
      <c r="J11" s="15">
        <f>SUM(C17,F11,F24,F37)</f>
        <v>36</v>
      </c>
      <c r="K11" s="34" t="s">
        <v>214</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1</v>
      </c>
      <c r="E12" s="14" t="e">
        <f>VLOOKUP(VLOOKUP(B1,Character_List,5,FALSE),Common_Mob_Drops,3,FALSE)</f>
        <v>#N/A</v>
      </c>
      <c r="F12" s="17">
        <f>VLOOKUP(F5,Required_Talent_Materials,8,FALSE)-VLOOKUP(F4,Required_Talent_Materials,8,FALSE)</f>
        <v>22</v>
      </c>
      <c r="H12" s="185"/>
      <c r="I12" s="1" t="e">
        <f>B18</f>
        <v>#N/A</v>
      </c>
      <c r="J12" s="17">
        <f>SUM(C18,F12,F25,F38)</f>
        <v>96</v>
      </c>
      <c r="K12" s="34" t="s">
        <v>214</v>
      </c>
    </row>
    <row r="13" spans="1:11" ht="15.75" thickBot="1" x14ac:dyDescent="0.3">
      <c r="A13" s="182"/>
      <c r="B13" s="1" t="str">
        <f>_xlfn.CONCAT(VLOOKUP(VLOOKUP(B1,Character_List,2,FALSE),Boss_Mob_Drops,2,FALSE), " Fragment")</f>
        <v>Vajrada Amethyst Fragment</v>
      </c>
      <c r="C13" s="17">
        <f>VLOOKUP(C11,Required_Ascension_Materials,3,FALSE)-VLOOKUP(C10,Required_Ascension_Materials,3,FALSE)</f>
        <v>9</v>
      </c>
      <c r="E13" s="14" t="e">
        <f>VLOOKUP(VLOOKUP(B1,Character_List,5,FALSE),Common_Mob_Drops,4,FALSE)</f>
        <v>#N/A</v>
      </c>
      <c r="F13" s="17">
        <f>VLOOKUP(F5,Required_Talent_Materials,9,FALSE)-VLOOKUP(F4,Required_Talent_Materials,9,FALSE)</f>
        <v>19</v>
      </c>
      <c r="H13" s="186"/>
      <c r="I13" s="9" t="e">
        <f>B19</f>
        <v>#N/A</v>
      </c>
      <c r="J13" s="16">
        <f>SUM(C19,F13,F26,F39)</f>
        <v>93</v>
      </c>
      <c r="K13" s="34" t="s">
        <v>214</v>
      </c>
    </row>
    <row r="14" spans="1:11" ht="15.75" thickBot="1" x14ac:dyDescent="0.3">
      <c r="A14" s="182"/>
      <c r="B14" s="1" t="str">
        <f>_xlfn.CONCAT(VLOOKUP(VLOOKUP(B1,Character_List,2,FALSE),Boss_Mob_Drops,2,FALSE), " Chunk")</f>
        <v>Vajrada Amethyst Chunk</v>
      </c>
      <c r="C14" s="17">
        <f>VLOOKUP(C11,Required_Ascension_Materials,4,FALSE)-VLOOKUP(C10,Required_Ascension_Materials,4,FALSE)</f>
        <v>9</v>
      </c>
      <c r="E14" s="13" t="s">
        <v>204</v>
      </c>
      <c r="F14" s="16">
        <f>VLOOKUP(F5,Required_Talent_Materials,10,FALSE)-VLOOKUP(F4,Required_Talent_Materials,10,FALSE)</f>
        <v>952500</v>
      </c>
      <c r="H14" s="11" t="s">
        <v>209</v>
      </c>
      <c r="I14" s="7" t="str">
        <f>B20</f>
        <v>Frostcup Flower</v>
      </c>
      <c r="J14" s="24">
        <f>C20</f>
        <v>168</v>
      </c>
      <c r="K14" s="34" t="s">
        <v>214</v>
      </c>
    </row>
    <row r="15" spans="1:11" ht="15.75" thickBot="1" x14ac:dyDescent="0.3">
      <c r="A15" s="182"/>
      <c r="B15" s="1" t="str">
        <f>_xlfn.CONCAT(VLOOKUP(VLOOKUP(B1,Character_List,2,FALSE),Boss_Mob_Drops,2,FALSE), " Gemstone")</f>
        <v>Vajrada Amethyst Gemstone</v>
      </c>
      <c r="C15" s="17">
        <f>VLOOKUP(C11,Required_Ascension_Materials,5,FALSE)-VLOOKUP(C10,Required_Ascension_Materials,5,FALSE)</f>
        <v>6</v>
      </c>
      <c r="H15" s="184" t="s">
        <v>216</v>
      </c>
      <c r="I15" s="2" t="str">
        <f>E6</f>
        <v>Teachings of Vagrancy</v>
      </c>
      <c r="J15" s="15">
        <f>SUM(F6,F19,F32)</f>
        <v>9</v>
      </c>
      <c r="K15" s="34" t="s">
        <v>214</v>
      </c>
    </row>
    <row r="16" spans="1:11" ht="15.75" thickBot="1" x14ac:dyDescent="0.3">
      <c r="A16" s="183"/>
      <c r="B16" s="9" t="str">
        <f>VLOOKUP(B1,Character_List,4,FALSE)</f>
        <v>Precision Kuuvahki Stamping D-uck-ie</v>
      </c>
      <c r="C16" s="16">
        <f>VLOOKUP(C11,Required_Ascension_Materials,6,FALSE)-VLOOKUP(C10,Required_Ascension_Materials,6,FALSE)</f>
        <v>46</v>
      </c>
      <c r="E16" s="171" t="s">
        <v>151</v>
      </c>
      <c r="F16" s="172"/>
      <c r="H16" s="185"/>
      <c r="I16" s="1" t="str">
        <f>E7</f>
        <v>Guide to Vagrancy</v>
      </c>
      <c r="J16" s="17">
        <f>SUM(F7,F20,F33)</f>
        <v>63</v>
      </c>
      <c r="K16" s="34" t="s">
        <v>214</v>
      </c>
    </row>
    <row r="17" spans="1:11" ht="15.75" thickBot="1" x14ac:dyDescent="0.3">
      <c r="A17" s="184" t="s">
        <v>207</v>
      </c>
      <c r="B17" s="2" t="e">
        <f>VLOOKUP(VLOOKUP(B1,Character_List,5,FALSE),Common_Mob_Drops,2,FALSE)</f>
        <v>#N/A</v>
      </c>
      <c r="C17" s="15">
        <f>VLOOKUP(C11,Required_Ascension_Materials,7,FALSE)-VLOOKUP(C10,Required_Ascension_Materials,7,FALSE)</f>
        <v>18</v>
      </c>
      <c r="E17" s="12" t="s">
        <v>200</v>
      </c>
      <c r="F17" s="28">
        <v>1</v>
      </c>
      <c r="H17" s="186"/>
      <c r="I17" s="9" t="str">
        <f>E8</f>
        <v>Philosophies of Vagrancy</v>
      </c>
      <c r="J17" s="16">
        <f>SUM(F8,F21,F34)</f>
        <v>66</v>
      </c>
      <c r="K17" s="34" t="s">
        <v>214</v>
      </c>
    </row>
    <row r="18" spans="1:11" ht="15.75" thickBot="1" x14ac:dyDescent="0.3">
      <c r="A18" s="185"/>
      <c r="B18" s="1" t="e">
        <f>VLOOKUP(VLOOKUP(B1,Character_List,5,FALSE),Common_Mob_Drops,3,FALSE)</f>
        <v>#N/A</v>
      </c>
      <c r="C18" s="17">
        <f>VLOOKUP(C11,Required_Ascension_Materials,8,FALSE)-VLOOKUP(C10,Required_Ascension_Materials,8,FALSE)</f>
        <v>30</v>
      </c>
      <c r="E18" s="13" t="s">
        <v>203</v>
      </c>
      <c r="F18" s="29">
        <v>9</v>
      </c>
      <c r="H18" s="11" t="s">
        <v>177</v>
      </c>
      <c r="I18" s="7" t="str">
        <f>E9</f>
        <v>Ascended Sample: Queen</v>
      </c>
      <c r="J18" s="24">
        <f>SUM(F9,F22,F35)</f>
        <v>12</v>
      </c>
      <c r="K18" s="34" t="s">
        <v>214</v>
      </c>
    </row>
    <row r="19" spans="1:11" ht="15.75" thickBot="1" x14ac:dyDescent="0.3">
      <c r="A19" s="186"/>
      <c r="B19" s="9" t="e">
        <f>VLOOKUP(VLOOKUP(B1,Character_List,5,FALSE),Common_Mob_Drops,4,FALSE)</f>
        <v>#N/A</v>
      </c>
      <c r="C19" s="16">
        <f>VLOOKUP(C11,Required_Ascension_Materials,9,FALSE)-VLOOKUP(C10,Required_Ascension_Materials,9,FALSE)</f>
        <v>36</v>
      </c>
      <c r="E19" s="14" t="str">
        <f>_xlfn.CONCAT("Teachings of ", VLOOKUP(VLOOKUP(B1,Character_List,7,FALSE),Character_Talent_Materials,2,FALSE))</f>
        <v>Teachings of Vagrancy</v>
      </c>
      <c r="F19" s="17">
        <f>VLOOKUP(F18,Required_Talent_Materials,2,FALSE)-VLOOKUP(F17,Required_Talent_Materials,2,FALSE)</f>
        <v>3</v>
      </c>
      <c r="H19" s="171" t="s">
        <v>213</v>
      </c>
      <c r="I19" s="231"/>
      <c r="J19" s="24">
        <f>SUM(F10,F23,F36)</f>
        <v>0</v>
      </c>
      <c r="K19" s="35" t="s">
        <v>214</v>
      </c>
    </row>
    <row r="20" spans="1:11" ht="15.75" thickBot="1" x14ac:dyDescent="0.3">
      <c r="A20" s="11" t="s">
        <v>210</v>
      </c>
      <c r="B20" s="7" t="str">
        <f>VLOOKUP(B1,Character_List,6,FALSE)</f>
        <v>Frostcup Flower</v>
      </c>
      <c r="C20" s="24">
        <f>VLOOKUP(C11,Required_Ascension_Materials,10,FALSE)-VLOOKUP(C10,Required_Ascension_Materials,10,FALSE)</f>
        <v>168</v>
      </c>
      <c r="E20" s="14" t="str">
        <f>_xlfn.CONCAT("Guide to ", VLOOKUP(VLOOKUP(B1,Character_List,7,FALSE),Character_Talent_Materials,2,FALSE))</f>
        <v>Guide to Vagrancy</v>
      </c>
      <c r="F20" s="17">
        <f>VLOOKUP(F18,Required_Talent_Materials,3,FALSE)-VLOOKUP(F17,Required_Talent_Materials,3,FALSE)</f>
        <v>21</v>
      </c>
    </row>
    <row r="21" spans="1:11" ht="15.75" thickBot="1" x14ac:dyDescent="0.3">
      <c r="A21" s="21" t="s">
        <v>204</v>
      </c>
      <c r="B21" s="22" t="s">
        <v>204</v>
      </c>
      <c r="C21" s="23">
        <f>VLOOKUP(C11,Required_Ascension_Materials,11,FALSE)-VLOOKUP(C10,Required_Ascension_Materials,11,FALSE)</f>
        <v>420000</v>
      </c>
      <c r="E21" s="14" t="str">
        <f>_xlfn.CONCAT("Philosophies of ", VLOOKUP(VLOOKUP(B1,Character_List,7,FALSE),Character_Talent_Materials,2,FALSE))</f>
        <v>Philosophies of Vagrancy</v>
      </c>
      <c r="F21" s="17">
        <f>VLOOKUP(F18,Required_Talent_Materials,4,FALSE)-VLOOKUP(F17,Required_Talent_Materials,4,FALSE)</f>
        <v>22</v>
      </c>
    </row>
    <row r="22" spans="1:11" x14ac:dyDescent="0.25">
      <c r="E22" s="14" t="str">
        <f>VLOOKUP(VLOOKUP(B1,Character_List,8,FALSE),Weekly_Boss_Mats,2,FALSE)</f>
        <v>Ascended Sample: Queen</v>
      </c>
      <c r="F22" s="17">
        <f>VLOOKUP(F18,Required_Talent_Materials,5,FALSE)-VLOOKUP(F17,Required_Talent_Materials,5,FALSE)</f>
        <v>4</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6</v>
      </c>
    </row>
    <row r="25" spans="1:11" x14ac:dyDescent="0.25">
      <c r="E25" s="14" t="e">
        <f>VLOOKUP(VLOOKUP(B1,Character_List,5,FALSE),Common_Mob_Drops,3,FALSE)</f>
        <v>#N/A</v>
      </c>
      <c r="F25" s="17">
        <f>VLOOKUP(F18,Required_Talent_Materials,8,FALSE)-VLOOKUP(F17,Required_Talent_Materials,8,FALSE)</f>
        <v>22</v>
      </c>
    </row>
    <row r="26" spans="1:11" x14ac:dyDescent="0.25">
      <c r="E26" s="14" t="e">
        <f>VLOOKUP(VLOOKUP(B1,Character_List,5,FALSE),Common_Mob_Drops,4,FALSE)</f>
        <v>#N/A</v>
      </c>
      <c r="F26" s="17">
        <f>VLOOKUP(F18,Required_Talent_Materials,9,FALSE)-VLOOKUP(F17,Required_Talent_Materials,9,FALSE)</f>
        <v>19</v>
      </c>
    </row>
    <row r="27" spans="1:11" ht="15.75" thickBot="1" x14ac:dyDescent="0.3">
      <c r="E27" s="13" t="s">
        <v>204</v>
      </c>
      <c r="F27" s="16">
        <f>VLOOKUP(F18,Required_Talent_Materials,10,FALSE)-VLOOKUP(F17,Required_Talent_Materials,10,FALSE)</f>
        <v>952500</v>
      </c>
    </row>
    <row r="28" spans="1:11" ht="15.75" thickBot="1" x14ac:dyDescent="0.3"/>
    <row r="29" spans="1:11" ht="15.75" thickBot="1" x14ac:dyDescent="0.3">
      <c r="E29" s="171" t="s">
        <v>152</v>
      </c>
      <c r="F29" s="172"/>
    </row>
    <row r="30" spans="1:11" x14ac:dyDescent="0.25">
      <c r="E30" s="12" t="s">
        <v>200</v>
      </c>
      <c r="F30" s="28">
        <v>1</v>
      </c>
    </row>
    <row r="31" spans="1:11" ht="15.75" thickBot="1" x14ac:dyDescent="0.3">
      <c r="E31" s="13" t="s">
        <v>203</v>
      </c>
      <c r="F31" s="29">
        <v>9</v>
      </c>
    </row>
    <row r="32" spans="1:11" x14ac:dyDescent="0.25">
      <c r="E32" s="14" t="str">
        <f>_xlfn.CONCAT("Teachings of ", VLOOKUP(VLOOKUP(B1,Character_List,7,FALSE),Character_Talent_Materials,2,FALSE))</f>
        <v>Teachings of Vagrancy</v>
      </c>
      <c r="F32" s="17">
        <f>VLOOKUP(F31,Required_Talent_Materials,2,FALSE)-VLOOKUP(F30,Required_Talent_Materials,2,FALSE)</f>
        <v>3</v>
      </c>
    </row>
    <row r="33" spans="5:6" x14ac:dyDescent="0.25">
      <c r="E33" s="14" t="str">
        <f>_xlfn.CONCAT("Guide to ", VLOOKUP(VLOOKUP(B1,Character_List,7,FALSE),Character_Talent_Materials,2,FALSE))</f>
        <v>Guide to Vagrancy</v>
      </c>
      <c r="F33" s="17">
        <f>VLOOKUP(F31,Required_Talent_Materials,3,FALSE)-VLOOKUP(F30,Required_Talent_Materials,3,FALSE)</f>
        <v>21</v>
      </c>
    </row>
    <row r="34" spans="5:6" x14ac:dyDescent="0.25">
      <c r="E34" s="14" t="str">
        <f>_xlfn.CONCAT("Philosophies of ", VLOOKUP(VLOOKUP(B1,Character_List,7,FALSE),Character_Talent_Materials,2,FALSE))</f>
        <v>Philosophies of Vagrancy</v>
      </c>
      <c r="F34" s="17">
        <f>VLOOKUP(F31,Required_Talent_Materials,4,FALSE)-VLOOKUP(F30,Required_Talent_Materials,4,FALSE)</f>
        <v>22</v>
      </c>
    </row>
    <row r="35" spans="5:6" x14ac:dyDescent="0.25">
      <c r="E35" s="14" t="str">
        <f>VLOOKUP(VLOOKUP(B1,Character_List,8,FALSE),Weekly_Boss_Mats,2,FALSE)</f>
        <v>Ascended Sample: Queen</v>
      </c>
      <c r="F35" s="17">
        <f>VLOOKUP(F31,Required_Talent_Materials,5,FALSE)-VLOOKUP(F30,Required_Talent_Materials,5,FALSE)</f>
        <v>4</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6</v>
      </c>
    </row>
    <row r="38" spans="5:6" x14ac:dyDescent="0.25">
      <c r="E38" s="14" t="e">
        <f>VLOOKUP(VLOOKUP(B1,Character_List,5,FALSE),Common_Mob_Drops,3,FALSE)</f>
        <v>#N/A</v>
      </c>
      <c r="F38" s="17">
        <f>VLOOKUP(F31,Required_Talent_Materials,8,FALSE)-VLOOKUP(F30,Required_Talent_Materials,8,FALSE)</f>
        <v>22</v>
      </c>
    </row>
    <row r="39" spans="5:6" x14ac:dyDescent="0.25">
      <c r="E39" s="14" t="e">
        <f>VLOOKUP(VLOOKUP(B1,Character_List,5,FALSE),Common_Mob_Drops,4,FALSE)</f>
        <v>#N/A</v>
      </c>
      <c r="F39" s="17">
        <f>VLOOKUP(F31,Required_Talent_Materials,9,FALSE)-VLOOKUP(F30,Required_Talent_Materials,9,FALSE)</f>
        <v>19</v>
      </c>
    </row>
    <row r="40" spans="5:6" ht="15.75" thickBot="1" x14ac:dyDescent="0.3">
      <c r="E40" s="13" t="s">
        <v>204</v>
      </c>
      <c r="F40" s="16">
        <f>VLOOKUP(F31,Required_Talent_Materials,10,FALSE)-VLOOKUP(F30,Required_Talent_Materials,10,FALSE)</f>
        <v>952500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50" priority="1" operator="containsText" text="Done">
      <formula>NOT(ISERROR(SEARCH("Done",K4)))</formula>
    </cfRule>
    <cfRule type="containsText" dxfId="449" priority="2" operator="containsText" text="In Progress">
      <formula>NOT(ISERROR(SEARCH("In Progress",K4)))</formula>
    </cfRule>
  </conditionalFormatting>
  <dataValidations count="5">
    <dataValidation type="list" allowBlank="1" showInputMessage="1" showErrorMessage="1" sqref="C10:C11" xr:uid="{17F306D4-568E-4898-B368-3C62D5EBD0D9}">
      <formula1>"0,1,2,3,4,5,6"</formula1>
    </dataValidation>
    <dataValidation type="list" allowBlank="1" showInputMessage="1" showErrorMessage="1" sqref="K4:K19" xr:uid="{B7553F90-BF75-455E-A964-725E652C84D8}">
      <formula1>"In Progress, Done"</formula1>
    </dataValidation>
    <dataValidation type="list" allowBlank="1" showInputMessage="1" showErrorMessage="1" sqref="B1" xr:uid="{F2632949-33E6-4441-9B7B-6C6B2B3424A8}">
      <formula1>Character_Name_List</formula1>
    </dataValidation>
    <dataValidation type="list" allowBlank="1" showInputMessage="1" showErrorMessage="1" sqref="F4:F5 F17:F18 F30:F31" xr:uid="{D2D2D8CC-444A-43B9-905E-36C27E3C353E}">
      <formula1>"1,2,3,4,5,6,7,8,9,10"</formula1>
    </dataValidation>
    <dataValidation type="list" operator="equal" allowBlank="1" showInputMessage="1" showErrorMessage="1" sqref="B4:B5" xr:uid="{7D9F80A5-2C62-4576-B19A-529242EA04DB}">
      <formula1>"1,20,40,50,60,70,80,90"</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5EE7A-F4D2-4E43-A29D-B1F96C4CEBCD}">
  <sheetPr codeName="Sheet343">
    <tabColor rgb="FFC6E0B4"/>
  </sheetPr>
  <dimension ref="A1:K40"/>
  <sheetViews>
    <sheetView workbookViewId="0">
      <selection activeCell="H29" sqref="H29"/>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928</v>
      </c>
    </row>
    <row r="2" spans="1:11" ht="15.75" thickBot="1" x14ac:dyDescent="0.3"/>
    <row r="3" spans="1:11" ht="15.75" thickBot="1" x14ac:dyDescent="0.3">
      <c r="A3" s="171" t="s">
        <v>197</v>
      </c>
      <c r="B3" s="172"/>
      <c r="E3" s="171" t="s">
        <v>150</v>
      </c>
      <c r="F3" s="172"/>
      <c r="H3" s="171" t="s">
        <v>198</v>
      </c>
      <c r="I3" s="231"/>
      <c r="J3" s="172"/>
      <c r="K3" s="58" t="s">
        <v>199</v>
      </c>
    </row>
    <row r="4" spans="1:11" x14ac:dyDescent="0.25">
      <c r="A4" s="12" t="s">
        <v>200</v>
      </c>
      <c r="B4" s="25">
        <v>1</v>
      </c>
      <c r="E4" s="12" t="s">
        <v>200</v>
      </c>
      <c r="F4" s="28">
        <v>1</v>
      </c>
      <c r="H4" s="222" t="s">
        <v>201</v>
      </c>
      <c r="I4" s="223"/>
      <c r="J4" s="15">
        <f>B6</f>
        <v>8362650</v>
      </c>
      <c r="K4" s="33" t="s">
        <v>214</v>
      </c>
    </row>
    <row r="5" spans="1:11" ht="15.75" thickBot="1" x14ac:dyDescent="0.3">
      <c r="A5" s="13" t="s">
        <v>203</v>
      </c>
      <c r="B5" s="26">
        <v>90</v>
      </c>
      <c r="E5" s="13" t="s">
        <v>203</v>
      </c>
      <c r="F5" s="29">
        <v>9</v>
      </c>
      <c r="H5" s="232" t="s">
        <v>204</v>
      </c>
      <c r="I5" s="233"/>
      <c r="J5" s="16">
        <f>SUM(B7,C21,F14,F27,F40)</f>
        <v>4950900</v>
      </c>
      <c r="K5" s="34" t="s">
        <v>214</v>
      </c>
    </row>
    <row r="6" spans="1:11" x14ac:dyDescent="0.25">
      <c r="A6" s="12" t="s">
        <v>201</v>
      </c>
      <c r="B6" s="15">
        <f>VLOOKUP(B5,Levelling_Materials,3,FALSE)-VLOOKUP(B4,Levelling_Materials,3,FALSE)</f>
        <v>8362650</v>
      </c>
      <c r="E6" s="14" t="str">
        <f>_xlfn.CONCAT("Teachings of ", VLOOKUP(VLOOKUP(B1,Character_List,7,FALSE),Character_Talent_Materials,2,FALSE))</f>
        <v>Teachings of Elysium</v>
      </c>
      <c r="F6" s="17">
        <f>VLOOKUP(F5,Required_Talent_Materials,2,FALSE)-VLOOKUP(F4,Required_Talent_Materials,2,FALSE)</f>
        <v>3</v>
      </c>
      <c r="H6" s="184" t="s">
        <v>215</v>
      </c>
      <c r="I6" s="2" t="str">
        <f t="shared" ref="I6:J10" si="0">B12</f>
        <v>Varunada Lazurite Sliver</v>
      </c>
      <c r="J6" s="15">
        <f t="shared" si="0"/>
        <v>1</v>
      </c>
      <c r="K6" s="34" t="s">
        <v>214</v>
      </c>
    </row>
    <row r="7" spans="1:11" ht="15.75" thickBot="1" x14ac:dyDescent="0.3">
      <c r="A7" s="13" t="s">
        <v>204</v>
      </c>
      <c r="B7" s="16">
        <f>VLOOKUP(B5,Levelling_Materials,5,FALSE)-VLOOKUP(B4,Levelling_Materials,5,FALSE)</f>
        <v>1673400</v>
      </c>
      <c r="E7" s="14" t="str">
        <f>_xlfn.CONCAT("Guide to ", VLOOKUP(VLOOKUP(B1,Character_List,7,FALSE),Character_Talent_Materials,2,FALSE))</f>
        <v>Guide to Elysium</v>
      </c>
      <c r="F7" s="17">
        <f>VLOOKUP(F5,Required_Talent_Materials,3,FALSE)-VLOOKUP(F4,Required_Talent_Materials,3,FALSE)</f>
        <v>21</v>
      </c>
      <c r="H7" s="185"/>
      <c r="I7" s="1" t="str">
        <f t="shared" si="0"/>
        <v>Varunada Lazurite Fragment</v>
      </c>
      <c r="J7" s="17">
        <f t="shared" si="0"/>
        <v>9</v>
      </c>
      <c r="K7" s="34" t="s">
        <v>214</v>
      </c>
    </row>
    <row r="8" spans="1:11" ht="15.75" thickBot="1" x14ac:dyDescent="0.3">
      <c r="E8" s="14" t="str">
        <f>_xlfn.CONCAT("Philosophies of ", VLOOKUP(VLOOKUP(B1,Character_List,7,FALSE),Character_Talent_Materials,2,FALSE))</f>
        <v>Philosophies of Elysium</v>
      </c>
      <c r="F8" s="17">
        <f>VLOOKUP(F5,Required_Talent_Materials,4,FALSE)-VLOOKUP(F4,Required_Talent_Materials,4,FALSE)</f>
        <v>22</v>
      </c>
      <c r="H8" s="185"/>
      <c r="I8" s="1" t="str">
        <f t="shared" si="0"/>
        <v>Varunada Lazurite Chunk</v>
      </c>
      <c r="J8" s="17">
        <f t="shared" si="0"/>
        <v>9</v>
      </c>
      <c r="K8" s="34" t="s">
        <v>214</v>
      </c>
    </row>
    <row r="9" spans="1:11" ht="15.75" thickBot="1" x14ac:dyDescent="0.3">
      <c r="A9" s="171" t="s">
        <v>149</v>
      </c>
      <c r="B9" s="231"/>
      <c r="C9" s="172"/>
      <c r="E9" s="14" t="str">
        <f>VLOOKUP(VLOOKUP(B1,Character_List,8,FALSE),Weekly_Boss_Mats,2,FALSE)</f>
        <v>Silken Feather</v>
      </c>
      <c r="F9" s="17">
        <f>VLOOKUP(F5,Required_Talent_Materials,5,FALSE)-VLOOKUP(F4,Required_Talent_Materials,5,FALSE)</f>
        <v>4</v>
      </c>
      <c r="H9" s="185"/>
      <c r="I9" s="1" t="str">
        <f t="shared" si="0"/>
        <v>Varunada Lazurite Gemstone</v>
      </c>
      <c r="J9" s="17">
        <f t="shared" si="0"/>
        <v>6</v>
      </c>
      <c r="K9" s="34" t="s">
        <v>214</v>
      </c>
    </row>
    <row r="10" spans="1:11" ht="15.75" thickBot="1" x14ac:dyDescent="0.3">
      <c r="A10" s="173" t="s">
        <v>206</v>
      </c>
      <c r="B10" s="202"/>
      <c r="C10" s="43">
        <v>0</v>
      </c>
      <c r="E10" s="14" t="s">
        <v>213</v>
      </c>
      <c r="F10" s="17">
        <f>VLOOKUP(F5,Required_Talent_Materials,6,FALSE)-VLOOKUP(F4,Required_Talent_Materials,6,FALSE)</f>
        <v>0</v>
      </c>
      <c r="H10" s="186"/>
      <c r="I10" s="9" t="str">
        <f t="shared" si="0"/>
        <v>Precision Kuuvahki Stamping D-uck-ie</v>
      </c>
      <c r="J10" s="16">
        <f t="shared" si="0"/>
        <v>46</v>
      </c>
      <c r="K10" s="34" t="s">
        <v>214</v>
      </c>
    </row>
    <row r="11" spans="1:11" ht="15.75" thickBot="1" x14ac:dyDescent="0.3">
      <c r="A11" s="173" t="s">
        <v>208</v>
      </c>
      <c r="B11" s="202"/>
      <c r="C11" s="43">
        <v>6</v>
      </c>
      <c r="E11" s="14" t="e">
        <f>VLOOKUP(VLOOKUP(B1,Character_List,5,FALSE),Common_Mob_Drops,2,FALSE)</f>
        <v>#N/A</v>
      </c>
      <c r="F11" s="17">
        <f>VLOOKUP(F5,Required_Talent_Materials,7,FALSE)-VLOOKUP(F4,Required_Talent_Materials,7,FALSE)</f>
        <v>6</v>
      </c>
      <c r="H11" s="184" t="s">
        <v>207</v>
      </c>
      <c r="I11" s="2" t="e">
        <f>B17</f>
        <v>#N/A</v>
      </c>
      <c r="J11" s="15">
        <f>SUM(C17,F11,F24,F37)</f>
        <v>36</v>
      </c>
      <c r="K11" s="34" t="s">
        <v>214</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1</v>
      </c>
      <c r="E12" s="14" t="e">
        <f>VLOOKUP(VLOOKUP(B1,Character_List,5,FALSE),Common_Mob_Drops,3,FALSE)</f>
        <v>#N/A</v>
      </c>
      <c r="F12" s="17">
        <f>VLOOKUP(F5,Required_Talent_Materials,8,FALSE)-VLOOKUP(F4,Required_Talent_Materials,8,FALSE)</f>
        <v>22</v>
      </c>
      <c r="H12" s="185"/>
      <c r="I12" s="1" t="e">
        <f>B18</f>
        <v>#N/A</v>
      </c>
      <c r="J12" s="17">
        <f>SUM(C18,F12,F25,F38)</f>
        <v>96</v>
      </c>
      <c r="K12" s="34" t="s">
        <v>214</v>
      </c>
    </row>
    <row r="13" spans="1:11" ht="15.75" thickBot="1" x14ac:dyDescent="0.3">
      <c r="A13" s="182"/>
      <c r="B13" s="1" t="str">
        <f>_xlfn.CONCAT(VLOOKUP(VLOOKUP(B1,Character_List,2,FALSE),Boss_Mob_Drops,2,FALSE), " Fragment")</f>
        <v>Varunada Lazurite Fragment</v>
      </c>
      <c r="C13" s="17">
        <f>VLOOKUP(C11,Required_Ascension_Materials,3,FALSE)-VLOOKUP(C10,Required_Ascension_Materials,3,FALSE)</f>
        <v>9</v>
      </c>
      <c r="E13" s="14" t="e">
        <f>VLOOKUP(VLOOKUP(B1,Character_List,5,FALSE),Common_Mob_Drops,4,FALSE)</f>
        <v>#N/A</v>
      </c>
      <c r="F13" s="17">
        <f>VLOOKUP(F5,Required_Talent_Materials,9,FALSE)-VLOOKUP(F4,Required_Talent_Materials,9,FALSE)</f>
        <v>19</v>
      </c>
      <c r="H13" s="186"/>
      <c r="I13" s="9" t="e">
        <f>B19</f>
        <v>#N/A</v>
      </c>
      <c r="J13" s="16">
        <f>SUM(C19,F13,F26,F39)</f>
        <v>93</v>
      </c>
      <c r="K13" s="34" t="s">
        <v>214</v>
      </c>
    </row>
    <row r="14" spans="1:11" ht="15.75" thickBot="1" x14ac:dyDescent="0.3">
      <c r="A14" s="182"/>
      <c r="B14" s="1" t="str">
        <f>_xlfn.CONCAT(VLOOKUP(VLOOKUP(B1,Character_List,2,FALSE),Boss_Mob_Drops,2,FALSE), " Chunk")</f>
        <v>Varunada Lazurite Chunk</v>
      </c>
      <c r="C14" s="17">
        <f>VLOOKUP(C11,Required_Ascension_Materials,4,FALSE)-VLOOKUP(C10,Required_Ascension_Materials,4,FALSE)</f>
        <v>9</v>
      </c>
      <c r="E14" s="13" t="s">
        <v>204</v>
      </c>
      <c r="F14" s="16">
        <f>VLOOKUP(F5,Required_Talent_Materials,10,FALSE)-VLOOKUP(F4,Required_Talent_Materials,10,FALSE)</f>
        <v>952500</v>
      </c>
      <c r="H14" s="11" t="s">
        <v>209</v>
      </c>
      <c r="I14" s="7" t="str">
        <f>B20</f>
        <v>Portable Bearing</v>
      </c>
      <c r="J14" s="24">
        <f>C20</f>
        <v>168</v>
      </c>
      <c r="K14" s="34" t="s">
        <v>214</v>
      </c>
    </row>
    <row r="15" spans="1:11" ht="15.75" thickBot="1" x14ac:dyDescent="0.3">
      <c r="A15" s="182"/>
      <c r="B15" s="1" t="str">
        <f>_xlfn.CONCAT(VLOOKUP(VLOOKUP(B1,Character_List,2,FALSE),Boss_Mob_Drops,2,FALSE), " Gemstone")</f>
        <v>Varunada Lazurite Gemstone</v>
      </c>
      <c r="C15" s="17">
        <f>VLOOKUP(C11,Required_Ascension_Materials,5,FALSE)-VLOOKUP(C10,Required_Ascension_Materials,5,FALSE)</f>
        <v>6</v>
      </c>
      <c r="H15" s="184" t="s">
        <v>216</v>
      </c>
      <c r="I15" s="2" t="str">
        <f>E6</f>
        <v>Teachings of Elysium</v>
      </c>
      <c r="J15" s="15">
        <f>SUM(F6,F19,F32)</f>
        <v>9</v>
      </c>
      <c r="K15" s="34" t="s">
        <v>214</v>
      </c>
    </row>
    <row r="16" spans="1:11" ht="15.75" thickBot="1" x14ac:dyDescent="0.3">
      <c r="A16" s="183"/>
      <c r="B16" s="9" t="str">
        <f>VLOOKUP(B1,Character_List,4,FALSE)</f>
        <v>Precision Kuuvahki Stamping D-uck-ie</v>
      </c>
      <c r="C16" s="16">
        <f>VLOOKUP(C11,Required_Ascension_Materials,6,FALSE)-VLOOKUP(C10,Required_Ascension_Materials,6,FALSE)</f>
        <v>46</v>
      </c>
      <c r="E16" s="171" t="s">
        <v>151</v>
      </c>
      <c r="F16" s="172"/>
      <c r="H16" s="185"/>
      <c r="I16" s="1" t="str">
        <f>E7</f>
        <v>Guide to Elysium</v>
      </c>
      <c r="J16" s="17">
        <f>SUM(F7,F20,F33)</f>
        <v>63</v>
      </c>
      <c r="K16" s="34" t="s">
        <v>214</v>
      </c>
    </row>
    <row r="17" spans="1:11" ht="15.75" thickBot="1" x14ac:dyDescent="0.3">
      <c r="A17" s="184" t="s">
        <v>207</v>
      </c>
      <c r="B17" s="2" t="e">
        <f>VLOOKUP(VLOOKUP(B1,Character_List,5,FALSE),Common_Mob_Drops,2,FALSE)</f>
        <v>#N/A</v>
      </c>
      <c r="C17" s="15">
        <f>VLOOKUP(C11,Required_Ascension_Materials,7,FALSE)-VLOOKUP(C10,Required_Ascension_Materials,7,FALSE)</f>
        <v>18</v>
      </c>
      <c r="E17" s="12" t="s">
        <v>200</v>
      </c>
      <c r="F17" s="28">
        <v>1</v>
      </c>
      <c r="H17" s="186"/>
      <c r="I17" s="9" t="str">
        <f>E8</f>
        <v>Philosophies of Elysium</v>
      </c>
      <c r="J17" s="16">
        <f>SUM(F8,F21,F34)</f>
        <v>66</v>
      </c>
      <c r="K17" s="34" t="s">
        <v>214</v>
      </c>
    </row>
    <row r="18" spans="1:11" ht="15.75" thickBot="1" x14ac:dyDescent="0.3">
      <c r="A18" s="185"/>
      <c r="B18" s="1" t="e">
        <f>VLOOKUP(VLOOKUP(B1,Character_List,5,FALSE),Common_Mob_Drops,3,FALSE)</f>
        <v>#N/A</v>
      </c>
      <c r="C18" s="17">
        <f>VLOOKUP(C11,Required_Ascension_Materials,8,FALSE)-VLOOKUP(C10,Required_Ascension_Materials,8,FALSE)</f>
        <v>30</v>
      </c>
      <c r="E18" s="13" t="s">
        <v>203</v>
      </c>
      <c r="F18" s="29">
        <v>9</v>
      </c>
      <c r="H18" s="11" t="s">
        <v>177</v>
      </c>
      <c r="I18" s="7" t="str">
        <f>E9</f>
        <v>Silken Feather</v>
      </c>
      <c r="J18" s="24">
        <f>SUM(F9,F22,F35)</f>
        <v>12</v>
      </c>
      <c r="K18" s="34" t="s">
        <v>214</v>
      </c>
    </row>
    <row r="19" spans="1:11" ht="15.75" thickBot="1" x14ac:dyDescent="0.3">
      <c r="A19" s="186"/>
      <c r="B19" s="9" t="e">
        <f>VLOOKUP(VLOOKUP(B1,Character_List,5,FALSE),Common_Mob_Drops,4,FALSE)</f>
        <v>#N/A</v>
      </c>
      <c r="C19" s="16">
        <f>VLOOKUP(C11,Required_Ascension_Materials,9,FALSE)-VLOOKUP(C10,Required_Ascension_Materials,9,FALSE)</f>
        <v>36</v>
      </c>
      <c r="E19" s="14" t="str">
        <f>_xlfn.CONCAT("Teachings of ", VLOOKUP(VLOOKUP(B1,Character_List,7,FALSE),Character_Talent_Materials,2,FALSE))</f>
        <v>Teachings of Elysium</v>
      </c>
      <c r="F19" s="17">
        <f>VLOOKUP(F18,Required_Talent_Materials,2,FALSE)-VLOOKUP(F17,Required_Talent_Materials,2,FALSE)</f>
        <v>3</v>
      </c>
      <c r="H19" s="171" t="s">
        <v>213</v>
      </c>
      <c r="I19" s="231"/>
      <c r="J19" s="24">
        <f>SUM(F10,F23,F36)</f>
        <v>0</v>
      </c>
      <c r="K19" s="35" t="s">
        <v>214</v>
      </c>
    </row>
    <row r="20" spans="1:11" ht="15.75" thickBot="1" x14ac:dyDescent="0.3">
      <c r="A20" s="11" t="s">
        <v>210</v>
      </c>
      <c r="B20" s="7" t="str">
        <f>VLOOKUP(B1,Character_List,6,FALSE)</f>
        <v>Portable Bearing</v>
      </c>
      <c r="C20" s="24">
        <f>VLOOKUP(C11,Required_Ascension_Materials,10,FALSE)-VLOOKUP(C10,Required_Ascension_Materials,10,FALSE)</f>
        <v>168</v>
      </c>
      <c r="E20" s="14" t="str">
        <f>_xlfn.CONCAT("Guide to ", VLOOKUP(VLOOKUP(B1,Character_List,7,FALSE),Character_Talent_Materials,2,FALSE))</f>
        <v>Guide to Elysium</v>
      </c>
      <c r="F20" s="17">
        <f>VLOOKUP(F18,Required_Talent_Materials,3,FALSE)-VLOOKUP(F17,Required_Talent_Materials,3,FALSE)</f>
        <v>21</v>
      </c>
    </row>
    <row r="21" spans="1:11" ht="15.75" thickBot="1" x14ac:dyDescent="0.3">
      <c r="A21" s="21" t="s">
        <v>204</v>
      </c>
      <c r="B21" s="22" t="s">
        <v>204</v>
      </c>
      <c r="C21" s="23">
        <f>VLOOKUP(C11,Required_Ascension_Materials,11,FALSE)-VLOOKUP(C10,Required_Ascension_Materials,11,FALSE)</f>
        <v>420000</v>
      </c>
      <c r="E21" s="14" t="str">
        <f>_xlfn.CONCAT("Philosophies of ", VLOOKUP(VLOOKUP(B1,Character_List,7,FALSE),Character_Talent_Materials,2,FALSE))</f>
        <v>Philosophies of Elysium</v>
      </c>
      <c r="F21" s="17">
        <f>VLOOKUP(F18,Required_Talent_Materials,4,FALSE)-VLOOKUP(F17,Required_Talent_Materials,4,FALSE)</f>
        <v>22</v>
      </c>
    </row>
    <row r="22" spans="1:11" x14ac:dyDescent="0.25">
      <c r="E22" s="14" t="str">
        <f>VLOOKUP(VLOOKUP(B1,Character_List,8,FALSE),Weekly_Boss_Mats,2,FALSE)</f>
        <v>Silken Feather</v>
      </c>
      <c r="F22" s="17">
        <f>VLOOKUP(F18,Required_Talent_Materials,5,FALSE)-VLOOKUP(F17,Required_Talent_Materials,5,FALSE)</f>
        <v>4</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6</v>
      </c>
    </row>
    <row r="25" spans="1:11" x14ac:dyDescent="0.25">
      <c r="E25" s="14" t="e">
        <f>VLOOKUP(VLOOKUP(B1,Character_List,5,FALSE),Common_Mob_Drops,3,FALSE)</f>
        <v>#N/A</v>
      </c>
      <c r="F25" s="17">
        <f>VLOOKUP(F18,Required_Talent_Materials,8,FALSE)-VLOOKUP(F17,Required_Talent_Materials,8,FALSE)</f>
        <v>22</v>
      </c>
    </row>
    <row r="26" spans="1:11" x14ac:dyDescent="0.25">
      <c r="E26" s="14" t="e">
        <f>VLOOKUP(VLOOKUP(B1,Character_List,5,FALSE),Common_Mob_Drops,4,FALSE)</f>
        <v>#N/A</v>
      </c>
      <c r="F26" s="17">
        <f>VLOOKUP(F18,Required_Talent_Materials,9,FALSE)-VLOOKUP(F17,Required_Talent_Materials,9,FALSE)</f>
        <v>19</v>
      </c>
    </row>
    <row r="27" spans="1:11" ht="15.75" thickBot="1" x14ac:dyDescent="0.3">
      <c r="E27" s="13" t="s">
        <v>204</v>
      </c>
      <c r="F27" s="16">
        <f>VLOOKUP(F18,Required_Talent_Materials,10,FALSE)-VLOOKUP(F17,Required_Talent_Materials,10,FALSE)</f>
        <v>952500</v>
      </c>
    </row>
    <row r="28" spans="1:11" ht="15.75" thickBot="1" x14ac:dyDescent="0.3"/>
    <row r="29" spans="1:11" ht="15.75" thickBot="1" x14ac:dyDescent="0.3">
      <c r="E29" s="171" t="s">
        <v>152</v>
      </c>
      <c r="F29" s="172"/>
    </row>
    <row r="30" spans="1:11" x14ac:dyDescent="0.25">
      <c r="E30" s="12" t="s">
        <v>200</v>
      </c>
      <c r="F30" s="28">
        <v>1</v>
      </c>
    </row>
    <row r="31" spans="1:11" ht="15.75" thickBot="1" x14ac:dyDescent="0.3">
      <c r="E31" s="13" t="s">
        <v>203</v>
      </c>
      <c r="F31" s="29">
        <v>9</v>
      </c>
    </row>
    <row r="32" spans="1:11" x14ac:dyDescent="0.25">
      <c r="E32" s="14" t="str">
        <f>_xlfn.CONCAT("Teachings of ", VLOOKUP(VLOOKUP(B1,Character_List,7,FALSE),Character_Talent_Materials,2,FALSE))</f>
        <v>Teachings of Elysium</v>
      </c>
      <c r="F32" s="17">
        <f>VLOOKUP(F31,Required_Talent_Materials,2,FALSE)-VLOOKUP(F30,Required_Talent_Materials,2,FALSE)</f>
        <v>3</v>
      </c>
    </row>
    <row r="33" spans="5:6" x14ac:dyDescent="0.25">
      <c r="E33" s="14" t="str">
        <f>_xlfn.CONCAT("Guide to ", VLOOKUP(VLOOKUP(B1,Character_List,7,FALSE),Character_Talent_Materials,2,FALSE))</f>
        <v>Guide to Elysium</v>
      </c>
      <c r="F33" s="17">
        <f>VLOOKUP(F31,Required_Talent_Materials,3,FALSE)-VLOOKUP(F30,Required_Talent_Materials,3,FALSE)</f>
        <v>21</v>
      </c>
    </row>
    <row r="34" spans="5:6" x14ac:dyDescent="0.25">
      <c r="E34" s="14" t="str">
        <f>_xlfn.CONCAT("Philosophies of ", VLOOKUP(VLOOKUP(B1,Character_List,7,FALSE),Character_Talent_Materials,2,FALSE))</f>
        <v>Philosophies of Elysium</v>
      </c>
      <c r="F34" s="17">
        <f>VLOOKUP(F31,Required_Talent_Materials,4,FALSE)-VLOOKUP(F30,Required_Talent_Materials,4,FALSE)</f>
        <v>22</v>
      </c>
    </row>
    <row r="35" spans="5:6" x14ac:dyDescent="0.25">
      <c r="E35" s="14" t="str">
        <f>VLOOKUP(VLOOKUP(B1,Character_List,8,FALSE),Weekly_Boss_Mats,2,FALSE)</f>
        <v>Silken Feather</v>
      </c>
      <c r="F35" s="17">
        <f>VLOOKUP(F31,Required_Talent_Materials,5,FALSE)-VLOOKUP(F30,Required_Talent_Materials,5,FALSE)</f>
        <v>4</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6</v>
      </c>
    </row>
    <row r="38" spans="5:6" x14ac:dyDescent="0.25">
      <c r="E38" s="14" t="e">
        <f>VLOOKUP(VLOOKUP(B1,Character_List,5,FALSE),Common_Mob_Drops,3,FALSE)</f>
        <v>#N/A</v>
      </c>
      <c r="F38" s="17">
        <f>VLOOKUP(F31,Required_Talent_Materials,8,FALSE)-VLOOKUP(F30,Required_Talent_Materials,8,FALSE)</f>
        <v>22</v>
      </c>
    </row>
    <row r="39" spans="5:6" x14ac:dyDescent="0.25">
      <c r="E39" s="14" t="e">
        <f>VLOOKUP(VLOOKUP(B1,Character_List,5,FALSE),Common_Mob_Drops,4,FALSE)</f>
        <v>#N/A</v>
      </c>
      <c r="F39" s="17">
        <f>VLOOKUP(F31,Required_Talent_Materials,9,FALSE)-VLOOKUP(F30,Required_Talent_Materials,9,FALSE)</f>
        <v>19</v>
      </c>
    </row>
    <row r="40" spans="5:6" ht="15.75" thickBot="1" x14ac:dyDescent="0.3">
      <c r="E40" s="13" t="s">
        <v>204</v>
      </c>
      <c r="F40" s="16">
        <f>VLOOKUP(F31,Required_Talent_Materials,10,FALSE)-VLOOKUP(F30,Required_Talent_Materials,10,FALSE)</f>
        <v>952500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48" priority="1" operator="containsText" text="Done">
      <formula>NOT(ISERROR(SEARCH("Done",K4)))</formula>
    </cfRule>
    <cfRule type="containsText" dxfId="447" priority="2" operator="containsText" text="In Progress">
      <formula>NOT(ISERROR(SEARCH("In Progress",K4)))</formula>
    </cfRule>
  </conditionalFormatting>
  <dataValidations count="5">
    <dataValidation type="list" allowBlank="1" showInputMessage="1" showErrorMessage="1" sqref="C10:C11" xr:uid="{0963B31E-DBC1-49E5-9A56-B645D07A3C72}">
      <formula1>"0,1,2,3,4,5,6"</formula1>
    </dataValidation>
    <dataValidation type="list" allowBlank="1" showInputMessage="1" showErrorMessage="1" sqref="K4:K19" xr:uid="{3CB36274-BE3C-4FED-9A4A-3DCFE55309D2}">
      <formula1>"In Progress, Done"</formula1>
    </dataValidation>
    <dataValidation type="list" allowBlank="1" showInputMessage="1" showErrorMessage="1" sqref="B1" xr:uid="{A691B82E-DC29-4B72-B032-CF54774CF95D}">
      <formula1>Character_Name_List</formula1>
    </dataValidation>
    <dataValidation type="list" allowBlank="1" showInputMessage="1" showErrorMessage="1" sqref="F4:F5 F17:F18 F30:F31" xr:uid="{E1C46434-5512-422A-8037-741FB7171B75}">
      <formula1>"1,2,3,4,5,6,7,8,9,10"</formula1>
    </dataValidation>
    <dataValidation type="list" operator="equal" allowBlank="1" showInputMessage="1" showErrorMessage="1" sqref="B4:B5" xr:uid="{81EC628F-1206-452E-A46E-E626C21E5CBE}">
      <formula1>"1,20,40,50,60,70,80,90"</formula1>
    </dataValidation>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C4FEE-ED65-4C0F-9997-D183C254770B}">
  <sheetPr codeName="Sheet58">
    <tabColor theme="4" tint="0.39997558519241921"/>
  </sheetPr>
  <dimension ref="A1:H22"/>
  <sheetViews>
    <sheetView workbookViewId="0">
      <selection activeCell="G22" sqref="G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row>
    <row r="2" spans="1:8" ht="15.75" thickBot="1" x14ac:dyDescent="0.3"/>
    <row r="3" spans="1:8" ht="15.75" thickBot="1" x14ac:dyDescent="0.3">
      <c r="A3" s="171" t="s">
        <v>197</v>
      </c>
      <c r="B3" s="172"/>
      <c r="E3" s="171" t="s">
        <v>198</v>
      </c>
      <c r="F3" s="231"/>
      <c r="G3" s="172"/>
      <c r="H3" s="58" t="s">
        <v>199</v>
      </c>
    </row>
    <row r="4" spans="1:8" x14ac:dyDescent="0.25">
      <c r="A4" s="12" t="s">
        <v>200</v>
      </c>
      <c r="B4" s="25">
        <v>1</v>
      </c>
      <c r="E4" s="222" t="s">
        <v>201</v>
      </c>
      <c r="F4" s="223"/>
      <c r="G4" s="15" t="e">
        <f ca="1">B6</f>
        <v>#N/A</v>
      </c>
      <c r="H4" s="33" t="s">
        <v>214</v>
      </c>
    </row>
    <row r="5" spans="1:8" ht="15.75" thickBot="1" x14ac:dyDescent="0.3">
      <c r="A5" s="13" t="s">
        <v>203</v>
      </c>
      <c r="B5" s="26">
        <v>1</v>
      </c>
      <c r="E5" s="232" t="s">
        <v>204</v>
      </c>
      <c r="F5" s="233"/>
      <c r="G5" s="16" t="e">
        <f ca="1">SUM(B7,C22)</f>
        <v>#N/A</v>
      </c>
      <c r="H5" s="34" t="s">
        <v>214</v>
      </c>
    </row>
    <row r="6" spans="1:8" x14ac:dyDescent="0.25">
      <c r="A6" s="12" t="s">
        <v>201</v>
      </c>
      <c r="B6" s="15" t="e">
        <f ca="1">VLOOKUP(B5,INDIRECT(_xlfn.CONCAT("Weapon_",VLOOKUP(B1,Weapon_List,3,FALSE),"_star_expmora")),3,FALSE)-VLOOKUP(B4,INDIRECT(_xlfn.CONCAT("Weapon_",VLOOKUP(B1,Weapon_List,3,FALSE),"_star_expmora")),3,FALSE)</f>
        <v>#N/A</v>
      </c>
      <c r="E6" s="227" t="s">
        <v>17</v>
      </c>
      <c r="F6" s="2" t="e">
        <f t="shared" ref="F6:F15" si="0">B12</f>
        <v>#N/A</v>
      </c>
      <c r="G6" s="15" t="e">
        <f t="shared" ref="G6:G15" ca="1" si="1">C12</f>
        <v>#N/A</v>
      </c>
      <c r="H6" s="34" t="s">
        <v>214</v>
      </c>
    </row>
    <row r="7" spans="1:8" ht="15.75" thickBot="1" x14ac:dyDescent="0.3">
      <c r="A7" s="13" t="s">
        <v>204</v>
      </c>
      <c r="B7" s="16" t="e">
        <f ca="1">VLOOKUP(B5,INDIRECT(_xlfn.CONCAT("Weapon_",VLOOKUP(B1,Weapon_List,3,FALSE),"_star_expmora")),5,FALSE)-VLOOKUP(B4,INDIRECT(_xlfn.CONCAT("Weapon_",VLOOKUP(B1,Weapon_List,3,FALSE),"_star_expmora")),5,FALSE)</f>
        <v>#N/A</v>
      </c>
      <c r="E7" s="234"/>
      <c r="F7" s="1" t="e">
        <f t="shared" si="0"/>
        <v>#N/A</v>
      </c>
      <c r="G7" s="17" t="e">
        <f t="shared" ca="1" si="1"/>
        <v>#N/A</v>
      </c>
      <c r="H7" s="34" t="s">
        <v>214</v>
      </c>
    </row>
    <row r="8" spans="1:8" ht="15.75" thickBot="1" x14ac:dyDescent="0.3">
      <c r="E8" s="234"/>
      <c r="F8" s="1" t="e">
        <f t="shared" si="0"/>
        <v>#N/A</v>
      </c>
      <c r="G8" s="17" t="e">
        <f t="shared" ca="1" si="1"/>
        <v>#N/A</v>
      </c>
      <c r="H8" s="34" t="s">
        <v>214</v>
      </c>
    </row>
    <row r="9" spans="1:8" ht="15.75" thickBot="1" x14ac:dyDescent="0.3">
      <c r="A9" s="171" t="s">
        <v>149</v>
      </c>
      <c r="B9" s="231"/>
      <c r="C9" s="172"/>
      <c r="E9" s="234"/>
      <c r="F9" s="44" t="e">
        <f t="shared" si="0"/>
        <v>#N/A</v>
      </c>
      <c r="G9" s="59" t="e">
        <f t="shared" ca="1" si="1"/>
        <v>#N/A</v>
      </c>
      <c r="H9" s="34" t="s">
        <v>214</v>
      </c>
    </row>
    <row r="10" spans="1:8" ht="15.75" thickBot="1" x14ac:dyDescent="0.3">
      <c r="A10" s="173" t="s">
        <v>206</v>
      </c>
      <c r="B10" s="202"/>
      <c r="C10" s="43">
        <v>0</v>
      </c>
      <c r="E10" s="184" t="s">
        <v>19</v>
      </c>
      <c r="F10" s="2" t="e">
        <f t="shared" si="0"/>
        <v>#N/A</v>
      </c>
      <c r="G10" s="15" t="e">
        <f t="shared" ca="1" si="1"/>
        <v>#N/A</v>
      </c>
      <c r="H10" s="34" t="s">
        <v>214</v>
      </c>
    </row>
    <row r="11" spans="1:8" ht="15.75" thickBot="1" x14ac:dyDescent="0.3">
      <c r="A11" s="173" t="s">
        <v>208</v>
      </c>
      <c r="B11" s="202"/>
      <c r="C11" s="43">
        <v>0</v>
      </c>
      <c r="E11" s="185"/>
      <c r="F11" s="1" t="e">
        <f t="shared" si="0"/>
        <v>#N/A</v>
      </c>
      <c r="G11" s="17" t="e">
        <f t="shared" ca="1" si="1"/>
        <v>#N/A</v>
      </c>
      <c r="H11" s="34" t="s">
        <v>214</v>
      </c>
    </row>
    <row r="12" spans="1:8" ht="15.75" thickBot="1" x14ac:dyDescent="0.3">
      <c r="A12" s="227" t="s">
        <v>17</v>
      </c>
      <c r="B12" s="2" t="e">
        <f>VLOOKUP(VLOOKUP(B1,Weapon_List,4,FALSE),Weapon_Ascension_Materials,2,FALSE)</f>
        <v>#N/A</v>
      </c>
      <c r="C12" s="15" t="e">
        <f ca="1">VLOOKUP(C11,INDIRECT(_xlfn.CONCAT("Weapon_",VLOOKUP(B1,Weapon_List,3,FALSE),"_star_requirements")),2,FALSE)-VLOOKUP(C10,INDIRECT(_xlfn.CONCAT("Weapon_",VLOOKUP(B1,Weapon_List,3,FALSE),"_star_requirements")),2,FALSE)</f>
        <v>#N/A</v>
      </c>
      <c r="E12" s="235"/>
      <c r="F12" s="44" t="e">
        <f t="shared" si="0"/>
        <v>#N/A</v>
      </c>
      <c r="G12" s="59" t="e">
        <f t="shared" ca="1" si="1"/>
        <v>#N/A</v>
      </c>
      <c r="H12" s="34" t="s">
        <v>214</v>
      </c>
    </row>
    <row r="13" spans="1:8" x14ac:dyDescent="0.25">
      <c r="A13" s="234"/>
      <c r="B13" s="1" t="e">
        <f>VLOOKUP(VLOOKUP(B1,Weapon_List,4,FALSE),Weapon_Ascension_Materials,3,FALSE)</f>
        <v>#N/A</v>
      </c>
      <c r="C13" s="17" t="e">
        <f ca="1">VLOOKUP(C11,INDIRECT(_xlfn.CONCAT("Weapon_",VLOOKUP(B1,Weapon_List,3,FALSE),"_star_requirements")),3,FALSE)-VLOOKUP(C10,INDIRECT(_xlfn.CONCAT("Weapon_",VLOOKUP(B1,Weapon_List,3,FALSE),"_star_requirements")),3,FALSE)</f>
        <v>#N/A</v>
      </c>
      <c r="E13" s="184" t="s">
        <v>18</v>
      </c>
      <c r="F13" s="2" t="e">
        <f t="shared" si="0"/>
        <v>#N/A</v>
      </c>
      <c r="G13" s="15" t="e">
        <f t="shared" ca="1" si="1"/>
        <v>#N/A</v>
      </c>
      <c r="H13" s="34" t="s">
        <v>214</v>
      </c>
    </row>
    <row r="14" spans="1:8" x14ac:dyDescent="0.25">
      <c r="A14" s="234"/>
      <c r="B14" s="1" t="e">
        <f>VLOOKUP(VLOOKUP(B1,Weapon_List,4,FALSE),Weapon_Ascension_Materials,4,FALSE)</f>
        <v>#N/A</v>
      </c>
      <c r="C14" s="17" t="e">
        <f ca="1">VLOOKUP(C11,INDIRECT(_xlfn.CONCAT("Weapon_",VLOOKUP(B1,Weapon_List,3,FALSE),"_star_requirements")),4,FALSE)-VLOOKUP(C10,INDIRECT(_xlfn.CONCAT("Weapon_",VLOOKUP(B1,Weapon_List,3,FALSE),"_star_requirements")),4,FALSE)</f>
        <v>#N/A</v>
      </c>
      <c r="E14" s="185"/>
      <c r="F14" s="1" t="e">
        <f t="shared" si="0"/>
        <v>#N/A</v>
      </c>
      <c r="G14" s="17" t="e">
        <f t="shared" ca="1" si="1"/>
        <v>#N/A</v>
      </c>
      <c r="H14" s="34" t="s">
        <v>214</v>
      </c>
    </row>
    <row r="15" spans="1:8" ht="15.75" thickBot="1" x14ac:dyDescent="0.3">
      <c r="A15" s="234"/>
      <c r="B15" s="1" t="e">
        <f>VLOOKUP(VLOOKUP(B1,Weapon_List,4,FALSE),Weapon_Ascension_Materials,5,FALSE)</f>
        <v>#N/A</v>
      </c>
      <c r="C15" s="17" t="e">
        <f ca="1">VLOOKUP(C11,INDIRECT(_xlfn.CONCAT("Weapon_",VLOOKUP(B1,Weapon_List,3,FALSE),"_star_requirements")),5,FALSE)-VLOOKUP(C10,INDIRECT(_xlfn.CONCAT("Weapon_",VLOOKUP(B1,Weapon_List,3,FALSE),"_star_requirements")),5,FALSE)</f>
        <v>#N/A</v>
      </c>
      <c r="E15" s="186"/>
      <c r="F15" s="9" t="e">
        <f t="shared" si="0"/>
        <v>#N/A</v>
      </c>
      <c r="G15" s="16" t="e">
        <f t="shared" ca="1" si="1"/>
        <v>#N/A</v>
      </c>
      <c r="H15" s="35" t="s">
        <v>214</v>
      </c>
    </row>
    <row r="16" spans="1:8" x14ac:dyDescent="0.25">
      <c r="A16" s="184" t="s">
        <v>19</v>
      </c>
      <c r="B16" s="2" t="e">
        <f>VLOOKUP(VLOOKUP(B1,Weapon_List,5,FALSE),Common_Mob_Drops,2,FALSE)</f>
        <v>#N/A</v>
      </c>
      <c r="C16" s="15" t="e">
        <f ca="1">VLOOKUP(C11,INDIRECT(_xlfn.CONCAT("Weapon_",VLOOKUP(B1,Weapon_List,3,FALSE),"_star_requirements")),6,FALSE)-VLOOKUP(C10,INDIRECT(_xlfn.CONCAT("Weapon_",VLOOKUP(B1,Weapon_List,3,FALSE),"_star_requirements")),6,FALSE)</f>
        <v>#N/A</v>
      </c>
    </row>
    <row r="17" spans="1:3" x14ac:dyDescent="0.25">
      <c r="A17" s="185"/>
      <c r="B17" s="1" t="e">
        <f>VLOOKUP(VLOOKUP(B1,Weapon_List,5,FALSE),Common_Mob_Drops,3,FALSE)</f>
        <v>#N/A</v>
      </c>
      <c r="C17" s="17" t="e">
        <f ca="1">VLOOKUP(C11,INDIRECT(_xlfn.CONCAT("Weapon_",VLOOKUP(B1,Weapon_List,3,FALSE),"_star_requirements")),7,FALSE)-VLOOKUP(C10,INDIRECT(_xlfn.CONCAT("Weapon_",VLOOKUP(B1,Weapon_List,3,FALSE),"_star_requirements")),7,FALSE)</f>
        <v>#N/A</v>
      </c>
    </row>
    <row r="18" spans="1:3" ht="15.75" thickBot="1" x14ac:dyDescent="0.3">
      <c r="A18" s="186"/>
      <c r="B18" s="9" t="e">
        <f>VLOOKUP(VLOOKUP(B1,Weapon_List,5,FALSE),Common_Mob_Drops,4,FALSE)</f>
        <v>#N/A</v>
      </c>
      <c r="C18" s="16" t="e">
        <f ca="1">VLOOKUP(C11,INDIRECT(_xlfn.CONCAT("Weapon_",VLOOKUP(B1,Weapon_List,3,FALSE),"_star_requirements")),8,FALSE)-VLOOKUP(C10,INDIRECT(_xlfn.CONCAT("Weapon_",VLOOKUP(B1,Weapon_List,3,FALSE),"_star_requirements")),8,FALSE)</f>
        <v>#N/A</v>
      </c>
    </row>
    <row r="19" spans="1:3" x14ac:dyDescent="0.25">
      <c r="A19" s="184" t="s">
        <v>18</v>
      </c>
      <c r="B19" s="2" t="e">
        <f>VLOOKUP(VLOOKUP(B1,Weapon_List,6,FALSE),Elite_Mob_Drops,2,FALSE)</f>
        <v>#N/A</v>
      </c>
      <c r="C19" s="15" t="e">
        <f ca="1">VLOOKUP(C11,INDIRECT(_xlfn.CONCAT("Weapon_",VLOOKUP(B1,Weapon_List,3,FALSE),"_star_requirements")),9,FALSE)-VLOOKUP(C10,INDIRECT(_xlfn.CONCAT("Weapon_",VLOOKUP(B1,Weapon_List,3,FALSE),"_star_requirements")),9,FALSE)</f>
        <v>#N/A</v>
      </c>
    </row>
    <row r="20" spans="1:3" x14ac:dyDescent="0.25">
      <c r="A20" s="185"/>
      <c r="B20" s="1" t="e">
        <f>VLOOKUP(VLOOKUP(B1,Weapon_List,6,FALSE),Elite_Mob_Drops,3,FALSE)</f>
        <v>#N/A</v>
      </c>
      <c r="C20" s="17" t="e">
        <f ca="1">VLOOKUP(C11,INDIRECT(_xlfn.CONCAT("Weapon_",VLOOKUP(B1,Weapon_List,3,FALSE),"_star_requirements")),10,FALSE)-VLOOKUP(C10,INDIRECT(_xlfn.CONCAT("Weapon_",VLOOKUP(B1,Weapon_List,3,FALSE),"_star_requirements")),10,FALSE)</f>
        <v>#N/A</v>
      </c>
    </row>
    <row r="21" spans="1:3" ht="15.75" thickBot="1" x14ac:dyDescent="0.3">
      <c r="A21" s="186"/>
      <c r="B21" s="9" t="e">
        <f>VLOOKUP(VLOOKUP(B1,Weapon_List,6,FALSE),Elite_Mob_Drops,4,FALSE)</f>
        <v>#N/A</v>
      </c>
      <c r="C21" s="16" t="e">
        <f ca="1">VLOOKUP(C11,INDIRECT(_xlfn.CONCAT("Weapon_",VLOOKUP(B1,Weapon_List,3,FALSE),"_star_requirements")),11,FALSE)-VLOOKUP(C10,INDIRECT(_xlfn.CONCAT("Weapon_",VLOOKUP(B1,Weapon_List,3,FALSE),"_star_requirements")),11,FALSE)</f>
        <v>#N/A</v>
      </c>
    </row>
    <row r="22" spans="1:3" ht="15.75" thickBot="1" x14ac:dyDescent="0.3">
      <c r="A22" s="21" t="s">
        <v>204</v>
      </c>
      <c r="B22" s="22" t="s">
        <v>204</v>
      </c>
      <c r="C22" s="23" t="e">
        <f ca="1">VLOOKUP(C11,INDIRECT(_xlfn.CONCAT("Weapon_",VLOOKUP(B1,Weapon_List,3,FALSE),"_star_requirements")),12,FALSE)-VLOOKUP(C10,INDIRECT(_xlfn.CONCAT("Weapon_",VLOOKUP(B1,Weapon_List,3,FALSE),"_star_requirements")),12,FALSE)</f>
        <v>#N/A</v>
      </c>
    </row>
  </sheetData>
  <mergeCells count="13">
    <mergeCell ref="A11:B11"/>
    <mergeCell ref="A19:A21"/>
    <mergeCell ref="A12:A15"/>
    <mergeCell ref="A16:A18"/>
    <mergeCell ref="A3:B3"/>
    <mergeCell ref="A9:C9"/>
    <mergeCell ref="A10:B10"/>
    <mergeCell ref="E6:E9"/>
    <mergeCell ref="E10:E12"/>
    <mergeCell ref="E13:E15"/>
    <mergeCell ref="E3:G3"/>
    <mergeCell ref="E4:F4"/>
    <mergeCell ref="E5:F5"/>
  </mergeCells>
  <conditionalFormatting sqref="H4:H15">
    <cfRule type="containsText" dxfId="446" priority="1" operator="containsText" text="Done">
      <formula>NOT(ISERROR(SEARCH("Done",H4)))</formula>
    </cfRule>
    <cfRule type="containsText" dxfId="445" priority="2" operator="containsText" text="In Progress">
      <formula>NOT(ISERROR(SEARCH("In Progress",H4)))</formula>
    </cfRule>
  </conditionalFormatting>
  <dataValidations count="6">
    <dataValidation type="list" allowBlank="1" showInputMessage="1" showErrorMessage="1" sqref="C11" xr:uid="{81C04EAD-692C-41B5-8D61-79852EB7312A}">
      <formula1>IF(OR(VLOOKUP(B1,Weapon_List,3,FALSE)=1,VLOOKUP(B1,Weapon_List,3,FALSE)=2),Weapon_Ascension_Low_Rarity,Weapon_Ascension_High_Rarity)</formula1>
    </dataValidation>
    <dataValidation type="list" allowBlank="1" showInputMessage="1" showErrorMessage="1" sqref="B1" xr:uid="{D934A6EB-4D91-4A82-8E7A-49BD63BC607D}">
      <formula1>Weapon_Name_List</formula1>
    </dataValidation>
    <dataValidation type="list" operator="equal" allowBlank="1" showInputMessage="1" showErrorMessage="1" sqref="B5" xr:uid="{DB394085-2770-408D-9132-331721EDFBE2}">
      <formula1>IF(OR(VLOOKUP(B1,Weapon_List,3,FALSE)=1,VLOOKUP(B1,Weapon_List,3,FALSE)=2),Weapon_Levels_Low_Rarity,Weapon_Levels_High_Rarity)</formula1>
    </dataValidation>
    <dataValidation type="list" operator="equal" allowBlank="1" showInputMessage="1" showErrorMessage="1" sqref="B4" xr:uid="{4757CB12-2F61-4973-9382-01E40BC6C756}">
      <formula1>IF(OR(VLOOKUP(B1,Weapon_List,3,FALSE)=1,VLOOKUP(B1,Weapon_List,3,FALSE)=2),Weapon_Levels_Low_Rarity,Weapon_Levels_High_Rarity)</formula1>
    </dataValidation>
    <dataValidation type="list" allowBlank="1" showInputMessage="1" showErrorMessage="1" sqref="C10" xr:uid="{FD4A5902-8E00-42FA-A2F2-1B77BA4D9258}">
      <formula1>IF(OR(VLOOKUP(B1,Weapon_List,3,FALSE)=1,VLOOKUP(B1,Weapon_List,3,FALSE)=2),Weapon_Ascension_Low_Rarity,Weapon_Ascension_High_Rarity)</formula1>
    </dataValidation>
    <dataValidation type="list" allowBlank="1" showInputMessage="1" showErrorMessage="1" sqref="H4:H15" xr:uid="{A8385734-049F-4532-9C0C-9A698DE73204}">
      <formula1>"In Progress, Done"</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E79B9-7A6D-481D-9478-8FC728579939}">
  <sheetPr codeName="Sheet79">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310</v>
      </c>
    </row>
    <row r="2" spans="1:8" ht="15.75" thickBot="1" x14ac:dyDescent="0.3"/>
    <row r="3" spans="1:8" ht="15.75" thickBot="1" x14ac:dyDescent="0.3">
      <c r="A3" s="171" t="s">
        <v>197</v>
      </c>
      <c r="B3" s="172"/>
      <c r="E3" s="171" t="s">
        <v>198</v>
      </c>
      <c r="F3" s="231"/>
      <c r="G3" s="172"/>
      <c r="H3" s="58" t="s">
        <v>199</v>
      </c>
    </row>
    <row r="4" spans="1:8" x14ac:dyDescent="0.25">
      <c r="A4" s="12" t="s">
        <v>200</v>
      </c>
      <c r="B4" s="25">
        <v>70</v>
      </c>
      <c r="E4" s="222" t="s">
        <v>201</v>
      </c>
      <c r="F4" s="22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4</v>
      </c>
      <c r="E10" s="184" t="s">
        <v>19</v>
      </c>
      <c r="F10" s="2" t="str">
        <f t="shared" si="0"/>
        <v>Firm Arrowhead</v>
      </c>
      <c r="G10" s="15">
        <f t="shared" ca="1" si="0"/>
        <v>0</v>
      </c>
      <c r="H10" s="34" t="s">
        <v>202</v>
      </c>
    </row>
    <row r="11" spans="1:8" ht="15.75" thickBot="1" x14ac:dyDescent="0.3">
      <c r="A11" s="173" t="s">
        <v>208</v>
      </c>
      <c r="B11" s="202"/>
      <c r="C11" s="43">
        <v>4</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44" priority="1" operator="containsText" text="Done">
      <formula>NOT(ISERROR(SEARCH("Done",H4)))</formula>
    </cfRule>
    <cfRule type="containsText" dxfId="443" priority="2" operator="containsText" text="In Progress">
      <formula>NOT(ISERROR(SEARCH("In Progress",H4)))</formula>
    </cfRule>
  </conditionalFormatting>
  <dataValidations count="6">
    <dataValidation type="list" allowBlank="1" showInputMessage="1" showErrorMessage="1" sqref="H4:H15" xr:uid="{F7AC9EB8-4A23-4979-BDA3-EFFDF878E94D}">
      <formula1>"In Progress, Done"</formula1>
    </dataValidation>
    <dataValidation type="list" allowBlank="1" showInputMessage="1" showErrorMessage="1" sqref="C10" xr:uid="{9F141EAA-F17C-42CC-9BD4-84387975F7EB}">
      <formula1>IF(OR(VLOOKUP(B1,Weapon_List,3,FALSE)=1,VLOOKUP(B1,Weapon_List,3,FALSE)=2),Weapon_Ascension_Low_Rarity,Weapon_Ascension_High_Rarity)</formula1>
    </dataValidation>
    <dataValidation type="list" operator="equal" allowBlank="1" showInputMessage="1" showErrorMessage="1" sqref="B4" xr:uid="{1AE3D7DC-66DA-4B34-BD70-6D2B88EBD938}">
      <formula1>IF(OR(VLOOKUP(B1,Weapon_List,3,FALSE)=1,VLOOKUP(B1,Weapon_List,3,FALSE)=2),Weapon_Levels_Low_Rarity,Weapon_Levels_High_Rarity)</formula1>
    </dataValidation>
    <dataValidation type="list" operator="equal" allowBlank="1" showInputMessage="1" showErrorMessage="1" sqref="B5" xr:uid="{FC937709-88B8-4804-93AE-B470E5F07136}">
      <formula1>IF(OR(VLOOKUP(B1,Weapon_List,3,FALSE)=1,VLOOKUP(B1,Weapon_List,3,FALSE)=2),Weapon_Levels_Low_Rarity,Weapon_Levels_High_Rarity)</formula1>
    </dataValidation>
    <dataValidation type="list" allowBlank="1" showInputMessage="1" showErrorMessage="1" sqref="B1" xr:uid="{B3398D3D-4717-44F9-AC73-072C998A6DB6}">
      <formula1>Weapon_Name_List</formula1>
    </dataValidation>
    <dataValidation type="list" allowBlank="1" showInputMessage="1" showErrorMessage="1" sqref="C11" xr:uid="{43D0D23E-2255-4430-BC3E-C7EB29BCC1F7}">
      <formula1>IF(OR(VLOOKUP(B1,Weapon_List,3,FALSE)=1,VLOOKUP(B1,Weapon_List,3,FALSE)=2),Weapon_Ascension_Low_Rarity,Weapon_Ascension_High_Rarity)</formula1>
    </dataValidation>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84DA2-FF65-47B5-8025-0CBDE66E66FD}">
  <sheetPr codeName="Sheet190">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311</v>
      </c>
    </row>
    <row r="2" spans="1:8" ht="15.75" thickBot="1" x14ac:dyDescent="0.3"/>
    <row r="3" spans="1:8" ht="15.75" thickBot="1" x14ac:dyDescent="0.3">
      <c r="A3" s="171" t="s">
        <v>197</v>
      </c>
      <c r="B3" s="172"/>
      <c r="E3" s="171" t="s">
        <v>198</v>
      </c>
      <c r="F3" s="231"/>
      <c r="G3" s="172"/>
      <c r="H3" s="58" t="s">
        <v>199</v>
      </c>
    </row>
    <row r="4" spans="1:8" x14ac:dyDescent="0.25">
      <c r="A4" s="12" t="s">
        <v>200</v>
      </c>
      <c r="B4" s="25">
        <v>70</v>
      </c>
      <c r="E4" s="222" t="s">
        <v>201</v>
      </c>
      <c r="F4" s="22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4</v>
      </c>
      <c r="E10" s="184" t="s">
        <v>19</v>
      </c>
      <c r="F10" s="2" t="str">
        <f t="shared" si="0"/>
        <v>Slime Condensate</v>
      </c>
      <c r="G10" s="15">
        <f t="shared" ca="1" si="0"/>
        <v>0</v>
      </c>
      <c r="H10" s="34" t="s">
        <v>202</v>
      </c>
    </row>
    <row r="11" spans="1:8" ht="15.75" thickBot="1" x14ac:dyDescent="0.3">
      <c r="A11" s="173" t="s">
        <v>208</v>
      </c>
      <c r="B11" s="202"/>
      <c r="C11" s="43">
        <v>4</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42" priority="1" operator="containsText" text="Done">
      <formula>NOT(ISERROR(SEARCH("Done",H4)))</formula>
    </cfRule>
    <cfRule type="containsText" dxfId="441" priority="2" operator="containsText" text="In Progress">
      <formula>NOT(ISERROR(SEARCH("In Progress",H4)))</formula>
    </cfRule>
  </conditionalFormatting>
  <dataValidations count="6">
    <dataValidation type="list" allowBlank="1" showInputMessage="1" showErrorMessage="1" sqref="H4:H15" xr:uid="{5A008CAA-A967-4609-BA1E-342608FB6484}">
      <formula1>"In Progress, Done"</formula1>
    </dataValidation>
    <dataValidation type="list" allowBlank="1" showInputMessage="1" showErrorMessage="1" sqref="C10" xr:uid="{061C30FD-8BC1-4650-9EA6-58D4C6E786E1}">
      <formula1>IF(OR(VLOOKUP(B1,Weapon_List,3,FALSE)=1,VLOOKUP(B1,Weapon_List,3,FALSE)=2),Weapon_Ascension_Low_Rarity,Weapon_Ascension_High_Rarity)</formula1>
    </dataValidation>
    <dataValidation type="list" operator="equal" allowBlank="1" showInputMessage="1" showErrorMessage="1" sqref="B4" xr:uid="{AFDDC3F7-C9FE-4DE3-A893-536F8C128E3F}">
      <formula1>IF(OR(VLOOKUP(B1,Weapon_List,3,FALSE)=1,VLOOKUP(B1,Weapon_List,3,FALSE)=2),Weapon_Levels_Low_Rarity,Weapon_Levels_High_Rarity)</formula1>
    </dataValidation>
    <dataValidation type="list" operator="equal" allowBlank="1" showInputMessage="1" showErrorMessage="1" sqref="B5" xr:uid="{D3DD59A1-A1FD-4033-A5FC-7617608DFE4C}">
      <formula1>IF(OR(VLOOKUP(B1,Weapon_List,3,FALSE)=1,VLOOKUP(B1,Weapon_List,3,FALSE)=2),Weapon_Levels_Low_Rarity,Weapon_Levels_High_Rarity)</formula1>
    </dataValidation>
    <dataValidation type="list" allowBlank="1" showInputMessage="1" showErrorMessage="1" sqref="B1" xr:uid="{5F3B603B-14A9-4400-9FC4-1583E57CA0AB}">
      <formula1>Weapon_Name_List</formula1>
    </dataValidation>
    <dataValidation type="list" allowBlank="1" showInputMessage="1" showErrorMessage="1" sqref="C11" xr:uid="{275ED6D8-8A8A-443C-9810-BB323B781CED}">
      <formula1>IF(OR(VLOOKUP(B1,Weapon_List,3,FALSE)=1,VLOOKUP(B1,Weapon_List,3,FALSE)=2),Weapon_Ascension_Low_Rarity,Weapon_Ascension_High_Rarity)</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53BD9-32B4-4124-88C1-49B020CC80D5}">
  <sheetPr codeName="Sheet80">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312</v>
      </c>
    </row>
    <row r="2" spans="1:8" ht="15.75" thickBot="1" x14ac:dyDescent="0.3"/>
    <row r="3" spans="1:8" ht="15.75" thickBot="1" x14ac:dyDescent="0.3">
      <c r="A3" s="171" t="s">
        <v>197</v>
      </c>
      <c r="B3" s="172"/>
      <c r="E3" s="171" t="s">
        <v>198</v>
      </c>
      <c r="F3" s="231"/>
      <c r="G3" s="172"/>
      <c r="H3" s="58" t="s">
        <v>199</v>
      </c>
    </row>
    <row r="4" spans="1:8" x14ac:dyDescent="0.25">
      <c r="A4" s="12" t="s">
        <v>200</v>
      </c>
      <c r="B4" s="25">
        <v>70</v>
      </c>
      <c r="E4" s="222" t="s">
        <v>201</v>
      </c>
      <c r="F4" s="22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4</v>
      </c>
      <c r="E10" s="184" t="s">
        <v>19</v>
      </c>
      <c r="F10" s="2" t="str">
        <f t="shared" si="0"/>
        <v>Divining Scroll</v>
      </c>
      <c r="G10" s="15">
        <f t="shared" ca="1" si="0"/>
        <v>0</v>
      </c>
      <c r="H10" s="34" t="s">
        <v>202</v>
      </c>
    </row>
    <row r="11" spans="1:8" ht="15.75" thickBot="1" x14ac:dyDescent="0.3">
      <c r="A11" s="173" t="s">
        <v>208</v>
      </c>
      <c r="B11" s="202"/>
      <c r="C11" s="43">
        <v>4</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40" priority="1" operator="containsText" text="Done">
      <formula>NOT(ISERROR(SEARCH("Done",H4)))</formula>
    </cfRule>
    <cfRule type="containsText" dxfId="439" priority="2" operator="containsText" text="In Progress">
      <formula>NOT(ISERROR(SEARCH("In Progress",H4)))</formula>
    </cfRule>
  </conditionalFormatting>
  <dataValidations count="6">
    <dataValidation type="list" allowBlank="1" showInputMessage="1" showErrorMessage="1" sqref="H4:H15" xr:uid="{B21B05D1-EEFA-435B-B047-6F705875CDBF}">
      <formula1>"In Progress, Done"</formula1>
    </dataValidation>
    <dataValidation type="list" allowBlank="1" showInputMessage="1" showErrorMessage="1" sqref="C10" xr:uid="{CE88EDAF-BDF0-4212-988A-2DD7B7DC3D1E}">
      <formula1>IF(OR(VLOOKUP(B1,Weapon_List,3,FALSE)=1,VLOOKUP(B1,Weapon_List,3,FALSE)=2),Weapon_Ascension_Low_Rarity,Weapon_Ascension_High_Rarity)</formula1>
    </dataValidation>
    <dataValidation type="list" operator="equal" allowBlank="1" showInputMessage="1" showErrorMessage="1" sqref="B4" xr:uid="{CA003705-0851-4FF8-B43A-DFD7AEB8C891}">
      <formula1>IF(OR(VLOOKUP(B1,Weapon_List,3,FALSE)=1,VLOOKUP(B1,Weapon_List,3,FALSE)=2),Weapon_Levels_Low_Rarity,Weapon_Levels_High_Rarity)</formula1>
    </dataValidation>
    <dataValidation type="list" operator="equal" allowBlank="1" showInputMessage="1" showErrorMessage="1" sqref="B5" xr:uid="{4B1C033E-1F4C-48C3-AF98-182A6BC2C7FF}">
      <formula1>IF(OR(VLOOKUP(B1,Weapon_List,3,FALSE)=1,VLOOKUP(B1,Weapon_List,3,FALSE)=2),Weapon_Levels_Low_Rarity,Weapon_Levels_High_Rarity)</formula1>
    </dataValidation>
    <dataValidation type="list" allowBlank="1" showInputMessage="1" showErrorMessage="1" sqref="B1" xr:uid="{469B464D-192F-43FB-8A0B-7196EFFF5221}">
      <formula1>Weapon_Name_List</formula1>
    </dataValidation>
    <dataValidation type="list" allowBlank="1" showInputMessage="1" showErrorMessage="1" sqref="C11" xr:uid="{6B7CF3A2-AD54-4C35-AC86-F20688F1CF10}">
      <formula1>IF(OR(VLOOKUP(B1,Weapon_List,3,FALSE)=1,VLOOKUP(B1,Weapon_List,3,FALSE)=2),Weapon_Ascension_Low_Rarity,Weapon_Ascension_High_Rarity)</formula1>
    </dataValidation>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14E01-8ACA-4DDA-95A0-2360755DE046}">
  <sheetPr codeName="Sheet81">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313</v>
      </c>
    </row>
    <row r="2" spans="1:8" ht="15.75" thickBot="1" x14ac:dyDescent="0.3"/>
    <row r="3" spans="1:8" ht="15.75" thickBot="1" x14ac:dyDescent="0.3">
      <c r="A3" s="171" t="s">
        <v>197</v>
      </c>
      <c r="B3" s="172"/>
      <c r="E3" s="171" t="s">
        <v>198</v>
      </c>
      <c r="F3" s="231"/>
      <c r="G3" s="172"/>
      <c r="H3" s="58" t="s">
        <v>199</v>
      </c>
    </row>
    <row r="4" spans="1:8" x14ac:dyDescent="0.25">
      <c r="A4" s="12" t="s">
        <v>200</v>
      </c>
      <c r="B4" s="25">
        <v>70</v>
      </c>
      <c r="E4" s="222" t="s">
        <v>201</v>
      </c>
      <c r="F4" s="22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4</v>
      </c>
      <c r="E10" s="184" t="s">
        <v>19</v>
      </c>
      <c r="F10" s="2" t="str">
        <f t="shared" si="0"/>
        <v>Damaged Mask</v>
      </c>
      <c r="G10" s="15">
        <f t="shared" ca="1" si="0"/>
        <v>0</v>
      </c>
      <c r="H10" s="34" t="s">
        <v>202</v>
      </c>
    </row>
    <row r="11" spans="1:8" ht="15.75" thickBot="1" x14ac:dyDescent="0.3">
      <c r="A11" s="173" t="s">
        <v>208</v>
      </c>
      <c r="B11" s="202"/>
      <c r="C11" s="43">
        <v>4</v>
      </c>
      <c r="E11" s="185"/>
      <c r="F11" s="1" t="str">
        <f t="shared" si="0"/>
        <v>Stained Mask</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38" priority="1" operator="containsText" text="Done">
      <formula>NOT(ISERROR(SEARCH("Done",H4)))</formula>
    </cfRule>
    <cfRule type="containsText" dxfId="437" priority="2" operator="containsText" text="In Progress">
      <formula>NOT(ISERROR(SEARCH("In Progress",H4)))</formula>
    </cfRule>
  </conditionalFormatting>
  <dataValidations count="6">
    <dataValidation type="list" allowBlank="1" showInputMessage="1" showErrorMessage="1" sqref="H4:H15" xr:uid="{36064944-BF02-4862-8430-472D18178233}">
      <formula1>"In Progress, Done"</formula1>
    </dataValidation>
    <dataValidation type="list" allowBlank="1" showInputMessage="1" showErrorMessage="1" sqref="C10" xr:uid="{C1920C7E-2169-4537-98C4-7971CB622D89}">
      <formula1>IF(OR(VLOOKUP(B1,Weapon_List,3,FALSE)=1,VLOOKUP(B1,Weapon_List,3,FALSE)=2),Weapon_Ascension_Low_Rarity,Weapon_Ascension_High_Rarity)</formula1>
    </dataValidation>
    <dataValidation type="list" operator="equal" allowBlank="1" showInputMessage="1" showErrorMessage="1" sqref="B4" xr:uid="{79A6DE83-9460-4050-83C7-397ABB8E9754}">
      <formula1>IF(OR(VLOOKUP(B1,Weapon_List,3,FALSE)=1,VLOOKUP(B1,Weapon_List,3,FALSE)=2),Weapon_Levels_Low_Rarity,Weapon_Levels_High_Rarity)</formula1>
    </dataValidation>
    <dataValidation type="list" operator="equal" allowBlank="1" showInputMessage="1" showErrorMessage="1" sqref="B5" xr:uid="{EB54DC49-B92E-483C-8DC1-E416D6F0546E}">
      <formula1>IF(OR(VLOOKUP(B1,Weapon_List,3,FALSE)=1,VLOOKUP(B1,Weapon_List,3,FALSE)=2),Weapon_Levels_Low_Rarity,Weapon_Levels_High_Rarity)</formula1>
    </dataValidation>
    <dataValidation type="list" allowBlank="1" showInputMessage="1" showErrorMessage="1" sqref="B1" xr:uid="{DF746B44-3C23-48E7-87B9-56BA3EE49E18}">
      <formula1>Weapon_Name_List</formula1>
    </dataValidation>
    <dataValidation type="list" allowBlank="1" showInputMessage="1" showErrorMessage="1" sqref="C11" xr:uid="{3F6686EB-A693-49BD-8F8A-96D13874AC3F}">
      <formula1>IF(OR(VLOOKUP(B1,Weapon_List,3,FALSE)=1,VLOOKUP(B1,Weapon_List,3,FALSE)=2),Weapon_Ascension_Low_Rarity,Weapon_Ascension_High_Rarity)</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DFAB0-C635-48A9-BC94-AD8E02454AC0}">
  <sheetPr codeName="Sheet130">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314</v>
      </c>
    </row>
    <row r="2" spans="1:8" ht="15.75" thickBot="1" x14ac:dyDescent="0.3"/>
    <row r="3" spans="1:8" ht="15.75" thickBot="1" x14ac:dyDescent="0.3">
      <c r="A3" s="171" t="s">
        <v>197</v>
      </c>
      <c r="B3" s="172"/>
      <c r="E3" s="171" t="s">
        <v>198</v>
      </c>
      <c r="F3" s="231"/>
      <c r="G3" s="172"/>
      <c r="H3" s="58" t="s">
        <v>199</v>
      </c>
    </row>
    <row r="4" spans="1:8" x14ac:dyDescent="0.25">
      <c r="A4" s="12" t="s">
        <v>200</v>
      </c>
      <c r="B4" s="25">
        <v>70</v>
      </c>
      <c r="E4" s="222" t="s">
        <v>201</v>
      </c>
      <c r="F4" s="22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4</v>
      </c>
      <c r="E10" s="184" t="s">
        <v>19</v>
      </c>
      <c r="F10" s="2" t="str">
        <f t="shared" si="0"/>
        <v>Treasure Hoarder Insignia</v>
      </c>
      <c r="G10" s="15">
        <f t="shared" ca="1" si="0"/>
        <v>0</v>
      </c>
      <c r="H10" s="34" t="s">
        <v>202</v>
      </c>
    </row>
    <row r="11" spans="1:8" ht="15.75" thickBot="1" x14ac:dyDescent="0.3">
      <c r="A11" s="173" t="s">
        <v>208</v>
      </c>
      <c r="B11" s="202"/>
      <c r="C11" s="43">
        <v>4</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36" priority="1" operator="containsText" text="Done">
      <formula>NOT(ISERROR(SEARCH("Done",H4)))</formula>
    </cfRule>
    <cfRule type="containsText" dxfId="435" priority="2" operator="containsText" text="In Progress">
      <formula>NOT(ISERROR(SEARCH("In Progress",H4)))</formula>
    </cfRule>
  </conditionalFormatting>
  <dataValidations count="6">
    <dataValidation type="list" allowBlank="1" showInputMessage="1" showErrorMessage="1" sqref="H4:H15" xr:uid="{5C4630DB-28B5-4DD3-88B0-A49E8E4B5AFA}">
      <formula1>"In Progress, Done"</formula1>
    </dataValidation>
    <dataValidation type="list" allowBlank="1" showInputMessage="1" showErrorMessage="1" sqref="C10" xr:uid="{E2B63FCB-A861-4370-A7AB-674E24929A86}">
      <formula1>IF(OR(VLOOKUP(B1,Weapon_List,3,FALSE)=1,VLOOKUP(B1,Weapon_List,3,FALSE)=2),Weapon_Ascension_Low_Rarity,Weapon_Ascension_High_Rarity)</formula1>
    </dataValidation>
    <dataValidation type="list" operator="equal" allowBlank="1" showInputMessage="1" showErrorMessage="1" sqref="B4" xr:uid="{097C4967-1ED2-48CD-AAA7-EF9BE00572F8}">
      <formula1>IF(OR(VLOOKUP(B1,Weapon_List,3,FALSE)=1,VLOOKUP(B1,Weapon_List,3,FALSE)=2),Weapon_Levels_Low_Rarity,Weapon_Levels_High_Rarity)</formula1>
    </dataValidation>
    <dataValidation type="list" operator="equal" allowBlank="1" showInputMessage="1" showErrorMessage="1" sqref="B5" xr:uid="{2A313701-4325-4C1E-BBA0-EBA487BAE2B5}">
      <formula1>IF(OR(VLOOKUP(B1,Weapon_List,3,FALSE)=1,VLOOKUP(B1,Weapon_List,3,FALSE)=2),Weapon_Levels_Low_Rarity,Weapon_Levels_High_Rarity)</formula1>
    </dataValidation>
    <dataValidation type="list" allowBlank="1" showInputMessage="1" showErrorMessage="1" sqref="B1" xr:uid="{46CFDED3-B96A-4E15-89EF-7BE9A7287F89}">
      <formula1>Weapon_Name_List</formula1>
    </dataValidation>
    <dataValidation type="list" allowBlank="1" showInputMessage="1" showErrorMessage="1" sqref="C11" xr:uid="{BDB0B6C3-2124-47B6-82C2-9A77B631B67B}">
      <formula1>IF(OR(VLOOKUP(B1,Weapon_List,3,FALSE)=1,VLOOKUP(B1,Weapon_List,3,FALSE)=2),Weapon_Ascension_Low_Rarity,Weapon_Ascension_High_Rarity)</formula1>
    </dataValidation>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FA975-517D-4322-A627-469B41A62F33}">
  <sheetPr codeName="Sheet16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315</v>
      </c>
    </row>
    <row r="2" spans="1:8" ht="15.75" thickBot="1" x14ac:dyDescent="0.3"/>
    <row r="3" spans="1:8" ht="15.75" thickBot="1" x14ac:dyDescent="0.3">
      <c r="A3" s="171" t="s">
        <v>197</v>
      </c>
      <c r="B3" s="172"/>
      <c r="E3" s="171" t="s">
        <v>198</v>
      </c>
      <c r="F3" s="231"/>
      <c r="G3" s="172"/>
      <c r="H3" s="58" t="s">
        <v>199</v>
      </c>
    </row>
    <row r="4" spans="1:8" x14ac:dyDescent="0.25">
      <c r="A4" s="12" t="s">
        <v>200</v>
      </c>
      <c r="B4" s="25">
        <v>70</v>
      </c>
      <c r="E4" s="222" t="s">
        <v>201</v>
      </c>
      <c r="F4" s="22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4</v>
      </c>
      <c r="E10" s="184" t="s">
        <v>19</v>
      </c>
      <c r="F10" s="2" t="str">
        <f t="shared" si="0"/>
        <v>Firm Arrowhead</v>
      </c>
      <c r="G10" s="15">
        <f t="shared" ca="1" si="0"/>
        <v>0</v>
      </c>
      <c r="H10" s="34" t="s">
        <v>202</v>
      </c>
    </row>
    <row r="11" spans="1:8" ht="15.75" thickBot="1" x14ac:dyDescent="0.3">
      <c r="A11" s="173" t="s">
        <v>208</v>
      </c>
      <c r="B11" s="202"/>
      <c r="C11" s="43">
        <v>4</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34" priority="1" operator="containsText" text="Done">
      <formula>NOT(ISERROR(SEARCH("Done",H4)))</formula>
    </cfRule>
    <cfRule type="containsText" dxfId="433" priority="2" operator="containsText" text="In Progress">
      <formula>NOT(ISERROR(SEARCH("In Progress",H4)))</formula>
    </cfRule>
  </conditionalFormatting>
  <dataValidations count="6">
    <dataValidation type="list" allowBlank="1" showInputMessage="1" showErrorMessage="1" sqref="H4:H15" xr:uid="{173DFF72-0651-4AAD-B89D-1FD027A47BAC}">
      <formula1>"In Progress, Done"</formula1>
    </dataValidation>
    <dataValidation type="list" allowBlank="1" showInputMessage="1" showErrorMessage="1" sqref="C10" xr:uid="{E9585EEE-EAAC-447D-9A60-CA98D0AC4170}">
      <formula1>IF(OR(VLOOKUP(B1,Weapon_List,3,FALSE)=1,VLOOKUP(B1,Weapon_List,3,FALSE)=2),Weapon_Ascension_Low_Rarity,Weapon_Ascension_High_Rarity)</formula1>
    </dataValidation>
    <dataValidation type="list" operator="equal" allowBlank="1" showInputMessage="1" showErrorMessage="1" sqref="B4" xr:uid="{35C596A4-2362-467F-8438-DF985B4E191A}">
      <formula1>IF(OR(VLOOKUP(B1,Weapon_List,3,FALSE)=1,VLOOKUP(B1,Weapon_List,3,FALSE)=2),Weapon_Levels_Low_Rarity,Weapon_Levels_High_Rarity)</formula1>
    </dataValidation>
    <dataValidation type="list" operator="equal" allowBlank="1" showInputMessage="1" showErrorMessage="1" sqref="B5" xr:uid="{356A30E1-C843-4747-A787-709FF9EDE660}">
      <formula1>IF(OR(VLOOKUP(B1,Weapon_List,3,FALSE)=1,VLOOKUP(B1,Weapon_List,3,FALSE)=2),Weapon_Levels_Low_Rarity,Weapon_Levels_High_Rarity)</formula1>
    </dataValidation>
    <dataValidation type="list" allowBlank="1" showInputMessage="1" showErrorMessage="1" sqref="B1" xr:uid="{1B46B43D-AA46-455C-8C7D-F3B49E22FF60}">
      <formula1>Weapon_Name_List</formula1>
    </dataValidation>
    <dataValidation type="list" allowBlank="1" showInputMessage="1" showErrorMessage="1" sqref="C11" xr:uid="{69B1CF6C-DBE7-45B1-88A9-3EA5FE9FCB60}">
      <formula1>IF(OR(VLOOKUP(B1,Weapon_List,3,FALSE)=1,VLOOKUP(B1,Weapon_List,3,FALSE)=2),Weapon_Ascension_Low_Rarity,Weapon_Ascension_High_Rarity)</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74B81-C5EB-41A6-B6E8-F5FDE0A3C07A}">
  <sheetPr codeName="Sheet145">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316</v>
      </c>
    </row>
    <row r="2" spans="1:8" ht="15.75" thickBot="1" x14ac:dyDescent="0.3"/>
    <row r="3" spans="1:8" ht="15.75" thickBot="1" x14ac:dyDescent="0.3">
      <c r="A3" s="171" t="s">
        <v>197</v>
      </c>
      <c r="B3" s="172"/>
      <c r="E3" s="171" t="s">
        <v>198</v>
      </c>
      <c r="F3" s="231"/>
      <c r="G3" s="172"/>
      <c r="H3" s="58" t="s">
        <v>199</v>
      </c>
    </row>
    <row r="4" spans="1:8" x14ac:dyDescent="0.25">
      <c r="A4" s="12" t="s">
        <v>200</v>
      </c>
      <c r="B4" s="25">
        <v>70</v>
      </c>
      <c r="E4" s="222" t="s">
        <v>201</v>
      </c>
      <c r="F4" s="22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4</v>
      </c>
      <c r="E10" s="184" t="s">
        <v>19</v>
      </c>
      <c r="F10" s="2" t="str">
        <f t="shared" si="0"/>
        <v>Slime Condensate</v>
      </c>
      <c r="G10" s="15">
        <f t="shared" ca="1" si="0"/>
        <v>0</v>
      </c>
      <c r="H10" s="34" t="s">
        <v>202</v>
      </c>
    </row>
    <row r="11" spans="1:8" ht="15.75" thickBot="1" x14ac:dyDescent="0.3">
      <c r="A11" s="173" t="s">
        <v>208</v>
      </c>
      <c r="B11" s="202"/>
      <c r="C11" s="43">
        <v>4</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32" priority="1" operator="containsText" text="Done">
      <formula>NOT(ISERROR(SEARCH("Done",H4)))</formula>
    </cfRule>
    <cfRule type="containsText" dxfId="431" priority="2" operator="containsText" text="In Progress">
      <formula>NOT(ISERROR(SEARCH("In Progress",H4)))</formula>
    </cfRule>
  </conditionalFormatting>
  <dataValidations count="6">
    <dataValidation type="list" allowBlank="1" showInputMessage="1" showErrorMessage="1" sqref="H4:H15" xr:uid="{0F0C3A87-0D76-4CD3-A357-85492B7B630E}">
      <formula1>"In Progress, Done"</formula1>
    </dataValidation>
    <dataValidation type="list" allowBlank="1" showInputMessage="1" showErrorMessage="1" sqref="C10" xr:uid="{79C2DF8F-3616-4E37-B6A4-A3C7B1A2A954}">
      <formula1>IF(OR(VLOOKUP(B1,Weapon_List,3,FALSE)=1,VLOOKUP(B1,Weapon_List,3,FALSE)=2),Weapon_Ascension_Low_Rarity,Weapon_Ascension_High_Rarity)</formula1>
    </dataValidation>
    <dataValidation type="list" operator="equal" allowBlank="1" showInputMessage="1" showErrorMessage="1" sqref="B4" xr:uid="{58981DA8-E9A4-4B8A-BAFF-A10B78006A68}">
      <formula1>IF(OR(VLOOKUP(B1,Weapon_List,3,FALSE)=1,VLOOKUP(B1,Weapon_List,3,FALSE)=2),Weapon_Levels_Low_Rarity,Weapon_Levels_High_Rarity)</formula1>
    </dataValidation>
    <dataValidation type="list" operator="equal" allowBlank="1" showInputMessage="1" showErrorMessage="1" sqref="B5" xr:uid="{A12AF279-BD5C-42F1-9378-20FA6AF66638}">
      <formula1>IF(OR(VLOOKUP(B1,Weapon_List,3,FALSE)=1,VLOOKUP(B1,Weapon_List,3,FALSE)=2),Weapon_Levels_Low_Rarity,Weapon_Levels_High_Rarity)</formula1>
    </dataValidation>
    <dataValidation type="list" allowBlank="1" showInputMessage="1" showErrorMessage="1" sqref="B1" xr:uid="{06E18DAF-3316-4086-8F08-285CCAAFCF10}">
      <formula1>Weapon_Name_List</formula1>
    </dataValidation>
    <dataValidation type="list" allowBlank="1" showInputMessage="1" showErrorMessage="1" sqref="C11" xr:uid="{0769FAAC-D773-4C73-A145-7DE843C58C9D}">
      <formula1>IF(OR(VLOOKUP(B1,Weapon_List,3,FALSE)=1,VLOOKUP(B1,Weapon_List,3,FALSE)=2),Weapon_Ascension_Low_Rarity,Weapon_Ascension_High_Rarity)</formula1>
    </dataValidation>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520C8-9896-450D-8C47-92419861FCCE}">
  <sheetPr codeName="Sheet131">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317</v>
      </c>
    </row>
    <row r="2" spans="1:8" ht="15.75" thickBot="1" x14ac:dyDescent="0.3"/>
    <row r="3" spans="1:8" ht="15.75" thickBot="1" x14ac:dyDescent="0.3">
      <c r="A3" s="171" t="s">
        <v>197</v>
      </c>
      <c r="B3" s="172"/>
      <c r="E3" s="171" t="s">
        <v>198</v>
      </c>
      <c r="F3" s="231"/>
      <c r="G3" s="172"/>
      <c r="H3" s="58" t="s">
        <v>199</v>
      </c>
    </row>
    <row r="4" spans="1:8" x14ac:dyDescent="0.25">
      <c r="A4" s="12" t="s">
        <v>200</v>
      </c>
      <c r="B4" s="25">
        <v>70</v>
      </c>
      <c r="E4" s="222" t="s">
        <v>201</v>
      </c>
      <c r="F4" s="22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4</v>
      </c>
      <c r="E10" s="184" t="s">
        <v>19</v>
      </c>
      <c r="F10" s="2" t="str">
        <f t="shared" si="0"/>
        <v>Divining Scroll</v>
      </c>
      <c r="G10" s="15">
        <f t="shared" ca="1" si="0"/>
        <v>0</v>
      </c>
      <c r="H10" s="34" t="s">
        <v>202</v>
      </c>
    </row>
    <row r="11" spans="1:8" ht="15.75" thickBot="1" x14ac:dyDescent="0.3">
      <c r="A11" s="173" t="s">
        <v>208</v>
      </c>
      <c r="B11" s="202"/>
      <c r="C11" s="43">
        <v>4</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30" priority="1" operator="containsText" text="Done">
      <formula>NOT(ISERROR(SEARCH("Done",H4)))</formula>
    </cfRule>
    <cfRule type="containsText" dxfId="429" priority="2" operator="containsText" text="In Progress">
      <formula>NOT(ISERROR(SEARCH("In Progress",H4)))</formula>
    </cfRule>
  </conditionalFormatting>
  <dataValidations count="6">
    <dataValidation type="list" allowBlank="1" showInputMessage="1" showErrorMessage="1" sqref="H4:H15" xr:uid="{5F0D39D6-098D-47F1-8320-AFB84A4559B7}">
      <formula1>"In Progress, Done"</formula1>
    </dataValidation>
    <dataValidation type="list" allowBlank="1" showInputMessage="1" showErrorMessage="1" sqref="C10" xr:uid="{EB2514D7-03E7-4803-BA0D-B3A931901771}">
      <formula1>IF(OR(VLOOKUP(B1,Weapon_List,3,FALSE)=1,VLOOKUP(B1,Weapon_List,3,FALSE)=2),Weapon_Ascension_Low_Rarity,Weapon_Ascension_High_Rarity)</formula1>
    </dataValidation>
    <dataValidation type="list" operator="equal" allowBlank="1" showInputMessage="1" showErrorMessage="1" sqref="B4" xr:uid="{661683E8-345C-4128-9AC8-687C881EAC79}">
      <formula1>IF(OR(VLOOKUP(B1,Weapon_List,3,FALSE)=1,VLOOKUP(B1,Weapon_List,3,FALSE)=2),Weapon_Levels_Low_Rarity,Weapon_Levels_High_Rarity)</formula1>
    </dataValidation>
    <dataValidation type="list" operator="equal" allowBlank="1" showInputMessage="1" showErrorMessage="1" sqref="B5" xr:uid="{BC8DF4D2-5144-4B3F-847B-F0582AF77948}">
      <formula1>IF(OR(VLOOKUP(B1,Weapon_List,3,FALSE)=1,VLOOKUP(B1,Weapon_List,3,FALSE)=2),Weapon_Levels_Low_Rarity,Weapon_Levels_High_Rarity)</formula1>
    </dataValidation>
    <dataValidation type="list" allowBlank="1" showInputMessage="1" showErrorMessage="1" sqref="B1" xr:uid="{C5C880A9-B413-46BB-9727-D8CC0CB6BF61}">
      <formula1>Weapon_Name_List</formula1>
    </dataValidation>
    <dataValidation type="list" allowBlank="1" showInputMessage="1" showErrorMessage="1" sqref="C11" xr:uid="{54FF7F05-BD03-470F-BF7B-C32A130E64EC}">
      <formula1>IF(OR(VLOOKUP(B1,Weapon_List,3,FALSE)=1,VLOOKUP(B1,Weapon_List,3,FALSE)=2),Weapon_Ascension_Low_Rarity,Weapon_Ascension_High_Rarity)</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992C9-AE15-4DF3-B4A9-BF3BC67A1FEA}">
  <sheetPr codeName="Sheet14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318</v>
      </c>
    </row>
    <row r="2" spans="1:8" ht="15.75" thickBot="1" x14ac:dyDescent="0.3"/>
    <row r="3" spans="1:8" ht="15.75" thickBot="1" x14ac:dyDescent="0.3">
      <c r="A3" s="171" t="s">
        <v>197</v>
      </c>
      <c r="B3" s="172"/>
      <c r="E3" s="171" t="s">
        <v>198</v>
      </c>
      <c r="F3" s="231"/>
      <c r="G3" s="172"/>
      <c r="H3" s="58" t="s">
        <v>199</v>
      </c>
    </row>
    <row r="4" spans="1:8" x14ac:dyDescent="0.25">
      <c r="A4" s="12" t="s">
        <v>200</v>
      </c>
      <c r="B4" s="25">
        <v>70</v>
      </c>
      <c r="E4" s="222" t="s">
        <v>201</v>
      </c>
      <c r="F4" s="22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4</v>
      </c>
      <c r="E10" s="184" t="s">
        <v>19</v>
      </c>
      <c r="F10" s="2" t="str">
        <f t="shared" si="0"/>
        <v>Damaged Mask</v>
      </c>
      <c r="G10" s="15">
        <f t="shared" ca="1" si="0"/>
        <v>0</v>
      </c>
      <c r="H10" s="34" t="s">
        <v>202</v>
      </c>
    </row>
    <row r="11" spans="1:8" ht="15.75" thickBot="1" x14ac:dyDescent="0.3">
      <c r="A11" s="173" t="s">
        <v>208</v>
      </c>
      <c r="B11" s="202"/>
      <c r="C11" s="43">
        <v>4</v>
      </c>
      <c r="E11" s="185"/>
      <c r="F11" s="1" t="str">
        <f t="shared" si="0"/>
        <v>Stained Mask</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28" priority="1" operator="containsText" text="Done">
      <formula>NOT(ISERROR(SEARCH("Done",H4)))</formula>
    </cfRule>
    <cfRule type="containsText" dxfId="427" priority="2" operator="containsText" text="In Progress">
      <formula>NOT(ISERROR(SEARCH("In Progress",H4)))</formula>
    </cfRule>
  </conditionalFormatting>
  <dataValidations count="6">
    <dataValidation type="list" allowBlank="1" showInputMessage="1" showErrorMessage="1" sqref="H4:H15" xr:uid="{A6A6A34F-22C2-421A-9B30-BB23738E110D}">
      <formula1>"In Progress, Done"</formula1>
    </dataValidation>
    <dataValidation type="list" allowBlank="1" showInputMessage="1" showErrorMessage="1" sqref="C10" xr:uid="{E9488880-18A8-4EBA-8534-D2B2E2B0FB63}">
      <formula1>IF(OR(VLOOKUP(B1,Weapon_List,3,FALSE)=1,VLOOKUP(B1,Weapon_List,3,FALSE)=2),Weapon_Ascension_Low_Rarity,Weapon_Ascension_High_Rarity)</formula1>
    </dataValidation>
    <dataValidation type="list" operator="equal" allowBlank="1" showInputMessage="1" showErrorMessage="1" sqref="B4" xr:uid="{0A3E36E7-5865-4539-8F7F-13B33C1AA7F9}">
      <formula1>IF(OR(VLOOKUP(B1,Weapon_List,3,FALSE)=1,VLOOKUP(B1,Weapon_List,3,FALSE)=2),Weapon_Levels_Low_Rarity,Weapon_Levels_High_Rarity)</formula1>
    </dataValidation>
    <dataValidation type="list" operator="equal" allowBlank="1" showInputMessage="1" showErrorMessage="1" sqref="B5" xr:uid="{426F4984-1613-40A9-99BE-60FC1C4A9DDB}">
      <formula1>IF(OR(VLOOKUP(B1,Weapon_List,3,FALSE)=1,VLOOKUP(B1,Weapon_List,3,FALSE)=2),Weapon_Levels_Low_Rarity,Weapon_Levels_High_Rarity)</formula1>
    </dataValidation>
    <dataValidation type="list" allowBlank="1" showInputMessage="1" showErrorMessage="1" sqref="B1" xr:uid="{88B95506-BA1B-49C6-8501-A10F7BAF4ACE}">
      <formula1>Weapon_Name_List</formula1>
    </dataValidation>
    <dataValidation type="list" allowBlank="1" showInputMessage="1" showErrorMessage="1" sqref="C11" xr:uid="{07F6732D-83F4-4DF4-921B-AD6630833176}">
      <formula1>IF(OR(VLOOKUP(B1,Weapon_List,3,FALSE)=1,VLOOKUP(B1,Weapon_List,3,FALSE)=2),Weapon_Ascension_Low_Rarity,Weapon_Ascension_High_Rarity)</formula1>
    </dataValidation>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31A67-AF60-4EB1-869B-A5E82449CA3D}">
  <sheetPr codeName="Sheet165">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319</v>
      </c>
    </row>
    <row r="2" spans="1:8" ht="15.75" thickBot="1" x14ac:dyDescent="0.3"/>
    <row r="3" spans="1:8" ht="15.75" thickBot="1" x14ac:dyDescent="0.3">
      <c r="A3" s="171" t="s">
        <v>197</v>
      </c>
      <c r="B3" s="172"/>
      <c r="E3" s="171" t="s">
        <v>198</v>
      </c>
      <c r="F3" s="231"/>
      <c r="G3" s="172"/>
      <c r="H3" s="58" t="s">
        <v>199</v>
      </c>
    </row>
    <row r="4" spans="1:8" x14ac:dyDescent="0.25">
      <c r="A4" s="12" t="s">
        <v>200</v>
      </c>
      <c r="B4" s="25">
        <v>70</v>
      </c>
      <c r="E4" s="222" t="s">
        <v>201</v>
      </c>
      <c r="F4" s="22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4</v>
      </c>
      <c r="E10" s="184" t="s">
        <v>19</v>
      </c>
      <c r="F10" s="2" t="str">
        <f t="shared" si="0"/>
        <v>Treasure Hoarder Insignia</v>
      </c>
      <c r="G10" s="15">
        <f t="shared" ca="1" si="0"/>
        <v>0</v>
      </c>
      <c r="H10" s="34" t="s">
        <v>202</v>
      </c>
    </row>
    <row r="11" spans="1:8" ht="15.75" thickBot="1" x14ac:dyDescent="0.3">
      <c r="A11" s="173" t="s">
        <v>208</v>
      </c>
      <c r="B11" s="202"/>
      <c r="C11" s="43">
        <v>4</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26" priority="1" operator="containsText" text="Done">
      <formula>NOT(ISERROR(SEARCH("Done",H4)))</formula>
    </cfRule>
    <cfRule type="containsText" dxfId="425" priority="2" operator="containsText" text="In Progress">
      <formula>NOT(ISERROR(SEARCH("In Progress",H4)))</formula>
    </cfRule>
  </conditionalFormatting>
  <dataValidations count="6">
    <dataValidation type="list" allowBlank="1" showInputMessage="1" showErrorMessage="1" sqref="H4:H15" xr:uid="{DE7DF5AE-2EC1-403D-8397-36B74BC2D024}">
      <formula1>"In Progress, Done"</formula1>
    </dataValidation>
    <dataValidation type="list" allowBlank="1" showInputMessage="1" showErrorMessage="1" sqref="C10" xr:uid="{4BD17F40-E259-4B2B-8F27-EA5ACFAE2904}">
      <formula1>IF(OR(VLOOKUP(B1,Weapon_List,3,FALSE)=1,VLOOKUP(B1,Weapon_List,3,FALSE)=2),Weapon_Ascension_Low_Rarity,Weapon_Ascension_High_Rarity)</formula1>
    </dataValidation>
    <dataValidation type="list" operator="equal" allowBlank="1" showInputMessage="1" showErrorMessage="1" sqref="B4" xr:uid="{2C2424E0-DB4D-4E7C-897D-AF0E7997630D}">
      <formula1>IF(OR(VLOOKUP(B1,Weapon_List,3,FALSE)=1,VLOOKUP(B1,Weapon_List,3,FALSE)=2),Weapon_Levels_Low_Rarity,Weapon_Levels_High_Rarity)</formula1>
    </dataValidation>
    <dataValidation type="list" operator="equal" allowBlank="1" showInputMessage="1" showErrorMessage="1" sqref="B5" xr:uid="{0A4E7189-8A9F-42D9-A844-97E724AD4A5A}">
      <formula1>IF(OR(VLOOKUP(B1,Weapon_List,3,FALSE)=1,VLOOKUP(B1,Weapon_List,3,FALSE)=2),Weapon_Levels_Low_Rarity,Weapon_Levels_High_Rarity)</formula1>
    </dataValidation>
    <dataValidation type="list" allowBlank="1" showInputMessage="1" showErrorMessage="1" sqref="B1" xr:uid="{C8B48C68-0DF9-4EA3-930B-A6DA63C1EA33}">
      <formula1>Weapon_Name_List</formula1>
    </dataValidation>
    <dataValidation type="list" allowBlank="1" showInputMessage="1" showErrorMessage="1" sqref="C11" xr:uid="{C5052E06-61DC-44B3-8C11-2BACC44237F3}">
      <formula1>IF(OR(VLOOKUP(B1,Weapon_List,3,FALSE)=1,VLOOKUP(B1,Weapon_List,3,FALSE)=2),Weapon_Ascension_Low_Rarity,Weapon_Ascension_High_Rarity)</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00F32-1CE7-41F6-B7E3-792EF990B715}">
  <sheetPr codeName="Sheet10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24" priority="1" operator="containsText" text="Done">
      <formula>NOT(ISERROR(SEARCH("Done",H4)))</formula>
    </cfRule>
    <cfRule type="containsText" dxfId="423" priority="2" operator="containsText" text="In Progress">
      <formula>NOT(ISERROR(SEARCH("In Progress",H4)))</formula>
    </cfRule>
  </conditionalFormatting>
  <dataValidations count="6">
    <dataValidation type="list" allowBlank="1" showInputMessage="1" showErrorMessage="1" sqref="H4:H15" xr:uid="{7B051B2A-EE7C-4EAC-8F62-662E0F2BD191}">
      <formula1>"In Progress, Done"</formula1>
    </dataValidation>
    <dataValidation type="list" allowBlank="1" showInputMessage="1" showErrorMessage="1" sqref="C10" xr:uid="{E46F2DC9-84DA-4CF5-8D16-42749ECAB444}">
      <formula1>IF(OR(VLOOKUP(B1,Weapon_List,3,FALSE)=1,VLOOKUP(B1,Weapon_List,3,FALSE)=2),Weapon_Ascension_Low_Rarity,Weapon_Ascension_High_Rarity)</formula1>
    </dataValidation>
    <dataValidation type="list" operator="equal" allowBlank="1" showInputMessage="1" showErrorMessage="1" sqref="B4" xr:uid="{8310C6EA-C137-436B-9FA1-CAECCE25897D}">
      <formula1>IF(OR(VLOOKUP(B1,Weapon_List,3,FALSE)=1,VLOOKUP(B1,Weapon_List,3,FALSE)=2),Weapon_Levels_Low_Rarity,Weapon_Levels_High_Rarity)</formula1>
    </dataValidation>
    <dataValidation type="list" operator="equal" allowBlank="1" showInputMessage="1" showErrorMessage="1" sqref="B5" xr:uid="{B43A083D-D15D-45E0-B2F4-79D8E4468662}">
      <formula1>IF(OR(VLOOKUP(B1,Weapon_List,3,FALSE)=1,VLOOKUP(B1,Weapon_List,3,FALSE)=2),Weapon_Levels_Low_Rarity,Weapon_Levels_High_Rarity)</formula1>
    </dataValidation>
    <dataValidation type="list" allowBlank="1" showInputMessage="1" showErrorMessage="1" sqref="B1" xr:uid="{6FF563AC-193E-4140-A8BC-94A716FD1CD9}">
      <formula1>Weapon_Name_List</formula1>
    </dataValidation>
    <dataValidation type="list" allowBlank="1" showInputMessage="1" showErrorMessage="1" sqref="C11" xr:uid="{666FBAB6-4B84-42ED-9736-0C238C3B3A0F}">
      <formula1>IF(OR(VLOOKUP(B1,Weapon_List,3,FALSE)=1,VLOOKUP(B1,Weapon_List,3,FALSE)=2),Weapon_Ascension_Low_Rarity,Weapon_Ascension_High_Rarity)</formula1>
    </dataValidation>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6169A-5235-4A0B-8724-8D98C4232A08}">
  <sheetPr codeName="Sheet10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22" priority="1" operator="containsText" text="Done">
      <formula>NOT(ISERROR(SEARCH("Done",H4)))</formula>
    </cfRule>
    <cfRule type="containsText" dxfId="421" priority="2" operator="containsText" text="In Progress">
      <formula>NOT(ISERROR(SEARCH("In Progress",H4)))</formula>
    </cfRule>
  </conditionalFormatting>
  <dataValidations count="6">
    <dataValidation type="list" allowBlank="1" showInputMessage="1" showErrorMessage="1" sqref="H4:H15" xr:uid="{88DF8C12-D144-4E4C-86D4-13F810F89AA1}">
      <formula1>"In Progress, Done"</formula1>
    </dataValidation>
    <dataValidation type="list" allowBlank="1" showInputMessage="1" showErrorMessage="1" sqref="C10" xr:uid="{9A245C5B-7462-4D7A-A8BF-00B64E3B167D}">
      <formula1>IF(OR(VLOOKUP(B1,Weapon_List,3,FALSE)=1,VLOOKUP(B1,Weapon_List,3,FALSE)=2),Weapon_Ascension_Low_Rarity,Weapon_Ascension_High_Rarity)</formula1>
    </dataValidation>
    <dataValidation type="list" operator="equal" allowBlank="1" showInputMessage="1" showErrorMessage="1" sqref="B4" xr:uid="{447AA569-B297-4CC1-BD81-AA84469F4628}">
      <formula1>IF(OR(VLOOKUP(B1,Weapon_List,3,FALSE)=1,VLOOKUP(B1,Weapon_List,3,FALSE)=2),Weapon_Levels_Low_Rarity,Weapon_Levels_High_Rarity)</formula1>
    </dataValidation>
    <dataValidation type="list" operator="equal" allowBlank="1" showInputMessage="1" showErrorMessage="1" sqref="B5" xr:uid="{1445D34D-F0CF-4EDC-B467-3446CFBE09A7}">
      <formula1>IF(OR(VLOOKUP(B1,Weapon_List,3,FALSE)=1,VLOOKUP(B1,Weapon_List,3,FALSE)=2),Weapon_Levels_Low_Rarity,Weapon_Levels_High_Rarity)</formula1>
    </dataValidation>
    <dataValidation type="list" allowBlank="1" showInputMessage="1" showErrorMessage="1" sqref="B1" xr:uid="{0770AE98-A890-4741-AF0F-A30B9590F3FD}">
      <formula1>Weapon_Name_List</formula1>
    </dataValidation>
    <dataValidation type="list" allowBlank="1" showInputMessage="1" showErrorMessage="1" sqref="C11" xr:uid="{90B5F53A-0761-467C-82A3-ECB6AB048712}">
      <formula1>IF(OR(VLOOKUP(B1,Weapon_List,3,FALSE)=1,VLOOKUP(B1,Weapon_List,3,FALSE)=2),Weapon_Ascension_Low_Rarity,Weapon_Ascension_High_Rarity)</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BD68C-BED8-462D-A0A6-7F1BCCAA08E2}">
  <sheetPr codeName="Sheet12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20" priority="1" operator="containsText" text="Done">
      <formula>NOT(ISERROR(SEARCH("Done",H4)))</formula>
    </cfRule>
    <cfRule type="containsText" dxfId="419" priority="2" operator="containsText" text="In Progress">
      <formula>NOT(ISERROR(SEARCH("In Progress",H4)))</formula>
    </cfRule>
  </conditionalFormatting>
  <dataValidations count="6">
    <dataValidation type="list" allowBlank="1" showInputMessage="1" showErrorMessage="1" sqref="H4:H15" xr:uid="{83888A1A-C2CC-4512-BDC7-213AA896ED0F}">
      <formula1>"In Progress, Done"</formula1>
    </dataValidation>
    <dataValidation type="list" allowBlank="1" showInputMessage="1" showErrorMessage="1" sqref="C10" xr:uid="{9EB9E04F-AD8B-4D4E-B4AE-EE83D151174F}">
      <formula1>IF(OR(VLOOKUP(B1,Weapon_List,3,FALSE)=1,VLOOKUP(B1,Weapon_List,3,FALSE)=2),Weapon_Ascension_Low_Rarity,Weapon_Ascension_High_Rarity)</formula1>
    </dataValidation>
    <dataValidation type="list" operator="equal" allowBlank="1" showInputMessage="1" showErrorMessage="1" sqref="B4" xr:uid="{53E02CA1-BE30-4D03-9409-327644A7A798}">
      <formula1>IF(OR(VLOOKUP(B1,Weapon_List,3,FALSE)=1,VLOOKUP(B1,Weapon_List,3,FALSE)=2),Weapon_Levels_Low_Rarity,Weapon_Levels_High_Rarity)</formula1>
    </dataValidation>
    <dataValidation type="list" operator="equal" allowBlank="1" showInputMessage="1" showErrorMessage="1" sqref="B5" xr:uid="{1657D496-CA97-4BF6-8A6A-13C91339CC18}">
      <formula1>IF(OR(VLOOKUP(B1,Weapon_List,3,FALSE)=1,VLOOKUP(B1,Weapon_List,3,FALSE)=2),Weapon_Levels_Low_Rarity,Weapon_Levels_High_Rarity)</formula1>
    </dataValidation>
    <dataValidation type="list" allowBlank="1" showInputMessage="1" showErrorMessage="1" sqref="B1" xr:uid="{9C251B4B-6797-4687-B6DF-5E8B18C2947D}">
      <formula1>Weapon_Name_List</formula1>
    </dataValidation>
    <dataValidation type="list" allowBlank="1" showInputMessage="1" showErrorMessage="1" sqref="C11" xr:uid="{9BBC60D1-3DE0-4780-BC9D-937CB541F13F}">
      <formula1>IF(OR(VLOOKUP(B1,Weapon_List,3,FALSE)=1,VLOOKUP(B1,Weapon_List,3,FALSE)=2),Weapon_Ascension_Low_Rarity,Weapon_Ascension_High_Rarity)</formula1>
    </dataValidation>
  </dataValidation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F2FCB-0CCC-496B-BB83-6D72587EE618}">
  <sheetPr codeName="Sheet12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18" priority="1" operator="containsText" text="Done">
      <formula>NOT(ISERROR(SEARCH("Done",H4)))</formula>
    </cfRule>
    <cfRule type="containsText" dxfId="417" priority="2" operator="containsText" text="In Progress">
      <formula>NOT(ISERROR(SEARCH("In Progress",H4)))</formula>
    </cfRule>
  </conditionalFormatting>
  <dataValidations count="6">
    <dataValidation type="list" allowBlank="1" showInputMessage="1" showErrorMessage="1" sqref="H4:H15" xr:uid="{1036750D-AE59-451B-9C24-24CCC8691CD9}">
      <formula1>"In Progress, Done"</formula1>
    </dataValidation>
    <dataValidation type="list" allowBlank="1" showInputMessage="1" showErrorMessage="1" sqref="C10" xr:uid="{47B946FD-3A8A-43FA-B3A1-9D5EB69A8169}">
      <formula1>IF(OR(VLOOKUP(B1,Weapon_List,3,FALSE)=1,VLOOKUP(B1,Weapon_List,3,FALSE)=2),Weapon_Ascension_Low_Rarity,Weapon_Ascension_High_Rarity)</formula1>
    </dataValidation>
    <dataValidation type="list" operator="equal" allowBlank="1" showInputMessage="1" showErrorMessage="1" sqref="B4" xr:uid="{EB458971-183E-44A6-A1B5-5CECF27F52E3}">
      <formula1>IF(OR(VLOOKUP(B1,Weapon_List,3,FALSE)=1,VLOOKUP(B1,Weapon_List,3,FALSE)=2),Weapon_Levels_Low_Rarity,Weapon_Levels_High_Rarity)</formula1>
    </dataValidation>
    <dataValidation type="list" operator="equal" allowBlank="1" showInputMessage="1" showErrorMessage="1" sqref="B5" xr:uid="{5C6F967D-126F-4450-8B87-F563B71990AF}">
      <formula1>IF(OR(VLOOKUP(B1,Weapon_List,3,FALSE)=1,VLOOKUP(B1,Weapon_List,3,FALSE)=2),Weapon_Levels_Low_Rarity,Weapon_Levels_High_Rarity)</formula1>
    </dataValidation>
    <dataValidation type="list" allowBlank="1" showInputMessage="1" showErrorMessage="1" sqref="B1" xr:uid="{24EF56D0-BC2D-41D3-A199-5D2083E22AA9}">
      <formula1>Weapon_Name_List</formula1>
    </dataValidation>
    <dataValidation type="list" allowBlank="1" showInputMessage="1" showErrorMessage="1" sqref="C11" xr:uid="{602AA946-FE77-4999-893E-DBC0059B596A}">
      <formula1>IF(OR(VLOOKUP(B1,Weapon_List,3,FALSE)=1,VLOOKUP(B1,Weapon_List,3,FALSE)=2),Weapon_Ascension_Low_Rarity,Weapon_Ascension_High_Rarity)</formula1>
    </dataValidation>
  </dataValidation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D59BB-E0FC-469B-8E80-95432AE4590E}">
  <sheetPr codeName="Sheet16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Fossilized Bone Shard</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16" priority="1" operator="containsText" text="Done">
      <formula>NOT(ISERROR(SEARCH("Done",H4)))</formula>
    </cfRule>
    <cfRule type="containsText" dxfId="415" priority="2" operator="containsText" text="In Progress">
      <formula>NOT(ISERROR(SEARCH("In Progress",H4)))</formula>
    </cfRule>
  </conditionalFormatting>
  <dataValidations count="6">
    <dataValidation type="list" allowBlank="1" showInputMessage="1" showErrorMessage="1" sqref="H4:H15" xr:uid="{1987DCE4-E9D2-41A6-A9A3-3DC3868FC28F}">
      <formula1>"In Progress, Done"</formula1>
    </dataValidation>
    <dataValidation type="list" allowBlank="1" showInputMessage="1" showErrorMessage="1" sqref="C10" xr:uid="{D1C19D17-65CD-404C-8F34-192E3A252B19}">
      <formula1>IF(OR(VLOOKUP(B1,Weapon_List,3,FALSE)=1,VLOOKUP(B1,Weapon_List,3,FALSE)=2),Weapon_Ascension_Low_Rarity,Weapon_Ascension_High_Rarity)</formula1>
    </dataValidation>
    <dataValidation type="list" operator="equal" allowBlank="1" showInputMessage="1" showErrorMessage="1" sqref="B4" xr:uid="{2FBD9BCE-8DB4-4078-9579-B7AE67878421}">
      <formula1>IF(OR(VLOOKUP(B1,Weapon_List,3,FALSE)=1,VLOOKUP(B1,Weapon_List,3,FALSE)=2),Weapon_Levels_Low_Rarity,Weapon_Levels_High_Rarity)</formula1>
    </dataValidation>
    <dataValidation type="list" operator="equal" allowBlank="1" showInputMessage="1" showErrorMessage="1" sqref="B5" xr:uid="{F0D30B77-352A-4A26-BE9B-73F75B8E6527}">
      <formula1>IF(OR(VLOOKUP(B1,Weapon_List,3,FALSE)=1,VLOOKUP(B1,Weapon_List,3,FALSE)=2),Weapon_Levels_Low_Rarity,Weapon_Levels_High_Rarity)</formula1>
    </dataValidation>
    <dataValidation type="list" allowBlank="1" showInputMessage="1" showErrorMessage="1" sqref="B1" xr:uid="{7A45B2FD-0847-4D47-AFD6-DBA92932E2FD}">
      <formula1>Weapon_Name_List</formula1>
    </dataValidation>
    <dataValidation type="list" allowBlank="1" showInputMessage="1" showErrorMessage="1" sqref="C11" xr:uid="{2D42C4AC-787E-4940-B90E-6D778E85D653}">
      <formula1>IF(OR(VLOOKUP(B1,Weapon_List,3,FALSE)=1,VLOOKUP(B1,Weapon_List,3,FALSE)=2),Weapon_Ascension_Low_Rarity,Weapon_Ascension_High_Rarity)</formula1>
    </dataValidation>
  </dataValidation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8A8F8-5A7A-42F7-A1C4-82C76BDFF57C}">
  <sheetPr codeName="Sheet18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14" priority="1" operator="containsText" text="Done">
      <formula>NOT(ISERROR(SEARCH("Done",H4)))</formula>
    </cfRule>
    <cfRule type="containsText" dxfId="413" priority="2" operator="containsText" text="In Progress">
      <formula>NOT(ISERROR(SEARCH("In Progress",H4)))</formula>
    </cfRule>
  </conditionalFormatting>
  <dataValidations count="6">
    <dataValidation type="list" allowBlank="1" showInputMessage="1" showErrorMessage="1" sqref="H4:H15" xr:uid="{4D989164-6112-48FB-B730-F5360025E446}">
      <formula1>"In Progress, Done"</formula1>
    </dataValidation>
    <dataValidation type="list" allowBlank="1" showInputMessage="1" showErrorMessage="1" sqref="C10" xr:uid="{643624E4-3E69-4DC8-942A-341C0944A3F5}">
      <formula1>IF(OR(VLOOKUP(B1,Weapon_List,3,FALSE)=1,VLOOKUP(B1,Weapon_List,3,FALSE)=2),Weapon_Ascension_Low_Rarity,Weapon_Ascension_High_Rarity)</formula1>
    </dataValidation>
    <dataValidation type="list" operator="equal" allowBlank="1" showInputMessage="1" showErrorMessage="1" sqref="B4" xr:uid="{B9ACF937-6264-4F3D-B25E-485C4BCC79DE}">
      <formula1>IF(OR(VLOOKUP(B1,Weapon_List,3,FALSE)=1,VLOOKUP(B1,Weapon_List,3,FALSE)=2),Weapon_Levels_Low_Rarity,Weapon_Levels_High_Rarity)</formula1>
    </dataValidation>
    <dataValidation type="list" operator="equal" allowBlank="1" showInputMessage="1" showErrorMessage="1" sqref="B5" xr:uid="{DE48FA0E-46E9-45F4-91B1-2447F44CCC7D}">
      <formula1>IF(OR(VLOOKUP(B1,Weapon_List,3,FALSE)=1,VLOOKUP(B1,Weapon_List,3,FALSE)=2),Weapon_Levels_Low_Rarity,Weapon_Levels_High_Rarity)</formula1>
    </dataValidation>
    <dataValidation type="list" allowBlank="1" showInputMessage="1" showErrorMessage="1" sqref="B1" xr:uid="{EC210F3D-9051-4EC4-A482-51C809A436F8}">
      <formula1>Weapon_Name_List</formula1>
    </dataValidation>
    <dataValidation type="list" allowBlank="1" showInputMessage="1" showErrorMessage="1" sqref="C11" xr:uid="{2AFB617A-A834-4EA4-8EF9-7C98AC506D07}">
      <formula1>IF(OR(VLOOKUP(B1,Weapon_List,3,FALSE)=1,VLOOKUP(B1,Weapon_List,3,FALSE)=2),Weapon_Ascension_Low_Rarity,Weapon_Ascension_High_Rarity)</formula1>
    </dataValidation>
  </dataValidation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59F67-8787-405B-B5FF-E690C6BB0249}">
  <sheetPr codeName="Sheet10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12" priority="1" operator="containsText" text="Done">
      <formula>NOT(ISERROR(SEARCH("Done",H4)))</formula>
    </cfRule>
    <cfRule type="containsText" dxfId="411" priority="2" operator="containsText" text="In Progress">
      <formula>NOT(ISERROR(SEARCH("In Progress",H4)))</formula>
    </cfRule>
  </conditionalFormatting>
  <dataValidations count="6">
    <dataValidation type="list" allowBlank="1" showInputMessage="1" showErrorMessage="1" sqref="H4:H15" xr:uid="{C276A9DE-F106-43E4-B856-730925B12009}">
      <formula1>"In Progress, Done"</formula1>
    </dataValidation>
    <dataValidation type="list" allowBlank="1" showInputMessage="1" showErrorMessage="1" sqref="C10" xr:uid="{87912A0B-B0F7-47F8-9365-727E8A130EC6}">
      <formula1>IF(OR(VLOOKUP(B1,Weapon_List,3,FALSE)=1,VLOOKUP(B1,Weapon_List,3,FALSE)=2),Weapon_Ascension_Low_Rarity,Weapon_Ascension_High_Rarity)</formula1>
    </dataValidation>
    <dataValidation type="list" operator="equal" allowBlank="1" showInputMessage="1" showErrorMessage="1" sqref="B4" xr:uid="{A6A533AE-01D6-46E1-BDD2-61FA94B39D2E}">
      <formula1>IF(OR(VLOOKUP(B1,Weapon_List,3,FALSE)=1,VLOOKUP(B1,Weapon_List,3,FALSE)=2),Weapon_Levels_Low_Rarity,Weapon_Levels_High_Rarity)</formula1>
    </dataValidation>
    <dataValidation type="list" operator="equal" allowBlank="1" showInputMessage="1" showErrorMessage="1" sqref="B5" xr:uid="{5A2E825E-F839-4168-82CD-CD820E04EEEF}">
      <formula1>IF(OR(VLOOKUP(B1,Weapon_List,3,FALSE)=1,VLOOKUP(B1,Weapon_List,3,FALSE)=2),Weapon_Levels_Low_Rarity,Weapon_Levels_High_Rarity)</formula1>
    </dataValidation>
    <dataValidation type="list" allowBlank="1" showInputMessage="1" showErrorMessage="1" sqref="B1" xr:uid="{95F2954C-44E9-4106-A59F-1B3B94832F48}">
      <formula1>Weapon_Name_List</formula1>
    </dataValidation>
    <dataValidation type="list" allowBlank="1" showInputMessage="1" showErrorMessage="1" sqref="C11" xr:uid="{ED97A3A6-FC77-42B6-BD5E-9DF138A01401}">
      <formula1>IF(OR(VLOOKUP(B1,Weapon_List,3,FALSE)=1,VLOOKUP(B1,Weapon_List,3,FALSE)=2),Weapon_Ascension_Low_Rarity,Weapon_Ascension_High_Rarity)</formula1>
    </dataValidation>
  </dataValidations>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67B83-D065-44BE-A5A4-99DB5D166BE4}">
  <sheetPr codeName="Sheet11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10" priority="1" operator="containsText" text="Done">
      <formula>NOT(ISERROR(SEARCH("Done",H4)))</formula>
    </cfRule>
    <cfRule type="containsText" dxfId="409" priority="2" operator="containsText" text="In Progress">
      <formula>NOT(ISERROR(SEARCH("In Progress",H4)))</formula>
    </cfRule>
  </conditionalFormatting>
  <dataValidations count="6">
    <dataValidation type="list" allowBlank="1" showInputMessage="1" showErrorMessage="1" sqref="H4:H15" xr:uid="{927A326F-04A3-422F-B636-7D80B0EEC441}">
      <formula1>"In Progress, Done"</formula1>
    </dataValidation>
    <dataValidation type="list" allowBlank="1" showInputMessage="1" showErrorMessage="1" sqref="C10" xr:uid="{DDE8F500-6757-45B7-B9C7-3CB3B8E71AAC}">
      <formula1>IF(OR(VLOOKUP(B1,Weapon_List,3,FALSE)=1,VLOOKUP(B1,Weapon_List,3,FALSE)=2),Weapon_Ascension_Low_Rarity,Weapon_Ascension_High_Rarity)</formula1>
    </dataValidation>
    <dataValidation type="list" operator="equal" allowBlank="1" showInputMessage="1" showErrorMessage="1" sqref="B4" xr:uid="{59D309D5-0EBD-43F5-9AFC-DA97D721F6A3}">
      <formula1>IF(OR(VLOOKUP(B1,Weapon_List,3,FALSE)=1,VLOOKUP(B1,Weapon_List,3,FALSE)=2),Weapon_Levels_Low_Rarity,Weapon_Levels_High_Rarity)</formula1>
    </dataValidation>
    <dataValidation type="list" operator="equal" allowBlank="1" showInputMessage="1" showErrorMessage="1" sqref="B5" xr:uid="{6F7F723E-F6F8-4765-9E57-04B7FB851EE2}">
      <formula1>IF(OR(VLOOKUP(B1,Weapon_List,3,FALSE)=1,VLOOKUP(B1,Weapon_List,3,FALSE)=2),Weapon_Levels_Low_Rarity,Weapon_Levels_High_Rarity)</formula1>
    </dataValidation>
    <dataValidation type="list" allowBlank="1" showInputMessage="1" showErrorMessage="1" sqref="B1" xr:uid="{27527E49-593B-4B5B-95C7-A393AC35680A}">
      <formula1>Weapon_Name_List</formula1>
    </dataValidation>
    <dataValidation type="list" allowBlank="1" showInputMessage="1" showErrorMessage="1" sqref="C11" xr:uid="{B4CA6F84-C84F-4C46-8D54-C681DBCAD885}">
      <formula1>IF(OR(VLOOKUP(B1,Weapon_List,3,FALSE)=1,VLOOKUP(B1,Weapon_List,3,FALSE)=2),Weapon_Ascension_Low_Rarity,Weapon_Ascension_High_Rarity)</formula1>
    </dataValidation>
  </dataValidations>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466-DC9E-4B7A-B561-EAF73D52C66C}">
  <sheetPr codeName="Sheet12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08" priority="1" operator="containsText" text="Done">
      <formula>NOT(ISERROR(SEARCH("Done",H4)))</formula>
    </cfRule>
    <cfRule type="containsText" dxfId="407" priority="2" operator="containsText" text="In Progress">
      <formula>NOT(ISERROR(SEARCH("In Progress",H4)))</formula>
    </cfRule>
  </conditionalFormatting>
  <dataValidations count="6">
    <dataValidation type="list" allowBlank="1" showInputMessage="1" showErrorMessage="1" sqref="H4:H15" xr:uid="{7282BAA3-EF6D-46D8-9C1F-94832DD882B5}">
      <formula1>"In Progress, Done"</formula1>
    </dataValidation>
    <dataValidation type="list" allowBlank="1" showInputMessage="1" showErrorMessage="1" sqref="C10" xr:uid="{11D8054C-5212-44C7-AE47-2DDA240A7CCD}">
      <formula1>IF(OR(VLOOKUP(B1,Weapon_List,3,FALSE)=1,VLOOKUP(B1,Weapon_List,3,FALSE)=2),Weapon_Ascension_Low_Rarity,Weapon_Ascension_High_Rarity)</formula1>
    </dataValidation>
    <dataValidation type="list" operator="equal" allowBlank="1" showInputMessage="1" showErrorMessage="1" sqref="B4" xr:uid="{35E550A5-BE13-4A12-8FF2-336B5A2DD214}">
      <formula1>IF(OR(VLOOKUP(B1,Weapon_List,3,FALSE)=1,VLOOKUP(B1,Weapon_List,3,FALSE)=2),Weapon_Levels_Low_Rarity,Weapon_Levels_High_Rarity)</formula1>
    </dataValidation>
    <dataValidation type="list" operator="equal" allowBlank="1" showInputMessage="1" showErrorMessage="1" sqref="B5" xr:uid="{E87A6863-7F54-495A-A76F-DBAD41F5E52D}">
      <formula1>IF(OR(VLOOKUP(B1,Weapon_List,3,FALSE)=1,VLOOKUP(B1,Weapon_List,3,FALSE)=2),Weapon_Levels_Low_Rarity,Weapon_Levels_High_Rarity)</formula1>
    </dataValidation>
    <dataValidation type="list" allowBlank="1" showInputMessage="1" showErrorMessage="1" sqref="B1" xr:uid="{77910C82-6A62-4900-BC02-4F13E8B36E12}">
      <formula1>Weapon_Name_List</formula1>
    </dataValidation>
    <dataValidation type="list" allowBlank="1" showInputMessage="1" showErrorMessage="1" sqref="C11" xr:uid="{66580E4D-C752-47C1-B670-23278CCCB9E5}">
      <formula1>IF(OR(VLOOKUP(B1,Weapon_List,3,FALSE)=1,VLOOKUP(B1,Weapon_List,3,FALSE)=2),Weapon_Ascension_Low_Rarity,Weapon_Ascension_High_Rarity)</formula1>
    </dataValidation>
  </dataValidations>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A552A-79B1-4BD9-A679-892A8A519A0F}">
  <sheetPr codeName="Sheet16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Fossilized Bone Shard</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06" priority="1" operator="containsText" text="Done">
      <formula>NOT(ISERROR(SEARCH("Done",H4)))</formula>
    </cfRule>
    <cfRule type="containsText" dxfId="405" priority="2" operator="containsText" text="In Progress">
      <formula>NOT(ISERROR(SEARCH("In Progress",H4)))</formula>
    </cfRule>
  </conditionalFormatting>
  <dataValidations count="6">
    <dataValidation type="list" allowBlank="1" showInputMessage="1" showErrorMessage="1" sqref="H4:H15" xr:uid="{FCBB54DE-690B-454A-97BB-905B67BD10D1}">
      <formula1>"In Progress, Done"</formula1>
    </dataValidation>
    <dataValidation type="list" allowBlank="1" showInputMessage="1" showErrorMessage="1" sqref="C10" xr:uid="{242322DC-329E-42D0-BEEA-B6EBCA37A722}">
      <formula1>IF(OR(VLOOKUP(B1,Weapon_List,3,FALSE)=1,VLOOKUP(B1,Weapon_List,3,FALSE)=2),Weapon_Ascension_Low_Rarity,Weapon_Ascension_High_Rarity)</formula1>
    </dataValidation>
    <dataValidation type="list" operator="equal" allowBlank="1" showInputMessage="1" showErrorMessage="1" sqref="B4" xr:uid="{B920AC0A-49B6-4AE2-9E36-F6C614FDFD6E}">
      <formula1>IF(OR(VLOOKUP(B1,Weapon_List,3,FALSE)=1,VLOOKUP(B1,Weapon_List,3,FALSE)=2),Weapon_Levels_Low_Rarity,Weapon_Levels_High_Rarity)</formula1>
    </dataValidation>
    <dataValidation type="list" operator="equal" allowBlank="1" showInputMessage="1" showErrorMessage="1" sqref="B5" xr:uid="{801580FC-82C9-4DF7-8354-5E9255DBB250}">
      <formula1>IF(OR(VLOOKUP(B1,Weapon_List,3,FALSE)=1,VLOOKUP(B1,Weapon_List,3,FALSE)=2),Weapon_Levels_Low_Rarity,Weapon_Levels_High_Rarity)</formula1>
    </dataValidation>
    <dataValidation type="list" allowBlank="1" showInputMessage="1" showErrorMessage="1" sqref="B1" xr:uid="{77C5C2E5-B74A-4606-A7DF-B968E4327306}">
      <formula1>Weapon_Name_List</formula1>
    </dataValidation>
    <dataValidation type="list" allowBlank="1" showInputMessage="1" showErrorMessage="1" sqref="C11" xr:uid="{09BAC3A5-5B5C-4CD9-95C0-1774CD15EFD7}">
      <formula1>IF(OR(VLOOKUP(B1,Weapon_List,3,FALSE)=1,VLOOKUP(B1,Weapon_List,3,FALSE)=2),Weapon_Ascension_Low_Rarity,Weapon_Ascension_High_Rarity)</formula1>
    </dataValidation>
  </dataValidations>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4E183-35D1-4F8E-91C5-6A41A1059728}">
  <sheetPr codeName="Sheet19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04" priority="1" operator="containsText" text="Done">
      <formula>NOT(ISERROR(SEARCH("Done",H4)))</formula>
    </cfRule>
    <cfRule type="containsText" dxfId="403" priority="2" operator="containsText" text="In Progress">
      <formula>NOT(ISERROR(SEARCH("In Progress",H4)))</formula>
    </cfRule>
  </conditionalFormatting>
  <dataValidations count="6">
    <dataValidation type="list" allowBlank="1" showInputMessage="1" showErrorMessage="1" sqref="H4:H15" xr:uid="{97BA452B-1F5F-4053-A83F-3316E0C24788}">
      <formula1>"In Progress, Done"</formula1>
    </dataValidation>
    <dataValidation type="list" allowBlank="1" showInputMessage="1" showErrorMessage="1" sqref="C10" xr:uid="{0747A5CA-D765-4690-9109-207D30EA9D37}">
      <formula1>IF(OR(VLOOKUP(B1,Weapon_List,3,FALSE)=1,VLOOKUP(B1,Weapon_List,3,FALSE)=2),Weapon_Ascension_Low_Rarity,Weapon_Ascension_High_Rarity)</formula1>
    </dataValidation>
    <dataValidation type="list" operator="equal" allowBlank="1" showInputMessage="1" showErrorMessage="1" sqref="B4" xr:uid="{AC51DB4E-3D49-4E04-96B2-DEC8BE729386}">
      <formula1>IF(OR(VLOOKUP(B1,Weapon_List,3,FALSE)=1,VLOOKUP(B1,Weapon_List,3,FALSE)=2),Weapon_Levels_Low_Rarity,Weapon_Levels_High_Rarity)</formula1>
    </dataValidation>
    <dataValidation type="list" operator="equal" allowBlank="1" showInputMessage="1" showErrorMessage="1" sqref="B5" xr:uid="{812C64BA-B3E9-435E-87F1-72023586701A}">
      <formula1>IF(OR(VLOOKUP(B1,Weapon_List,3,FALSE)=1,VLOOKUP(B1,Weapon_List,3,FALSE)=2),Weapon_Levels_Low_Rarity,Weapon_Levels_High_Rarity)</formula1>
    </dataValidation>
    <dataValidation type="list" allowBlank="1" showInputMessage="1" showErrorMessage="1" sqref="B1" xr:uid="{4DFD35A7-1064-4F08-8E1C-B364BDEF2845}">
      <formula1>Weapon_Name_List</formula1>
    </dataValidation>
    <dataValidation type="list" allowBlank="1" showInputMessage="1" showErrorMessage="1" sqref="C11" xr:uid="{29D14B00-AE57-4972-AFDE-F9689E745ADC}">
      <formula1>IF(OR(VLOOKUP(B1,Weapon_List,3,FALSE)=1,VLOOKUP(B1,Weapon_List,3,FALSE)=2),Weapon_Ascension_Low_Rarity,Weapon_Ascension_High_Rarity)</formula1>
    </dataValidation>
  </dataValidations>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EC7A8-0413-43CE-A694-6C3E650D3EC6}">
  <sheetPr codeName="Sheet9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Fossilized Bone Shard</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02" priority="1" operator="containsText" text="Done">
      <formula>NOT(ISERROR(SEARCH("Done",H4)))</formula>
    </cfRule>
    <cfRule type="containsText" dxfId="401" priority="2" operator="containsText" text="In Progress">
      <formula>NOT(ISERROR(SEARCH("In Progress",H4)))</formula>
    </cfRule>
  </conditionalFormatting>
  <dataValidations count="6">
    <dataValidation type="list" allowBlank="1" showInputMessage="1" showErrorMessage="1" sqref="H4:H15" xr:uid="{421B18F2-9C86-473E-82EA-4AA45CBC9D6B}">
      <formula1>"In Progress, Done"</formula1>
    </dataValidation>
    <dataValidation type="list" allowBlank="1" showInputMessage="1" showErrorMessage="1" sqref="C10" xr:uid="{22038128-D40E-4B87-8FC8-05B17CC190BC}">
      <formula1>IF(OR(VLOOKUP(B1,Weapon_List,3,FALSE)=1,VLOOKUP(B1,Weapon_List,3,FALSE)=2),Weapon_Ascension_Low_Rarity,Weapon_Ascension_High_Rarity)</formula1>
    </dataValidation>
    <dataValidation type="list" operator="equal" allowBlank="1" showInputMessage="1" showErrorMessage="1" sqref="B4" xr:uid="{6020AB05-7DFC-40D2-B0B3-E5CA3A9CA14F}">
      <formula1>IF(OR(VLOOKUP(B1,Weapon_List,3,FALSE)=1,VLOOKUP(B1,Weapon_List,3,FALSE)=2),Weapon_Levels_Low_Rarity,Weapon_Levels_High_Rarity)</formula1>
    </dataValidation>
    <dataValidation type="list" operator="equal" allowBlank="1" showInputMessage="1" showErrorMessage="1" sqref="B5" xr:uid="{E11A9FFE-DBEF-4D05-9769-A945C08D5569}">
      <formula1>IF(OR(VLOOKUP(B1,Weapon_List,3,FALSE)=1,VLOOKUP(B1,Weapon_List,3,FALSE)=2),Weapon_Levels_Low_Rarity,Weapon_Levels_High_Rarity)</formula1>
    </dataValidation>
    <dataValidation type="list" allowBlank="1" showInputMessage="1" showErrorMessage="1" sqref="B1" xr:uid="{FD3C9BCA-FDD5-4AB2-BF39-83AF585462B3}">
      <formula1>Weapon_Name_List</formula1>
    </dataValidation>
    <dataValidation type="list" allowBlank="1" showInputMessage="1" showErrorMessage="1" sqref="C11" xr:uid="{135EA6B1-0450-4A46-8F37-15B49CD36017}">
      <formula1>IF(OR(VLOOKUP(B1,Weapon_List,3,FALSE)=1,VLOOKUP(B1,Weapon_List,3,FALSE)=2),Weapon_Ascension_Low_Rarity,Weapon_Ascension_High_Rarity)</formula1>
    </dataValidation>
  </dataValidations>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7E3F7-5B0B-4B04-A87E-B8D8756F35E1}">
  <sheetPr codeName="Sheet12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00" priority="1" operator="containsText" text="Done">
      <formula>NOT(ISERROR(SEARCH("Done",H4)))</formula>
    </cfRule>
    <cfRule type="containsText" dxfId="399" priority="2" operator="containsText" text="In Progress">
      <formula>NOT(ISERROR(SEARCH("In Progress",H4)))</formula>
    </cfRule>
  </conditionalFormatting>
  <dataValidations count="6">
    <dataValidation type="list" allowBlank="1" showInputMessage="1" showErrorMessage="1" sqref="H4:H15" xr:uid="{EC05BD57-BB9B-4223-BC13-B6ECF7310B7D}">
      <formula1>"In Progress, Done"</formula1>
    </dataValidation>
    <dataValidation type="list" allowBlank="1" showInputMessage="1" showErrorMessage="1" sqref="C10" xr:uid="{8967840C-D782-40F9-95E8-013D7EA3B211}">
      <formula1>IF(OR(VLOOKUP(B1,Weapon_List,3,FALSE)=1,VLOOKUP(B1,Weapon_List,3,FALSE)=2),Weapon_Ascension_Low_Rarity,Weapon_Ascension_High_Rarity)</formula1>
    </dataValidation>
    <dataValidation type="list" operator="equal" allowBlank="1" showInputMessage="1" showErrorMessage="1" sqref="B4" xr:uid="{68D76C8E-D9D8-4E47-8B91-A9FA7E0B813B}">
      <formula1>IF(OR(VLOOKUP(B1,Weapon_List,3,FALSE)=1,VLOOKUP(B1,Weapon_List,3,FALSE)=2),Weapon_Levels_Low_Rarity,Weapon_Levels_High_Rarity)</formula1>
    </dataValidation>
    <dataValidation type="list" operator="equal" allowBlank="1" showInputMessage="1" showErrorMessage="1" sqref="B5" xr:uid="{87FAEEE8-9835-4E3A-96B5-F46DEBF54B17}">
      <formula1>IF(OR(VLOOKUP(B1,Weapon_List,3,FALSE)=1,VLOOKUP(B1,Weapon_List,3,FALSE)=2),Weapon_Levels_Low_Rarity,Weapon_Levels_High_Rarity)</formula1>
    </dataValidation>
    <dataValidation type="list" allowBlank="1" showInputMessage="1" showErrorMessage="1" sqref="B1" xr:uid="{838630FA-F16E-4E1E-902E-4CD22568545D}">
      <formula1>Weapon_Name_List</formula1>
    </dataValidation>
    <dataValidation type="list" allowBlank="1" showInputMessage="1" showErrorMessage="1" sqref="C11" xr:uid="{FDFA7B00-4D97-41B5-A90D-7BB18EC6B742}">
      <formula1>IF(OR(VLOOKUP(B1,Weapon_List,3,FALSE)=1,VLOOKUP(B1,Weapon_List,3,FALSE)=2),Weapon_Ascension_Low_Rarity,Weapon_Ascension_High_Rarity)</formula1>
    </dataValidation>
  </dataValidations>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96874-C518-40FF-A071-AF35BA7A321D}">
  <sheetPr codeName="Sheet19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98" priority="1" operator="containsText" text="Done">
      <formula>NOT(ISERROR(SEARCH("Done",H4)))</formula>
    </cfRule>
    <cfRule type="containsText" dxfId="397" priority="2" operator="containsText" text="In Progress">
      <formula>NOT(ISERROR(SEARCH("In Progress",H4)))</formula>
    </cfRule>
  </conditionalFormatting>
  <dataValidations count="6">
    <dataValidation type="list" allowBlank="1" showInputMessage="1" showErrorMessage="1" sqref="H4:H15" xr:uid="{EADCC59B-CEC4-49C7-9B7C-FE43721C8582}">
      <formula1>"In Progress, Done"</formula1>
    </dataValidation>
    <dataValidation type="list" allowBlank="1" showInputMessage="1" showErrorMessage="1" sqref="C10" xr:uid="{41D1B63A-C005-4056-B6A5-6642984E3EA8}">
      <formula1>IF(OR(VLOOKUP(B1,Weapon_List,3,FALSE)=1,VLOOKUP(B1,Weapon_List,3,FALSE)=2),Weapon_Ascension_Low_Rarity,Weapon_Ascension_High_Rarity)</formula1>
    </dataValidation>
    <dataValidation type="list" operator="equal" allowBlank="1" showInputMessage="1" showErrorMessage="1" sqref="B4" xr:uid="{E36E55C6-4385-4E3F-BA2F-BF10A1328452}">
      <formula1>IF(OR(VLOOKUP(B1,Weapon_List,3,FALSE)=1,VLOOKUP(B1,Weapon_List,3,FALSE)=2),Weapon_Levels_Low_Rarity,Weapon_Levels_High_Rarity)</formula1>
    </dataValidation>
    <dataValidation type="list" operator="equal" allowBlank="1" showInputMessage="1" showErrorMessage="1" sqref="B5" xr:uid="{737D3CE2-6370-4826-99EA-D71F7CAEECDA}">
      <formula1>IF(OR(VLOOKUP(B1,Weapon_List,3,FALSE)=1,VLOOKUP(B1,Weapon_List,3,FALSE)=2),Weapon_Levels_Low_Rarity,Weapon_Levels_High_Rarity)</formula1>
    </dataValidation>
    <dataValidation type="list" allowBlank="1" showInputMessage="1" showErrorMessage="1" sqref="B1" xr:uid="{2456565E-995A-41BB-A83B-F75A636D9661}">
      <formula1>Weapon_Name_List</formula1>
    </dataValidation>
    <dataValidation type="list" allowBlank="1" showInputMessage="1" showErrorMessage="1" sqref="C11" xr:uid="{D64D7CA9-8C90-4724-9670-8AA27142256A}">
      <formula1>IF(OR(VLOOKUP(B1,Weapon_List,3,FALSE)=1,VLOOKUP(B1,Weapon_List,3,FALSE)=2),Weapon_Ascension_Low_Rarity,Weapon_Ascension_High_Rarity)</formula1>
    </dataValidation>
  </dataValidations>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60A12-816F-4813-8D82-7A3596567554}">
  <sheetPr codeName="Sheet114">
    <tabColor theme="4" tint="0.39997558519241921"/>
  </sheetPr>
  <dimension ref="A1:H22"/>
  <sheetViews>
    <sheetView workbookViewId="0">
      <selection activeCell="K55" sqref="K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96" priority="1" operator="containsText" text="Done">
      <formula>NOT(ISERROR(SEARCH("Done",H4)))</formula>
    </cfRule>
    <cfRule type="containsText" dxfId="395" priority="2" operator="containsText" text="In Progress">
      <formula>NOT(ISERROR(SEARCH("In Progress",H4)))</formula>
    </cfRule>
  </conditionalFormatting>
  <dataValidations count="6">
    <dataValidation type="list" allowBlank="1" showInputMessage="1" showErrorMessage="1" sqref="H4:H15" xr:uid="{640692B7-7B4C-4D89-9070-743159945CE6}">
      <formula1>"In Progress, Done"</formula1>
    </dataValidation>
    <dataValidation type="list" allowBlank="1" showInputMessage="1" showErrorMessage="1" sqref="C10" xr:uid="{C55562B4-8C3E-434E-B2C4-B433287EEAC7}">
      <formula1>IF(OR(VLOOKUP(B1,Weapon_List,3,FALSE)=1,VLOOKUP(B1,Weapon_List,3,FALSE)=2),Weapon_Ascension_Low_Rarity,Weapon_Ascension_High_Rarity)</formula1>
    </dataValidation>
    <dataValidation type="list" operator="equal" allowBlank="1" showInputMessage="1" showErrorMessage="1" sqref="B4" xr:uid="{60E02BF6-7A09-4908-9500-EEA894FE702C}">
      <formula1>IF(OR(VLOOKUP(B1,Weapon_List,3,FALSE)=1,VLOOKUP(B1,Weapon_List,3,FALSE)=2),Weapon_Levels_Low_Rarity,Weapon_Levels_High_Rarity)</formula1>
    </dataValidation>
    <dataValidation type="list" operator="equal" allowBlank="1" showInputMessage="1" showErrorMessage="1" sqref="B5" xr:uid="{328B4805-8272-4B52-9F18-F427E080C56E}">
      <formula1>IF(OR(VLOOKUP(B1,Weapon_List,3,FALSE)=1,VLOOKUP(B1,Weapon_List,3,FALSE)=2),Weapon_Levels_Low_Rarity,Weapon_Levels_High_Rarity)</formula1>
    </dataValidation>
    <dataValidation type="list" allowBlank="1" showInputMessage="1" showErrorMessage="1" sqref="B1" xr:uid="{8B1891AB-80CF-498F-AEA3-31109A3804D1}">
      <formula1>Weapon_Name_List</formula1>
    </dataValidation>
    <dataValidation type="list" allowBlank="1" showInputMessage="1" showErrorMessage="1" sqref="C11" xr:uid="{348C6714-3D05-4875-816A-3CA63B05150B}">
      <formula1>IF(OR(VLOOKUP(B1,Weapon_List,3,FALSE)=1,VLOOKUP(B1,Weapon_List,3,FALSE)=2),Weapon_Ascension_Low_Rarity,Weapon_Ascension_High_Rarity)</formula1>
    </dataValidation>
  </dataValidations>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F7815-0CBE-4F5C-A4E3-17DC931003D4}">
  <sheetPr codeName="Sheet13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94" priority="1" operator="containsText" text="Done">
      <formula>NOT(ISERROR(SEARCH("Done",H4)))</formula>
    </cfRule>
    <cfRule type="containsText" dxfId="393" priority="2" operator="containsText" text="In Progress">
      <formula>NOT(ISERROR(SEARCH("In Progress",H4)))</formula>
    </cfRule>
  </conditionalFormatting>
  <dataValidations count="6">
    <dataValidation type="list" allowBlank="1" showInputMessage="1" showErrorMessage="1" sqref="H4:H15" xr:uid="{600911AE-FBE0-4779-8E33-BC5C3DB2C861}">
      <formula1>"In Progress, Done"</formula1>
    </dataValidation>
    <dataValidation type="list" allowBlank="1" showInputMessage="1" showErrorMessage="1" sqref="C10" xr:uid="{38E46683-D3FF-47B7-B653-E5D9CCD9D459}">
      <formula1>IF(OR(VLOOKUP(B1,Weapon_List,3,FALSE)=1,VLOOKUP(B1,Weapon_List,3,FALSE)=2),Weapon_Ascension_Low_Rarity,Weapon_Ascension_High_Rarity)</formula1>
    </dataValidation>
    <dataValidation type="list" operator="equal" allowBlank="1" showInputMessage="1" showErrorMessage="1" sqref="B4" xr:uid="{CDFC39E1-6BA5-41F5-B8C8-E1BFC6DDC021}">
      <formula1>IF(OR(VLOOKUP(B1,Weapon_List,3,FALSE)=1,VLOOKUP(B1,Weapon_List,3,FALSE)=2),Weapon_Levels_Low_Rarity,Weapon_Levels_High_Rarity)</formula1>
    </dataValidation>
    <dataValidation type="list" operator="equal" allowBlank="1" showInputMessage="1" showErrorMessage="1" sqref="B5" xr:uid="{D184DA84-C2F1-4923-A0FB-097F097C349D}">
      <formula1>IF(OR(VLOOKUP(B1,Weapon_List,3,FALSE)=1,VLOOKUP(B1,Weapon_List,3,FALSE)=2),Weapon_Levels_Low_Rarity,Weapon_Levels_High_Rarity)</formula1>
    </dataValidation>
    <dataValidation type="list" allowBlank="1" showInputMessage="1" showErrorMessage="1" sqref="B1" xr:uid="{DE27A208-D50E-4D5C-97B6-3A573CD0AA69}">
      <formula1>Weapon_Name_List</formula1>
    </dataValidation>
    <dataValidation type="list" allowBlank="1" showInputMessage="1" showErrorMessage="1" sqref="C11" xr:uid="{442D763D-7E60-4B89-A547-9CF0ED7E736A}">
      <formula1>IF(OR(VLOOKUP(B1,Weapon_List,3,FALSE)=1,VLOOKUP(B1,Weapon_List,3,FALSE)=2),Weapon_Ascension_Low_Rarity,Weapon_Ascension_High_Rarity)</formula1>
    </dataValidation>
  </dataValidations>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499AD-E38F-4A4F-8586-AB2F7CCAEA4F}">
  <sheetPr codeName="Sheet14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92" priority="1" operator="containsText" text="Done">
      <formula>NOT(ISERROR(SEARCH("Done",H4)))</formula>
    </cfRule>
    <cfRule type="containsText" dxfId="391" priority="2" operator="containsText" text="In Progress">
      <formula>NOT(ISERROR(SEARCH("In Progress",H4)))</formula>
    </cfRule>
  </conditionalFormatting>
  <dataValidations count="6">
    <dataValidation type="list" allowBlank="1" showInputMessage="1" showErrorMessage="1" sqref="H4:H15" xr:uid="{EE50A3BF-8127-49C9-AE89-58834748DD58}">
      <formula1>"In Progress, Done"</formula1>
    </dataValidation>
    <dataValidation type="list" allowBlank="1" showInputMessage="1" showErrorMessage="1" sqref="C10" xr:uid="{5E219C1A-4ED2-48F0-91DB-9801042C9E66}">
      <formula1>IF(OR(VLOOKUP(B1,Weapon_List,3,FALSE)=1,VLOOKUP(B1,Weapon_List,3,FALSE)=2),Weapon_Ascension_Low_Rarity,Weapon_Ascension_High_Rarity)</formula1>
    </dataValidation>
    <dataValidation type="list" operator="equal" allowBlank="1" showInputMessage="1" showErrorMessage="1" sqref="B4" xr:uid="{5F48B227-3FC6-4490-A9FC-9C83CE08283D}">
      <formula1>IF(OR(VLOOKUP(B1,Weapon_List,3,FALSE)=1,VLOOKUP(B1,Weapon_List,3,FALSE)=2),Weapon_Levels_Low_Rarity,Weapon_Levels_High_Rarity)</formula1>
    </dataValidation>
    <dataValidation type="list" operator="equal" allowBlank="1" showInputMessage="1" showErrorMessage="1" sqref="B5" xr:uid="{349EBE0E-3C70-4E12-BE59-E4A6D6064B99}">
      <formula1>IF(OR(VLOOKUP(B1,Weapon_List,3,FALSE)=1,VLOOKUP(B1,Weapon_List,3,FALSE)=2),Weapon_Levels_Low_Rarity,Weapon_Levels_High_Rarity)</formula1>
    </dataValidation>
    <dataValidation type="list" allowBlank="1" showInputMessage="1" showErrorMessage="1" sqref="B1" xr:uid="{5C28D4E9-5CBA-43FE-9AC9-60DE6BCB541D}">
      <formula1>Weapon_Name_List</formula1>
    </dataValidation>
    <dataValidation type="list" allowBlank="1" showInputMessage="1" showErrorMessage="1" sqref="C11" xr:uid="{1E6E1A39-3D43-479E-A85C-2313E5FB4E77}">
      <formula1>IF(OR(VLOOKUP(B1,Weapon_List,3,FALSE)=1,VLOOKUP(B1,Weapon_List,3,FALSE)=2),Weapon_Ascension_Low_Rarity,Weapon_Ascension_High_Rarity)</formula1>
    </dataValidation>
  </dataValidations>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F6F73-10B3-44E3-BD6D-A58443F43EB3}">
  <sheetPr codeName="Sheet18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90" priority="1" operator="containsText" text="Done">
      <formula>NOT(ISERROR(SEARCH("Done",H4)))</formula>
    </cfRule>
    <cfRule type="containsText" dxfId="389" priority="2" operator="containsText" text="In Progress">
      <formula>NOT(ISERROR(SEARCH("In Progress",H4)))</formula>
    </cfRule>
  </conditionalFormatting>
  <dataValidations count="6">
    <dataValidation type="list" allowBlank="1" showInputMessage="1" showErrorMessage="1" sqref="H4:H15" xr:uid="{45EF23CE-90A6-4704-BE94-92240EE3B366}">
      <formula1>"In Progress, Done"</formula1>
    </dataValidation>
    <dataValidation type="list" allowBlank="1" showInputMessage="1" showErrorMessage="1" sqref="C10" xr:uid="{E57368EA-C21A-41A5-B81B-F0A956BBC7C9}">
      <formula1>IF(OR(VLOOKUP(B1,Weapon_List,3,FALSE)=1,VLOOKUP(B1,Weapon_List,3,FALSE)=2),Weapon_Ascension_Low_Rarity,Weapon_Ascension_High_Rarity)</formula1>
    </dataValidation>
    <dataValidation type="list" operator="equal" allowBlank="1" showInputMessage="1" showErrorMessage="1" sqref="B4" xr:uid="{B1B15649-F312-4D09-99A3-1D88A8CAD55E}">
      <formula1>IF(OR(VLOOKUP(B1,Weapon_List,3,FALSE)=1,VLOOKUP(B1,Weapon_List,3,FALSE)=2),Weapon_Levels_Low_Rarity,Weapon_Levels_High_Rarity)</formula1>
    </dataValidation>
    <dataValidation type="list" operator="equal" allowBlank="1" showInputMessage="1" showErrorMessage="1" sqref="B5" xr:uid="{C014B429-D2E0-432E-BFA3-EF34ED6A8DC8}">
      <formula1>IF(OR(VLOOKUP(B1,Weapon_List,3,FALSE)=1,VLOOKUP(B1,Weapon_List,3,FALSE)=2),Weapon_Levels_Low_Rarity,Weapon_Levels_High_Rarity)</formula1>
    </dataValidation>
    <dataValidation type="list" allowBlank="1" showInputMessage="1" showErrorMessage="1" sqref="B1" xr:uid="{DAC34505-4ABF-46EF-BD9D-77D3C5E1C8CB}">
      <formula1>Weapon_Name_List</formula1>
    </dataValidation>
    <dataValidation type="list" allowBlank="1" showInputMessage="1" showErrorMessage="1" sqref="C11" xr:uid="{7D0966DB-AF84-4F13-B78E-6D6820085A0D}">
      <formula1>IF(OR(VLOOKUP(B1,Weapon_List,3,FALSE)=1,VLOOKUP(B1,Weapon_List,3,FALSE)=2),Weapon_Ascension_Low_Rarity,Weapon_Ascension_High_Rarity)</formula1>
    </dataValidation>
  </dataValidations>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83A33-7FD7-469B-B074-99D333F8664C}">
  <sheetPr codeName="Sheet18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88" priority="1" operator="containsText" text="Done">
      <formula>NOT(ISERROR(SEARCH("Done",H4)))</formula>
    </cfRule>
    <cfRule type="containsText" dxfId="387" priority="2" operator="containsText" text="In Progress">
      <formula>NOT(ISERROR(SEARCH("In Progress",H4)))</formula>
    </cfRule>
  </conditionalFormatting>
  <dataValidations count="6">
    <dataValidation type="list" allowBlank="1" showInputMessage="1" showErrorMessage="1" sqref="H4:H15" xr:uid="{75F6F6B8-785C-4E6D-9F58-D96206D26AC3}">
      <formula1>"In Progress, Done"</formula1>
    </dataValidation>
    <dataValidation type="list" allowBlank="1" showInputMessage="1" showErrorMessage="1" sqref="C10" xr:uid="{A270FE13-7942-4599-82BD-1BC9C43A68F4}">
      <formula1>IF(OR(VLOOKUP(B1,Weapon_List,3,FALSE)=1,VLOOKUP(B1,Weapon_List,3,FALSE)=2),Weapon_Ascension_Low_Rarity,Weapon_Ascension_High_Rarity)</formula1>
    </dataValidation>
    <dataValidation type="list" operator="equal" allowBlank="1" showInputMessage="1" showErrorMessage="1" sqref="B4" xr:uid="{24642BCD-C9F6-4D6E-A943-9FF991539682}">
      <formula1>IF(OR(VLOOKUP(B1,Weapon_List,3,FALSE)=1,VLOOKUP(B1,Weapon_List,3,FALSE)=2),Weapon_Levels_Low_Rarity,Weapon_Levels_High_Rarity)</formula1>
    </dataValidation>
    <dataValidation type="list" operator="equal" allowBlank="1" showInputMessage="1" showErrorMessage="1" sqref="B5" xr:uid="{F8898FB0-0F6B-4268-AEB5-6B31FFE5DB58}">
      <formula1>IF(OR(VLOOKUP(B1,Weapon_List,3,FALSE)=1,VLOOKUP(B1,Weapon_List,3,FALSE)=2),Weapon_Levels_Low_Rarity,Weapon_Levels_High_Rarity)</formula1>
    </dataValidation>
    <dataValidation type="list" allowBlank="1" showInputMessage="1" showErrorMessage="1" sqref="B1" xr:uid="{C5A0E9AC-BCC7-493C-BC0C-37363E056761}">
      <formula1>Weapon_Name_List</formula1>
    </dataValidation>
    <dataValidation type="list" allowBlank="1" showInputMessage="1" showErrorMessage="1" sqref="C11" xr:uid="{C99CC3F8-27A9-4144-9CFE-79F411822ED3}">
      <formula1>IF(OR(VLOOKUP(B1,Weapon_List,3,FALSE)=1,VLOOKUP(B1,Weapon_List,3,FALSE)=2),Weapon_Ascension_Low_Rarity,Weapon_Ascension_High_Rarity)</formula1>
    </dataValidation>
  </dataValidations>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65673-A853-44F5-9E05-9EA085BCD871}">
  <sheetPr codeName="Sheet14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86" priority="1" operator="containsText" text="Done">
      <formula>NOT(ISERROR(SEARCH("Done",H4)))</formula>
    </cfRule>
    <cfRule type="containsText" dxfId="385" priority="2" operator="containsText" text="In Progress">
      <formula>NOT(ISERROR(SEARCH("In Progress",H4)))</formula>
    </cfRule>
  </conditionalFormatting>
  <dataValidations count="6">
    <dataValidation type="list" allowBlank="1" showInputMessage="1" showErrorMessage="1" sqref="H4:H15" xr:uid="{4AFCBC0D-F56E-4B10-81DA-16A49935F9BE}">
      <formula1>"In Progress, Done"</formula1>
    </dataValidation>
    <dataValidation type="list" allowBlank="1" showInputMessage="1" showErrorMessage="1" sqref="C10" xr:uid="{56CA8F2D-EBB6-4243-BED6-463BFD92888A}">
      <formula1>IF(OR(VLOOKUP(B1,Weapon_List,3,FALSE)=1,VLOOKUP(B1,Weapon_List,3,FALSE)=2),Weapon_Ascension_Low_Rarity,Weapon_Ascension_High_Rarity)</formula1>
    </dataValidation>
    <dataValidation type="list" operator="equal" allowBlank="1" showInputMessage="1" showErrorMessage="1" sqref="B4" xr:uid="{F58D4AB4-D74C-4345-94E0-0E3A658F9DA3}">
      <formula1>IF(OR(VLOOKUP(B1,Weapon_List,3,FALSE)=1,VLOOKUP(B1,Weapon_List,3,FALSE)=2),Weapon_Levels_Low_Rarity,Weapon_Levels_High_Rarity)</formula1>
    </dataValidation>
    <dataValidation type="list" operator="equal" allowBlank="1" showInputMessage="1" showErrorMessage="1" sqref="B5" xr:uid="{16AF3ACA-047E-438C-8295-FD929B245D5E}">
      <formula1>IF(OR(VLOOKUP(B1,Weapon_List,3,FALSE)=1,VLOOKUP(B1,Weapon_List,3,FALSE)=2),Weapon_Levels_Low_Rarity,Weapon_Levels_High_Rarity)</formula1>
    </dataValidation>
    <dataValidation type="list" allowBlank="1" showInputMessage="1" showErrorMessage="1" sqref="B1" xr:uid="{72781B55-B1EC-429F-B173-E1EEAC452FFA}">
      <formula1>Weapon_Name_List</formula1>
    </dataValidation>
    <dataValidation type="list" allowBlank="1" showInputMessage="1" showErrorMessage="1" sqref="C11" xr:uid="{0102BAAD-3BE9-49B4-BB13-8814C2C30C0A}">
      <formula1>IF(OR(VLOOKUP(B1,Weapon_List,3,FALSE)=1,VLOOKUP(B1,Weapon_List,3,FALSE)=2),Weapon_Ascension_Low_Rarity,Weapon_Ascension_High_Rarity)</formula1>
    </dataValidation>
  </dataValidations>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E34C5-6701-42D9-85C2-417B65E10111}">
  <sheetPr codeName="Sheet15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84" priority="1" operator="containsText" text="Done">
      <formula>NOT(ISERROR(SEARCH("Done",H4)))</formula>
    </cfRule>
    <cfRule type="containsText" dxfId="383" priority="2" operator="containsText" text="In Progress">
      <formula>NOT(ISERROR(SEARCH("In Progress",H4)))</formula>
    </cfRule>
  </conditionalFormatting>
  <dataValidations count="6">
    <dataValidation type="list" allowBlank="1" showInputMessage="1" showErrorMessage="1" sqref="H4:H15" xr:uid="{E3FB3F5D-9F05-46F2-9147-7DB220FCAAC2}">
      <formula1>"In Progress, Done"</formula1>
    </dataValidation>
    <dataValidation type="list" allowBlank="1" showInputMessage="1" showErrorMessage="1" sqref="C10" xr:uid="{AE46BAF5-EADF-42CA-8455-EE2BAFCBD195}">
      <formula1>IF(OR(VLOOKUP(B1,Weapon_List,3,FALSE)=1,VLOOKUP(B1,Weapon_List,3,FALSE)=2),Weapon_Ascension_Low_Rarity,Weapon_Ascension_High_Rarity)</formula1>
    </dataValidation>
    <dataValidation type="list" operator="equal" allowBlank="1" showInputMessage="1" showErrorMessage="1" sqref="B4" xr:uid="{37825022-EEF8-4E72-A83A-9BA9FB9262BC}">
      <formula1>IF(OR(VLOOKUP(B1,Weapon_List,3,FALSE)=1,VLOOKUP(B1,Weapon_List,3,FALSE)=2),Weapon_Levels_Low_Rarity,Weapon_Levels_High_Rarity)</formula1>
    </dataValidation>
    <dataValidation type="list" operator="equal" allowBlank="1" showInputMessage="1" showErrorMessage="1" sqref="B5" xr:uid="{406C43CC-8748-47F3-8F14-CBBEE0D66F31}">
      <formula1>IF(OR(VLOOKUP(B1,Weapon_List,3,FALSE)=1,VLOOKUP(B1,Weapon_List,3,FALSE)=2),Weapon_Levels_Low_Rarity,Weapon_Levels_High_Rarity)</formula1>
    </dataValidation>
    <dataValidation type="list" allowBlank="1" showInputMessage="1" showErrorMessage="1" sqref="B1" xr:uid="{FD68421D-0FAE-449D-8688-5BADEDDF2817}">
      <formula1>Weapon_Name_List</formula1>
    </dataValidation>
    <dataValidation type="list" allowBlank="1" showInputMessage="1" showErrorMessage="1" sqref="C11" xr:uid="{34A00D65-D1C1-451A-B5E0-C822078FC670}">
      <formula1>IF(OR(VLOOKUP(B1,Weapon_List,3,FALSE)=1,VLOOKUP(B1,Weapon_List,3,FALSE)=2),Weapon_Ascension_Low_Rarity,Weapon_Ascension_High_Rarity)</formula1>
    </dataValidation>
  </dataValidations>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C67E3-4C3F-482E-8896-D3E57AEA2885}">
  <sheetPr codeName="Sheet15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82" priority="1" operator="containsText" text="Done">
      <formula>NOT(ISERROR(SEARCH("Done",H4)))</formula>
    </cfRule>
    <cfRule type="containsText" dxfId="381" priority="2" operator="containsText" text="In Progress">
      <formula>NOT(ISERROR(SEARCH("In Progress",H4)))</formula>
    </cfRule>
  </conditionalFormatting>
  <dataValidations count="6">
    <dataValidation type="list" allowBlank="1" showInputMessage="1" showErrorMessage="1" sqref="H4:H15" xr:uid="{E9956989-3D84-4947-B890-DDA4C6B28D6B}">
      <formula1>"In Progress, Done"</formula1>
    </dataValidation>
    <dataValidation type="list" allowBlank="1" showInputMessage="1" showErrorMessage="1" sqref="C10" xr:uid="{7D50E9F9-2DAB-401B-ABBC-65887C698A05}">
      <formula1>IF(OR(VLOOKUP(B1,Weapon_List,3,FALSE)=1,VLOOKUP(B1,Weapon_List,3,FALSE)=2),Weapon_Ascension_Low_Rarity,Weapon_Ascension_High_Rarity)</formula1>
    </dataValidation>
    <dataValidation type="list" operator="equal" allowBlank="1" showInputMessage="1" showErrorMessage="1" sqref="B4" xr:uid="{6B889EC5-1534-4E03-8688-7463E7D46B3E}">
      <formula1>IF(OR(VLOOKUP(B1,Weapon_List,3,FALSE)=1,VLOOKUP(B1,Weapon_List,3,FALSE)=2),Weapon_Levels_Low_Rarity,Weapon_Levels_High_Rarity)</formula1>
    </dataValidation>
    <dataValidation type="list" operator="equal" allowBlank="1" showInputMessage="1" showErrorMessage="1" sqref="B5" xr:uid="{079B9E9F-46D3-445F-8B21-C33824E7D901}">
      <formula1>IF(OR(VLOOKUP(B1,Weapon_List,3,FALSE)=1,VLOOKUP(B1,Weapon_List,3,FALSE)=2),Weapon_Levels_Low_Rarity,Weapon_Levels_High_Rarity)</formula1>
    </dataValidation>
    <dataValidation type="list" allowBlank="1" showInputMessage="1" showErrorMessage="1" sqref="B1" xr:uid="{39B84C29-9E3F-4CCC-B789-BB1108B02463}">
      <formula1>Weapon_Name_List</formula1>
    </dataValidation>
    <dataValidation type="list" allowBlank="1" showInputMessage="1" showErrorMessage="1" sqref="C11" xr:uid="{35A70DAA-E8EB-43D0-AF9D-662005EB0A51}">
      <formula1>IF(OR(VLOOKUP(B1,Weapon_List,3,FALSE)=1,VLOOKUP(B1,Weapon_List,3,FALSE)=2),Weapon_Ascension_Low_Rarity,Weapon_Ascension_High_Rarity)</formula1>
    </dataValidation>
  </dataValidations>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0A7AF-0163-4177-AF28-BE1487091155}">
  <sheetPr codeName="Sheet8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0" priority="1" operator="containsText" text="Done">
      <formula>NOT(ISERROR(SEARCH("Done",H4)))</formula>
    </cfRule>
    <cfRule type="containsText" dxfId="379" priority="2" operator="containsText" text="In Progress">
      <formula>NOT(ISERROR(SEARCH("In Progress",H4)))</formula>
    </cfRule>
  </conditionalFormatting>
  <dataValidations count="6">
    <dataValidation type="list" allowBlank="1" showInputMessage="1" showErrorMessage="1" sqref="H4:H15" xr:uid="{CE27AB43-43E7-47A4-9038-32E2F46E26F2}">
      <formula1>"In Progress, Done"</formula1>
    </dataValidation>
    <dataValidation type="list" allowBlank="1" showInputMessage="1" showErrorMessage="1" sqref="C10" xr:uid="{CD685A6A-AE16-460E-B858-566859A1E740}">
      <formula1>IF(OR(VLOOKUP(B1,Weapon_List,3,FALSE)=1,VLOOKUP(B1,Weapon_List,3,FALSE)=2),Weapon_Ascension_Low_Rarity,Weapon_Ascension_High_Rarity)</formula1>
    </dataValidation>
    <dataValidation type="list" operator="equal" allowBlank="1" showInputMessage="1" showErrorMessage="1" sqref="B4" xr:uid="{7BF5B648-729A-480F-A9D7-CAAE923F5975}">
      <formula1>IF(OR(VLOOKUP(B1,Weapon_List,3,FALSE)=1,VLOOKUP(B1,Weapon_List,3,FALSE)=2),Weapon_Levels_Low_Rarity,Weapon_Levels_High_Rarity)</formula1>
    </dataValidation>
    <dataValidation type="list" operator="equal" allowBlank="1" showInputMessage="1" showErrorMessage="1" sqref="B5" xr:uid="{C9DF913E-6824-4458-8DAB-C2D7ACB8FA9D}">
      <formula1>IF(OR(VLOOKUP(B1,Weapon_List,3,FALSE)=1,VLOOKUP(B1,Weapon_List,3,FALSE)=2),Weapon_Levels_Low_Rarity,Weapon_Levels_High_Rarity)</formula1>
    </dataValidation>
    <dataValidation type="list" allowBlank="1" showInputMessage="1" showErrorMessage="1" sqref="B1" xr:uid="{9E2E27BC-C034-479D-8E46-20E66C547FEC}">
      <formula1>Weapon_Name_List</formula1>
    </dataValidation>
    <dataValidation type="list" allowBlank="1" showInputMessage="1" showErrorMessage="1" sqref="C11" xr:uid="{2603FD84-0347-4CF1-981E-C40F7F9888CA}">
      <formula1>IF(OR(VLOOKUP(B1,Weapon_List,3,FALSE)=1,VLOOKUP(B1,Weapon_List,3,FALSE)=2),Weapon_Ascension_Low_Rarity,Weapon_Ascension_High_Rarity)</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7C0A4-C89B-4655-A4F6-EA88030CE589}">
  <sheetPr codeName="Sheet17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78" priority="1" operator="containsText" text="Done">
      <formula>NOT(ISERROR(SEARCH("Done",H4)))</formula>
    </cfRule>
    <cfRule type="containsText" dxfId="377" priority="2" operator="containsText" text="In Progress">
      <formula>NOT(ISERROR(SEARCH("In Progress",H4)))</formula>
    </cfRule>
  </conditionalFormatting>
  <dataValidations count="6">
    <dataValidation type="list" allowBlank="1" showInputMessage="1" showErrorMessage="1" sqref="H4:H15" xr:uid="{67E8AFC0-45CB-49B0-BF8D-BB893750E0A1}">
      <formula1>"In Progress, Done"</formula1>
    </dataValidation>
    <dataValidation type="list" allowBlank="1" showInputMessage="1" showErrorMessage="1" sqref="C10" xr:uid="{5CEFF619-95CC-4355-B7BF-F02EC16BED6D}">
      <formula1>IF(OR(VLOOKUP(B1,Weapon_List,3,FALSE)=1,VLOOKUP(B1,Weapon_List,3,FALSE)=2),Weapon_Ascension_Low_Rarity,Weapon_Ascension_High_Rarity)</formula1>
    </dataValidation>
    <dataValidation type="list" operator="equal" allowBlank="1" showInputMessage="1" showErrorMessage="1" sqref="B4" xr:uid="{C6D8EE92-D3AD-4127-B6D9-ED3C2AA0C8B6}">
      <formula1>IF(OR(VLOOKUP(B1,Weapon_List,3,FALSE)=1,VLOOKUP(B1,Weapon_List,3,FALSE)=2),Weapon_Levels_Low_Rarity,Weapon_Levels_High_Rarity)</formula1>
    </dataValidation>
    <dataValidation type="list" operator="equal" allowBlank="1" showInputMessage="1" showErrorMessage="1" sqref="B5" xr:uid="{1DF113B3-E82B-4EEF-B143-053F5E286984}">
      <formula1>IF(OR(VLOOKUP(B1,Weapon_List,3,FALSE)=1,VLOOKUP(B1,Weapon_List,3,FALSE)=2),Weapon_Levels_Low_Rarity,Weapon_Levels_High_Rarity)</formula1>
    </dataValidation>
    <dataValidation type="list" allowBlank="1" showInputMessage="1" showErrorMessage="1" sqref="B1" xr:uid="{9A3A074B-9426-457D-821E-D24BBF8DC39D}">
      <formula1>Weapon_Name_List</formula1>
    </dataValidation>
    <dataValidation type="list" allowBlank="1" showInputMessage="1" showErrorMessage="1" sqref="C11" xr:uid="{532FB319-4A39-46AB-96D3-F7E7AD132C64}">
      <formula1>IF(OR(VLOOKUP(B1,Weapon_List,3,FALSE)=1,VLOOKUP(B1,Weapon_List,3,FALSE)=2),Weapon_Ascension_Low_Rarity,Weapon_Ascension_High_Rarity)</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2F4E8-2895-4203-80B6-7ECEB445A08B}">
  <sheetPr codeName="Sheet16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76" priority="1" operator="containsText" text="Done">
      <formula>NOT(ISERROR(SEARCH("Done",H4)))</formula>
    </cfRule>
    <cfRule type="containsText" dxfId="375" priority="2" operator="containsText" text="In Progress">
      <formula>NOT(ISERROR(SEARCH("In Progress",H4)))</formula>
    </cfRule>
  </conditionalFormatting>
  <dataValidations count="6">
    <dataValidation type="list" allowBlank="1" showInputMessage="1" showErrorMessage="1" sqref="H4:H15" xr:uid="{89C76F2B-AAEC-4B59-BD4D-ED8F5F7AA5B0}">
      <formula1>"In Progress, Done"</formula1>
    </dataValidation>
    <dataValidation type="list" allowBlank="1" showInputMessage="1" showErrorMessage="1" sqref="C10" xr:uid="{34EBDF8E-83D8-4F0C-8B21-9565A21BCF39}">
      <formula1>IF(OR(VLOOKUP(B1,Weapon_List,3,FALSE)=1,VLOOKUP(B1,Weapon_List,3,FALSE)=2),Weapon_Ascension_Low_Rarity,Weapon_Ascension_High_Rarity)</formula1>
    </dataValidation>
    <dataValidation type="list" operator="equal" allowBlank="1" showInputMessage="1" showErrorMessage="1" sqref="B4" xr:uid="{8A0D6D5B-F91B-488D-9B40-1674983CE39F}">
      <formula1>IF(OR(VLOOKUP(B1,Weapon_List,3,FALSE)=1,VLOOKUP(B1,Weapon_List,3,FALSE)=2),Weapon_Levels_Low_Rarity,Weapon_Levels_High_Rarity)</formula1>
    </dataValidation>
    <dataValidation type="list" operator="equal" allowBlank="1" showInputMessage="1" showErrorMessage="1" sqref="B5" xr:uid="{1511CDE3-9B2D-41A9-93AF-9659F1658888}">
      <formula1>IF(OR(VLOOKUP(B1,Weapon_List,3,FALSE)=1,VLOOKUP(B1,Weapon_List,3,FALSE)=2),Weapon_Levels_Low_Rarity,Weapon_Levels_High_Rarity)</formula1>
    </dataValidation>
    <dataValidation type="list" allowBlank="1" showInputMessage="1" showErrorMessage="1" sqref="B1" xr:uid="{FD3497E1-C7C1-4985-9FB3-4EF36C82A5CC}">
      <formula1>Weapon_Name_List</formula1>
    </dataValidation>
    <dataValidation type="list" allowBlank="1" showInputMessage="1" showErrorMessage="1" sqref="C11" xr:uid="{913C1BDE-02F6-46E3-BF23-999DB9283E03}">
      <formula1>IF(OR(VLOOKUP(B1,Weapon_List,3,FALSE)=1,VLOOKUP(B1,Weapon_List,3,FALSE)=2),Weapon_Ascension_Low_Rarity,Weapon_Ascension_High_Rarity)</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049E0-61CE-45D4-9886-155AF7786A34}">
  <sheetPr codeName="Sheet159">
    <tabColor theme="4" tint="0.39997558519241921"/>
  </sheetPr>
  <dimension ref="A1:H22"/>
  <sheetViews>
    <sheetView workbookViewId="0">
      <selection activeCell="E31" sqref="E3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74" priority="1" operator="containsText" text="Done">
      <formula>NOT(ISERROR(SEARCH("Done",H4)))</formula>
    </cfRule>
    <cfRule type="containsText" dxfId="373" priority="2" operator="containsText" text="In Progress">
      <formula>NOT(ISERROR(SEARCH("In Progress",H4)))</formula>
    </cfRule>
  </conditionalFormatting>
  <dataValidations count="6">
    <dataValidation type="list" allowBlank="1" showInputMessage="1" showErrorMessage="1" sqref="H4:H15" xr:uid="{0876A5A0-0754-4C31-BD8E-8A41EB3A335C}">
      <formula1>"In Progress, Done"</formula1>
    </dataValidation>
    <dataValidation type="list" allowBlank="1" showInputMessage="1" showErrorMessage="1" sqref="C10" xr:uid="{68DB5E5E-AD94-4F0D-A8E3-B6FD8CFE86CB}">
      <formula1>IF(OR(VLOOKUP(B1,Weapon_List,3,FALSE)=1,VLOOKUP(B1,Weapon_List,3,FALSE)=2),Weapon_Ascension_Low_Rarity,Weapon_Ascension_High_Rarity)</formula1>
    </dataValidation>
    <dataValidation type="list" operator="equal" allowBlank="1" showInputMessage="1" showErrorMessage="1" sqref="B4" xr:uid="{5ED319A5-253F-4EBD-BA75-73A7D5476D2B}">
      <formula1>IF(OR(VLOOKUP(B1,Weapon_List,3,FALSE)=1,VLOOKUP(B1,Weapon_List,3,FALSE)=2),Weapon_Levels_Low_Rarity,Weapon_Levels_High_Rarity)</formula1>
    </dataValidation>
    <dataValidation type="list" operator="equal" allowBlank="1" showInputMessage="1" showErrorMessage="1" sqref="B5" xr:uid="{E31567B7-DD47-4C2F-9AC7-93BFB2776136}">
      <formula1>IF(OR(VLOOKUP(B1,Weapon_List,3,FALSE)=1,VLOOKUP(B1,Weapon_List,3,FALSE)=2),Weapon_Levels_Low_Rarity,Weapon_Levels_High_Rarity)</formula1>
    </dataValidation>
    <dataValidation type="list" allowBlank="1" showInputMessage="1" showErrorMessage="1" sqref="B1" xr:uid="{3585D0F4-E2A8-4852-916F-87C039B6C542}">
      <formula1>Weapon_Name_List</formula1>
    </dataValidation>
    <dataValidation type="list" allowBlank="1" showInputMessage="1" showErrorMessage="1" sqref="C11" xr:uid="{9FABDD98-DC91-4734-9528-65ED379A2239}">
      <formula1>IF(OR(VLOOKUP(B1,Weapon_List,3,FALSE)=1,VLOOKUP(B1,Weapon_List,3,FALSE)=2),Weapon_Ascension_Low_Rarity,Weapon_Ascension_High_Rarity)</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A7267-EA10-4C1B-9FBD-561D659DE983}">
  <sheetPr codeName="Sheet16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72" priority="1" operator="containsText" text="Done">
      <formula>NOT(ISERROR(SEARCH("Done",H4)))</formula>
    </cfRule>
    <cfRule type="containsText" dxfId="371" priority="2" operator="containsText" text="In Progress">
      <formula>NOT(ISERROR(SEARCH("In Progress",H4)))</formula>
    </cfRule>
  </conditionalFormatting>
  <dataValidations count="6">
    <dataValidation type="list" allowBlank="1" showInputMessage="1" showErrorMessage="1" sqref="H4:H15" xr:uid="{C71D547A-DAA5-4F3F-968E-61771148489F}">
      <formula1>"In Progress, Done"</formula1>
    </dataValidation>
    <dataValidation type="list" allowBlank="1" showInputMessage="1" showErrorMessage="1" sqref="C10" xr:uid="{5A19AD56-A4AE-4A52-AAF1-0A22ED5539EF}">
      <formula1>IF(OR(VLOOKUP(B1,Weapon_List,3,FALSE)=1,VLOOKUP(B1,Weapon_List,3,FALSE)=2),Weapon_Ascension_Low_Rarity,Weapon_Ascension_High_Rarity)</formula1>
    </dataValidation>
    <dataValidation type="list" operator="equal" allowBlank="1" showInputMessage="1" showErrorMessage="1" sqref="B4" xr:uid="{C8420C7E-A438-4C74-B0FA-408CDF1062FA}">
      <formula1>IF(OR(VLOOKUP(B1,Weapon_List,3,FALSE)=1,VLOOKUP(B1,Weapon_List,3,FALSE)=2),Weapon_Levels_Low_Rarity,Weapon_Levels_High_Rarity)</formula1>
    </dataValidation>
    <dataValidation type="list" operator="equal" allowBlank="1" showInputMessage="1" showErrorMessage="1" sqref="B5" xr:uid="{13537BA6-5434-426F-A907-945574A696F2}">
      <formula1>IF(OR(VLOOKUP(B1,Weapon_List,3,FALSE)=1,VLOOKUP(B1,Weapon_List,3,FALSE)=2),Weapon_Levels_Low_Rarity,Weapon_Levels_High_Rarity)</formula1>
    </dataValidation>
    <dataValidation type="list" allowBlank="1" showInputMessage="1" showErrorMessage="1" sqref="B1" xr:uid="{F9C84E69-2CC8-4547-9037-854C638931C6}">
      <formula1>Weapon_Name_List</formula1>
    </dataValidation>
    <dataValidation type="list" allowBlank="1" showInputMessage="1" showErrorMessage="1" sqref="C11" xr:uid="{54587592-56DB-4E27-85F3-AAAF7CB34555}">
      <formula1>IF(OR(VLOOKUP(B1,Weapon_List,3,FALSE)=1,VLOOKUP(B1,Weapon_List,3,FALSE)=2),Weapon_Ascension_Low_Rarity,Weapon_Ascension_High_Rarity)</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BD740-9D29-400F-87AF-B059BC78D577}">
  <sheetPr codeName="Sheet16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70" priority="1" operator="containsText" text="Done">
      <formula>NOT(ISERROR(SEARCH("Done",H4)))</formula>
    </cfRule>
    <cfRule type="containsText" dxfId="369" priority="2" operator="containsText" text="In Progress">
      <formula>NOT(ISERROR(SEARCH("In Progress",H4)))</formula>
    </cfRule>
  </conditionalFormatting>
  <dataValidations count="6">
    <dataValidation type="list" allowBlank="1" showInputMessage="1" showErrorMessage="1" sqref="H4:H15" xr:uid="{86EA3AFC-2542-4673-8C87-D320799C2776}">
      <formula1>"In Progress, Done"</formula1>
    </dataValidation>
    <dataValidation type="list" allowBlank="1" showInputMessage="1" showErrorMessage="1" sqref="C10" xr:uid="{1DC96966-CA1A-4D39-9906-951C1C0C1B4B}">
      <formula1>IF(OR(VLOOKUP(B1,Weapon_List,3,FALSE)=1,VLOOKUP(B1,Weapon_List,3,FALSE)=2),Weapon_Ascension_Low_Rarity,Weapon_Ascension_High_Rarity)</formula1>
    </dataValidation>
    <dataValidation type="list" operator="equal" allowBlank="1" showInputMessage="1" showErrorMessage="1" sqref="B4" xr:uid="{8A69102D-7248-4276-8533-E8DC27DB640C}">
      <formula1>IF(OR(VLOOKUP(B1,Weapon_List,3,FALSE)=1,VLOOKUP(B1,Weapon_List,3,FALSE)=2),Weapon_Levels_Low_Rarity,Weapon_Levels_High_Rarity)</formula1>
    </dataValidation>
    <dataValidation type="list" operator="equal" allowBlank="1" showInputMessage="1" showErrorMessage="1" sqref="B5" xr:uid="{14626C30-E837-4D62-A615-204A1E0B4F19}">
      <formula1>IF(OR(VLOOKUP(B1,Weapon_List,3,FALSE)=1,VLOOKUP(B1,Weapon_List,3,FALSE)=2),Weapon_Levels_Low_Rarity,Weapon_Levels_High_Rarity)</formula1>
    </dataValidation>
    <dataValidation type="list" allowBlank="1" showInputMessage="1" showErrorMessage="1" sqref="B1" xr:uid="{022E222E-1711-4E8F-AB4E-56014097E247}">
      <formula1>Weapon_Name_List</formula1>
    </dataValidation>
    <dataValidation type="list" allowBlank="1" showInputMessage="1" showErrorMessage="1" sqref="C11" xr:uid="{76B9AD2D-1D9E-4D29-957E-D58E5868F6DA}">
      <formula1>IF(OR(VLOOKUP(B1,Weapon_List,3,FALSE)=1,VLOOKUP(B1,Weapon_List,3,FALSE)=2),Weapon_Ascension_Low_Rarity,Weapon_Ascension_High_Rarity)</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DEB6D-F7A2-4D0D-A480-84BED1808736}">
  <sheetPr codeName="Sheet158">
    <tabColor theme="4" tint="0.39997558519241921"/>
  </sheetPr>
  <dimension ref="A1:H22"/>
  <sheetViews>
    <sheetView workbookViewId="0">
      <selection activeCell="E16" sqref="E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68" priority="1" operator="containsText" text="Done">
      <formula>NOT(ISERROR(SEARCH("Done",H4)))</formula>
    </cfRule>
    <cfRule type="containsText" dxfId="367" priority="2" operator="containsText" text="In Progress">
      <formula>NOT(ISERROR(SEARCH("In Progress",H4)))</formula>
    </cfRule>
  </conditionalFormatting>
  <dataValidations count="6">
    <dataValidation type="list" allowBlank="1" showInputMessage="1" showErrorMessage="1" sqref="H4:H15" xr:uid="{224D302F-5E08-4F2E-A712-D948E0171694}">
      <formula1>"In Progress, Done"</formula1>
    </dataValidation>
    <dataValidation type="list" allowBlank="1" showInputMessage="1" showErrorMessage="1" sqref="C10" xr:uid="{96444B3B-7DE2-479A-B58E-495FD8648649}">
      <formula1>IF(OR(VLOOKUP(B1,Weapon_List,3,FALSE)=1,VLOOKUP(B1,Weapon_List,3,FALSE)=2),Weapon_Ascension_Low_Rarity,Weapon_Ascension_High_Rarity)</formula1>
    </dataValidation>
    <dataValidation type="list" operator="equal" allowBlank="1" showInputMessage="1" showErrorMessage="1" sqref="B4" xr:uid="{9A34D469-F1FD-434A-AEF4-A39D2B9B5C95}">
      <formula1>IF(OR(VLOOKUP(B1,Weapon_List,3,FALSE)=1,VLOOKUP(B1,Weapon_List,3,FALSE)=2),Weapon_Levels_Low_Rarity,Weapon_Levels_High_Rarity)</formula1>
    </dataValidation>
    <dataValidation type="list" operator="equal" allowBlank="1" showInputMessage="1" showErrorMessage="1" sqref="B5" xr:uid="{06BE6B1F-4C8E-4315-843D-0D1C8AACB7E1}">
      <formula1>IF(OR(VLOOKUP(B1,Weapon_List,3,FALSE)=1,VLOOKUP(B1,Weapon_List,3,FALSE)=2),Weapon_Levels_Low_Rarity,Weapon_Levels_High_Rarity)</formula1>
    </dataValidation>
    <dataValidation type="list" allowBlank="1" showInputMessage="1" showErrorMessage="1" sqref="B1" xr:uid="{5D02973A-1F7C-4269-AF13-8CA5F399D7A8}">
      <formula1>Weapon_Name_List</formula1>
    </dataValidation>
    <dataValidation type="list" allowBlank="1" showInputMessage="1" showErrorMessage="1" sqref="C11" xr:uid="{7DCDBEF5-DBD9-4EE4-B826-5E14BDE2B4B0}">
      <formula1>IF(OR(VLOOKUP(B1,Weapon_List,3,FALSE)=1,VLOOKUP(B1,Weapon_List,3,FALSE)=2),Weapon_Ascension_Low_Rarity,Weapon_Ascension_High_Rarity)</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ABBA3-E419-4152-A4F9-88217EA34C0C}">
  <sheetPr codeName="Sheet10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66" priority="1" operator="containsText" text="Done">
      <formula>NOT(ISERROR(SEARCH("Done",H4)))</formula>
    </cfRule>
    <cfRule type="containsText" dxfId="365" priority="2" operator="containsText" text="In Progress">
      <formula>NOT(ISERROR(SEARCH("In Progress",H4)))</formula>
    </cfRule>
  </conditionalFormatting>
  <dataValidations count="6">
    <dataValidation type="list" allowBlank="1" showInputMessage="1" showErrorMessage="1" sqref="H4:H15" xr:uid="{DA7B78C5-098B-4396-8D19-A57CD3030838}">
      <formula1>"In Progress, Done"</formula1>
    </dataValidation>
    <dataValidation type="list" allowBlank="1" showInputMessage="1" showErrorMessage="1" sqref="C10" xr:uid="{55020208-FD56-4AB5-846E-BD1C5E736B65}">
      <formula1>IF(OR(VLOOKUP(B1,Weapon_List,3,FALSE)=1,VLOOKUP(B1,Weapon_List,3,FALSE)=2),Weapon_Ascension_Low_Rarity,Weapon_Ascension_High_Rarity)</formula1>
    </dataValidation>
    <dataValidation type="list" operator="equal" allowBlank="1" showInputMessage="1" showErrorMessage="1" sqref="B4" xr:uid="{DD5654BD-1CC6-4F53-8208-1DE1774B12F3}">
      <formula1>IF(OR(VLOOKUP(B1,Weapon_List,3,FALSE)=1,VLOOKUP(B1,Weapon_List,3,FALSE)=2),Weapon_Levels_Low_Rarity,Weapon_Levels_High_Rarity)</formula1>
    </dataValidation>
    <dataValidation type="list" operator="equal" allowBlank="1" showInputMessage="1" showErrorMessage="1" sqref="B5" xr:uid="{A7181774-3F7F-432C-91ED-56D603D48245}">
      <formula1>IF(OR(VLOOKUP(B1,Weapon_List,3,FALSE)=1,VLOOKUP(B1,Weapon_List,3,FALSE)=2),Weapon_Levels_Low_Rarity,Weapon_Levels_High_Rarity)</formula1>
    </dataValidation>
    <dataValidation type="list" allowBlank="1" showInputMessage="1" showErrorMessage="1" sqref="B1" xr:uid="{F25BD4FA-05D7-4B58-ABAB-F47255694325}">
      <formula1>Weapon_Name_List</formula1>
    </dataValidation>
    <dataValidation type="list" allowBlank="1" showInputMessage="1" showErrorMessage="1" sqref="C11" xr:uid="{4A5BD9C1-4AAE-45C6-97E3-3F607E38422E}">
      <formula1>IF(OR(VLOOKUP(B1,Weapon_List,3,FALSE)=1,VLOOKUP(B1,Weapon_List,3,FALSE)=2),Weapon_Ascension_Low_Rarity,Weapon_Ascension_High_Rarity)</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7D5BE-5D67-4473-902C-1F1B6BE48101}">
  <sheetPr codeName="Sheet103">
    <tabColor theme="4" tint="0.39997558519241921"/>
  </sheetPr>
  <dimension ref="A1:H22"/>
  <sheetViews>
    <sheetView workbookViewId="0">
      <selection activeCell="H23" sqref="H2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64" priority="1" operator="containsText" text="Done">
      <formula>NOT(ISERROR(SEARCH("Done",H4)))</formula>
    </cfRule>
    <cfRule type="containsText" dxfId="363" priority="2" operator="containsText" text="In Progress">
      <formula>NOT(ISERROR(SEARCH("In Progress",H4)))</formula>
    </cfRule>
  </conditionalFormatting>
  <dataValidations count="6">
    <dataValidation type="list" allowBlank="1" showInputMessage="1" showErrorMessage="1" sqref="H4:H15" xr:uid="{AF158234-910D-4AB0-9DD1-0773628E9015}">
      <formula1>"In Progress, Done"</formula1>
    </dataValidation>
    <dataValidation type="list" allowBlank="1" showInputMessage="1" showErrorMessage="1" sqref="C10" xr:uid="{58F2B1FA-6A4A-4207-BB63-A72C5866D166}">
      <formula1>IF(OR(VLOOKUP(B1,Weapon_List,3,FALSE)=1,VLOOKUP(B1,Weapon_List,3,FALSE)=2),Weapon_Ascension_Low_Rarity,Weapon_Ascension_High_Rarity)</formula1>
    </dataValidation>
    <dataValidation type="list" operator="equal" allowBlank="1" showInputMessage="1" showErrorMessage="1" sqref="B4" xr:uid="{BFB13331-0456-4731-A236-F7473778CB08}">
      <formula1>IF(OR(VLOOKUP(B1,Weapon_List,3,FALSE)=1,VLOOKUP(B1,Weapon_List,3,FALSE)=2),Weapon_Levels_Low_Rarity,Weapon_Levels_High_Rarity)</formula1>
    </dataValidation>
    <dataValidation type="list" operator="equal" allowBlank="1" showInputMessage="1" showErrorMessage="1" sqref="B5" xr:uid="{189CBF84-30D4-4F18-9779-B158AC2D8421}">
      <formula1>IF(OR(VLOOKUP(B1,Weapon_List,3,FALSE)=1,VLOOKUP(B1,Weapon_List,3,FALSE)=2),Weapon_Levels_Low_Rarity,Weapon_Levels_High_Rarity)</formula1>
    </dataValidation>
    <dataValidation type="list" allowBlank="1" showInputMessage="1" showErrorMessage="1" sqref="B1" xr:uid="{062EF172-5F37-4104-8FBF-CBE54E6807F4}">
      <formula1>Weapon_Name_List</formula1>
    </dataValidation>
    <dataValidation type="list" allowBlank="1" showInputMessage="1" showErrorMessage="1" sqref="C11" xr:uid="{C2866324-8D1B-4EC5-9149-F3C7858261B9}">
      <formula1>IF(OR(VLOOKUP(B1,Weapon_List,3,FALSE)=1,VLOOKUP(B1,Weapon_List,3,FALSE)=2),Weapon_Ascension_Low_Rarity,Weapon_Ascension_High_Rarity)</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F0E87-5749-4F48-BDB2-D5D6E53BA325}">
  <sheetPr codeName="Sheet102">
    <tabColor theme="4" tint="0.39997558519241921"/>
  </sheetPr>
  <dimension ref="A1:H22"/>
  <sheetViews>
    <sheetView workbookViewId="0">
      <selection activeCell="J12" sqref="J1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62" priority="1" operator="containsText" text="Done">
      <formula>NOT(ISERROR(SEARCH("Done",H4)))</formula>
    </cfRule>
    <cfRule type="containsText" dxfId="361" priority="2" operator="containsText" text="In Progress">
      <formula>NOT(ISERROR(SEARCH("In Progress",H4)))</formula>
    </cfRule>
  </conditionalFormatting>
  <dataValidations count="6">
    <dataValidation type="list" allowBlank="1" showInputMessage="1" showErrorMessage="1" sqref="H4:H15" xr:uid="{B82B761F-7C61-460A-BEE3-BED9636995E8}">
      <formula1>"In Progress, Done"</formula1>
    </dataValidation>
    <dataValidation type="list" allowBlank="1" showInputMessage="1" showErrorMessage="1" sqref="C10" xr:uid="{C77D811F-0C0B-4845-BFF9-A350FDC38FFD}">
      <formula1>IF(OR(VLOOKUP(B1,Weapon_List,3,FALSE)=1,VLOOKUP(B1,Weapon_List,3,FALSE)=2),Weapon_Ascension_Low_Rarity,Weapon_Ascension_High_Rarity)</formula1>
    </dataValidation>
    <dataValidation type="list" operator="equal" allowBlank="1" showInputMessage="1" showErrorMessage="1" sqref="B4" xr:uid="{836D6E00-67C6-4635-BCC3-A4FDA83EB07E}">
      <formula1>IF(OR(VLOOKUP(B1,Weapon_List,3,FALSE)=1,VLOOKUP(B1,Weapon_List,3,FALSE)=2),Weapon_Levels_Low_Rarity,Weapon_Levels_High_Rarity)</formula1>
    </dataValidation>
    <dataValidation type="list" operator="equal" allowBlank="1" showInputMessage="1" showErrorMessage="1" sqref="B5" xr:uid="{ABB60041-DB65-4C83-879B-18759AD1B75B}">
      <formula1>IF(OR(VLOOKUP(B1,Weapon_List,3,FALSE)=1,VLOOKUP(B1,Weapon_List,3,FALSE)=2),Weapon_Levels_Low_Rarity,Weapon_Levels_High_Rarity)</formula1>
    </dataValidation>
    <dataValidation type="list" allowBlank="1" showInputMessage="1" showErrorMessage="1" sqref="B1" xr:uid="{1F3CD1A3-D739-4C30-8B79-CFF5A7267679}">
      <formula1>Weapon_Name_List</formula1>
    </dataValidation>
    <dataValidation type="list" allowBlank="1" showInputMessage="1" showErrorMessage="1" sqref="C11" xr:uid="{E606E9D2-CDAA-4A5E-9407-53B63210DB0B}">
      <formula1>IF(OR(VLOOKUP(B1,Weapon_List,3,FALSE)=1,VLOOKUP(B1,Weapon_List,3,FALSE)=2),Weapon_Ascension_Low_Rarity,Weapon_Ascension_High_Rarity)</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955BC-066D-4730-A2F4-4AA9CACB8400}">
  <sheetPr codeName="Sheet100">
    <tabColor theme="4" tint="0.39997558519241921"/>
  </sheetPr>
  <dimension ref="A1:H22"/>
  <sheetViews>
    <sheetView workbookViewId="0">
      <selection activeCell="K11" sqref="K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60" priority="1" operator="containsText" text="Done">
      <formula>NOT(ISERROR(SEARCH("Done",H4)))</formula>
    </cfRule>
    <cfRule type="containsText" dxfId="359" priority="2" operator="containsText" text="In Progress">
      <formula>NOT(ISERROR(SEARCH("In Progress",H4)))</formula>
    </cfRule>
  </conditionalFormatting>
  <dataValidations count="6">
    <dataValidation type="list" allowBlank="1" showInputMessage="1" showErrorMessage="1" sqref="H4:H15" xr:uid="{57F8997F-A64B-4C35-ABB8-CBF9476CAE93}">
      <formula1>"In Progress, Done"</formula1>
    </dataValidation>
    <dataValidation type="list" allowBlank="1" showInputMessage="1" showErrorMessage="1" sqref="C10" xr:uid="{08039288-F330-438B-A5EA-BAEF19A13F05}">
      <formula1>IF(OR(VLOOKUP(B1,Weapon_List,3,FALSE)=1,VLOOKUP(B1,Weapon_List,3,FALSE)=2),Weapon_Ascension_Low_Rarity,Weapon_Ascension_High_Rarity)</formula1>
    </dataValidation>
    <dataValidation type="list" operator="equal" allowBlank="1" showInputMessage="1" showErrorMessage="1" sqref="B4" xr:uid="{C7E641F8-2DD7-4EE2-A40E-A157D9805E6D}">
      <formula1>IF(OR(VLOOKUP(B1,Weapon_List,3,FALSE)=1,VLOOKUP(B1,Weapon_List,3,FALSE)=2),Weapon_Levels_Low_Rarity,Weapon_Levels_High_Rarity)</formula1>
    </dataValidation>
    <dataValidation type="list" operator="equal" allowBlank="1" showInputMessage="1" showErrorMessage="1" sqref="B5" xr:uid="{05E0707E-1F3C-405F-9B93-6CA7E1B49519}">
      <formula1>IF(OR(VLOOKUP(B1,Weapon_List,3,FALSE)=1,VLOOKUP(B1,Weapon_List,3,FALSE)=2),Weapon_Levels_Low_Rarity,Weapon_Levels_High_Rarity)</formula1>
    </dataValidation>
    <dataValidation type="list" allowBlank="1" showInputMessage="1" showErrorMessage="1" sqref="B1" xr:uid="{491F6D17-9778-40F0-836A-6173C3850186}">
      <formula1>Weapon_Name_List</formula1>
    </dataValidation>
    <dataValidation type="list" allowBlank="1" showInputMessage="1" showErrorMessage="1" sqref="C11" xr:uid="{25CE5D80-7617-4203-8660-4D61247C23A2}">
      <formula1>IF(OR(VLOOKUP(B1,Weapon_List,3,FALSE)=1,VLOOKUP(B1,Weapon_List,3,FALSE)=2),Weapon_Ascension_Low_Rarity,Weapon_Ascension_High_Rarity)</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CF981-9945-4037-A20B-069E77D147DE}">
  <sheetPr codeName="Sheet10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58" priority="1" operator="containsText" text="Done">
      <formula>NOT(ISERROR(SEARCH("Done",H4)))</formula>
    </cfRule>
    <cfRule type="containsText" dxfId="357" priority="2" operator="containsText" text="In Progress">
      <formula>NOT(ISERROR(SEARCH("In Progress",H4)))</formula>
    </cfRule>
  </conditionalFormatting>
  <dataValidations count="6">
    <dataValidation type="list" allowBlank="1" showInputMessage="1" showErrorMessage="1" sqref="H4:H15" xr:uid="{F53D697B-892D-4F47-9B15-0DD15930B74C}">
      <formula1>"In Progress, Done"</formula1>
    </dataValidation>
    <dataValidation type="list" allowBlank="1" showInputMessage="1" showErrorMessage="1" sqref="C10" xr:uid="{049BC6A3-EC4D-42B4-B517-44E3EDF9C1E7}">
      <formula1>IF(OR(VLOOKUP(B1,Weapon_List,3,FALSE)=1,VLOOKUP(B1,Weapon_List,3,FALSE)=2),Weapon_Ascension_Low_Rarity,Weapon_Ascension_High_Rarity)</formula1>
    </dataValidation>
    <dataValidation type="list" operator="equal" allowBlank="1" showInputMessage="1" showErrorMessage="1" sqref="B4" xr:uid="{594A6001-53AD-4F5F-BA43-E60FB1F1679B}">
      <formula1>IF(OR(VLOOKUP(B1,Weapon_List,3,FALSE)=1,VLOOKUP(B1,Weapon_List,3,FALSE)=2),Weapon_Levels_Low_Rarity,Weapon_Levels_High_Rarity)</formula1>
    </dataValidation>
    <dataValidation type="list" operator="equal" allowBlank="1" showInputMessage="1" showErrorMessage="1" sqref="B5" xr:uid="{E634C5C9-ED89-4341-B475-B9FE206BB221}">
      <formula1>IF(OR(VLOOKUP(B1,Weapon_List,3,FALSE)=1,VLOOKUP(B1,Weapon_List,3,FALSE)=2),Weapon_Levels_Low_Rarity,Weapon_Levels_High_Rarity)</formula1>
    </dataValidation>
    <dataValidation type="list" allowBlank="1" showInputMessage="1" showErrorMessage="1" sqref="B1" xr:uid="{2A0A6957-EB24-47E8-A693-80717768166A}">
      <formula1>Weapon_Name_List</formula1>
    </dataValidation>
    <dataValidation type="list" allowBlank="1" showInputMessage="1" showErrorMessage="1" sqref="C11" xr:uid="{8459C257-C8F1-4C42-A681-AC1C562C48D5}">
      <formula1>IF(OR(VLOOKUP(B1,Weapon_List,3,FALSE)=1,VLOOKUP(B1,Weapon_List,3,FALSE)=2),Weapon_Ascension_Low_Rarity,Weapon_Ascension_High_Rarity)</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785FF-0178-4DE4-B16F-B49EEA82C885}">
  <sheetPr codeName="Sheet183">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56" priority="1" operator="containsText" text="Done">
      <formula>NOT(ISERROR(SEARCH("Done",H4)))</formula>
    </cfRule>
    <cfRule type="containsText" dxfId="355" priority="2" operator="containsText" text="In Progress">
      <formula>NOT(ISERROR(SEARCH("In Progress",H4)))</formula>
    </cfRule>
  </conditionalFormatting>
  <dataValidations count="6">
    <dataValidation type="list" allowBlank="1" showInputMessage="1" showErrorMessage="1" sqref="H4:H15" xr:uid="{3471B2A2-B236-43C2-AE6D-15F9A4692A84}">
      <formula1>"In Progress, Done"</formula1>
    </dataValidation>
    <dataValidation type="list" allowBlank="1" showInputMessage="1" showErrorMessage="1" sqref="C10" xr:uid="{3B062205-367E-4B64-BDC6-FEE9B7F13DC9}">
      <formula1>IF(OR(VLOOKUP(B1,Weapon_List,3,FALSE)=1,VLOOKUP(B1,Weapon_List,3,FALSE)=2),Weapon_Ascension_Low_Rarity,Weapon_Ascension_High_Rarity)</formula1>
    </dataValidation>
    <dataValidation type="list" operator="equal" allowBlank="1" showInputMessage="1" showErrorMessage="1" sqref="B4" xr:uid="{4C038ACB-806C-4F9E-9DE8-AB08305EEA30}">
      <formula1>IF(OR(VLOOKUP(B1,Weapon_List,3,FALSE)=1,VLOOKUP(B1,Weapon_List,3,FALSE)=2),Weapon_Levels_Low_Rarity,Weapon_Levels_High_Rarity)</formula1>
    </dataValidation>
    <dataValidation type="list" operator="equal" allowBlank="1" showInputMessage="1" showErrorMessage="1" sqref="B5" xr:uid="{EE7A0FE9-A52F-4FE0-9CFD-6DAA0D74577F}">
      <formula1>IF(OR(VLOOKUP(B1,Weapon_List,3,FALSE)=1,VLOOKUP(B1,Weapon_List,3,FALSE)=2),Weapon_Levels_Low_Rarity,Weapon_Levels_High_Rarity)</formula1>
    </dataValidation>
    <dataValidation type="list" allowBlank="1" showInputMessage="1" showErrorMessage="1" sqref="B1" xr:uid="{D8BF71D1-7FEE-476E-ADE9-9557BDE43940}">
      <formula1>Weapon_Name_List</formula1>
    </dataValidation>
    <dataValidation type="list" allowBlank="1" showInputMessage="1" showErrorMessage="1" sqref="C11" xr:uid="{6774F60A-186A-40F7-85B6-6A4F243D02FF}">
      <formula1>IF(OR(VLOOKUP(B1,Weapon_List,3,FALSE)=1,VLOOKUP(B1,Weapon_List,3,FALSE)=2),Weapon_Ascension_Low_Rarity,Weapon_Ascension_High_Rarity)</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F35CE-C462-45BA-87B9-F71614C23E0C}">
  <sheetPr codeName="Sheet16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Fossilized Bone Shard</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54" priority="1" operator="containsText" text="Done">
      <formula>NOT(ISERROR(SEARCH("Done",H4)))</formula>
    </cfRule>
    <cfRule type="containsText" dxfId="353" priority="2" operator="containsText" text="In Progress">
      <formula>NOT(ISERROR(SEARCH("In Progress",H4)))</formula>
    </cfRule>
  </conditionalFormatting>
  <dataValidations count="6">
    <dataValidation type="list" allowBlank="1" showInputMessage="1" showErrorMessage="1" sqref="H4:H15" xr:uid="{40E0F6BF-8B93-437F-91D0-A9A64E307940}">
      <formula1>"In Progress, Done"</formula1>
    </dataValidation>
    <dataValidation type="list" allowBlank="1" showInputMessage="1" showErrorMessage="1" sqref="C10" xr:uid="{BBD05D28-776F-417E-B781-DE7A0204054F}">
      <formula1>IF(OR(VLOOKUP(B1,Weapon_List,3,FALSE)=1,VLOOKUP(B1,Weapon_List,3,FALSE)=2),Weapon_Ascension_Low_Rarity,Weapon_Ascension_High_Rarity)</formula1>
    </dataValidation>
    <dataValidation type="list" operator="equal" allowBlank="1" showInputMessage="1" showErrorMessage="1" sqref="B4" xr:uid="{07E82F04-AB45-4835-A423-B6B779C1C186}">
      <formula1>IF(OR(VLOOKUP(B1,Weapon_List,3,FALSE)=1,VLOOKUP(B1,Weapon_List,3,FALSE)=2),Weapon_Levels_Low_Rarity,Weapon_Levels_High_Rarity)</formula1>
    </dataValidation>
    <dataValidation type="list" operator="equal" allowBlank="1" showInputMessage="1" showErrorMessage="1" sqref="B5" xr:uid="{F84949D4-A109-438B-A1E7-0FADD57BD670}">
      <formula1>IF(OR(VLOOKUP(B1,Weapon_List,3,FALSE)=1,VLOOKUP(B1,Weapon_List,3,FALSE)=2),Weapon_Levels_Low_Rarity,Weapon_Levels_High_Rarity)</formula1>
    </dataValidation>
    <dataValidation type="list" allowBlank="1" showInputMessage="1" showErrorMessage="1" sqref="B1" xr:uid="{ACA551A8-40EF-4285-A28A-9547B26AB2C6}">
      <formula1>Weapon_Name_List</formula1>
    </dataValidation>
    <dataValidation type="list" allowBlank="1" showInputMessage="1" showErrorMessage="1" sqref="C11" xr:uid="{6BD75CAA-B9C6-41F3-ACBF-DD1CF076CCE9}">
      <formula1>IF(OR(VLOOKUP(B1,Weapon_List,3,FALSE)=1,VLOOKUP(B1,Weapon_List,3,FALSE)=2),Weapon_Ascension_Low_Rarity,Weapon_Ascension_High_Rarity)</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6F2B3-1241-4F52-B0EC-36665D4C0040}">
  <sheetPr codeName="Sheet76">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52" priority="1" operator="containsText" text="Done">
      <formula>NOT(ISERROR(SEARCH("Done",H4)))</formula>
    </cfRule>
    <cfRule type="containsText" dxfId="351" priority="2" operator="containsText" text="In Progress">
      <formula>NOT(ISERROR(SEARCH("In Progress",H4)))</formula>
    </cfRule>
  </conditionalFormatting>
  <dataValidations count="6">
    <dataValidation type="list" allowBlank="1" showInputMessage="1" showErrorMessage="1" sqref="H4:H15" xr:uid="{895C38B4-AFFC-4F36-B748-8FAF67A2F84F}">
      <formula1>"In Progress, Done"</formula1>
    </dataValidation>
    <dataValidation type="list" allowBlank="1" showInputMessage="1" showErrorMessage="1" sqref="C10" xr:uid="{F2CBE68A-33F6-431B-8316-A20391BB3069}">
      <formula1>IF(OR(VLOOKUP(B1,Weapon_List,3,FALSE)=1,VLOOKUP(B1,Weapon_List,3,FALSE)=2),Weapon_Ascension_Low_Rarity,Weapon_Ascension_High_Rarity)</formula1>
    </dataValidation>
    <dataValidation type="list" operator="equal" allowBlank="1" showInputMessage="1" showErrorMessage="1" sqref="B4" xr:uid="{7145E9C5-3DB1-4690-AC90-C8231F15669C}">
      <formula1>IF(OR(VLOOKUP(B1,Weapon_List,3,FALSE)=1,VLOOKUP(B1,Weapon_List,3,FALSE)=2),Weapon_Levels_Low_Rarity,Weapon_Levels_High_Rarity)</formula1>
    </dataValidation>
    <dataValidation type="list" operator="equal" allowBlank="1" showInputMessage="1" showErrorMessage="1" sqref="B5" xr:uid="{40CEF6FA-9FD9-4D17-AC02-3F4A971B3FB8}">
      <formula1>IF(OR(VLOOKUP(B1,Weapon_List,3,FALSE)=1,VLOOKUP(B1,Weapon_List,3,FALSE)=2),Weapon_Levels_Low_Rarity,Weapon_Levels_High_Rarity)</formula1>
    </dataValidation>
    <dataValidation type="list" allowBlank="1" showInputMessage="1" showErrorMessage="1" sqref="B1" xr:uid="{2457400E-0642-4BBB-AA1E-84638D50404A}">
      <formula1>Weapon_Name_List</formula1>
    </dataValidation>
    <dataValidation type="list" allowBlank="1" showInputMessage="1" showErrorMessage="1" sqref="C11" xr:uid="{21048666-201F-42CF-B183-E2DEA735EC58}">
      <formula1>IF(OR(VLOOKUP(B1,Weapon_List,3,FALSE)=1,VLOOKUP(B1,Weapon_List,3,FALSE)=2),Weapon_Ascension_Low_Rarity,Weapon_Ascension_High_Rarity)</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3A3C8-6BD1-41E5-936A-BBD66DDF31D3}">
  <sheetPr codeName="Sheet17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50" priority="1" operator="containsText" text="Done">
      <formula>NOT(ISERROR(SEARCH("Done",H4)))</formula>
    </cfRule>
    <cfRule type="containsText" dxfId="349" priority="2" operator="containsText" text="In Progress">
      <formula>NOT(ISERROR(SEARCH("In Progress",H4)))</formula>
    </cfRule>
  </conditionalFormatting>
  <dataValidations count="6">
    <dataValidation type="list" allowBlank="1" showInputMessage="1" showErrorMessage="1" sqref="H4:H15" xr:uid="{948CB7A8-DCDC-49D7-BA7A-171CF4EE178A}">
      <formula1>"In Progress, Done"</formula1>
    </dataValidation>
    <dataValidation type="list" allowBlank="1" showInputMessage="1" showErrorMessage="1" sqref="C10" xr:uid="{CB07F7AE-BAE4-4205-BF89-38D849FA3FA5}">
      <formula1>IF(OR(VLOOKUP(B1,Weapon_List,3,FALSE)=1,VLOOKUP(B1,Weapon_List,3,FALSE)=2),Weapon_Ascension_Low_Rarity,Weapon_Ascension_High_Rarity)</formula1>
    </dataValidation>
    <dataValidation type="list" operator="equal" allowBlank="1" showInputMessage="1" showErrorMessage="1" sqref="B4" xr:uid="{BE338912-479C-4CFD-925B-46BB534B0666}">
      <formula1>IF(OR(VLOOKUP(B1,Weapon_List,3,FALSE)=1,VLOOKUP(B1,Weapon_List,3,FALSE)=2),Weapon_Levels_Low_Rarity,Weapon_Levels_High_Rarity)</formula1>
    </dataValidation>
    <dataValidation type="list" operator="equal" allowBlank="1" showInputMessage="1" showErrorMessage="1" sqref="B5" xr:uid="{55BBADF7-EBAB-49D3-9913-5735E07F3998}">
      <formula1>IF(OR(VLOOKUP(B1,Weapon_List,3,FALSE)=1,VLOOKUP(B1,Weapon_List,3,FALSE)=2),Weapon_Levels_Low_Rarity,Weapon_Levels_High_Rarity)</formula1>
    </dataValidation>
    <dataValidation type="list" allowBlank="1" showInputMessage="1" showErrorMessage="1" sqref="B1" xr:uid="{D675FA25-6BCA-483F-91E0-C18D55CADE0B}">
      <formula1>Weapon_Name_List</formula1>
    </dataValidation>
    <dataValidation type="list" allowBlank="1" showInputMessage="1" showErrorMessage="1" sqref="C11" xr:uid="{67B69F7B-235A-440E-8344-B0E769153453}">
      <formula1>IF(OR(VLOOKUP(B1,Weapon_List,3,FALSE)=1,VLOOKUP(B1,Weapon_List,3,FALSE)=2),Weapon_Ascension_Low_Rarity,Weapon_Ascension_High_Rarity)</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13B7B-84C1-4601-9C9D-5ABD8EF8B9F7}">
  <sheetPr codeName="Sheet185">
    <tabColor theme="4" tint="0.39997558519241921"/>
  </sheetPr>
  <dimension ref="A1:H22"/>
  <sheetViews>
    <sheetView workbookViewId="0">
      <selection activeCell="F22" sqref="F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48" priority="1" operator="containsText" text="Done">
      <formula>NOT(ISERROR(SEARCH("Done",H4)))</formula>
    </cfRule>
    <cfRule type="containsText" dxfId="347" priority="2" operator="containsText" text="In Progress">
      <formula>NOT(ISERROR(SEARCH("In Progress",H4)))</formula>
    </cfRule>
  </conditionalFormatting>
  <dataValidations count="6">
    <dataValidation type="list" allowBlank="1" showInputMessage="1" showErrorMessage="1" sqref="H4:H15" xr:uid="{29978589-580B-4B71-B002-31EF22241B2C}">
      <formula1>"In Progress, Done"</formula1>
    </dataValidation>
    <dataValidation type="list" allowBlank="1" showInputMessage="1" showErrorMessage="1" sqref="C10" xr:uid="{2CE478F5-E53D-4A24-AE56-DB1C8F85BECE}">
      <formula1>IF(OR(VLOOKUP(B1,Weapon_List,3,FALSE)=1,VLOOKUP(B1,Weapon_List,3,FALSE)=2),Weapon_Ascension_Low_Rarity,Weapon_Ascension_High_Rarity)</formula1>
    </dataValidation>
    <dataValidation type="list" operator="equal" allowBlank="1" showInputMessage="1" showErrorMessage="1" sqref="B4" xr:uid="{89A990AE-A521-4902-B953-4DC0F17D75D9}">
      <formula1>IF(OR(VLOOKUP(B1,Weapon_List,3,FALSE)=1,VLOOKUP(B1,Weapon_List,3,FALSE)=2),Weapon_Levels_Low_Rarity,Weapon_Levels_High_Rarity)</formula1>
    </dataValidation>
    <dataValidation type="list" operator="equal" allowBlank="1" showInputMessage="1" showErrorMessage="1" sqref="B5" xr:uid="{B2977A79-ED67-4852-BF9C-7A04F1860F0C}">
      <formula1>IF(OR(VLOOKUP(B1,Weapon_List,3,FALSE)=1,VLOOKUP(B1,Weapon_List,3,FALSE)=2),Weapon_Levels_Low_Rarity,Weapon_Levels_High_Rarity)</formula1>
    </dataValidation>
    <dataValidation type="list" allowBlank="1" showInputMessage="1" showErrorMessage="1" sqref="B1" xr:uid="{A2082033-33ED-48E9-9C89-A1C04163CED9}">
      <formula1>Weapon_Name_List</formula1>
    </dataValidation>
    <dataValidation type="list" allowBlank="1" showInputMessage="1" showErrorMessage="1" sqref="C11" xr:uid="{4D592F08-5362-4080-82DA-C68755D61731}">
      <formula1>IF(OR(VLOOKUP(B1,Weapon_List,3,FALSE)=1,VLOOKUP(B1,Weapon_List,3,FALSE)=2),Weapon_Ascension_Low_Rarity,Weapon_Ascension_High_Rarity)</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3252E-2DDB-4A90-9B6D-6C5C9FB1D85F}">
  <sheetPr codeName="Sheet153">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46" priority="1" operator="containsText" text="Done">
      <formula>NOT(ISERROR(SEARCH("Done",H4)))</formula>
    </cfRule>
    <cfRule type="containsText" dxfId="345" priority="2" operator="containsText" text="In Progress">
      <formula>NOT(ISERROR(SEARCH("In Progress",H4)))</formula>
    </cfRule>
  </conditionalFormatting>
  <dataValidations count="6">
    <dataValidation type="list" allowBlank="1" showInputMessage="1" showErrorMessage="1" sqref="H4:H15" xr:uid="{2092F7CF-F698-4DDF-A3B2-D61D2E3E83CB}">
      <formula1>"In Progress, Done"</formula1>
    </dataValidation>
    <dataValidation type="list" allowBlank="1" showInputMessage="1" showErrorMessage="1" sqref="C10" xr:uid="{FC4AE9C6-1BDF-47F8-916B-15DB1A74B774}">
      <formula1>IF(OR(VLOOKUP(B1,Weapon_List,3,FALSE)=1,VLOOKUP(B1,Weapon_List,3,FALSE)=2),Weapon_Ascension_Low_Rarity,Weapon_Ascension_High_Rarity)</formula1>
    </dataValidation>
    <dataValidation type="list" operator="equal" allowBlank="1" showInputMessage="1" showErrorMessage="1" sqref="B4" xr:uid="{603BBE64-D90A-411B-A88D-91CAF78FDDF3}">
      <formula1>IF(OR(VLOOKUP(B1,Weapon_List,3,FALSE)=1,VLOOKUP(B1,Weapon_List,3,FALSE)=2),Weapon_Levels_Low_Rarity,Weapon_Levels_High_Rarity)</formula1>
    </dataValidation>
    <dataValidation type="list" operator="equal" allowBlank="1" showInputMessage="1" showErrorMessage="1" sqref="B5" xr:uid="{5F08F27C-1105-49B3-A9CC-A70FAC4B1616}">
      <formula1>IF(OR(VLOOKUP(B1,Weapon_List,3,FALSE)=1,VLOOKUP(B1,Weapon_List,3,FALSE)=2),Weapon_Levels_Low_Rarity,Weapon_Levels_High_Rarity)</formula1>
    </dataValidation>
    <dataValidation type="list" allowBlank="1" showInputMessage="1" showErrorMessage="1" sqref="B1" xr:uid="{262EFB3C-E536-4BC1-8DB7-E6E3036131B1}">
      <formula1>Weapon_Name_List</formula1>
    </dataValidation>
    <dataValidation type="list" allowBlank="1" showInputMessage="1" showErrorMessage="1" sqref="C11" xr:uid="{9EB977DD-B5C3-4D8B-A968-6A100D449D3D}">
      <formula1>IF(OR(VLOOKUP(B1,Weapon_List,3,FALSE)=1,VLOOKUP(B1,Weapon_List,3,FALSE)=2),Weapon_Ascension_Low_Rarity,Weapon_Ascension_High_Rarity)</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122C8-9D7E-45EF-8E4E-7F0E3C8ECC9B}">
  <sheetPr codeName="Sheet151">
    <tabColor theme="4" tint="0.39997558519241921"/>
  </sheetPr>
  <dimension ref="A1:H22"/>
  <sheetViews>
    <sheetView workbookViewId="0">
      <selection activeCell="G18" sqref="G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Fossilized Bone Shard</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44" priority="1" operator="containsText" text="Done">
      <formula>NOT(ISERROR(SEARCH("Done",H4)))</formula>
    </cfRule>
    <cfRule type="containsText" dxfId="343" priority="2" operator="containsText" text="In Progress">
      <formula>NOT(ISERROR(SEARCH("In Progress",H4)))</formula>
    </cfRule>
  </conditionalFormatting>
  <dataValidations count="6">
    <dataValidation type="list" allowBlank="1" showInputMessage="1" showErrorMessage="1" sqref="H4:H15" xr:uid="{846FB811-8019-44E1-8269-CC9689891D85}">
      <formula1>"In Progress, Done"</formula1>
    </dataValidation>
    <dataValidation type="list" allowBlank="1" showInputMessage="1" showErrorMessage="1" sqref="C10" xr:uid="{87AE270A-2EF0-4FDD-AF94-191D2B33AF0D}">
      <formula1>IF(OR(VLOOKUP(B1,Weapon_List,3,FALSE)=1,VLOOKUP(B1,Weapon_List,3,FALSE)=2),Weapon_Ascension_Low_Rarity,Weapon_Ascension_High_Rarity)</formula1>
    </dataValidation>
    <dataValidation type="list" operator="equal" allowBlank="1" showInputMessage="1" showErrorMessage="1" sqref="B4" xr:uid="{1DACDC72-88D9-4CBD-A044-58A3CFEBE44A}">
      <formula1>IF(OR(VLOOKUP(B1,Weapon_List,3,FALSE)=1,VLOOKUP(B1,Weapon_List,3,FALSE)=2),Weapon_Levels_Low_Rarity,Weapon_Levels_High_Rarity)</formula1>
    </dataValidation>
    <dataValidation type="list" operator="equal" allowBlank="1" showInputMessage="1" showErrorMessage="1" sqref="B5" xr:uid="{3D753F62-A993-4FD9-AD72-81992A05ABF8}">
      <formula1>IF(OR(VLOOKUP(B1,Weapon_List,3,FALSE)=1,VLOOKUP(B1,Weapon_List,3,FALSE)=2),Weapon_Levels_Low_Rarity,Weapon_Levels_High_Rarity)</formula1>
    </dataValidation>
    <dataValidation type="list" allowBlank="1" showInputMessage="1" showErrorMessage="1" sqref="B1" xr:uid="{6A76A738-BE5B-415A-8D3B-B5553ED86FF5}">
      <formula1>Weapon_Name_List</formula1>
    </dataValidation>
    <dataValidation type="list" allowBlank="1" showInputMessage="1" showErrorMessage="1" sqref="C11" xr:uid="{D5CA5767-6356-4A63-9EE1-780B731A07F6}">
      <formula1>IF(OR(VLOOKUP(B1,Weapon_List,3,FALSE)=1,VLOOKUP(B1,Weapon_List,3,FALSE)=2),Weapon_Ascension_Low_Rarity,Weapon_Ascension_High_Rarity)</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C1582-4D5C-4C84-9AAB-C9692F1CACE4}">
  <sheetPr codeName="Sheet15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Fossilized Bone Shard</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42" priority="1" operator="containsText" text="Done">
      <formula>NOT(ISERROR(SEARCH("Done",H4)))</formula>
    </cfRule>
    <cfRule type="containsText" dxfId="341" priority="2" operator="containsText" text="In Progress">
      <formula>NOT(ISERROR(SEARCH("In Progress",H4)))</formula>
    </cfRule>
  </conditionalFormatting>
  <dataValidations count="6">
    <dataValidation type="list" allowBlank="1" showInputMessage="1" showErrorMessage="1" sqref="H4:H15" xr:uid="{B42855FE-E798-4C9F-85DD-72B5D779E9B7}">
      <formula1>"In Progress, Done"</formula1>
    </dataValidation>
    <dataValidation type="list" allowBlank="1" showInputMessage="1" showErrorMessage="1" sqref="C10" xr:uid="{1CF3E460-557A-4884-B90E-8E3BE33EED6C}">
      <formula1>IF(OR(VLOOKUP(B1,Weapon_List,3,FALSE)=1,VLOOKUP(B1,Weapon_List,3,FALSE)=2),Weapon_Ascension_Low_Rarity,Weapon_Ascension_High_Rarity)</formula1>
    </dataValidation>
    <dataValidation type="list" operator="equal" allowBlank="1" showInputMessage="1" showErrorMessage="1" sqref="B4" xr:uid="{467D82BB-478B-4AB8-8E76-264A81058D36}">
      <formula1>IF(OR(VLOOKUP(B1,Weapon_List,3,FALSE)=1,VLOOKUP(B1,Weapon_List,3,FALSE)=2),Weapon_Levels_Low_Rarity,Weapon_Levels_High_Rarity)</formula1>
    </dataValidation>
    <dataValidation type="list" operator="equal" allowBlank="1" showInputMessage="1" showErrorMessage="1" sqref="B5" xr:uid="{CB538375-497E-4A1F-BE1B-69D801EB6843}">
      <formula1>IF(OR(VLOOKUP(B1,Weapon_List,3,FALSE)=1,VLOOKUP(B1,Weapon_List,3,FALSE)=2),Weapon_Levels_Low_Rarity,Weapon_Levels_High_Rarity)</formula1>
    </dataValidation>
    <dataValidation type="list" allowBlank="1" showInputMessage="1" showErrorMessage="1" sqref="B1" xr:uid="{24BD48C7-B49F-4C71-930D-47D71ED88E1B}">
      <formula1>Weapon_Name_List</formula1>
    </dataValidation>
    <dataValidation type="list" allowBlank="1" showInputMessage="1" showErrorMessage="1" sqref="C11" xr:uid="{78B5FCBE-AAE9-4BAA-AB57-895D10EB53AE}">
      <formula1>IF(OR(VLOOKUP(B1,Weapon_List,3,FALSE)=1,VLOOKUP(B1,Weapon_List,3,FALSE)=2),Weapon_Ascension_Low_Rarity,Weapon_Ascension_High_Rarity)</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064D2-D9B0-4852-A6D3-B9F15BF4B0A8}">
  <sheetPr codeName="Sheet150">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40" priority="1" operator="containsText" text="Done">
      <formula>NOT(ISERROR(SEARCH("Done",H4)))</formula>
    </cfRule>
    <cfRule type="containsText" dxfId="339" priority="2" operator="containsText" text="In Progress">
      <formula>NOT(ISERROR(SEARCH("In Progress",H4)))</formula>
    </cfRule>
  </conditionalFormatting>
  <dataValidations count="6">
    <dataValidation type="list" allowBlank="1" showInputMessage="1" showErrorMessage="1" sqref="H4:H15" xr:uid="{DEBBE71D-859B-4D45-B585-E308E38B11C4}">
      <formula1>"In Progress, Done"</formula1>
    </dataValidation>
    <dataValidation type="list" allowBlank="1" showInputMessage="1" showErrorMessage="1" sqref="C10" xr:uid="{6AEE2B89-0402-46EA-8766-3F2C5FBCBCDA}">
      <formula1>IF(OR(VLOOKUP(B1,Weapon_List,3,FALSE)=1,VLOOKUP(B1,Weapon_List,3,FALSE)=2),Weapon_Ascension_Low_Rarity,Weapon_Ascension_High_Rarity)</formula1>
    </dataValidation>
    <dataValidation type="list" operator="equal" allowBlank="1" showInputMessage="1" showErrorMessage="1" sqref="B4" xr:uid="{AB42B263-1748-4889-B752-907731C0DF43}">
      <formula1>IF(OR(VLOOKUP(B1,Weapon_List,3,FALSE)=1,VLOOKUP(B1,Weapon_List,3,FALSE)=2),Weapon_Levels_Low_Rarity,Weapon_Levels_High_Rarity)</formula1>
    </dataValidation>
    <dataValidation type="list" operator="equal" allowBlank="1" showInputMessage="1" showErrorMessage="1" sqref="B5" xr:uid="{4475DDC1-DCB7-44AA-B72E-B1CE36043C30}">
      <formula1>IF(OR(VLOOKUP(B1,Weapon_List,3,FALSE)=1,VLOOKUP(B1,Weapon_List,3,FALSE)=2),Weapon_Levels_Low_Rarity,Weapon_Levels_High_Rarity)</formula1>
    </dataValidation>
    <dataValidation type="list" allowBlank="1" showInputMessage="1" showErrorMessage="1" sqref="B1" xr:uid="{7F168929-7827-4FE6-8CEE-C9EB987AB752}">
      <formula1>Weapon_Name_List</formula1>
    </dataValidation>
    <dataValidation type="list" allowBlank="1" showInputMessage="1" showErrorMessage="1" sqref="C11" xr:uid="{4B964C8A-5816-469A-B0A0-DCE74FA02926}">
      <formula1>IF(OR(VLOOKUP(B1,Weapon_List,3,FALSE)=1,VLOOKUP(B1,Weapon_List,3,FALSE)=2),Weapon_Ascension_Low_Rarity,Weapon_Ascension_High_Rarity)</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D57B-F56E-4E0D-BEB0-7496FB765739}">
  <sheetPr codeName="Sheet132">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Fossilized Bone Shard</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38" priority="1" operator="containsText" text="Done">
      <formula>NOT(ISERROR(SEARCH("Done",H4)))</formula>
    </cfRule>
    <cfRule type="containsText" dxfId="337" priority="2" operator="containsText" text="In Progress">
      <formula>NOT(ISERROR(SEARCH("In Progress",H4)))</formula>
    </cfRule>
  </conditionalFormatting>
  <dataValidations count="6">
    <dataValidation type="list" allowBlank="1" showInputMessage="1" showErrorMessage="1" sqref="H4:H15" xr:uid="{9C250D5B-151C-4F8E-A0B6-3F7A8783F6E7}">
      <formula1>"In Progress, Done"</formula1>
    </dataValidation>
    <dataValidation type="list" allowBlank="1" showInputMessage="1" showErrorMessage="1" sqref="C10" xr:uid="{4534A586-0E8D-4BDC-AE26-47FC00478D43}">
      <formula1>IF(OR(VLOOKUP(B1,Weapon_List,3,FALSE)=1,VLOOKUP(B1,Weapon_List,3,FALSE)=2),Weapon_Ascension_Low_Rarity,Weapon_Ascension_High_Rarity)</formula1>
    </dataValidation>
    <dataValidation type="list" operator="equal" allowBlank="1" showInputMessage="1" showErrorMessage="1" sqref="B4" xr:uid="{32AAC95D-34E8-4735-A652-E40E65C7BAE5}">
      <formula1>IF(OR(VLOOKUP(B1,Weapon_List,3,FALSE)=1,VLOOKUP(B1,Weapon_List,3,FALSE)=2),Weapon_Levels_Low_Rarity,Weapon_Levels_High_Rarity)</formula1>
    </dataValidation>
    <dataValidation type="list" operator="equal" allowBlank="1" showInputMessage="1" showErrorMessage="1" sqref="B5" xr:uid="{BAB57993-C214-4D27-A7D3-6F0E52807406}">
      <formula1>IF(OR(VLOOKUP(B1,Weapon_List,3,FALSE)=1,VLOOKUP(B1,Weapon_List,3,FALSE)=2),Weapon_Levels_Low_Rarity,Weapon_Levels_High_Rarity)</formula1>
    </dataValidation>
    <dataValidation type="list" allowBlank="1" showInputMessage="1" showErrorMessage="1" sqref="B1" xr:uid="{C52D7751-48FF-475D-900D-44D97D00C375}">
      <formula1>Weapon_Name_List</formula1>
    </dataValidation>
    <dataValidation type="list" allowBlank="1" showInputMessage="1" showErrorMessage="1" sqref="C11" xr:uid="{46B757E7-E9DE-424C-8034-4E1A883435DC}">
      <formula1>IF(OR(VLOOKUP(B1,Weapon_List,3,FALSE)=1,VLOOKUP(B1,Weapon_List,3,FALSE)=2),Weapon_Ascension_Low_Rarity,Weapon_Ascension_High_Rarity)</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6FE0E-E35E-43E9-9412-9946FB74C0AE}">
  <sheetPr codeName="Sheet194">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36" priority="1" operator="containsText" text="Done">
      <formula>NOT(ISERROR(SEARCH("Done",H4)))</formula>
    </cfRule>
    <cfRule type="containsText" dxfId="335" priority="2" operator="containsText" text="In Progress">
      <formula>NOT(ISERROR(SEARCH("In Progress",H4)))</formula>
    </cfRule>
  </conditionalFormatting>
  <dataValidations count="6">
    <dataValidation type="list" allowBlank="1" showInputMessage="1" showErrorMessage="1" sqref="H4:H15" xr:uid="{C918CF99-1A9B-46A8-B1FE-F98AC7AB2351}">
      <formula1>"In Progress, Done"</formula1>
    </dataValidation>
    <dataValidation type="list" allowBlank="1" showInputMessage="1" showErrorMessage="1" sqref="C10" xr:uid="{94CB637E-F705-447A-9B67-AB902D7B6563}">
      <formula1>IF(OR(VLOOKUP(B1,Weapon_List,3,FALSE)=1,VLOOKUP(B1,Weapon_List,3,FALSE)=2),Weapon_Ascension_Low_Rarity,Weapon_Ascension_High_Rarity)</formula1>
    </dataValidation>
    <dataValidation type="list" operator="equal" allowBlank="1" showInputMessage="1" showErrorMessage="1" sqref="B4" xr:uid="{529D1980-0EC2-4FD7-848E-D4F303CBA3EB}">
      <formula1>IF(OR(VLOOKUP(B1,Weapon_List,3,FALSE)=1,VLOOKUP(B1,Weapon_List,3,FALSE)=2),Weapon_Levels_Low_Rarity,Weapon_Levels_High_Rarity)</formula1>
    </dataValidation>
    <dataValidation type="list" operator="equal" allowBlank="1" showInputMessage="1" showErrorMessage="1" sqref="B5" xr:uid="{3B746444-41E1-47CA-B4A3-B447DE97AFAD}">
      <formula1>IF(OR(VLOOKUP(B1,Weapon_List,3,FALSE)=1,VLOOKUP(B1,Weapon_List,3,FALSE)=2),Weapon_Levels_Low_Rarity,Weapon_Levels_High_Rarity)</formula1>
    </dataValidation>
    <dataValidation type="list" allowBlank="1" showInputMessage="1" showErrorMessage="1" sqref="B1" xr:uid="{DB00A403-1F55-4526-AFF8-94929BF65402}">
      <formula1>Weapon_Name_List</formula1>
    </dataValidation>
    <dataValidation type="list" allowBlank="1" showInputMessage="1" showErrorMessage="1" sqref="C11" xr:uid="{0855D499-6104-44DA-93AB-A30771CFE582}">
      <formula1>IF(OR(VLOOKUP(B1,Weapon_List,3,FALSE)=1,VLOOKUP(B1,Weapon_List,3,FALSE)=2),Weapon_Ascension_Low_Rarity,Weapon_Ascension_High_Rarity)</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8B0DA-A167-4B13-AFDE-98E353E68DCC}">
  <sheetPr codeName="Sheet15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34" priority="1" operator="containsText" text="Done">
      <formula>NOT(ISERROR(SEARCH("Done",H4)))</formula>
    </cfRule>
    <cfRule type="containsText" dxfId="333" priority="2" operator="containsText" text="In Progress">
      <formula>NOT(ISERROR(SEARCH("In Progress",H4)))</formula>
    </cfRule>
  </conditionalFormatting>
  <dataValidations count="6">
    <dataValidation type="list" allowBlank="1" showInputMessage="1" showErrorMessage="1" sqref="H4:H15" xr:uid="{0471298A-A1DB-408F-B2D4-04A8BDDBE831}">
      <formula1>"In Progress, Done"</formula1>
    </dataValidation>
    <dataValidation type="list" allowBlank="1" showInputMessage="1" showErrorMessage="1" sqref="C10" xr:uid="{C9EC1ED3-76D1-42CA-BCDF-088FC7EA77BB}">
      <formula1>IF(OR(VLOOKUP(B1,Weapon_List,3,FALSE)=1,VLOOKUP(B1,Weapon_List,3,FALSE)=2),Weapon_Ascension_Low_Rarity,Weapon_Ascension_High_Rarity)</formula1>
    </dataValidation>
    <dataValidation type="list" operator="equal" allowBlank="1" showInputMessage="1" showErrorMessage="1" sqref="B4" xr:uid="{BDEF7257-921B-4888-BDF1-01762C76EF75}">
      <formula1>IF(OR(VLOOKUP(B1,Weapon_List,3,FALSE)=1,VLOOKUP(B1,Weapon_List,3,FALSE)=2),Weapon_Levels_Low_Rarity,Weapon_Levels_High_Rarity)</formula1>
    </dataValidation>
    <dataValidation type="list" operator="equal" allowBlank="1" showInputMessage="1" showErrorMessage="1" sqref="B5" xr:uid="{28DCA690-C6F7-4180-BF79-2D2267DF1053}">
      <formula1>IF(OR(VLOOKUP(B1,Weapon_List,3,FALSE)=1,VLOOKUP(B1,Weapon_List,3,FALSE)=2),Weapon_Levels_Low_Rarity,Weapon_Levels_High_Rarity)</formula1>
    </dataValidation>
    <dataValidation type="list" allowBlank="1" showInputMessage="1" showErrorMessage="1" sqref="B1" xr:uid="{D76F484C-B991-44CC-9765-1960C18362A2}">
      <formula1>Weapon_Name_List</formula1>
    </dataValidation>
    <dataValidation type="list" allowBlank="1" showInputMessage="1" showErrorMessage="1" sqref="C11" xr:uid="{89CFB52E-CA31-42FF-AC7E-DD110066AF72}">
      <formula1>IF(OR(VLOOKUP(B1,Weapon_List,3,FALSE)=1,VLOOKUP(B1,Weapon_List,3,FALSE)=2),Weapon_Ascension_Low_Rarity,Weapon_Ascension_High_Rarity)</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D99A0-A2DA-4656-A8AE-BA37E6436B52}">
  <sheetPr codeName="Sheet108">
    <tabColor theme="4" tint="0.39997558519241921"/>
  </sheetPr>
  <dimension ref="A1:H22"/>
  <sheetViews>
    <sheetView workbookViewId="0">
      <selection activeCell="F15" sqref="F1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32" priority="1" operator="containsText" text="Done">
      <formula>NOT(ISERROR(SEARCH("Done",H4)))</formula>
    </cfRule>
    <cfRule type="containsText" dxfId="331" priority="2" operator="containsText" text="In Progress">
      <formula>NOT(ISERROR(SEARCH("In Progress",H4)))</formula>
    </cfRule>
  </conditionalFormatting>
  <dataValidations count="6">
    <dataValidation type="list" allowBlank="1" showInputMessage="1" showErrorMessage="1" sqref="H4:H15" xr:uid="{C3BF24DC-D89F-4071-86A2-C2D9E1C87519}">
      <formula1>"In Progress, Done"</formula1>
    </dataValidation>
    <dataValidation type="list" allowBlank="1" showInputMessage="1" showErrorMessage="1" sqref="C10" xr:uid="{34D575B1-16E5-4566-AF2B-C80477759EEC}">
      <formula1>IF(OR(VLOOKUP(B1,Weapon_List,3,FALSE)=1,VLOOKUP(B1,Weapon_List,3,FALSE)=2),Weapon_Ascension_Low_Rarity,Weapon_Ascension_High_Rarity)</formula1>
    </dataValidation>
    <dataValidation type="list" operator="equal" allowBlank="1" showInputMessage="1" showErrorMessage="1" sqref="B4" xr:uid="{62F7FE6C-DD51-421B-8E45-FB225FC7C85B}">
      <formula1>IF(OR(VLOOKUP(B1,Weapon_List,3,FALSE)=1,VLOOKUP(B1,Weapon_List,3,FALSE)=2),Weapon_Levels_Low_Rarity,Weapon_Levels_High_Rarity)</formula1>
    </dataValidation>
    <dataValidation type="list" operator="equal" allowBlank="1" showInputMessage="1" showErrorMessage="1" sqref="B5" xr:uid="{9F2BC9E1-CC40-45DA-B065-A1D95ABFE42A}">
      <formula1>IF(OR(VLOOKUP(B1,Weapon_List,3,FALSE)=1,VLOOKUP(B1,Weapon_List,3,FALSE)=2),Weapon_Levels_Low_Rarity,Weapon_Levels_High_Rarity)</formula1>
    </dataValidation>
    <dataValidation type="list" allowBlank="1" showInputMessage="1" showErrorMessage="1" sqref="B1" xr:uid="{2167F31F-8FD6-4AFE-B7FD-47E16A0920F6}">
      <formula1>Weapon_Name_List</formula1>
    </dataValidation>
    <dataValidation type="list" allowBlank="1" showInputMessage="1" showErrorMessage="1" sqref="C11" xr:uid="{79919418-A422-4BD8-8A91-0048DD2CE0C4}">
      <formula1>IF(OR(VLOOKUP(B1,Weapon_List,3,FALSE)=1,VLOOKUP(B1,Weapon_List,3,FALSE)=2),Weapon_Ascension_Low_Rarity,Weapon_Ascension_High_Rarity)</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0BF3D-7E7B-4F92-A1BB-36896B115C9C}">
  <sheetPr codeName="Sheet140">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Fossilized Bone Shard</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30" priority="1" operator="containsText" text="Done">
      <formula>NOT(ISERROR(SEARCH("Done",H4)))</formula>
    </cfRule>
    <cfRule type="containsText" dxfId="329" priority="2" operator="containsText" text="In Progress">
      <formula>NOT(ISERROR(SEARCH("In Progress",H4)))</formula>
    </cfRule>
  </conditionalFormatting>
  <dataValidations count="6">
    <dataValidation type="list" allowBlank="1" showInputMessage="1" showErrorMessage="1" sqref="H4:H15" xr:uid="{85A21E8D-FD5A-4090-9730-F1B9D82EB3C1}">
      <formula1>"In Progress, Done"</formula1>
    </dataValidation>
    <dataValidation type="list" allowBlank="1" showInputMessage="1" showErrorMessage="1" sqref="C10" xr:uid="{4165BC72-DAE3-4D41-A1CE-53B59B117A92}">
      <formula1>IF(OR(VLOOKUP(B1,Weapon_List,3,FALSE)=1,VLOOKUP(B1,Weapon_List,3,FALSE)=2),Weapon_Ascension_Low_Rarity,Weapon_Ascension_High_Rarity)</formula1>
    </dataValidation>
    <dataValidation type="list" operator="equal" allowBlank="1" showInputMessage="1" showErrorMessage="1" sqref="B4" xr:uid="{76B80663-199C-4D90-8586-E03A1CAF4BD5}">
      <formula1>IF(OR(VLOOKUP(B1,Weapon_List,3,FALSE)=1,VLOOKUP(B1,Weapon_List,3,FALSE)=2),Weapon_Levels_Low_Rarity,Weapon_Levels_High_Rarity)</formula1>
    </dataValidation>
    <dataValidation type="list" operator="equal" allowBlank="1" showInputMessage="1" showErrorMessage="1" sqref="B5" xr:uid="{1C65BB07-C583-48C8-93C6-F13288ECC9C0}">
      <formula1>IF(OR(VLOOKUP(B1,Weapon_List,3,FALSE)=1,VLOOKUP(B1,Weapon_List,3,FALSE)=2),Weapon_Levels_Low_Rarity,Weapon_Levels_High_Rarity)</formula1>
    </dataValidation>
    <dataValidation type="list" allowBlank="1" showInputMessage="1" showErrorMessage="1" sqref="B1" xr:uid="{3F3AEF9E-FAB8-486A-977E-F74F659BFE52}">
      <formula1>Weapon_Name_List</formula1>
    </dataValidation>
    <dataValidation type="list" allowBlank="1" showInputMessage="1" showErrorMessage="1" sqref="C11" xr:uid="{7776E580-5310-4CF1-80BA-6532C4FE4A7E}">
      <formula1>IF(OR(VLOOKUP(B1,Weapon_List,3,FALSE)=1,VLOOKUP(B1,Weapon_List,3,FALSE)=2),Weapon_Ascension_Low_Rarity,Weapon_Ascension_High_Rarity)</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B493E-A6BC-4A09-A9FF-995C1F27F70C}">
  <sheetPr codeName="Sheet10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Fossilized Bone Shard</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28" priority="1" operator="containsText" text="Done">
      <formula>NOT(ISERROR(SEARCH("Done",H4)))</formula>
    </cfRule>
    <cfRule type="containsText" dxfId="327" priority="2" operator="containsText" text="In Progress">
      <formula>NOT(ISERROR(SEARCH("In Progress",H4)))</formula>
    </cfRule>
  </conditionalFormatting>
  <dataValidations count="6">
    <dataValidation type="list" allowBlank="1" showInputMessage="1" showErrorMessage="1" sqref="H4:H15" xr:uid="{BB96D8F1-E889-4BAA-98B2-2F269A0F2978}">
      <formula1>"In Progress, Done"</formula1>
    </dataValidation>
    <dataValidation type="list" allowBlank="1" showInputMessage="1" showErrorMessage="1" sqref="C10" xr:uid="{3EBFD8C0-EB8A-4DF8-B4CB-B8EC518115C0}">
      <formula1>IF(OR(VLOOKUP(B1,Weapon_List,3,FALSE)=1,VLOOKUP(B1,Weapon_List,3,FALSE)=2),Weapon_Ascension_Low_Rarity,Weapon_Ascension_High_Rarity)</formula1>
    </dataValidation>
    <dataValidation type="list" operator="equal" allowBlank="1" showInputMessage="1" showErrorMessage="1" sqref="B4" xr:uid="{978506C5-407B-4744-8F05-799AD7C84EF4}">
      <formula1>IF(OR(VLOOKUP(B1,Weapon_List,3,FALSE)=1,VLOOKUP(B1,Weapon_List,3,FALSE)=2),Weapon_Levels_Low_Rarity,Weapon_Levels_High_Rarity)</formula1>
    </dataValidation>
    <dataValidation type="list" operator="equal" allowBlank="1" showInputMessage="1" showErrorMessage="1" sqref="B5" xr:uid="{82845F3F-E330-440F-B90D-28B78F7D350F}">
      <formula1>IF(OR(VLOOKUP(B1,Weapon_List,3,FALSE)=1,VLOOKUP(B1,Weapon_List,3,FALSE)=2),Weapon_Levels_Low_Rarity,Weapon_Levels_High_Rarity)</formula1>
    </dataValidation>
    <dataValidation type="list" allowBlank="1" showInputMessage="1" showErrorMessage="1" sqref="B1" xr:uid="{800D6B62-6149-4869-BCC6-073F3B30559E}">
      <formula1>Weapon_Name_List</formula1>
    </dataValidation>
    <dataValidation type="list" allowBlank="1" showInputMessage="1" showErrorMessage="1" sqref="C11" xr:uid="{B395E5B7-283D-4467-92D5-1DBADD4513C8}">
      <formula1>IF(OR(VLOOKUP(B1,Weapon_List,3,FALSE)=1,VLOOKUP(B1,Weapon_List,3,FALSE)=2),Weapon_Ascension_Low_Rarity,Weapon_Ascension_High_Rarity)</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3742C-D0AA-42EB-9028-E954FE8DBD5A}">
  <sheetPr codeName="Sheet11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26" priority="1" operator="containsText" text="Done">
      <formula>NOT(ISERROR(SEARCH("Done",H4)))</formula>
    </cfRule>
    <cfRule type="containsText" dxfId="325" priority="2" operator="containsText" text="In Progress">
      <formula>NOT(ISERROR(SEARCH("In Progress",H4)))</formula>
    </cfRule>
  </conditionalFormatting>
  <dataValidations count="6">
    <dataValidation type="list" allowBlank="1" showInputMessage="1" showErrorMessage="1" sqref="H4:H15" xr:uid="{89CDB782-E7E8-4B0F-9122-2AD55C154A41}">
      <formula1>"In Progress, Done"</formula1>
    </dataValidation>
    <dataValidation type="list" allowBlank="1" showInputMessage="1" showErrorMessage="1" sqref="C10" xr:uid="{E52C3690-BA24-4B58-996D-673F0950484A}">
      <formula1>IF(OR(VLOOKUP(B1,Weapon_List,3,FALSE)=1,VLOOKUP(B1,Weapon_List,3,FALSE)=2),Weapon_Ascension_Low_Rarity,Weapon_Ascension_High_Rarity)</formula1>
    </dataValidation>
    <dataValidation type="list" operator="equal" allowBlank="1" showInputMessage="1" showErrorMessage="1" sqref="B4" xr:uid="{78B7C280-C81D-4D05-82C9-EDE4A015ECC6}">
      <formula1>IF(OR(VLOOKUP(B1,Weapon_List,3,FALSE)=1,VLOOKUP(B1,Weapon_List,3,FALSE)=2),Weapon_Levels_Low_Rarity,Weapon_Levels_High_Rarity)</formula1>
    </dataValidation>
    <dataValidation type="list" operator="equal" allowBlank="1" showInputMessage="1" showErrorMessage="1" sqref="B5" xr:uid="{B4747970-3677-4676-8D29-A589E2FF49E1}">
      <formula1>IF(OR(VLOOKUP(B1,Weapon_List,3,FALSE)=1,VLOOKUP(B1,Weapon_List,3,FALSE)=2),Weapon_Levels_Low_Rarity,Weapon_Levels_High_Rarity)</formula1>
    </dataValidation>
    <dataValidation type="list" allowBlank="1" showInputMessage="1" showErrorMessage="1" sqref="B1" xr:uid="{D2ABDD57-31AD-419F-B1A3-C05E145F778C}">
      <formula1>Weapon_Name_List</formula1>
    </dataValidation>
    <dataValidation type="list" allowBlank="1" showInputMessage="1" showErrorMessage="1" sqref="C11" xr:uid="{58DB5ED1-D4EC-47BB-A859-50A7063019EA}">
      <formula1>IF(OR(VLOOKUP(B1,Weapon_List,3,FALSE)=1,VLOOKUP(B1,Weapon_List,3,FALSE)=2),Weapon_Ascension_Low_Rarity,Weapon_Ascension_High_Rarity)</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6BCDA-7E8E-46B5-88BB-B25C7CD05CA6}">
  <sheetPr codeName="Sheet84">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24" priority="1" operator="containsText" text="Done">
      <formula>NOT(ISERROR(SEARCH("Done",H4)))</formula>
    </cfRule>
    <cfRule type="containsText" dxfId="323" priority="2" operator="containsText" text="In Progress">
      <formula>NOT(ISERROR(SEARCH("In Progress",H4)))</formula>
    </cfRule>
  </conditionalFormatting>
  <dataValidations count="6">
    <dataValidation type="list" allowBlank="1" showInputMessage="1" showErrorMessage="1" sqref="H4:H15" xr:uid="{F0CD1DF2-043E-478E-9DA0-C724A234304E}">
      <formula1>"In Progress, Done"</formula1>
    </dataValidation>
    <dataValidation type="list" allowBlank="1" showInputMessage="1" showErrorMessage="1" sqref="C10" xr:uid="{A29F6411-AF59-437B-89E8-65573D5B985F}">
      <formula1>IF(OR(VLOOKUP(B1,Weapon_List,3,FALSE)=1,VLOOKUP(B1,Weapon_List,3,FALSE)=2),Weapon_Ascension_Low_Rarity,Weapon_Ascension_High_Rarity)</formula1>
    </dataValidation>
    <dataValidation type="list" operator="equal" allowBlank="1" showInputMessage="1" showErrorMessage="1" sqref="B4" xr:uid="{8DE39D63-7B0E-4852-B969-3FCD780BF7F7}">
      <formula1>IF(OR(VLOOKUP(B1,Weapon_List,3,FALSE)=1,VLOOKUP(B1,Weapon_List,3,FALSE)=2),Weapon_Levels_Low_Rarity,Weapon_Levels_High_Rarity)</formula1>
    </dataValidation>
    <dataValidation type="list" operator="equal" allowBlank="1" showInputMessage="1" showErrorMessage="1" sqref="B5" xr:uid="{D951E803-842B-4FB5-9958-657BD72A88DF}">
      <formula1>IF(OR(VLOOKUP(B1,Weapon_List,3,FALSE)=1,VLOOKUP(B1,Weapon_List,3,FALSE)=2),Weapon_Levels_Low_Rarity,Weapon_Levels_High_Rarity)</formula1>
    </dataValidation>
    <dataValidation type="list" allowBlank="1" showInputMessage="1" showErrorMessage="1" sqref="B1" xr:uid="{0F1879E2-CD7B-4885-9E2A-DE16256B52B0}">
      <formula1>Weapon_Name_List</formula1>
    </dataValidation>
    <dataValidation type="list" allowBlank="1" showInputMessage="1" showErrorMessage="1" sqref="C11" xr:uid="{7ACB762F-BD4F-4E94-B26F-8155EE3BE9DF}">
      <formula1>IF(OR(VLOOKUP(B1,Weapon_List,3,FALSE)=1,VLOOKUP(B1,Weapon_List,3,FALSE)=2),Weapon_Ascension_Low_Rarity,Weapon_Ascension_High_Rarity)</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8A08F-1FBE-473A-9DD8-D6DA5444519D}">
  <sheetPr codeName="Sheet72">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22" priority="1" operator="containsText" text="Done">
      <formula>NOT(ISERROR(SEARCH("Done",H4)))</formula>
    </cfRule>
    <cfRule type="containsText" dxfId="321" priority="2" operator="containsText" text="In Progress">
      <formula>NOT(ISERROR(SEARCH("In Progress",H4)))</formula>
    </cfRule>
  </conditionalFormatting>
  <dataValidations count="6">
    <dataValidation type="list" allowBlank="1" showInputMessage="1" showErrorMessage="1" sqref="H4:H15" xr:uid="{DA2A743E-FBDC-4C99-8EED-759E01893F75}">
      <formula1>"In Progress, Done"</formula1>
    </dataValidation>
    <dataValidation type="list" allowBlank="1" showInputMessage="1" showErrorMessage="1" sqref="C10" xr:uid="{35E9A03D-D535-4768-882C-E0B0739D08A1}">
      <formula1>IF(OR(VLOOKUP(B1,Weapon_List,3,FALSE)=1,VLOOKUP(B1,Weapon_List,3,FALSE)=2),Weapon_Ascension_Low_Rarity,Weapon_Ascension_High_Rarity)</formula1>
    </dataValidation>
    <dataValidation type="list" operator="equal" allowBlank="1" showInputMessage="1" showErrorMessage="1" sqref="B4" xr:uid="{B65D4EFA-89C3-4E72-8C8C-C0BE5C574B9B}">
      <formula1>IF(OR(VLOOKUP(B1,Weapon_List,3,FALSE)=1,VLOOKUP(B1,Weapon_List,3,FALSE)=2),Weapon_Levels_Low_Rarity,Weapon_Levels_High_Rarity)</formula1>
    </dataValidation>
    <dataValidation type="list" operator="equal" allowBlank="1" showInputMessage="1" showErrorMessage="1" sqref="B5" xr:uid="{F557CA96-16BB-43A0-A71C-4CE25EDD0562}">
      <formula1>IF(OR(VLOOKUP(B1,Weapon_List,3,FALSE)=1,VLOOKUP(B1,Weapon_List,3,FALSE)=2),Weapon_Levels_Low_Rarity,Weapon_Levels_High_Rarity)</formula1>
    </dataValidation>
    <dataValidation type="list" allowBlank="1" showInputMessage="1" showErrorMessage="1" sqref="B1" xr:uid="{99B77463-357E-44BE-9E7D-CC10DBFA5F09}">
      <formula1>Weapon_Name_List</formula1>
    </dataValidation>
    <dataValidation type="list" allowBlank="1" showInputMessage="1" showErrorMessage="1" sqref="C11" xr:uid="{B2BE94D9-0253-49E1-9420-1E98416B11DC}">
      <formula1>IF(OR(VLOOKUP(B1,Weapon_List,3,FALSE)=1,VLOOKUP(B1,Weapon_List,3,FALSE)=2),Weapon_Ascension_Low_Rarity,Weapon_Ascension_High_Rarity)</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F9659-16A5-4C51-A1B2-E2EB6C465B9F}">
  <sheetPr codeName="Sheet135">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20" priority="1" operator="containsText" text="Done">
      <formula>NOT(ISERROR(SEARCH("Done",H4)))</formula>
    </cfRule>
    <cfRule type="containsText" dxfId="319" priority="2" operator="containsText" text="In Progress">
      <formula>NOT(ISERROR(SEARCH("In Progress",H4)))</formula>
    </cfRule>
  </conditionalFormatting>
  <dataValidations count="6">
    <dataValidation type="list" allowBlank="1" showInputMessage="1" showErrorMessage="1" sqref="H4:H15" xr:uid="{255E88AA-AF2E-462A-A4DA-6A62CD261537}">
      <formula1>"In Progress, Done"</formula1>
    </dataValidation>
    <dataValidation type="list" allowBlank="1" showInputMessage="1" showErrorMessage="1" sqref="C10" xr:uid="{ECC382C8-DB75-4ABF-B7E0-AAAED9613F5C}">
      <formula1>IF(OR(VLOOKUP(B1,Weapon_List,3,FALSE)=1,VLOOKUP(B1,Weapon_List,3,FALSE)=2),Weapon_Ascension_Low_Rarity,Weapon_Ascension_High_Rarity)</formula1>
    </dataValidation>
    <dataValidation type="list" operator="equal" allowBlank="1" showInputMessage="1" showErrorMessage="1" sqref="B4" xr:uid="{EFF18EF1-AEFC-421C-B298-A0BF3EA530F8}">
      <formula1>IF(OR(VLOOKUP(B1,Weapon_List,3,FALSE)=1,VLOOKUP(B1,Weapon_List,3,FALSE)=2),Weapon_Levels_Low_Rarity,Weapon_Levels_High_Rarity)</formula1>
    </dataValidation>
    <dataValidation type="list" operator="equal" allowBlank="1" showInputMessage="1" showErrorMessage="1" sqref="B5" xr:uid="{8E63ABFB-E5DB-40E1-84AB-003762080D75}">
      <formula1>IF(OR(VLOOKUP(B1,Weapon_List,3,FALSE)=1,VLOOKUP(B1,Weapon_List,3,FALSE)=2),Weapon_Levels_Low_Rarity,Weapon_Levels_High_Rarity)</formula1>
    </dataValidation>
    <dataValidation type="list" allowBlank="1" showInputMessage="1" showErrorMessage="1" sqref="B1" xr:uid="{4CE268D0-05F0-4634-A81F-47288171B9EB}">
      <formula1>Weapon_Name_List</formula1>
    </dataValidation>
    <dataValidation type="list" allowBlank="1" showInputMessage="1" showErrorMessage="1" sqref="C11" xr:uid="{491CEDB7-A55B-411B-B02B-82EA4DA6E6DD}">
      <formula1>IF(OR(VLOOKUP(B1,Weapon_List,3,FALSE)=1,VLOOKUP(B1,Weapon_List,3,FALSE)=2),Weapon_Ascension_Low_Rarity,Weapon_Ascension_High_Rarity)</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75629-9AF8-40BA-8C80-FB8246AF1AEB}">
  <sheetPr codeName="Sheet117">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18" priority="1" operator="containsText" text="Done">
      <formula>NOT(ISERROR(SEARCH("Done",H4)))</formula>
    </cfRule>
    <cfRule type="containsText" dxfId="317" priority="2" operator="containsText" text="In Progress">
      <formula>NOT(ISERROR(SEARCH("In Progress",H4)))</formula>
    </cfRule>
  </conditionalFormatting>
  <dataValidations count="6">
    <dataValidation type="list" allowBlank="1" showInputMessage="1" showErrorMessage="1" sqref="H4:H15" xr:uid="{8C971852-C502-4224-9833-ABDD13AB9D1A}">
      <formula1>"In Progress, Done"</formula1>
    </dataValidation>
    <dataValidation type="list" allowBlank="1" showInputMessage="1" showErrorMessage="1" sqref="C10" xr:uid="{8CB94703-881F-4D47-BF9D-784F247E73B4}">
      <formula1>IF(OR(VLOOKUP(B1,Weapon_List,3,FALSE)=1,VLOOKUP(B1,Weapon_List,3,FALSE)=2),Weapon_Ascension_Low_Rarity,Weapon_Ascension_High_Rarity)</formula1>
    </dataValidation>
    <dataValidation type="list" operator="equal" allowBlank="1" showInputMessage="1" showErrorMessage="1" sqref="B4" xr:uid="{459DEAEA-42E5-4883-9E7F-69B1C702C97A}">
      <formula1>IF(OR(VLOOKUP(B1,Weapon_List,3,FALSE)=1,VLOOKUP(B1,Weapon_List,3,FALSE)=2),Weapon_Levels_Low_Rarity,Weapon_Levels_High_Rarity)</formula1>
    </dataValidation>
    <dataValidation type="list" operator="equal" allowBlank="1" showInputMessage="1" showErrorMessage="1" sqref="B5" xr:uid="{00CEB533-AFF3-4D29-B212-A53A188237D1}">
      <formula1>IF(OR(VLOOKUP(B1,Weapon_List,3,FALSE)=1,VLOOKUP(B1,Weapon_List,3,FALSE)=2),Weapon_Levels_Low_Rarity,Weapon_Levels_High_Rarity)</formula1>
    </dataValidation>
    <dataValidation type="list" allowBlank="1" showInputMessage="1" showErrorMessage="1" sqref="B1" xr:uid="{775FD258-1BB8-413B-85CE-17BDC889F596}">
      <formula1>Weapon_Name_List</formula1>
    </dataValidation>
    <dataValidation type="list" allowBlank="1" showInputMessage="1" showErrorMessage="1" sqref="C11" xr:uid="{7B089E3C-972A-4BD8-9F67-76D736915FF8}">
      <formula1>IF(OR(VLOOKUP(B1,Weapon_List,3,FALSE)=1,VLOOKUP(B1,Weapon_List,3,FALSE)=2),Weapon_Ascension_Low_Rarity,Weapon_Ascension_High_Rarity)</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F2F58-79BD-4367-ABDB-7078A115399E}">
  <sheetPr codeName="Sheet182">
    <tabColor theme="4" tint="0.39997558519241921"/>
  </sheetPr>
  <dimension ref="A1:H22"/>
  <sheetViews>
    <sheetView workbookViewId="0">
      <selection activeCell="F32" sqref="F3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16" priority="1" operator="containsText" text="Done">
      <formula>NOT(ISERROR(SEARCH("Done",H4)))</formula>
    </cfRule>
    <cfRule type="containsText" dxfId="315" priority="2" operator="containsText" text="In Progress">
      <formula>NOT(ISERROR(SEARCH("In Progress",H4)))</formula>
    </cfRule>
  </conditionalFormatting>
  <dataValidations count="6">
    <dataValidation type="list" allowBlank="1" showInputMessage="1" showErrorMessage="1" sqref="H4:H15" xr:uid="{7FFD4570-48AB-499B-931B-9BD5B6C9187A}">
      <formula1>"In Progress, Done"</formula1>
    </dataValidation>
    <dataValidation type="list" allowBlank="1" showInputMessage="1" showErrorMessage="1" sqref="C10" xr:uid="{11B0487E-9DBD-4A77-A0B0-247420CF9668}">
      <formula1>IF(OR(VLOOKUP(B1,Weapon_List,3,FALSE)=1,VLOOKUP(B1,Weapon_List,3,FALSE)=2),Weapon_Ascension_Low_Rarity,Weapon_Ascension_High_Rarity)</formula1>
    </dataValidation>
    <dataValidation type="list" operator="equal" allowBlank="1" showInputMessage="1" showErrorMessage="1" sqref="B4" xr:uid="{A9250887-1F02-4A8E-88E0-6962DECDB0CC}">
      <formula1>IF(OR(VLOOKUP(B1,Weapon_List,3,FALSE)=1,VLOOKUP(B1,Weapon_List,3,FALSE)=2),Weapon_Levels_Low_Rarity,Weapon_Levels_High_Rarity)</formula1>
    </dataValidation>
    <dataValidation type="list" operator="equal" allowBlank="1" showInputMessage="1" showErrorMessage="1" sqref="B5" xr:uid="{2F8CBEFB-E8EE-4964-8079-AA53A2788180}">
      <formula1>IF(OR(VLOOKUP(B1,Weapon_List,3,FALSE)=1,VLOOKUP(B1,Weapon_List,3,FALSE)=2),Weapon_Levels_Low_Rarity,Weapon_Levels_High_Rarity)</formula1>
    </dataValidation>
    <dataValidation type="list" allowBlank="1" showInputMessage="1" showErrorMessage="1" sqref="B1" xr:uid="{C9B90E7F-8283-4B43-8992-E19C6460A5F0}">
      <formula1>Weapon_Name_List</formula1>
    </dataValidation>
    <dataValidation type="list" allowBlank="1" showInputMessage="1" showErrorMessage="1" sqref="C11" xr:uid="{D4C8771B-0856-46FC-A2A9-0013F5026EF2}">
      <formula1>IF(OR(VLOOKUP(B1,Weapon_List,3,FALSE)=1,VLOOKUP(B1,Weapon_List,3,FALSE)=2),Weapon_Ascension_Low_Rarity,Weapon_Ascension_High_Rarity)</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E2858-230A-4A48-ACFC-3700C54585CB}">
  <sheetPr codeName="Sheet164">
    <tabColor theme="4" tint="0.39997558519241921"/>
  </sheetPr>
  <dimension ref="A1:H22"/>
  <sheetViews>
    <sheetView workbookViewId="0">
      <selection activeCell="E18" sqref="E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14" priority="1" operator="containsText" text="Done">
      <formula>NOT(ISERROR(SEARCH("Done",H4)))</formula>
    </cfRule>
    <cfRule type="containsText" dxfId="313" priority="2" operator="containsText" text="In Progress">
      <formula>NOT(ISERROR(SEARCH("In Progress",H4)))</formula>
    </cfRule>
  </conditionalFormatting>
  <dataValidations count="6">
    <dataValidation type="list" allowBlank="1" showInputMessage="1" showErrorMessage="1" sqref="H4:H15" xr:uid="{FB9B71E4-B30C-4A93-8BE7-F5A854E51B59}">
      <formula1>"In Progress, Done"</formula1>
    </dataValidation>
    <dataValidation type="list" allowBlank="1" showInputMessage="1" showErrorMessage="1" sqref="C10" xr:uid="{49F1CAF2-C3A9-4B97-B277-63ABB5E74C51}">
      <formula1>IF(OR(VLOOKUP(B1,Weapon_List,3,FALSE)=1,VLOOKUP(B1,Weapon_List,3,FALSE)=2),Weapon_Ascension_Low_Rarity,Weapon_Ascension_High_Rarity)</formula1>
    </dataValidation>
    <dataValidation type="list" operator="equal" allowBlank="1" showInputMessage="1" showErrorMessage="1" sqref="B4" xr:uid="{959D2E7F-FAFC-4357-8ED4-6DE325F36F1C}">
      <formula1>IF(OR(VLOOKUP(B1,Weapon_List,3,FALSE)=1,VLOOKUP(B1,Weapon_List,3,FALSE)=2),Weapon_Levels_Low_Rarity,Weapon_Levels_High_Rarity)</formula1>
    </dataValidation>
    <dataValidation type="list" operator="equal" allowBlank="1" showInputMessage="1" showErrorMessage="1" sqref="B5" xr:uid="{1C237843-05A5-4BD8-9D27-B549E53BB094}">
      <formula1>IF(OR(VLOOKUP(B1,Weapon_List,3,FALSE)=1,VLOOKUP(B1,Weapon_List,3,FALSE)=2),Weapon_Levels_Low_Rarity,Weapon_Levels_High_Rarity)</formula1>
    </dataValidation>
    <dataValidation type="list" allowBlank="1" showInputMessage="1" showErrorMessage="1" sqref="B1" xr:uid="{9545D509-6B81-4B93-B09A-6EFD5AA23DBC}">
      <formula1>Weapon_Name_List</formula1>
    </dataValidation>
    <dataValidation type="list" allowBlank="1" showInputMessage="1" showErrorMessage="1" sqref="C11" xr:uid="{C2508C9B-8DB1-41D8-A22E-3147CE828013}">
      <formula1>IF(OR(VLOOKUP(B1,Weapon_List,3,FALSE)=1,VLOOKUP(B1,Weapon_List,3,FALSE)=2),Weapon_Ascension_Low_Rarity,Weapon_Ascension_High_Rarity)</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3573A-9175-4E5E-AC90-24FE5CFF9BEB}">
  <sheetPr codeName="Sheet155">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12" priority="1" operator="containsText" text="Done">
      <formula>NOT(ISERROR(SEARCH("Done",H4)))</formula>
    </cfRule>
    <cfRule type="containsText" dxfId="311" priority="2" operator="containsText" text="In Progress">
      <formula>NOT(ISERROR(SEARCH("In Progress",H4)))</formula>
    </cfRule>
  </conditionalFormatting>
  <dataValidations count="6">
    <dataValidation type="list" allowBlank="1" showInputMessage="1" showErrorMessage="1" sqref="H4:H15" xr:uid="{B35A82CD-C9DC-4B53-9A5D-366E40905221}">
      <formula1>"In Progress, Done"</formula1>
    </dataValidation>
    <dataValidation type="list" allowBlank="1" showInputMessage="1" showErrorMessage="1" sqref="C10" xr:uid="{48B118D4-C094-4E81-85C7-C5129A7004C4}">
      <formula1>IF(OR(VLOOKUP(B1,Weapon_List,3,FALSE)=1,VLOOKUP(B1,Weapon_List,3,FALSE)=2),Weapon_Ascension_Low_Rarity,Weapon_Ascension_High_Rarity)</formula1>
    </dataValidation>
    <dataValidation type="list" operator="equal" allowBlank="1" showInputMessage="1" showErrorMessage="1" sqref="B4" xr:uid="{2A9EC1BF-3E4D-4555-A86C-1953AD7A1AAE}">
      <formula1>IF(OR(VLOOKUP(B1,Weapon_List,3,FALSE)=1,VLOOKUP(B1,Weapon_List,3,FALSE)=2),Weapon_Levels_Low_Rarity,Weapon_Levels_High_Rarity)</formula1>
    </dataValidation>
    <dataValidation type="list" operator="equal" allowBlank="1" showInputMessage="1" showErrorMessage="1" sqref="B5" xr:uid="{F37DB8EC-9609-40B1-A424-C666DD8CA4A8}">
      <formula1>IF(OR(VLOOKUP(B1,Weapon_List,3,FALSE)=1,VLOOKUP(B1,Weapon_List,3,FALSE)=2),Weapon_Levels_Low_Rarity,Weapon_Levels_High_Rarity)</formula1>
    </dataValidation>
    <dataValidation type="list" allowBlank="1" showInputMessage="1" showErrorMessage="1" sqref="B1" xr:uid="{ED54933B-4C23-4F63-97D5-0D82BFA8B4D0}">
      <formula1>Weapon_Name_List</formula1>
    </dataValidation>
    <dataValidation type="list" allowBlank="1" showInputMessage="1" showErrorMessage="1" sqref="C11" xr:uid="{65572BF6-855E-4E6D-849C-D9470C19D7B7}">
      <formula1>IF(OR(VLOOKUP(B1,Weapon_List,3,FALSE)=1,VLOOKUP(B1,Weapon_List,3,FALSE)=2),Weapon_Ascension_Low_Rarity,Weapon_Ascension_High_Rarity)</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6B31-1848-4F08-9A1C-0A2FB5F398BE}">
  <sheetPr codeName="Sheet112">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10" priority="1" operator="containsText" text="Done">
      <formula>NOT(ISERROR(SEARCH("Done",H4)))</formula>
    </cfRule>
    <cfRule type="containsText" dxfId="309" priority="2" operator="containsText" text="In Progress">
      <formula>NOT(ISERROR(SEARCH("In Progress",H4)))</formula>
    </cfRule>
  </conditionalFormatting>
  <dataValidations count="6">
    <dataValidation type="list" allowBlank="1" showInputMessage="1" showErrorMessage="1" sqref="H4:H15" xr:uid="{07640FCB-E59F-4742-858C-AD7F6BF0F1E8}">
      <formula1>"In Progress, Done"</formula1>
    </dataValidation>
    <dataValidation type="list" allowBlank="1" showInputMessage="1" showErrorMessage="1" sqref="C10" xr:uid="{22A18656-F106-4A01-9B62-0F5725D1E92B}">
      <formula1>IF(OR(VLOOKUP(B1,Weapon_List,3,FALSE)=1,VLOOKUP(B1,Weapon_List,3,FALSE)=2),Weapon_Ascension_Low_Rarity,Weapon_Ascension_High_Rarity)</formula1>
    </dataValidation>
    <dataValidation type="list" operator="equal" allowBlank="1" showInputMessage="1" showErrorMessage="1" sqref="B4" xr:uid="{CFF126B1-C02C-468C-A646-1B802D9CAF4F}">
      <formula1>IF(OR(VLOOKUP(B1,Weapon_List,3,FALSE)=1,VLOOKUP(B1,Weapon_List,3,FALSE)=2),Weapon_Levels_Low_Rarity,Weapon_Levels_High_Rarity)</formula1>
    </dataValidation>
    <dataValidation type="list" operator="equal" allowBlank="1" showInputMessage="1" showErrorMessage="1" sqref="B5" xr:uid="{2D38A549-F6AC-4AD5-B01C-B404A359CBCB}">
      <formula1>IF(OR(VLOOKUP(B1,Weapon_List,3,FALSE)=1,VLOOKUP(B1,Weapon_List,3,FALSE)=2),Weapon_Levels_Low_Rarity,Weapon_Levels_High_Rarity)</formula1>
    </dataValidation>
    <dataValidation type="list" allowBlank="1" showInputMessage="1" showErrorMessage="1" sqref="B1" xr:uid="{A26A6B46-764A-4533-8C98-B26C7CF489B0}">
      <formula1>Weapon_Name_List</formula1>
    </dataValidation>
    <dataValidation type="list" allowBlank="1" showInputMessage="1" showErrorMessage="1" sqref="C11" xr:uid="{CBC9C086-C485-47BB-8191-C87181C1972F}">
      <formula1>IF(OR(VLOOKUP(B1,Weapon_List,3,FALSE)=1,VLOOKUP(B1,Weapon_List,3,FALSE)=2),Weapon_Ascension_Low_Rarity,Weapon_Ascension_High_Rarity)</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16E23-BDAD-417B-8B86-98B615B98AC7}">
  <sheetPr codeName="Sheet118">
    <tabColor theme="4" tint="0.39997558519241921"/>
  </sheetPr>
  <dimension ref="A1:H22"/>
  <sheetViews>
    <sheetView workbookViewId="0">
      <selection activeCell="E17" sqref="E1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08" priority="1" operator="containsText" text="Done">
      <formula>NOT(ISERROR(SEARCH("Done",H4)))</formula>
    </cfRule>
    <cfRule type="containsText" dxfId="307" priority="2" operator="containsText" text="In Progress">
      <formula>NOT(ISERROR(SEARCH("In Progress",H4)))</formula>
    </cfRule>
  </conditionalFormatting>
  <dataValidations count="6">
    <dataValidation type="list" allowBlank="1" showInputMessage="1" showErrorMessage="1" sqref="H4:H15" xr:uid="{06D17C41-C4FC-48C8-9C2B-D7F8F9235736}">
      <formula1>"In Progress, Done"</formula1>
    </dataValidation>
    <dataValidation type="list" allowBlank="1" showInputMessage="1" showErrorMessage="1" sqref="C10" xr:uid="{7EA36CF0-5DC0-48EE-A337-EDF100C7ED4B}">
      <formula1>IF(OR(VLOOKUP(B1,Weapon_List,3,FALSE)=1,VLOOKUP(B1,Weapon_List,3,FALSE)=2),Weapon_Ascension_Low_Rarity,Weapon_Ascension_High_Rarity)</formula1>
    </dataValidation>
    <dataValidation type="list" operator="equal" allowBlank="1" showInputMessage="1" showErrorMessage="1" sqref="B4" xr:uid="{F9AFAB79-8197-41A9-838D-DC25ECB6A7E3}">
      <formula1>IF(OR(VLOOKUP(B1,Weapon_List,3,FALSE)=1,VLOOKUP(B1,Weapon_List,3,FALSE)=2),Weapon_Levels_Low_Rarity,Weapon_Levels_High_Rarity)</formula1>
    </dataValidation>
    <dataValidation type="list" operator="equal" allowBlank="1" showInputMessage="1" showErrorMessage="1" sqref="B5" xr:uid="{AA12D636-3401-4E32-A520-5D16AE75C057}">
      <formula1>IF(OR(VLOOKUP(B1,Weapon_List,3,FALSE)=1,VLOOKUP(B1,Weapon_List,3,FALSE)=2),Weapon_Levels_Low_Rarity,Weapon_Levels_High_Rarity)</formula1>
    </dataValidation>
    <dataValidation type="list" allowBlank="1" showInputMessage="1" showErrorMessage="1" sqref="B1" xr:uid="{29D57F03-608F-4F24-9257-8B8E262A9C59}">
      <formula1>Weapon_Name_List</formula1>
    </dataValidation>
    <dataValidation type="list" allowBlank="1" showInputMessage="1" showErrorMessage="1" sqref="C11" xr:uid="{5BDA45EE-116C-4FCB-B818-E6BB6E25D20E}">
      <formula1>IF(OR(VLOOKUP(B1,Weapon_List,3,FALSE)=1,VLOOKUP(B1,Weapon_List,3,FALSE)=2),Weapon_Ascension_Low_Rarity,Weapon_Ascension_High_Rarity)</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6E9CF-699B-4543-94D6-C0E65E79707D}">
  <sheetPr codeName="Sheet116">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06" priority="1" operator="containsText" text="Done">
      <formula>NOT(ISERROR(SEARCH("Done",H4)))</formula>
    </cfRule>
    <cfRule type="containsText" dxfId="305" priority="2" operator="containsText" text="In Progress">
      <formula>NOT(ISERROR(SEARCH("In Progress",H4)))</formula>
    </cfRule>
  </conditionalFormatting>
  <dataValidations count="6">
    <dataValidation type="list" allowBlank="1" showInputMessage="1" showErrorMessage="1" sqref="H4:H15" xr:uid="{025882E1-2A86-4589-BDD9-409AF39F9232}">
      <formula1>"In Progress, Done"</formula1>
    </dataValidation>
    <dataValidation type="list" allowBlank="1" showInputMessage="1" showErrorMessage="1" sqref="C10" xr:uid="{8F14E30B-C050-4060-A7EA-9898A320C474}">
      <formula1>IF(OR(VLOOKUP(B1,Weapon_List,3,FALSE)=1,VLOOKUP(B1,Weapon_List,3,FALSE)=2),Weapon_Ascension_Low_Rarity,Weapon_Ascension_High_Rarity)</formula1>
    </dataValidation>
    <dataValidation type="list" operator="equal" allowBlank="1" showInputMessage="1" showErrorMessage="1" sqref="B4" xr:uid="{682F5231-F370-4444-9AAB-815CDC964AAB}">
      <formula1>IF(OR(VLOOKUP(B1,Weapon_List,3,FALSE)=1,VLOOKUP(B1,Weapon_List,3,FALSE)=2),Weapon_Levels_Low_Rarity,Weapon_Levels_High_Rarity)</formula1>
    </dataValidation>
    <dataValidation type="list" operator="equal" allowBlank="1" showInputMessage="1" showErrorMessage="1" sqref="B5" xr:uid="{B6CE1939-DA4C-43E4-9B3C-36A5719D7CC0}">
      <formula1>IF(OR(VLOOKUP(B1,Weapon_List,3,FALSE)=1,VLOOKUP(B1,Weapon_List,3,FALSE)=2),Weapon_Levels_Low_Rarity,Weapon_Levels_High_Rarity)</formula1>
    </dataValidation>
    <dataValidation type="list" allowBlank="1" showInputMessage="1" showErrorMessage="1" sqref="B1" xr:uid="{2B51F88F-FC0B-4B0E-81F0-D53AF86FD7F4}">
      <formula1>Weapon_Name_List</formula1>
    </dataValidation>
    <dataValidation type="list" allowBlank="1" showInputMessage="1" showErrorMessage="1" sqref="C11" xr:uid="{6C71E2EB-DE83-46E1-B328-819177D06779}">
      <formula1>IF(OR(VLOOKUP(B1,Weapon_List,3,FALSE)=1,VLOOKUP(B1,Weapon_List,3,FALSE)=2),Weapon_Ascension_Low_Rarity,Weapon_Ascension_High_Rarity)</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5CFE5-2E80-4275-BA5C-EC42EFA5BC78}">
  <sheetPr codeName="Sheet18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04" priority="1" operator="containsText" text="Done">
      <formula>NOT(ISERROR(SEARCH("Done",H4)))</formula>
    </cfRule>
    <cfRule type="containsText" dxfId="303" priority="2" operator="containsText" text="In Progress">
      <formula>NOT(ISERROR(SEARCH("In Progress",H4)))</formula>
    </cfRule>
  </conditionalFormatting>
  <dataValidations count="6">
    <dataValidation type="list" allowBlank="1" showInputMessage="1" showErrorMessage="1" sqref="H4:H15" xr:uid="{AFAF9F88-C7B8-4D2D-8AE0-44453A01A62B}">
      <formula1>"In Progress, Done"</formula1>
    </dataValidation>
    <dataValidation type="list" allowBlank="1" showInputMessage="1" showErrorMessage="1" sqref="C10" xr:uid="{D4ABA3F7-9B10-4AB9-8E41-AF8FD94CFC2B}">
      <formula1>IF(OR(VLOOKUP(B1,Weapon_List,3,FALSE)=1,VLOOKUP(B1,Weapon_List,3,FALSE)=2),Weapon_Ascension_Low_Rarity,Weapon_Ascension_High_Rarity)</formula1>
    </dataValidation>
    <dataValidation type="list" operator="equal" allowBlank="1" showInputMessage="1" showErrorMessage="1" sqref="B4" xr:uid="{7DC9C999-3037-4D96-BFB6-D3152795972D}">
      <formula1>IF(OR(VLOOKUP(B1,Weapon_List,3,FALSE)=1,VLOOKUP(B1,Weapon_List,3,FALSE)=2),Weapon_Levels_Low_Rarity,Weapon_Levels_High_Rarity)</formula1>
    </dataValidation>
    <dataValidation type="list" operator="equal" allowBlank="1" showInputMessage="1" showErrorMessage="1" sqref="B5" xr:uid="{0F965119-495E-4E46-BF43-777376DBBCCE}">
      <formula1>IF(OR(VLOOKUP(B1,Weapon_List,3,FALSE)=1,VLOOKUP(B1,Weapon_List,3,FALSE)=2),Weapon_Levels_Low_Rarity,Weapon_Levels_High_Rarity)</formula1>
    </dataValidation>
    <dataValidation type="list" allowBlank="1" showInputMessage="1" showErrorMessage="1" sqref="B1" xr:uid="{193BE291-1D61-4F14-A13D-E855994D18E9}">
      <formula1>Weapon_Name_List</formula1>
    </dataValidation>
    <dataValidation type="list" allowBlank="1" showInputMessage="1" showErrorMessage="1" sqref="C11" xr:uid="{E718966E-4F17-4ED0-9764-DF7386866B99}">
      <formula1>IF(OR(VLOOKUP(B1,Weapon_List,3,FALSE)=1,VLOOKUP(B1,Weapon_List,3,FALSE)=2),Weapon_Ascension_Low_Rarity,Weapon_Ascension_High_Rarity)</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485C2-0A6C-4225-9826-963BD388DFE6}">
  <sheetPr codeName="Sheet68">
    <tabColor theme="4" tint="0.39997558519241921"/>
  </sheetPr>
  <dimension ref="A1:H22"/>
  <sheetViews>
    <sheetView workbookViewId="0">
      <selection activeCell="E18" sqref="E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381</v>
      </c>
    </row>
    <row r="2" spans="1:8" ht="15.75" thickBot="1" x14ac:dyDescent="0.3"/>
    <row r="3" spans="1:8" ht="15.75" thickBot="1" x14ac:dyDescent="0.3">
      <c r="A3" s="171" t="s">
        <v>197</v>
      </c>
      <c r="B3" s="172"/>
      <c r="E3" s="171" t="s">
        <v>198</v>
      </c>
      <c r="F3" s="231"/>
      <c r="G3" s="172"/>
      <c r="H3" s="58" t="s">
        <v>199</v>
      </c>
    </row>
    <row r="4" spans="1:8" ht="15.75" thickBot="1" x14ac:dyDescent="0.3">
      <c r="A4" s="12" t="s">
        <v>200</v>
      </c>
      <c r="B4" s="25">
        <v>90</v>
      </c>
      <c r="E4" s="222" t="s">
        <v>201</v>
      </c>
      <c r="F4" s="223"/>
      <c r="G4" s="15">
        <f ca="1">B6</f>
        <v>0</v>
      </c>
      <c r="H4" s="33" t="s">
        <v>202</v>
      </c>
    </row>
    <row r="5" spans="1:8" ht="15.75" thickBot="1" x14ac:dyDescent="0.3">
      <c r="A5" s="13" t="s">
        <v>203</v>
      </c>
      <c r="B5" s="25">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02" priority="1" operator="containsText" text="Done">
      <formula>NOT(ISERROR(SEARCH("Done",H4)))</formula>
    </cfRule>
    <cfRule type="containsText" dxfId="301" priority="2" operator="containsText" text="In Progress">
      <formula>NOT(ISERROR(SEARCH("In Progress",H4)))</formula>
    </cfRule>
  </conditionalFormatting>
  <dataValidations count="5">
    <dataValidation type="list" allowBlank="1" showInputMessage="1" showErrorMessage="1" sqref="H4:H15" xr:uid="{ACE9B0AE-78B6-4DF8-8F37-93DBCFB06EDF}">
      <formula1>"In Progress, Done"</formula1>
    </dataValidation>
    <dataValidation type="list" allowBlank="1" showInputMessage="1" showErrorMessage="1" sqref="C10" xr:uid="{7035CF3A-AC12-41A5-8B82-918204FC3839}">
      <formula1>IF(OR(VLOOKUP(B1,Weapon_List,3,FALSE)=1,VLOOKUP(B1,Weapon_List,3,FALSE)=2),Weapon_Ascension_Low_Rarity,Weapon_Ascension_High_Rarity)</formula1>
    </dataValidation>
    <dataValidation type="list" operator="equal" allowBlank="1" showInputMessage="1" showErrorMessage="1" sqref="B4:B5" xr:uid="{2EAD3BC4-5174-4840-BE1B-A003F68D45A5}">
      <formula1>IF(OR(VLOOKUP(B1,Weapon_List,3,FALSE)=1,VLOOKUP(B1,Weapon_List,3,FALSE)=2),Weapon_Levels_Low_Rarity,Weapon_Levels_High_Rarity)</formula1>
    </dataValidation>
    <dataValidation type="list" allowBlank="1" showInputMessage="1" showErrorMessage="1" sqref="B1" xr:uid="{DFECC146-449E-4C6A-845A-49E9426FFBF0}">
      <formula1>Weapon_Name_List</formula1>
    </dataValidation>
    <dataValidation type="list" allowBlank="1" showInputMessage="1" showErrorMessage="1" sqref="C11" xr:uid="{B7FAF018-2008-4FC5-BFCE-E0CB1299113F}">
      <formula1>IF(OR(VLOOKUP(B1,Weapon_List,3,FALSE)=1,VLOOKUP(B1,Weapon_List,3,FALSE)=2),Weapon_Ascension_Low_Rarity,Weapon_Ascension_High_Rarity)</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800EC-1F07-48B3-B244-498B2840BFEF}">
  <sheetPr codeName="Sheet11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00" priority="1" operator="containsText" text="Done">
      <formula>NOT(ISERROR(SEARCH("Done",H4)))</formula>
    </cfRule>
    <cfRule type="containsText" dxfId="299" priority="2" operator="containsText" text="In Progress">
      <formula>NOT(ISERROR(SEARCH("In Progress",H4)))</formula>
    </cfRule>
  </conditionalFormatting>
  <dataValidations count="6">
    <dataValidation type="list" allowBlank="1" showInputMessage="1" showErrorMessage="1" sqref="H4:H15" xr:uid="{409A083C-5C3A-4738-BF4D-F3C2E4445299}">
      <formula1>"In Progress, Done"</formula1>
    </dataValidation>
    <dataValidation type="list" allowBlank="1" showInputMessage="1" showErrorMessage="1" sqref="C10" xr:uid="{464EF8C6-6592-4C3B-A969-7261233A0438}">
      <formula1>IF(OR(VLOOKUP(B1,Weapon_List,3,FALSE)=1,VLOOKUP(B1,Weapon_List,3,FALSE)=2),Weapon_Ascension_Low_Rarity,Weapon_Ascension_High_Rarity)</formula1>
    </dataValidation>
    <dataValidation type="list" operator="equal" allowBlank="1" showInputMessage="1" showErrorMessage="1" sqref="B4" xr:uid="{938C916F-25E5-4DE2-915C-C6F7CD9F43AE}">
      <formula1>IF(OR(VLOOKUP(B1,Weapon_List,3,FALSE)=1,VLOOKUP(B1,Weapon_List,3,FALSE)=2),Weapon_Levels_Low_Rarity,Weapon_Levels_High_Rarity)</formula1>
    </dataValidation>
    <dataValidation type="list" operator="equal" allowBlank="1" showInputMessage="1" showErrorMessage="1" sqref="B5" xr:uid="{E2062090-BB3F-4C04-8E79-D2E8EC21E6D6}">
      <formula1>IF(OR(VLOOKUP(B1,Weapon_List,3,FALSE)=1,VLOOKUP(B1,Weapon_List,3,FALSE)=2),Weapon_Levels_Low_Rarity,Weapon_Levels_High_Rarity)</formula1>
    </dataValidation>
    <dataValidation type="list" allowBlank="1" showInputMessage="1" showErrorMessage="1" sqref="B1" xr:uid="{B88E1002-1E12-4291-B442-BCBFDC02DA90}">
      <formula1>Weapon_Name_List</formula1>
    </dataValidation>
    <dataValidation type="list" allowBlank="1" showInputMessage="1" showErrorMessage="1" sqref="C11" xr:uid="{BC4155A8-3CBF-45B2-934B-E79B96AB1631}">
      <formula1>IF(OR(VLOOKUP(B1,Weapon_List,3,FALSE)=1,VLOOKUP(B1,Weapon_List,3,FALSE)=2),Weapon_Ascension_Low_Rarity,Weapon_Ascension_High_Rarity)</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64C0D-D411-4F88-82D4-D271D5BFE60A}">
  <sheetPr codeName="Sheet120">
    <tabColor theme="4" tint="0.39997558519241921"/>
  </sheetPr>
  <dimension ref="A1:H22"/>
  <sheetViews>
    <sheetView workbookViewId="0">
      <selection activeCell="H32" sqref="H3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98" priority="1" operator="containsText" text="Done">
      <formula>NOT(ISERROR(SEARCH("Done",H4)))</formula>
    </cfRule>
    <cfRule type="containsText" dxfId="297" priority="2" operator="containsText" text="In Progress">
      <formula>NOT(ISERROR(SEARCH("In Progress",H4)))</formula>
    </cfRule>
  </conditionalFormatting>
  <dataValidations count="6">
    <dataValidation type="list" allowBlank="1" showInputMessage="1" showErrorMessage="1" sqref="H4:H15" xr:uid="{2B92AF08-2A3C-448B-A543-13883C545110}">
      <formula1>"In Progress, Done"</formula1>
    </dataValidation>
    <dataValidation type="list" allowBlank="1" showInputMessage="1" showErrorMessage="1" sqref="C10" xr:uid="{8ADD55DB-BFF0-4634-9AD7-C9A2D0A16948}">
      <formula1>IF(OR(VLOOKUP(B1,Weapon_List,3,FALSE)=1,VLOOKUP(B1,Weapon_List,3,FALSE)=2),Weapon_Ascension_Low_Rarity,Weapon_Ascension_High_Rarity)</formula1>
    </dataValidation>
    <dataValidation type="list" operator="equal" allowBlank="1" showInputMessage="1" showErrorMessage="1" sqref="B4" xr:uid="{E80A808D-7CAA-4FAE-B958-545A67C85683}">
      <formula1>IF(OR(VLOOKUP(B1,Weapon_List,3,FALSE)=1,VLOOKUP(B1,Weapon_List,3,FALSE)=2),Weapon_Levels_Low_Rarity,Weapon_Levels_High_Rarity)</formula1>
    </dataValidation>
    <dataValidation type="list" operator="equal" allowBlank="1" showInputMessage="1" showErrorMessage="1" sqref="B5" xr:uid="{AADAC78A-FF92-466C-B21E-2858AD8AAF46}">
      <formula1>IF(OR(VLOOKUP(B1,Weapon_List,3,FALSE)=1,VLOOKUP(B1,Weapon_List,3,FALSE)=2),Weapon_Levels_Low_Rarity,Weapon_Levels_High_Rarity)</formula1>
    </dataValidation>
    <dataValidation type="list" allowBlank="1" showInputMessage="1" showErrorMessage="1" sqref="B1" xr:uid="{E91F7525-1C25-435D-B536-A504AD24E15D}">
      <formula1>Weapon_Name_List</formula1>
    </dataValidation>
    <dataValidation type="list" allowBlank="1" showInputMessage="1" showErrorMessage="1" sqref="C11" xr:uid="{95881437-8A2D-420F-ACBF-9340CDC651C2}">
      <formula1>IF(OR(VLOOKUP(B1,Weapon_List,3,FALSE)=1,VLOOKUP(B1,Weapon_List,3,FALSE)=2),Weapon_Ascension_Low_Rarity,Weapon_Ascension_High_Rarity)</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01D1E-348B-4D56-A95E-10EA528E62ED}">
  <sheetPr codeName="Sheet184">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96" priority="1" operator="containsText" text="Done">
      <formula>NOT(ISERROR(SEARCH("Done",H4)))</formula>
    </cfRule>
    <cfRule type="containsText" dxfId="295" priority="2" operator="containsText" text="In Progress">
      <formula>NOT(ISERROR(SEARCH("In Progress",H4)))</formula>
    </cfRule>
  </conditionalFormatting>
  <dataValidations count="6">
    <dataValidation type="list" allowBlank="1" showInputMessage="1" showErrorMessage="1" sqref="H4:H15" xr:uid="{179C41FA-042E-4F6E-BA0A-1057B2F6076D}">
      <formula1>"In Progress, Done"</formula1>
    </dataValidation>
    <dataValidation type="list" allowBlank="1" showInputMessage="1" showErrorMessage="1" sqref="C10" xr:uid="{3AF07B85-BB3A-41C3-B8FE-68F8A4BDA4E1}">
      <formula1>IF(OR(VLOOKUP(B1,Weapon_List,3,FALSE)=1,VLOOKUP(B1,Weapon_List,3,FALSE)=2),Weapon_Ascension_Low_Rarity,Weapon_Ascension_High_Rarity)</formula1>
    </dataValidation>
    <dataValidation type="list" operator="equal" allowBlank="1" showInputMessage="1" showErrorMessage="1" sqref="B4" xr:uid="{69BBB73D-B4BD-4911-A3C9-12A7E20515D9}">
      <formula1>IF(OR(VLOOKUP(B1,Weapon_List,3,FALSE)=1,VLOOKUP(B1,Weapon_List,3,FALSE)=2),Weapon_Levels_Low_Rarity,Weapon_Levels_High_Rarity)</formula1>
    </dataValidation>
    <dataValidation type="list" operator="equal" allowBlank="1" showInputMessage="1" showErrorMessage="1" sqref="B5" xr:uid="{77A25C7F-BE59-4198-B68D-7B0F6526ECE7}">
      <formula1>IF(OR(VLOOKUP(B1,Weapon_List,3,FALSE)=1,VLOOKUP(B1,Weapon_List,3,FALSE)=2),Weapon_Levels_Low_Rarity,Weapon_Levels_High_Rarity)</formula1>
    </dataValidation>
    <dataValidation type="list" allowBlank="1" showInputMessage="1" showErrorMessage="1" sqref="B1" xr:uid="{3B883C99-8771-4396-B20E-750CBE6F85C0}">
      <formula1>Weapon_Name_List</formula1>
    </dataValidation>
    <dataValidation type="list" allowBlank="1" showInputMessage="1" showErrorMessage="1" sqref="C11" xr:uid="{AD4828E2-CF7B-447D-A205-4A24B9EA8A35}">
      <formula1>IF(OR(VLOOKUP(B1,Weapon_List,3,FALSE)=1,VLOOKUP(B1,Weapon_List,3,FALSE)=2),Weapon_Ascension_Low_Rarity,Weapon_Ascension_High_Rarity)</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7D242-E083-4200-A242-4B717B2439D3}">
  <sheetPr codeName="Sheet69">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94" priority="1" operator="containsText" text="Done">
      <formula>NOT(ISERROR(SEARCH("Done",H4)))</formula>
    </cfRule>
    <cfRule type="containsText" dxfId="293" priority="2" operator="containsText" text="In Progress">
      <formula>NOT(ISERROR(SEARCH("In Progress",H4)))</formula>
    </cfRule>
  </conditionalFormatting>
  <dataValidations count="6">
    <dataValidation type="list" allowBlank="1" showInputMessage="1" showErrorMessage="1" sqref="H4:H15" xr:uid="{BCC632E1-AD76-4133-8CE6-31DD34BE85DC}">
      <formula1>"In Progress, Done"</formula1>
    </dataValidation>
    <dataValidation type="list" allowBlank="1" showInputMessage="1" showErrorMessage="1" sqref="C10" xr:uid="{2422F28D-E9FE-4B78-A206-72912A4B43A6}">
      <formula1>IF(OR(VLOOKUP(B1,Weapon_List,3,FALSE)=1,VLOOKUP(B1,Weapon_List,3,FALSE)=2),Weapon_Ascension_Low_Rarity,Weapon_Ascension_High_Rarity)</formula1>
    </dataValidation>
    <dataValidation type="list" operator="equal" allowBlank="1" showInputMessage="1" showErrorMessage="1" sqref="B4" xr:uid="{7909A1CF-9357-42E3-968B-FFEE67748067}">
      <formula1>IF(OR(VLOOKUP(B1,Weapon_List,3,FALSE)=1,VLOOKUP(B1,Weapon_List,3,FALSE)=2),Weapon_Levels_Low_Rarity,Weapon_Levels_High_Rarity)</formula1>
    </dataValidation>
    <dataValidation type="list" operator="equal" allowBlank="1" showInputMessage="1" showErrorMessage="1" sqref="B5" xr:uid="{A12BA4E3-F189-4B70-AE0E-C6FC8825B703}">
      <formula1>IF(OR(VLOOKUP(B1,Weapon_List,3,FALSE)=1,VLOOKUP(B1,Weapon_List,3,FALSE)=2),Weapon_Levels_Low_Rarity,Weapon_Levels_High_Rarity)</formula1>
    </dataValidation>
    <dataValidation type="list" allowBlank="1" showInputMessage="1" showErrorMessage="1" sqref="B1" xr:uid="{CF7EDCE4-503A-42B2-B870-1794459145F8}">
      <formula1>Weapon_Name_List</formula1>
    </dataValidation>
    <dataValidation type="list" allowBlank="1" showInputMessage="1" showErrorMessage="1" sqref="C11" xr:uid="{A3D70521-2CA2-4750-B471-95CBDCFD7F96}">
      <formula1>IF(OR(VLOOKUP(B1,Weapon_List,3,FALSE)=1,VLOOKUP(B1,Weapon_List,3,FALSE)=2),Weapon_Ascension_Low_Rarity,Weapon_Ascension_High_Rarity)</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66C35-656D-4A65-A823-0FEDDC19C632}">
  <sheetPr codeName="Sheet163">
    <tabColor theme="4" tint="0.39997558519241921"/>
  </sheetPr>
  <dimension ref="A1:H22"/>
  <sheetViews>
    <sheetView workbookViewId="0">
      <selection activeCell="F22" sqref="F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92" priority="1" operator="containsText" text="Done">
      <formula>NOT(ISERROR(SEARCH("Done",H4)))</formula>
    </cfRule>
    <cfRule type="containsText" dxfId="291" priority="2" operator="containsText" text="In Progress">
      <formula>NOT(ISERROR(SEARCH("In Progress",H4)))</formula>
    </cfRule>
  </conditionalFormatting>
  <dataValidations count="6">
    <dataValidation type="list" allowBlank="1" showInputMessage="1" showErrorMessage="1" sqref="H4:H15" xr:uid="{939964AF-2744-42F1-B31B-23338170E9FC}">
      <formula1>"In Progress, Done"</formula1>
    </dataValidation>
    <dataValidation type="list" allowBlank="1" showInputMessage="1" showErrorMessage="1" sqref="C10" xr:uid="{9333EEBD-CD1B-4A2A-A17C-074E105E061C}">
      <formula1>IF(OR(VLOOKUP(B1,Weapon_List,3,FALSE)=1,VLOOKUP(B1,Weapon_List,3,FALSE)=2),Weapon_Ascension_Low_Rarity,Weapon_Ascension_High_Rarity)</formula1>
    </dataValidation>
    <dataValidation type="list" operator="equal" allowBlank="1" showInputMessage="1" showErrorMessage="1" sqref="B4" xr:uid="{B6A990AD-FF68-4DEA-92B8-40CA88361BDD}">
      <formula1>IF(OR(VLOOKUP(B1,Weapon_List,3,FALSE)=1,VLOOKUP(B1,Weapon_List,3,FALSE)=2),Weapon_Levels_Low_Rarity,Weapon_Levels_High_Rarity)</formula1>
    </dataValidation>
    <dataValidation type="list" operator="equal" allowBlank="1" showInputMessage="1" showErrorMessage="1" sqref="B5" xr:uid="{CB6AF8BA-AAE0-4694-84F9-DEDA5C499CCC}">
      <formula1>IF(OR(VLOOKUP(B1,Weapon_List,3,FALSE)=1,VLOOKUP(B1,Weapon_List,3,FALSE)=2),Weapon_Levels_Low_Rarity,Weapon_Levels_High_Rarity)</formula1>
    </dataValidation>
    <dataValidation type="list" allowBlank="1" showInputMessage="1" showErrorMessage="1" sqref="B1" xr:uid="{7072D269-557B-4B0D-BDF9-3CF66253C45D}">
      <formula1>Weapon_Name_List</formula1>
    </dataValidation>
    <dataValidation type="list" allowBlank="1" showInputMessage="1" showErrorMessage="1" sqref="C11" xr:uid="{15C5FB15-C8C5-4EAB-B614-9DC8371FC211}">
      <formula1>IF(OR(VLOOKUP(B1,Weapon_List,3,FALSE)=1,VLOOKUP(B1,Weapon_List,3,FALSE)=2),Weapon_Ascension_Low_Rarity,Weapon_Ascension_High_Rarity)</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304AE-70CD-4AA6-BC22-BD16B456B59A}">
  <sheetPr codeName="Sheet18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387</v>
      </c>
    </row>
    <row r="2" spans="1:8" ht="15.75" thickBot="1" x14ac:dyDescent="0.3"/>
    <row r="3" spans="1:8" ht="15.75" thickBot="1" x14ac:dyDescent="0.3">
      <c r="A3" s="171" t="s">
        <v>197</v>
      </c>
      <c r="B3" s="172"/>
      <c r="E3" s="171" t="s">
        <v>198</v>
      </c>
      <c r="F3" s="231"/>
      <c r="G3" s="172"/>
      <c r="H3" s="58" t="s">
        <v>199</v>
      </c>
    </row>
    <row r="4" spans="1:8" x14ac:dyDescent="0.25">
      <c r="A4" s="12" t="s">
        <v>200</v>
      </c>
      <c r="B4" s="25">
        <v>1</v>
      </c>
      <c r="E4" s="222" t="s">
        <v>201</v>
      </c>
      <c r="F4" s="223"/>
      <c r="G4" s="15" t="e">
        <f ca="1">B6</f>
        <v>#N/A</v>
      </c>
      <c r="H4" s="33" t="s">
        <v>214</v>
      </c>
    </row>
    <row r="5" spans="1:8" ht="15.75" thickBot="1" x14ac:dyDescent="0.3">
      <c r="A5" s="13" t="s">
        <v>203</v>
      </c>
      <c r="B5" s="26">
        <v>1</v>
      </c>
      <c r="E5" s="232" t="s">
        <v>204</v>
      </c>
      <c r="F5" s="233"/>
      <c r="G5" s="16" t="e">
        <f ca="1">SUM(B7,C22)</f>
        <v>#N/A</v>
      </c>
      <c r="H5" s="34" t="s">
        <v>214</v>
      </c>
    </row>
    <row r="6" spans="1:8" x14ac:dyDescent="0.25">
      <c r="A6" s="12" t="s">
        <v>201</v>
      </c>
      <c r="B6" s="15" t="e">
        <f ca="1">VLOOKUP(B5,INDIRECT(_xlfn.CONCAT("Weapon_",VLOOKUP(B1,Weapon_List,3,FALSE),"_star_expmora")),3,FALSE)-VLOOKUP(B4,INDIRECT(_xlfn.CONCAT("Weapon_",VLOOKUP(B1,Weapon_List,3,FALSE),"_star_expmora")),3,FALSE)</f>
        <v>#N/A</v>
      </c>
      <c r="E6" s="227" t="s">
        <v>17</v>
      </c>
      <c r="F6" s="2" t="e">
        <f t="shared" ref="F6:G15" si="0">B12</f>
        <v>#N/A</v>
      </c>
      <c r="G6" s="15" t="e">
        <f t="shared" ca="1" si="0"/>
        <v>#N/A</v>
      </c>
      <c r="H6" s="34" t="s">
        <v>214</v>
      </c>
    </row>
    <row r="7" spans="1:8" ht="15.75" thickBot="1" x14ac:dyDescent="0.3">
      <c r="A7" s="13" t="s">
        <v>204</v>
      </c>
      <c r="B7" s="16" t="e">
        <f ca="1">VLOOKUP(B5,INDIRECT(_xlfn.CONCAT("Weapon_",VLOOKUP(B1,Weapon_List,3,FALSE),"_star_expmora")),5,FALSE)-VLOOKUP(B4,INDIRECT(_xlfn.CONCAT("Weapon_",VLOOKUP(B1,Weapon_List,3,FALSE),"_star_expmora")),5,FALSE)</f>
        <v>#N/A</v>
      </c>
      <c r="E7" s="234"/>
      <c r="F7" s="1" t="e">
        <f t="shared" si="0"/>
        <v>#N/A</v>
      </c>
      <c r="G7" s="17" t="e">
        <f t="shared" ca="1" si="0"/>
        <v>#N/A</v>
      </c>
      <c r="H7" s="34" t="s">
        <v>214</v>
      </c>
    </row>
    <row r="8" spans="1:8" ht="15.75" thickBot="1" x14ac:dyDescent="0.3">
      <c r="E8" s="234"/>
      <c r="F8" s="1" t="e">
        <f t="shared" si="0"/>
        <v>#N/A</v>
      </c>
      <c r="G8" s="17" t="e">
        <f t="shared" ca="1" si="0"/>
        <v>#N/A</v>
      </c>
      <c r="H8" s="34" t="s">
        <v>214</v>
      </c>
    </row>
    <row r="9" spans="1:8" ht="15.75" thickBot="1" x14ac:dyDescent="0.3">
      <c r="A9" s="171" t="s">
        <v>149</v>
      </c>
      <c r="B9" s="231"/>
      <c r="C9" s="172"/>
      <c r="E9" s="234"/>
      <c r="F9" s="44" t="e">
        <f t="shared" si="0"/>
        <v>#N/A</v>
      </c>
      <c r="G9" s="59" t="e">
        <f t="shared" ca="1" si="0"/>
        <v>#N/A</v>
      </c>
      <c r="H9" s="34" t="s">
        <v>214</v>
      </c>
    </row>
    <row r="10" spans="1:8" ht="15.75" thickBot="1" x14ac:dyDescent="0.3">
      <c r="A10" s="173" t="s">
        <v>206</v>
      </c>
      <c r="B10" s="202"/>
      <c r="C10" s="43">
        <v>0</v>
      </c>
      <c r="E10" s="184" t="s">
        <v>19</v>
      </c>
      <c r="F10" s="2" t="e">
        <f t="shared" si="0"/>
        <v>#N/A</v>
      </c>
      <c r="G10" s="15" t="e">
        <f t="shared" ca="1" si="0"/>
        <v>#N/A</v>
      </c>
      <c r="H10" s="34" t="s">
        <v>214</v>
      </c>
    </row>
    <row r="11" spans="1:8" ht="15.75" thickBot="1" x14ac:dyDescent="0.3">
      <c r="A11" s="173" t="s">
        <v>208</v>
      </c>
      <c r="B11" s="202"/>
      <c r="C11" s="43">
        <v>0</v>
      </c>
      <c r="E11" s="185"/>
      <c r="F11" s="1" t="e">
        <f t="shared" si="0"/>
        <v>#N/A</v>
      </c>
      <c r="G11" s="17" t="e">
        <f t="shared" ca="1" si="0"/>
        <v>#N/A</v>
      </c>
      <c r="H11" s="34" t="s">
        <v>214</v>
      </c>
    </row>
    <row r="12" spans="1:8" ht="15.75" thickBot="1" x14ac:dyDescent="0.3">
      <c r="A12" s="227" t="s">
        <v>17</v>
      </c>
      <c r="B12" s="2" t="e">
        <f>VLOOKUP(VLOOKUP(B1,Weapon_List,4,FALSE),Weapon_Ascension_Materials,2,FALSE)</f>
        <v>#N/A</v>
      </c>
      <c r="C12" s="15" t="e">
        <f ca="1">VLOOKUP(C11,INDIRECT(_xlfn.CONCAT("Weapon_",VLOOKUP(B1,Weapon_List,3,FALSE),"_star_requirements")),2,FALSE)-VLOOKUP(C10,INDIRECT(_xlfn.CONCAT("Weapon_",VLOOKUP(B1,Weapon_List,3,FALSE),"_star_requirements")),2,FALSE)</f>
        <v>#N/A</v>
      </c>
      <c r="E12" s="235"/>
      <c r="F12" s="44" t="e">
        <f t="shared" si="0"/>
        <v>#N/A</v>
      </c>
      <c r="G12" s="59" t="e">
        <f t="shared" ca="1" si="0"/>
        <v>#N/A</v>
      </c>
      <c r="H12" s="34" t="s">
        <v>214</v>
      </c>
    </row>
    <row r="13" spans="1:8" x14ac:dyDescent="0.25">
      <c r="A13" s="234"/>
      <c r="B13" s="1" t="e">
        <f>VLOOKUP(VLOOKUP(B1,Weapon_List,4,FALSE),Weapon_Ascension_Materials,3,FALSE)</f>
        <v>#N/A</v>
      </c>
      <c r="C13" s="17" t="e">
        <f ca="1">VLOOKUP(C11,INDIRECT(_xlfn.CONCAT("Weapon_",VLOOKUP(B1,Weapon_List,3,FALSE),"_star_requirements")),3,FALSE)-VLOOKUP(C10,INDIRECT(_xlfn.CONCAT("Weapon_",VLOOKUP(B1,Weapon_List,3,FALSE),"_star_requirements")),3,FALSE)</f>
        <v>#N/A</v>
      </c>
      <c r="E13" s="184" t="s">
        <v>18</v>
      </c>
      <c r="F13" s="2" t="e">
        <f t="shared" si="0"/>
        <v>#N/A</v>
      </c>
      <c r="G13" s="15" t="e">
        <f t="shared" ca="1" si="0"/>
        <v>#N/A</v>
      </c>
      <c r="H13" s="34" t="s">
        <v>214</v>
      </c>
    </row>
    <row r="14" spans="1:8" x14ac:dyDescent="0.25">
      <c r="A14" s="234"/>
      <c r="B14" s="1" t="e">
        <f>VLOOKUP(VLOOKUP(B1,Weapon_List,4,FALSE),Weapon_Ascension_Materials,4,FALSE)</f>
        <v>#N/A</v>
      </c>
      <c r="C14" s="17" t="e">
        <f ca="1">VLOOKUP(C11,INDIRECT(_xlfn.CONCAT("Weapon_",VLOOKUP(B1,Weapon_List,3,FALSE),"_star_requirements")),4,FALSE)-VLOOKUP(C10,INDIRECT(_xlfn.CONCAT("Weapon_",VLOOKUP(B1,Weapon_List,3,FALSE),"_star_requirements")),4,FALSE)</f>
        <v>#N/A</v>
      </c>
      <c r="E14" s="185"/>
      <c r="F14" s="1" t="e">
        <f t="shared" si="0"/>
        <v>#N/A</v>
      </c>
      <c r="G14" s="17" t="e">
        <f t="shared" ca="1" si="0"/>
        <v>#N/A</v>
      </c>
      <c r="H14" s="34" t="s">
        <v>214</v>
      </c>
    </row>
    <row r="15" spans="1:8" ht="15.75" thickBot="1" x14ac:dyDescent="0.3">
      <c r="A15" s="234"/>
      <c r="B15" s="1" t="e">
        <f>VLOOKUP(VLOOKUP(B1,Weapon_List,4,FALSE),Weapon_Ascension_Materials,5,FALSE)</f>
        <v>#N/A</v>
      </c>
      <c r="C15" s="17" t="e">
        <f ca="1">VLOOKUP(C11,INDIRECT(_xlfn.CONCAT("Weapon_",VLOOKUP(B1,Weapon_List,3,FALSE),"_star_requirements")),5,FALSE)-VLOOKUP(C10,INDIRECT(_xlfn.CONCAT("Weapon_",VLOOKUP(B1,Weapon_List,3,FALSE),"_star_requirements")),5,FALSE)</f>
        <v>#N/A</v>
      </c>
      <c r="E15" s="186"/>
      <c r="F15" s="9" t="e">
        <f t="shared" si="0"/>
        <v>#N/A</v>
      </c>
      <c r="G15" s="16" t="e">
        <f t="shared" ca="1" si="0"/>
        <v>#N/A</v>
      </c>
      <c r="H15" s="35" t="s">
        <v>214</v>
      </c>
    </row>
    <row r="16" spans="1:8" x14ac:dyDescent="0.25">
      <c r="A16" s="184" t="s">
        <v>19</v>
      </c>
      <c r="B16" s="2" t="e">
        <f>VLOOKUP(VLOOKUP(B1,Weapon_List,5,FALSE),Common_Mob_Drops,2,FALSE)</f>
        <v>#N/A</v>
      </c>
      <c r="C16" s="15" t="e">
        <f ca="1">VLOOKUP(C11,INDIRECT(_xlfn.CONCAT("Weapon_",VLOOKUP(B1,Weapon_List,3,FALSE),"_star_requirements")),6,FALSE)-VLOOKUP(C10,INDIRECT(_xlfn.CONCAT("Weapon_",VLOOKUP(B1,Weapon_List,3,FALSE),"_star_requirements")),6,FALSE)</f>
        <v>#N/A</v>
      </c>
    </row>
    <row r="17" spans="1:3" x14ac:dyDescent="0.25">
      <c r="A17" s="185"/>
      <c r="B17" s="1" t="e">
        <f>VLOOKUP(VLOOKUP(B1,Weapon_List,5,FALSE),Common_Mob_Drops,3,FALSE)</f>
        <v>#N/A</v>
      </c>
      <c r="C17" s="17" t="e">
        <f ca="1">VLOOKUP(C11,INDIRECT(_xlfn.CONCAT("Weapon_",VLOOKUP(B1,Weapon_List,3,FALSE),"_star_requirements")),7,FALSE)-VLOOKUP(C10,INDIRECT(_xlfn.CONCAT("Weapon_",VLOOKUP(B1,Weapon_List,3,FALSE),"_star_requirements")),7,FALSE)</f>
        <v>#N/A</v>
      </c>
    </row>
    <row r="18" spans="1:3" ht="15.75" thickBot="1" x14ac:dyDescent="0.3">
      <c r="A18" s="186"/>
      <c r="B18" s="9" t="e">
        <f>VLOOKUP(VLOOKUP(B1,Weapon_List,5,FALSE),Common_Mob_Drops,4,FALSE)</f>
        <v>#N/A</v>
      </c>
      <c r="C18" s="16" t="e">
        <f ca="1">VLOOKUP(C11,INDIRECT(_xlfn.CONCAT("Weapon_",VLOOKUP(B1,Weapon_List,3,FALSE),"_star_requirements")),8,FALSE)-VLOOKUP(C10,INDIRECT(_xlfn.CONCAT("Weapon_",VLOOKUP(B1,Weapon_List,3,FALSE),"_star_requirements")),8,FALSE)</f>
        <v>#N/A</v>
      </c>
    </row>
    <row r="19" spans="1:3" x14ac:dyDescent="0.25">
      <c r="A19" s="184" t="s">
        <v>18</v>
      </c>
      <c r="B19" s="2" t="e">
        <f>VLOOKUP(VLOOKUP(B1,Weapon_List,6,FALSE),Elite_Mob_Drops,2,FALSE)</f>
        <v>#N/A</v>
      </c>
      <c r="C19" s="15" t="e">
        <f ca="1">VLOOKUP(C11,INDIRECT(_xlfn.CONCAT("Weapon_",VLOOKUP(B1,Weapon_List,3,FALSE),"_star_requirements")),9,FALSE)-VLOOKUP(C10,INDIRECT(_xlfn.CONCAT("Weapon_",VLOOKUP(B1,Weapon_List,3,FALSE),"_star_requirements")),9,FALSE)</f>
        <v>#N/A</v>
      </c>
    </row>
    <row r="20" spans="1:3" x14ac:dyDescent="0.25">
      <c r="A20" s="185"/>
      <c r="B20" s="1" t="e">
        <f>VLOOKUP(VLOOKUP(B1,Weapon_List,6,FALSE),Elite_Mob_Drops,3,FALSE)</f>
        <v>#N/A</v>
      </c>
      <c r="C20" s="17" t="e">
        <f ca="1">VLOOKUP(C11,INDIRECT(_xlfn.CONCAT("Weapon_",VLOOKUP(B1,Weapon_List,3,FALSE),"_star_requirements")),10,FALSE)-VLOOKUP(C10,INDIRECT(_xlfn.CONCAT("Weapon_",VLOOKUP(B1,Weapon_List,3,FALSE),"_star_requirements")),10,FALSE)</f>
        <v>#N/A</v>
      </c>
    </row>
    <row r="21" spans="1:3" ht="15.75" thickBot="1" x14ac:dyDescent="0.3">
      <c r="A21" s="186"/>
      <c r="B21" s="9" t="e">
        <f>VLOOKUP(VLOOKUP(B1,Weapon_List,6,FALSE),Elite_Mob_Drops,4,FALSE)</f>
        <v>#N/A</v>
      </c>
      <c r="C21" s="16" t="e">
        <f ca="1">VLOOKUP(C11,INDIRECT(_xlfn.CONCAT("Weapon_",VLOOKUP(B1,Weapon_List,3,FALSE),"_star_requirements")),11,FALSE)-VLOOKUP(C10,INDIRECT(_xlfn.CONCAT("Weapon_",VLOOKUP(B1,Weapon_List,3,FALSE),"_star_requirements")),11,FALSE)</f>
        <v>#N/A</v>
      </c>
    </row>
    <row r="22" spans="1:3" ht="15.75" thickBot="1" x14ac:dyDescent="0.3">
      <c r="A22" s="21" t="s">
        <v>204</v>
      </c>
      <c r="B22" s="22" t="s">
        <v>204</v>
      </c>
      <c r="C22" s="23" t="e">
        <f ca="1">VLOOKUP(C11,INDIRECT(_xlfn.CONCAT("Weapon_",VLOOKUP(B1,Weapon_List,3,FALSE),"_star_requirements")),12,FALSE)-VLOOKUP(C10,INDIRECT(_xlfn.CONCAT("Weapon_",VLOOKUP(B1,Weapon_List,3,FALSE),"_star_requirements")),12,FALSE)</f>
        <v>#N/A</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90" priority="1" operator="containsText" text="Done">
      <formula>NOT(ISERROR(SEARCH("Done",H4)))</formula>
    </cfRule>
    <cfRule type="containsText" dxfId="289" priority="2" operator="containsText" text="In Progress">
      <formula>NOT(ISERROR(SEARCH("In Progress",H4)))</formula>
    </cfRule>
  </conditionalFormatting>
  <dataValidations count="6">
    <dataValidation type="list" allowBlank="1" showInputMessage="1" showErrorMessage="1" sqref="H4:H15" xr:uid="{E6802B26-5914-4015-A375-C27F447FD51F}">
      <formula1>"In Progress, Done"</formula1>
    </dataValidation>
    <dataValidation type="list" allowBlank="1" showInputMessage="1" showErrorMessage="1" sqref="C10" xr:uid="{23EAE0B0-F5E5-400D-A662-4E78F18DFD73}">
      <formula1>IF(OR(VLOOKUP(B1,Weapon_List,3,FALSE)=1,VLOOKUP(B1,Weapon_List,3,FALSE)=2),Weapon_Ascension_Low_Rarity,Weapon_Ascension_High_Rarity)</formula1>
    </dataValidation>
    <dataValidation type="list" operator="equal" allowBlank="1" showInputMessage="1" showErrorMessage="1" sqref="B4" xr:uid="{0281C668-7A66-482A-B89A-6E32C6E2ECA3}">
      <formula1>IF(OR(VLOOKUP(B1,Weapon_List,3,FALSE)=1,VLOOKUP(B1,Weapon_List,3,FALSE)=2),Weapon_Levels_Low_Rarity,Weapon_Levels_High_Rarity)</formula1>
    </dataValidation>
    <dataValidation type="list" operator="equal" allowBlank="1" showInputMessage="1" showErrorMessage="1" sqref="B5" xr:uid="{BF8FEE54-E789-4ECB-AE57-57302F6CF154}">
      <formula1>IF(OR(VLOOKUP(B1,Weapon_List,3,FALSE)=1,VLOOKUP(B1,Weapon_List,3,FALSE)=2),Weapon_Levels_Low_Rarity,Weapon_Levels_High_Rarity)</formula1>
    </dataValidation>
    <dataValidation type="list" allowBlank="1" showInputMessage="1" showErrorMessage="1" sqref="B1" xr:uid="{0CBFD332-90FA-46D5-BFC3-944FBFE5DB10}">
      <formula1>Weapon_Name_List</formula1>
    </dataValidation>
    <dataValidation type="list" allowBlank="1" showInputMessage="1" showErrorMessage="1" sqref="C11" xr:uid="{4CB99B31-EAD9-4576-9083-DF0B1DF6725A}">
      <formula1>IF(OR(VLOOKUP(B1,Weapon_List,3,FALSE)=1,VLOOKUP(B1,Weapon_List,3,FALSE)=2),Weapon_Ascension_Low_Rarity,Weapon_Ascension_High_Rarity)</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2123F-C291-49E3-9482-7AD3A547F8D0}">
  <sheetPr codeName="Sheet98">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88" priority="1" operator="containsText" text="Done">
      <formula>NOT(ISERROR(SEARCH("Done",H4)))</formula>
    </cfRule>
    <cfRule type="containsText" dxfId="287" priority="2" operator="containsText" text="In Progress">
      <formula>NOT(ISERROR(SEARCH("In Progress",H4)))</formula>
    </cfRule>
  </conditionalFormatting>
  <dataValidations count="6">
    <dataValidation type="list" allowBlank="1" showInputMessage="1" showErrorMessage="1" sqref="H4:H15" xr:uid="{062EDF44-8AE1-487C-9B67-10E3A3CD15C4}">
      <formula1>"In Progress, Done"</formula1>
    </dataValidation>
    <dataValidation type="list" allowBlank="1" showInputMessage="1" showErrorMessage="1" sqref="C10" xr:uid="{FD89F707-6756-4F04-A8D0-8FE3CC108645}">
      <formula1>IF(OR(VLOOKUP(B1,Weapon_List,3,FALSE)=1,VLOOKUP(B1,Weapon_List,3,FALSE)=2),Weapon_Ascension_Low_Rarity,Weapon_Ascension_High_Rarity)</formula1>
    </dataValidation>
    <dataValidation type="list" operator="equal" allowBlank="1" showInputMessage="1" showErrorMessage="1" sqref="B4" xr:uid="{D69FEFE7-E8FA-4BFB-82F3-07C069E7D895}">
      <formula1>IF(OR(VLOOKUP(B1,Weapon_List,3,FALSE)=1,VLOOKUP(B1,Weapon_List,3,FALSE)=2),Weapon_Levels_Low_Rarity,Weapon_Levels_High_Rarity)</formula1>
    </dataValidation>
    <dataValidation type="list" operator="equal" allowBlank="1" showInputMessage="1" showErrorMessage="1" sqref="B5" xr:uid="{F8A3B822-3E2E-48F1-B814-DF8492709AC3}">
      <formula1>IF(OR(VLOOKUP(B1,Weapon_List,3,FALSE)=1,VLOOKUP(B1,Weapon_List,3,FALSE)=2),Weapon_Levels_Low_Rarity,Weapon_Levels_High_Rarity)</formula1>
    </dataValidation>
    <dataValidation type="list" allowBlank="1" showInputMessage="1" showErrorMessage="1" sqref="B1" xr:uid="{0FCF1BA4-5D9E-4062-9A94-637907DBF5AD}">
      <formula1>Weapon_Name_List</formula1>
    </dataValidation>
    <dataValidation type="list" allowBlank="1" showInputMessage="1" showErrorMessage="1" sqref="C11" xr:uid="{DB334C98-631E-405A-8252-7548E7872D26}">
      <formula1>IF(OR(VLOOKUP(B1,Weapon_List,3,FALSE)=1,VLOOKUP(B1,Weapon_List,3,FALSE)=2),Weapon_Ascension_Low_Rarity,Weapon_Ascension_High_Rarity)</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5BEAE-FF08-493B-AD55-FFA16263DB3F}">
  <sheetPr codeName="Sheet171">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86" priority="1" operator="containsText" text="Done">
      <formula>NOT(ISERROR(SEARCH("Done",H4)))</formula>
    </cfRule>
    <cfRule type="containsText" dxfId="285" priority="2" operator="containsText" text="In Progress">
      <formula>NOT(ISERROR(SEARCH("In Progress",H4)))</formula>
    </cfRule>
  </conditionalFormatting>
  <dataValidations count="6">
    <dataValidation type="list" allowBlank="1" showInputMessage="1" showErrorMessage="1" sqref="H4:H15" xr:uid="{E119099C-60E3-44DE-81A4-8967D8C58E07}">
      <formula1>"In Progress, Done"</formula1>
    </dataValidation>
    <dataValidation type="list" allowBlank="1" showInputMessage="1" showErrorMessage="1" sqref="C10" xr:uid="{5D67B4BD-2CD9-44DB-AF8D-6DF5887D80B4}">
      <formula1>IF(OR(VLOOKUP(B1,Weapon_List,3,FALSE)=1,VLOOKUP(B1,Weapon_List,3,FALSE)=2),Weapon_Ascension_Low_Rarity,Weapon_Ascension_High_Rarity)</formula1>
    </dataValidation>
    <dataValidation type="list" operator="equal" allowBlank="1" showInputMessage="1" showErrorMessage="1" sqref="B4" xr:uid="{27001023-F954-42CB-8F87-18A25D8FEC3F}">
      <formula1>IF(OR(VLOOKUP(B1,Weapon_List,3,FALSE)=1,VLOOKUP(B1,Weapon_List,3,FALSE)=2),Weapon_Levels_Low_Rarity,Weapon_Levels_High_Rarity)</formula1>
    </dataValidation>
    <dataValidation type="list" operator="equal" allowBlank="1" showInputMessage="1" showErrorMessage="1" sqref="B5" xr:uid="{9F70AD4D-4E97-4E34-8D97-07B179F813BF}">
      <formula1>IF(OR(VLOOKUP(B1,Weapon_List,3,FALSE)=1,VLOOKUP(B1,Weapon_List,3,FALSE)=2),Weapon_Levels_Low_Rarity,Weapon_Levels_High_Rarity)</formula1>
    </dataValidation>
    <dataValidation type="list" allowBlank="1" showInputMessage="1" showErrorMessage="1" sqref="B1" xr:uid="{477F5DD3-C1D7-4BF3-A76E-3C178D2314FF}">
      <formula1>Weapon_Name_List</formula1>
    </dataValidation>
    <dataValidation type="list" allowBlank="1" showInputMessage="1" showErrorMessage="1" sqref="C11" xr:uid="{AEE20697-0C3F-4B0C-BCE4-835F6451A173}">
      <formula1>IF(OR(VLOOKUP(B1,Weapon_List,3,FALSE)=1,VLOOKUP(B1,Weapon_List,3,FALSE)=2),Weapon_Ascension_Low_Rarity,Weapon_Ascension_High_Rarity)</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6A5DC-EB9D-437C-A166-7F835FFD9D73}">
  <sheetPr codeName="Sheet173">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84" priority="1" operator="containsText" text="Done">
      <formula>NOT(ISERROR(SEARCH("Done",H4)))</formula>
    </cfRule>
    <cfRule type="containsText" dxfId="283" priority="2" operator="containsText" text="In Progress">
      <formula>NOT(ISERROR(SEARCH("In Progress",H4)))</formula>
    </cfRule>
  </conditionalFormatting>
  <dataValidations count="6">
    <dataValidation type="list" allowBlank="1" showInputMessage="1" showErrorMessage="1" sqref="H4:H15" xr:uid="{2B4BE34D-CB42-4D1F-8BD0-71415495FC6E}">
      <formula1>"In Progress, Done"</formula1>
    </dataValidation>
    <dataValidation type="list" allowBlank="1" showInputMessage="1" showErrorMessage="1" sqref="C10" xr:uid="{B6FB2FB1-EE4E-4FCD-8389-43F210D44F02}">
      <formula1>IF(OR(VLOOKUP(B1,Weapon_List,3,FALSE)=1,VLOOKUP(B1,Weapon_List,3,FALSE)=2),Weapon_Ascension_Low_Rarity,Weapon_Ascension_High_Rarity)</formula1>
    </dataValidation>
    <dataValidation type="list" operator="equal" allowBlank="1" showInputMessage="1" showErrorMessage="1" sqref="B4" xr:uid="{1A7B87A9-C2D8-4598-93C5-3F2C6B97109B}">
      <formula1>IF(OR(VLOOKUP(B1,Weapon_List,3,FALSE)=1,VLOOKUP(B1,Weapon_List,3,FALSE)=2),Weapon_Levels_Low_Rarity,Weapon_Levels_High_Rarity)</formula1>
    </dataValidation>
    <dataValidation type="list" operator="equal" allowBlank="1" showInputMessage="1" showErrorMessage="1" sqref="B5" xr:uid="{34C581AE-6FDD-441F-9B62-3791687F2064}">
      <formula1>IF(OR(VLOOKUP(B1,Weapon_List,3,FALSE)=1,VLOOKUP(B1,Weapon_List,3,FALSE)=2),Weapon_Levels_Low_Rarity,Weapon_Levels_High_Rarity)</formula1>
    </dataValidation>
    <dataValidation type="list" allowBlank="1" showInputMessage="1" showErrorMessage="1" sqref="B1" xr:uid="{02F25DD7-35E1-4940-AEF2-BDF8D345E4BB}">
      <formula1>Weapon_Name_List</formula1>
    </dataValidation>
    <dataValidation type="list" allowBlank="1" showInputMessage="1" showErrorMessage="1" sqref="C11" xr:uid="{D7B8ACF2-6F96-4546-BC59-EA1D44AE03C2}">
      <formula1>IF(OR(VLOOKUP(B1,Weapon_List,3,FALSE)=1,VLOOKUP(B1,Weapon_List,3,FALSE)=2),Weapon_Ascension_Low_Rarity,Weapon_Ascension_High_Rarity)</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5309C-7765-4AD4-99F5-8790944276E7}">
  <sheetPr codeName="Sheet19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82" priority="1" operator="containsText" text="Done">
      <formula>NOT(ISERROR(SEARCH("Done",H4)))</formula>
    </cfRule>
    <cfRule type="containsText" dxfId="281" priority="2" operator="containsText" text="In Progress">
      <formula>NOT(ISERROR(SEARCH("In Progress",H4)))</formula>
    </cfRule>
  </conditionalFormatting>
  <dataValidations count="6">
    <dataValidation type="list" allowBlank="1" showInputMessage="1" showErrorMessage="1" sqref="H4:H15" xr:uid="{F3802F8C-2BF4-44E2-8DFE-DB67023B4189}">
      <formula1>"In Progress, Done"</formula1>
    </dataValidation>
    <dataValidation type="list" allowBlank="1" showInputMessage="1" showErrorMessage="1" sqref="C10" xr:uid="{62A0928D-9520-482D-984E-FF05278FC50A}">
      <formula1>IF(OR(VLOOKUP(B1,Weapon_List,3,FALSE)=1,VLOOKUP(B1,Weapon_List,3,FALSE)=2),Weapon_Ascension_Low_Rarity,Weapon_Ascension_High_Rarity)</formula1>
    </dataValidation>
    <dataValidation type="list" operator="equal" allowBlank="1" showInputMessage="1" showErrorMessage="1" sqref="B4" xr:uid="{919F54DA-9E99-4B55-B10C-9596CFFAB960}">
      <formula1>IF(OR(VLOOKUP(B1,Weapon_List,3,FALSE)=1,VLOOKUP(B1,Weapon_List,3,FALSE)=2),Weapon_Levels_Low_Rarity,Weapon_Levels_High_Rarity)</formula1>
    </dataValidation>
    <dataValidation type="list" operator="equal" allowBlank="1" showInputMessage="1" showErrorMessage="1" sqref="B5" xr:uid="{E813645C-A754-4403-8925-A5F555A06698}">
      <formula1>IF(OR(VLOOKUP(B1,Weapon_List,3,FALSE)=1,VLOOKUP(B1,Weapon_List,3,FALSE)=2),Weapon_Levels_Low_Rarity,Weapon_Levels_High_Rarity)</formula1>
    </dataValidation>
    <dataValidation type="list" allowBlank="1" showInputMessage="1" showErrorMessage="1" sqref="B1" xr:uid="{3CD148E5-E261-4B52-BDFE-C5697FD38680}">
      <formula1>Weapon_Name_List</formula1>
    </dataValidation>
    <dataValidation type="list" allowBlank="1" showInputMessage="1" showErrorMessage="1" sqref="C11" xr:uid="{A6DC9129-B2EA-4F02-93AD-B0375C955057}">
      <formula1>IF(OR(VLOOKUP(B1,Weapon_List,3,FALSE)=1,VLOOKUP(B1,Weapon_List,3,FALSE)=2),Weapon_Ascension_Low_Rarity,Weapon_Ascension_High_Rarity)</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E843A-C292-4DDB-AB21-5848E32C13FE}">
  <sheetPr codeName="Sheet149">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80" priority="1" operator="containsText" text="Done">
      <formula>NOT(ISERROR(SEARCH("Done",H4)))</formula>
    </cfRule>
    <cfRule type="containsText" dxfId="279" priority="2" operator="containsText" text="In Progress">
      <formula>NOT(ISERROR(SEARCH("In Progress",H4)))</formula>
    </cfRule>
  </conditionalFormatting>
  <dataValidations count="6">
    <dataValidation type="list" allowBlank="1" showInputMessage="1" showErrorMessage="1" sqref="H4:H15" xr:uid="{DA173D63-52CA-46C5-BC17-A36973961DBF}">
      <formula1>"In Progress, Done"</formula1>
    </dataValidation>
    <dataValidation type="list" allowBlank="1" showInputMessage="1" showErrorMessage="1" sqref="C10" xr:uid="{17877556-E852-447E-8AA1-D4E3E1D9A986}">
      <formula1>IF(OR(VLOOKUP(B1,Weapon_List,3,FALSE)=1,VLOOKUP(B1,Weapon_List,3,FALSE)=2),Weapon_Ascension_Low_Rarity,Weapon_Ascension_High_Rarity)</formula1>
    </dataValidation>
    <dataValidation type="list" operator="equal" allowBlank="1" showInputMessage="1" showErrorMessage="1" sqref="B4" xr:uid="{33493995-A858-4A4E-843C-8C522BF23AE4}">
      <formula1>IF(OR(VLOOKUP(B1,Weapon_List,3,FALSE)=1,VLOOKUP(B1,Weapon_List,3,FALSE)=2),Weapon_Levels_Low_Rarity,Weapon_Levels_High_Rarity)</formula1>
    </dataValidation>
    <dataValidation type="list" operator="equal" allowBlank="1" showInputMessage="1" showErrorMessage="1" sqref="B5" xr:uid="{ED69E92C-A582-48CB-9DEA-65AC0A63606B}">
      <formula1>IF(OR(VLOOKUP(B1,Weapon_List,3,FALSE)=1,VLOOKUP(B1,Weapon_List,3,FALSE)=2),Weapon_Levels_Low_Rarity,Weapon_Levels_High_Rarity)</formula1>
    </dataValidation>
    <dataValidation type="list" allowBlank="1" showInputMessage="1" showErrorMessage="1" sqref="B1" xr:uid="{424AE36D-FA0E-4A70-A949-088AB78DD3C9}">
      <formula1>Weapon_Name_List</formula1>
    </dataValidation>
    <dataValidation type="list" allowBlank="1" showInputMessage="1" showErrorMessage="1" sqref="C11" xr:uid="{3DECF99A-9152-41B4-AB6D-F87EB3F6E541}">
      <formula1>IF(OR(VLOOKUP(B1,Weapon_List,3,FALSE)=1,VLOOKUP(B1,Weapon_List,3,FALSE)=2),Weapon_Ascension_Low_Rarity,Weapon_Ascension_High_Rarity)</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F1F25-3F37-44F5-98A2-D72248D459E4}">
  <sheetPr codeName="Sheet174">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78" priority="1" operator="containsText" text="Done">
      <formula>NOT(ISERROR(SEARCH("Done",H4)))</formula>
    </cfRule>
    <cfRule type="containsText" dxfId="277" priority="2" operator="containsText" text="In Progress">
      <formula>NOT(ISERROR(SEARCH("In Progress",H4)))</formula>
    </cfRule>
  </conditionalFormatting>
  <dataValidations count="6">
    <dataValidation type="list" allowBlank="1" showInputMessage="1" showErrorMessage="1" sqref="H4:H15" xr:uid="{E9476CBF-C832-4CB4-AA4E-5EABC80D2EC4}">
      <formula1>"In Progress, Done"</formula1>
    </dataValidation>
    <dataValidation type="list" allowBlank="1" showInputMessage="1" showErrorMessage="1" sqref="C10" xr:uid="{3384E57C-98CA-4FA7-8A3F-16596E5AE4A7}">
      <formula1>IF(OR(VLOOKUP(B1,Weapon_List,3,FALSE)=1,VLOOKUP(B1,Weapon_List,3,FALSE)=2),Weapon_Ascension_Low_Rarity,Weapon_Ascension_High_Rarity)</formula1>
    </dataValidation>
    <dataValidation type="list" operator="equal" allowBlank="1" showInputMessage="1" showErrorMessage="1" sqref="B4" xr:uid="{D0C44D97-D898-44F1-84F3-AAF6893F9F0D}">
      <formula1>IF(OR(VLOOKUP(B1,Weapon_List,3,FALSE)=1,VLOOKUP(B1,Weapon_List,3,FALSE)=2),Weapon_Levels_Low_Rarity,Weapon_Levels_High_Rarity)</formula1>
    </dataValidation>
    <dataValidation type="list" operator="equal" allowBlank="1" showInputMessage="1" showErrorMessage="1" sqref="B5" xr:uid="{DB0B59BD-67FE-45C9-AF80-D15D5C6FF35D}">
      <formula1>IF(OR(VLOOKUP(B1,Weapon_List,3,FALSE)=1,VLOOKUP(B1,Weapon_List,3,FALSE)=2),Weapon_Levels_Low_Rarity,Weapon_Levels_High_Rarity)</formula1>
    </dataValidation>
    <dataValidation type="list" allowBlank="1" showInputMessage="1" showErrorMessage="1" sqref="B1" xr:uid="{5B85E813-A211-45FD-921E-58C445BE0643}">
      <formula1>Weapon_Name_List</formula1>
    </dataValidation>
    <dataValidation type="list" allowBlank="1" showInputMessage="1" showErrorMessage="1" sqref="C11" xr:uid="{EB86253D-9A77-4457-B0F5-3DF5E6B541F1}">
      <formula1>IF(OR(VLOOKUP(B1,Weapon_List,3,FALSE)=1,VLOOKUP(B1,Weapon_List,3,FALSE)=2),Weapon_Ascension_Low_Rarity,Weapon_Ascension_High_Rarity)</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6E958-59F6-4E5B-A05B-48D1CBB5B668}">
  <sheetPr codeName="Sheet170">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76" priority="1" operator="containsText" text="Done">
      <formula>NOT(ISERROR(SEARCH("Done",H4)))</formula>
    </cfRule>
    <cfRule type="containsText" dxfId="275" priority="2" operator="containsText" text="In Progress">
      <formula>NOT(ISERROR(SEARCH("In Progress",H4)))</formula>
    </cfRule>
  </conditionalFormatting>
  <dataValidations count="6">
    <dataValidation type="list" allowBlank="1" showInputMessage="1" showErrorMessage="1" sqref="H4:H15" xr:uid="{A470EB5C-617A-45B2-94D6-BE3B7390A3E9}">
      <formula1>"In Progress, Done"</formula1>
    </dataValidation>
    <dataValidation type="list" allowBlank="1" showInputMessage="1" showErrorMessage="1" sqref="C10" xr:uid="{993AA8DF-F24E-4BA1-BCBF-522108C09596}">
      <formula1>IF(OR(VLOOKUP(B1,Weapon_List,3,FALSE)=1,VLOOKUP(B1,Weapon_List,3,FALSE)=2),Weapon_Ascension_Low_Rarity,Weapon_Ascension_High_Rarity)</formula1>
    </dataValidation>
    <dataValidation type="list" operator="equal" allowBlank="1" showInputMessage="1" showErrorMessage="1" sqref="B4" xr:uid="{F54A8B9A-589A-41B8-B123-5D37C148CACF}">
      <formula1>IF(OR(VLOOKUP(B1,Weapon_List,3,FALSE)=1,VLOOKUP(B1,Weapon_List,3,FALSE)=2),Weapon_Levels_Low_Rarity,Weapon_Levels_High_Rarity)</formula1>
    </dataValidation>
    <dataValidation type="list" operator="equal" allowBlank="1" showInputMessage="1" showErrorMessage="1" sqref="B5" xr:uid="{5EF8602C-030A-4B35-89CA-0D99E8B501F3}">
      <formula1>IF(OR(VLOOKUP(B1,Weapon_List,3,FALSE)=1,VLOOKUP(B1,Weapon_List,3,FALSE)=2),Weapon_Levels_Low_Rarity,Weapon_Levels_High_Rarity)</formula1>
    </dataValidation>
    <dataValidation type="list" allowBlank="1" showInputMessage="1" showErrorMessage="1" sqref="B1" xr:uid="{BB3DC89C-AD89-4E42-B19C-92283BDC5805}">
      <formula1>Weapon_Name_List</formula1>
    </dataValidation>
    <dataValidation type="list" allowBlank="1" showInputMessage="1" showErrorMessage="1" sqref="C11" xr:uid="{5890D23C-EB06-452D-B363-1E7C1F3BDC2B}">
      <formula1>IF(OR(VLOOKUP(B1,Weapon_List,3,FALSE)=1,VLOOKUP(B1,Weapon_List,3,FALSE)=2),Weapon_Ascension_Low_Rarity,Weapon_Ascension_High_Rarity)</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266CB-DC1F-4EA6-AF85-42CD2FFC69A2}">
  <sheetPr codeName="Sheet138">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74" priority="1" operator="containsText" text="Done">
      <formula>NOT(ISERROR(SEARCH("Done",H4)))</formula>
    </cfRule>
    <cfRule type="containsText" dxfId="273" priority="2" operator="containsText" text="In Progress">
      <formula>NOT(ISERROR(SEARCH("In Progress",H4)))</formula>
    </cfRule>
  </conditionalFormatting>
  <dataValidations count="6">
    <dataValidation type="list" allowBlank="1" showInputMessage="1" showErrorMessage="1" sqref="H4:H15" xr:uid="{250932F3-58AF-42E2-B4DF-2DE18AA81FFA}">
      <formula1>"In Progress, Done"</formula1>
    </dataValidation>
    <dataValidation type="list" allowBlank="1" showInputMessage="1" showErrorMessage="1" sqref="C10" xr:uid="{0A66FD96-F317-4A42-9D0D-32C0E6ED3E04}">
      <formula1>IF(OR(VLOOKUP(B1,Weapon_List,3,FALSE)=1,VLOOKUP(B1,Weapon_List,3,FALSE)=2),Weapon_Ascension_Low_Rarity,Weapon_Ascension_High_Rarity)</formula1>
    </dataValidation>
    <dataValidation type="list" operator="equal" allowBlank="1" showInputMessage="1" showErrorMessage="1" sqref="B4" xr:uid="{87686E9A-EDC1-492B-A574-8F5B340226EF}">
      <formula1>IF(OR(VLOOKUP(B1,Weapon_List,3,FALSE)=1,VLOOKUP(B1,Weapon_List,3,FALSE)=2),Weapon_Levels_Low_Rarity,Weapon_Levels_High_Rarity)</formula1>
    </dataValidation>
    <dataValidation type="list" operator="equal" allowBlank="1" showInputMessage="1" showErrorMessage="1" sqref="B5" xr:uid="{43CA0FD4-9324-49F9-AA2C-3F0DD1810D50}">
      <formula1>IF(OR(VLOOKUP(B1,Weapon_List,3,FALSE)=1,VLOOKUP(B1,Weapon_List,3,FALSE)=2),Weapon_Levels_Low_Rarity,Weapon_Levels_High_Rarity)</formula1>
    </dataValidation>
    <dataValidation type="list" allowBlank="1" showInputMessage="1" showErrorMessage="1" sqref="B1" xr:uid="{A174E539-2C9B-4CF6-9D79-D5A47E8E63AF}">
      <formula1>Weapon_Name_List</formula1>
    </dataValidation>
    <dataValidation type="list" allowBlank="1" showInputMessage="1" showErrorMessage="1" sqref="C11" xr:uid="{BDCEF0F9-6A2A-417D-A5EA-527C7FC762BA}">
      <formula1>IF(OR(VLOOKUP(B1,Weapon_List,3,FALSE)=1,VLOOKUP(B1,Weapon_List,3,FALSE)=2),Weapon_Ascension_Low_Rarity,Weapon_Ascension_High_Rarity)</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D882A-2027-4B93-815B-EECCDB7CD83A}">
  <sheetPr codeName="Sheet172">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72" priority="1" operator="containsText" text="Done">
      <formula>NOT(ISERROR(SEARCH("Done",H4)))</formula>
    </cfRule>
    <cfRule type="containsText" dxfId="271" priority="2" operator="containsText" text="In Progress">
      <formula>NOT(ISERROR(SEARCH("In Progress",H4)))</formula>
    </cfRule>
  </conditionalFormatting>
  <dataValidations count="6">
    <dataValidation type="list" allowBlank="1" showInputMessage="1" showErrorMessage="1" sqref="H4:H15" xr:uid="{007EB778-2AD8-4965-851B-51E998DD09BE}">
      <formula1>"In Progress, Done"</formula1>
    </dataValidation>
    <dataValidation type="list" allowBlank="1" showInputMessage="1" showErrorMessage="1" sqref="C10" xr:uid="{8774D897-1A41-45C0-B6A0-C6B7518BF3A3}">
      <formula1>IF(OR(VLOOKUP(B1,Weapon_List,3,FALSE)=1,VLOOKUP(B1,Weapon_List,3,FALSE)=2),Weapon_Ascension_Low_Rarity,Weapon_Ascension_High_Rarity)</formula1>
    </dataValidation>
    <dataValidation type="list" operator="equal" allowBlank="1" showInputMessage="1" showErrorMessage="1" sqref="B4" xr:uid="{607782EA-ACF5-4D97-8192-71B42487ADC0}">
      <formula1>IF(OR(VLOOKUP(B1,Weapon_List,3,FALSE)=1,VLOOKUP(B1,Weapon_List,3,FALSE)=2),Weapon_Levels_Low_Rarity,Weapon_Levels_High_Rarity)</formula1>
    </dataValidation>
    <dataValidation type="list" operator="equal" allowBlank="1" showInputMessage="1" showErrorMessage="1" sqref="B5" xr:uid="{2437E4A9-5B4D-48DB-A7BE-B59A04D6C681}">
      <formula1>IF(OR(VLOOKUP(B1,Weapon_List,3,FALSE)=1,VLOOKUP(B1,Weapon_List,3,FALSE)=2),Weapon_Levels_Low_Rarity,Weapon_Levels_High_Rarity)</formula1>
    </dataValidation>
    <dataValidation type="list" allowBlank="1" showInputMessage="1" showErrorMessage="1" sqref="B1" xr:uid="{8E9F5A3E-1463-463D-A4D4-23F2976774AD}">
      <formula1>Weapon_Name_List</formula1>
    </dataValidation>
    <dataValidation type="list" allowBlank="1" showInputMessage="1" showErrorMessage="1" sqref="C11" xr:uid="{AA29EF05-828C-4D29-BB7C-0984DE210B5C}">
      <formula1>IF(OR(VLOOKUP(B1,Weapon_List,3,FALSE)=1,VLOOKUP(B1,Weapon_List,3,FALSE)=2),Weapon_Ascension_Low_Rarity,Weapon_Ascension_High_Rarity)</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E2C06-6D15-4939-AE48-3789E7BA0C82}">
  <sheetPr codeName="Sheet9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70" priority="1" operator="containsText" text="Done">
      <formula>NOT(ISERROR(SEARCH("Done",H4)))</formula>
    </cfRule>
    <cfRule type="containsText" dxfId="269" priority="2" operator="containsText" text="In Progress">
      <formula>NOT(ISERROR(SEARCH("In Progress",H4)))</formula>
    </cfRule>
  </conditionalFormatting>
  <dataValidations count="6">
    <dataValidation type="list" allowBlank="1" showInputMessage="1" showErrorMessage="1" sqref="H4:H15" xr:uid="{8E32D147-AB46-485A-8A2B-D8A62A68C235}">
      <formula1>"In Progress, Done"</formula1>
    </dataValidation>
    <dataValidation type="list" allowBlank="1" showInputMessage="1" showErrorMessage="1" sqref="C10" xr:uid="{5C797946-B7DF-42FD-BFE3-6454AA092F99}">
      <formula1>IF(OR(VLOOKUP(B1,Weapon_List,3,FALSE)=1,VLOOKUP(B1,Weapon_List,3,FALSE)=2),Weapon_Ascension_Low_Rarity,Weapon_Ascension_High_Rarity)</formula1>
    </dataValidation>
    <dataValidation type="list" operator="equal" allowBlank="1" showInputMessage="1" showErrorMessage="1" sqref="B4" xr:uid="{EDFC208F-0A03-4501-A901-4D2417166DA0}">
      <formula1>IF(OR(VLOOKUP(B1,Weapon_List,3,FALSE)=1,VLOOKUP(B1,Weapon_List,3,FALSE)=2),Weapon_Levels_Low_Rarity,Weapon_Levels_High_Rarity)</formula1>
    </dataValidation>
    <dataValidation type="list" operator="equal" allowBlank="1" showInputMessage="1" showErrorMessage="1" sqref="B5" xr:uid="{CC036969-5A54-4958-BDF7-52EDBDA4798C}">
      <formula1>IF(OR(VLOOKUP(B1,Weapon_List,3,FALSE)=1,VLOOKUP(B1,Weapon_List,3,FALSE)=2),Weapon_Levels_Low_Rarity,Weapon_Levels_High_Rarity)</formula1>
    </dataValidation>
    <dataValidation type="list" allowBlank="1" showInputMessage="1" showErrorMessage="1" sqref="B1" xr:uid="{8E3A6440-1F69-4AB3-AD61-787317488938}">
      <formula1>Weapon_Name_List</formula1>
    </dataValidation>
    <dataValidation type="list" allowBlank="1" showInputMessage="1" showErrorMessage="1" sqref="C11" xr:uid="{CD47C8D9-6AB6-4AA6-8767-3AAFE38A0AC5}">
      <formula1>IF(OR(VLOOKUP(B1,Weapon_List,3,FALSE)=1,VLOOKUP(B1,Weapon_List,3,FALSE)=2),Weapon_Ascension_Low_Rarity,Weapon_Ascension_High_Rarity)</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2CE0F-66C1-424F-8A7B-D350CA0753E1}">
  <sheetPr codeName="Sheet122">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68" priority="1" operator="containsText" text="Done">
      <formula>NOT(ISERROR(SEARCH("Done",H4)))</formula>
    </cfRule>
    <cfRule type="containsText" dxfId="267" priority="2" operator="containsText" text="In Progress">
      <formula>NOT(ISERROR(SEARCH("In Progress",H4)))</formula>
    </cfRule>
  </conditionalFormatting>
  <dataValidations count="6">
    <dataValidation type="list" allowBlank="1" showInputMessage="1" showErrorMessage="1" sqref="H4:H15" xr:uid="{DA86FFE0-9C7E-4834-B3CD-A86573405D9E}">
      <formula1>"In Progress, Done"</formula1>
    </dataValidation>
    <dataValidation type="list" allowBlank="1" showInputMessage="1" showErrorMessage="1" sqref="C10" xr:uid="{CE8AF45A-8E27-4C40-9646-785064C2D770}">
      <formula1>IF(OR(VLOOKUP(B1,Weapon_List,3,FALSE)=1,VLOOKUP(B1,Weapon_List,3,FALSE)=2),Weapon_Ascension_Low_Rarity,Weapon_Ascension_High_Rarity)</formula1>
    </dataValidation>
    <dataValidation type="list" operator="equal" allowBlank="1" showInputMessage="1" showErrorMessage="1" sqref="B4" xr:uid="{62966E16-7B7C-4CD5-8A10-A0C835FA183A}">
      <formula1>IF(OR(VLOOKUP(B1,Weapon_List,3,FALSE)=1,VLOOKUP(B1,Weapon_List,3,FALSE)=2),Weapon_Levels_Low_Rarity,Weapon_Levels_High_Rarity)</formula1>
    </dataValidation>
    <dataValidation type="list" operator="equal" allowBlank="1" showInputMessage="1" showErrorMessage="1" sqref="B5" xr:uid="{110292BB-A999-4C89-98B8-23265F3089DF}">
      <formula1>IF(OR(VLOOKUP(B1,Weapon_List,3,FALSE)=1,VLOOKUP(B1,Weapon_List,3,FALSE)=2),Weapon_Levels_Low_Rarity,Weapon_Levels_High_Rarity)</formula1>
    </dataValidation>
    <dataValidation type="list" allowBlank="1" showInputMessage="1" showErrorMessage="1" sqref="B1" xr:uid="{B4F61683-90A5-4E1A-B546-2285D173AA38}">
      <formula1>Weapon_Name_List</formula1>
    </dataValidation>
    <dataValidation type="list" allowBlank="1" showInputMessage="1" showErrorMessage="1" sqref="C11" xr:uid="{76919A87-C672-45C2-B019-0C903A5FBEBE}">
      <formula1>IF(OR(VLOOKUP(B1,Weapon_List,3,FALSE)=1,VLOOKUP(B1,Weapon_List,3,FALSE)=2),Weapon_Ascension_Low_Rarity,Weapon_Ascension_High_Rarity)</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2E654-D810-4AAD-99D8-4C02A3F12FA6}">
  <sheetPr codeName="Sheet66">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Fossilized Bone Shard</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66" priority="1" operator="containsText" text="Done">
      <formula>NOT(ISERROR(SEARCH("Done",H4)))</formula>
    </cfRule>
    <cfRule type="containsText" dxfId="265" priority="2" operator="containsText" text="In Progress">
      <formula>NOT(ISERROR(SEARCH("In Progress",H4)))</formula>
    </cfRule>
  </conditionalFormatting>
  <dataValidations count="6">
    <dataValidation type="list" allowBlank="1" showInputMessage="1" showErrorMessage="1" sqref="H4:H15" xr:uid="{1BEC1DD4-F11E-4493-ABA2-C1C37884D82F}">
      <formula1>"In Progress, Done"</formula1>
    </dataValidation>
    <dataValidation type="list" allowBlank="1" showInputMessage="1" showErrorMessage="1" sqref="C10" xr:uid="{E7A0F7C3-DC67-4900-96B4-D92E45B90725}">
      <formula1>IF(OR(VLOOKUP(B1,Weapon_List,3,FALSE)=1,VLOOKUP(B1,Weapon_List,3,FALSE)=2),Weapon_Ascension_Low_Rarity,Weapon_Ascension_High_Rarity)</formula1>
    </dataValidation>
    <dataValidation type="list" operator="equal" allowBlank="1" showInputMessage="1" showErrorMessage="1" sqref="B4" xr:uid="{3570D141-0795-49EF-8D32-86EF168CAAB5}">
      <formula1>IF(OR(VLOOKUP(B1,Weapon_List,3,FALSE)=1,VLOOKUP(B1,Weapon_List,3,FALSE)=2),Weapon_Levels_Low_Rarity,Weapon_Levels_High_Rarity)</formula1>
    </dataValidation>
    <dataValidation type="list" operator="equal" allowBlank="1" showInputMessage="1" showErrorMessage="1" sqref="B5" xr:uid="{8DA55CE8-9663-4E08-9FF5-76030A46E30A}">
      <formula1>IF(OR(VLOOKUP(B1,Weapon_List,3,FALSE)=1,VLOOKUP(B1,Weapon_List,3,FALSE)=2),Weapon_Levels_Low_Rarity,Weapon_Levels_High_Rarity)</formula1>
    </dataValidation>
    <dataValidation type="list" allowBlank="1" showInputMessage="1" showErrorMessage="1" sqref="B1" xr:uid="{79F80ACA-66B1-4A9F-B542-880A6F5E1486}">
      <formula1>Weapon_Name_List</formula1>
    </dataValidation>
    <dataValidation type="list" allowBlank="1" showInputMessage="1" showErrorMessage="1" sqref="C11" xr:uid="{6C71D9D7-169E-4F73-8E60-5CA63335433D}">
      <formula1>IF(OR(VLOOKUP(B1,Weapon_List,3,FALSE)=1,VLOOKUP(B1,Weapon_List,3,FALSE)=2),Weapon_Ascension_Low_Rarity,Weapon_Ascension_High_Rarity)</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6BC0C-8D16-4FB5-AD8A-BE5E49038070}">
  <sheetPr codeName="Sheet63">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64" priority="1" operator="containsText" text="Done">
      <formula>NOT(ISERROR(SEARCH("Done",H4)))</formula>
    </cfRule>
    <cfRule type="containsText" dxfId="263" priority="2" operator="containsText" text="In Progress">
      <formula>NOT(ISERROR(SEARCH("In Progress",H4)))</formula>
    </cfRule>
  </conditionalFormatting>
  <dataValidations count="6">
    <dataValidation type="list" allowBlank="1" showInputMessage="1" showErrorMessage="1" sqref="H4:H15" xr:uid="{EBE774E4-19B7-4AB3-9F94-914E74D94EDE}">
      <formula1>"In Progress, Done"</formula1>
    </dataValidation>
    <dataValidation type="list" allowBlank="1" showInputMessage="1" showErrorMessage="1" sqref="C10" xr:uid="{96CFBF3C-D782-4395-B064-FF6411B15A22}">
      <formula1>IF(OR(VLOOKUP(B1,Weapon_List,3,FALSE)=1,VLOOKUP(B1,Weapon_List,3,FALSE)=2),Weapon_Ascension_Low_Rarity,Weapon_Ascension_High_Rarity)</formula1>
    </dataValidation>
    <dataValidation type="list" operator="equal" allowBlank="1" showInputMessage="1" showErrorMessage="1" sqref="B4" xr:uid="{BD2283D7-10AE-4870-ABC4-7F66420EB2D5}">
      <formula1>IF(OR(VLOOKUP(B1,Weapon_List,3,FALSE)=1,VLOOKUP(B1,Weapon_List,3,FALSE)=2),Weapon_Levels_Low_Rarity,Weapon_Levels_High_Rarity)</formula1>
    </dataValidation>
    <dataValidation type="list" operator="equal" allowBlank="1" showInputMessage="1" showErrorMessage="1" sqref="B5" xr:uid="{B831F0E9-5E01-47F7-8874-789556DD17A6}">
      <formula1>IF(OR(VLOOKUP(B1,Weapon_List,3,FALSE)=1,VLOOKUP(B1,Weapon_List,3,FALSE)=2),Weapon_Levels_Low_Rarity,Weapon_Levels_High_Rarity)</formula1>
    </dataValidation>
    <dataValidation type="list" allowBlank="1" showInputMessage="1" showErrorMessage="1" sqref="B1" xr:uid="{A27CEE90-9E04-4F11-9DAB-234C663C180B}">
      <formula1>Weapon_Name_List</formula1>
    </dataValidation>
    <dataValidation type="list" allowBlank="1" showInputMessage="1" showErrorMessage="1" sqref="C11" xr:uid="{BF7FD1AA-0C97-4EAD-868B-29E94DA4BB1D}">
      <formula1>IF(OR(VLOOKUP(B1,Weapon_List,3,FALSE)=1,VLOOKUP(B1,Weapon_List,3,FALSE)=2),Weapon_Ascension_Low_Rarity,Weapon_Ascension_High_Rarity)</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9280D-FC47-4F12-BC74-8CD06144DE43}">
  <sheetPr codeName="Sheet74">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Fossilized Bone Shard</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62" priority="1" operator="containsText" text="Done">
      <formula>NOT(ISERROR(SEARCH("Done",H4)))</formula>
    </cfRule>
    <cfRule type="containsText" dxfId="261" priority="2" operator="containsText" text="In Progress">
      <formula>NOT(ISERROR(SEARCH("In Progress",H4)))</formula>
    </cfRule>
  </conditionalFormatting>
  <dataValidations count="6">
    <dataValidation type="list" allowBlank="1" showInputMessage="1" showErrorMessage="1" sqref="C11" xr:uid="{18A30766-59C0-411E-BF93-409BC90A195A}">
      <formula1>IF(OR(VLOOKUP(B1,Weapon_List,3,FALSE)=1,VLOOKUP(B1,Weapon_List,3,FALSE)=2),Weapon_Ascension_Low_Rarity,Weapon_Ascension_High_Rarity)</formula1>
    </dataValidation>
    <dataValidation type="list" allowBlank="1" showInputMessage="1" showErrorMessage="1" sqref="B1" xr:uid="{983FE678-F21A-425C-AE6C-BF77CA0BFD11}">
      <formula1>Weapon_Name_List</formula1>
    </dataValidation>
    <dataValidation type="list" operator="equal" allowBlank="1" showInputMessage="1" showErrorMessage="1" sqref="B5" xr:uid="{10F78D39-2463-4744-9154-183649D0C912}">
      <formula1>IF(OR(VLOOKUP(B1,Weapon_List,3,FALSE)=1,VLOOKUP(B1,Weapon_List,3,FALSE)=2),Weapon_Levels_Low_Rarity,Weapon_Levels_High_Rarity)</formula1>
    </dataValidation>
    <dataValidation type="list" operator="equal" allowBlank="1" showInputMessage="1" showErrorMessage="1" sqref="B4" xr:uid="{CAA13B75-0EA8-4A33-A1CD-00DE9913EC40}">
      <formula1>IF(OR(VLOOKUP(B1,Weapon_List,3,FALSE)=1,VLOOKUP(B1,Weapon_List,3,FALSE)=2),Weapon_Levels_Low_Rarity,Weapon_Levels_High_Rarity)</formula1>
    </dataValidation>
    <dataValidation type="list" allowBlank="1" showInputMessage="1" showErrorMessage="1" sqref="C10" xr:uid="{16567A0C-54F8-42A8-B25F-FAEA56B6F94D}">
      <formula1>IF(OR(VLOOKUP(B1,Weapon_List,3,FALSE)=1,VLOOKUP(B1,Weapon_List,3,FALSE)=2),Weapon_Ascension_Low_Rarity,Weapon_Ascension_High_Rarity)</formula1>
    </dataValidation>
    <dataValidation type="list" allowBlank="1" showInputMessage="1" showErrorMessage="1" sqref="H4:H15" xr:uid="{D151B6E6-7029-4313-9658-3E133D0802A5}">
      <formula1>"In Progress, Done"</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C53FB-240E-454D-99DB-FDC642A524C3}">
  <sheetPr codeName="Sheet176">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60" priority="1" operator="containsText" text="Done">
      <formula>NOT(ISERROR(SEARCH("Done",H4)))</formula>
    </cfRule>
    <cfRule type="containsText" dxfId="259" priority="2" operator="containsText" text="In Progress">
      <formula>NOT(ISERROR(SEARCH("In Progress",H4)))</formula>
    </cfRule>
  </conditionalFormatting>
  <dataValidations count="6">
    <dataValidation type="list" allowBlank="1" showInputMessage="1" showErrorMessage="1" sqref="H4:H15" xr:uid="{F28616FF-1CD8-43F9-9C04-176C27C8BABA}">
      <formula1>"In Progress, Done"</formula1>
    </dataValidation>
    <dataValidation type="list" allowBlank="1" showInputMessage="1" showErrorMessage="1" sqref="C10" xr:uid="{6D87917F-E5BD-4B20-8823-600928E09933}">
      <formula1>IF(OR(VLOOKUP(B1,Weapon_List,3,FALSE)=1,VLOOKUP(B1,Weapon_List,3,FALSE)=2),Weapon_Ascension_Low_Rarity,Weapon_Ascension_High_Rarity)</formula1>
    </dataValidation>
    <dataValidation type="list" operator="equal" allowBlank="1" showInputMessage="1" showErrorMessage="1" sqref="B4" xr:uid="{A42D0715-FD4D-4935-BFF3-DC6C169CB3C7}">
      <formula1>IF(OR(VLOOKUP(B1,Weapon_List,3,FALSE)=1,VLOOKUP(B1,Weapon_List,3,FALSE)=2),Weapon_Levels_Low_Rarity,Weapon_Levels_High_Rarity)</formula1>
    </dataValidation>
    <dataValidation type="list" operator="equal" allowBlank="1" showInputMessage="1" showErrorMessage="1" sqref="B5" xr:uid="{507D799E-870E-4F37-9972-3D3FEDD7C4AE}">
      <formula1>IF(OR(VLOOKUP(B1,Weapon_List,3,FALSE)=1,VLOOKUP(B1,Weapon_List,3,FALSE)=2),Weapon_Levels_Low_Rarity,Weapon_Levels_High_Rarity)</formula1>
    </dataValidation>
    <dataValidation type="list" allowBlank="1" showInputMessage="1" showErrorMessage="1" sqref="B1" xr:uid="{FEA39805-E426-4ECE-A8C2-E750FAB6FC94}">
      <formula1>Weapon_Name_List</formula1>
    </dataValidation>
    <dataValidation type="list" allowBlank="1" showInputMessage="1" showErrorMessage="1" sqref="C11" xr:uid="{4A062EFC-9126-4C05-888E-77D3FB6499FF}">
      <formula1>IF(OR(VLOOKUP(B1,Weapon_List,3,FALSE)=1,VLOOKUP(B1,Weapon_List,3,FALSE)=2),Weapon_Ascension_Low_Rarity,Weapon_Ascension_High_Rarity)</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C9EBC-CB04-4695-B799-0E3387E05765}">
  <sheetPr codeName="Sheet64">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58" priority="1" operator="containsText" text="Done">
      <formula>NOT(ISERROR(SEARCH("Done",H4)))</formula>
    </cfRule>
    <cfRule type="containsText" dxfId="257" priority="2" operator="containsText" text="In Progress">
      <formula>NOT(ISERROR(SEARCH("In Progress",H4)))</formula>
    </cfRule>
  </conditionalFormatting>
  <dataValidations count="6">
    <dataValidation type="list" allowBlank="1" showInputMessage="1" showErrorMessage="1" sqref="H4:H15" xr:uid="{C2FE1DD9-2F1E-473C-802B-BEB6F7DD9762}">
      <formula1>"In Progress, Done"</formula1>
    </dataValidation>
    <dataValidation type="list" allowBlank="1" showInputMessage="1" showErrorMessage="1" sqref="C10" xr:uid="{4EC21DF6-2EE7-41FA-B8DC-71D5BD14D561}">
      <formula1>IF(OR(VLOOKUP(B1,Weapon_List,3,FALSE)=1,VLOOKUP(B1,Weapon_List,3,FALSE)=2),Weapon_Ascension_Low_Rarity,Weapon_Ascension_High_Rarity)</formula1>
    </dataValidation>
    <dataValidation type="list" operator="equal" allowBlank="1" showInputMessage="1" showErrorMessage="1" sqref="B4" xr:uid="{66B2C031-C579-4759-9ECA-B4DF84A48D37}">
      <formula1>IF(OR(VLOOKUP(B1,Weapon_List,3,FALSE)=1,VLOOKUP(B1,Weapon_List,3,FALSE)=2),Weapon_Levels_Low_Rarity,Weapon_Levels_High_Rarity)</formula1>
    </dataValidation>
    <dataValidation type="list" operator="equal" allowBlank="1" showInputMessage="1" showErrorMessage="1" sqref="B5" xr:uid="{AB60383B-E71E-4B1A-BDDF-B75DA1A073B1}">
      <formula1>IF(OR(VLOOKUP(B1,Weapon_List,3,FALSE)=1,VLOOKUP(B1,Weapon_List,3,FALSE)=2),Weapon_Levels_Low_Rarity,Weapon_Levels_High_Rarity)</formula1>
    </dataValidation>
    <dataValidation type="list" allowBlank="1" showInputMessage="1" showErrorMessage="1" sqref="B1" xr:uid="{2BBABC6C-A87C-4309-80BF-CD242EDE55EB}">
      <formula1>Weapon_Name_List</formula1>
    </dataValidation>
    <dataValidation type="list" allowBlank="1" showInputMessage="1" showErrorMessage="1" sqref="C11" xr:uid="{68E07349-AEA3-4547-8631-8DCDD67EDF7F}">
      <formula1>IF(OR(VLOOKUP(B1,Weapon_List,3,FALSE)=1,VLOOKUP(B1,Weapon_List,3,FALSE)=2),Weapon_Ascension_Low_Rarity,Weapon_Ascension_High_Rarity)</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786FE-A03B-4D18-8F10-BDE27ED01472}">
  <sheetPr codeName="Sheet125">
    <tabColor theme="4" tint="0.39997558519241921"/>
  </sheetPr>
  <dimension ref="A1:H22"/>
  <sheetViews>
    <sheetView workbookViewId="0">
      <selection activeCell="H10" sqref="H1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56" priority="1" operator="containsText" text="Done">
      <formula>NOT(ISERROR(SEARCH("Done",H4)))</formula>
    </cfRule>
    <cfRule type="containsText" dxfId="255" priority="2" operator="containsText" text="In Progress">
      <formula>NOT(ISERROR(SEARCH("In Progress",H4)))</formula>
    </cfRule>
  </conditionalFormatting>
  <dataValidations count="6">
    <dataValidation type="list" allowBlank="1" showInputMessage="1" showErrorMessage="1" sqref="H4:H15" xr:uid="{1AEF7D55-C901-4C14-BEF1-EF62BB056637}">
      <formula1>"In Progress, Done"</formula1>
    </dataValidation>
    <dataValidation type="list" allowBlank="1" showInputMessage="1" showErrorMessage="1" sqref="C10" xr:uid="{A4479ED1-7C1B-4CD3-B648-D5EEE9323E62}">
      <formula1>IF(OR(VLOOKUP(B1,Weapon_List,3,FALSE)=1,VLOOKUP(B1,Weapon_List,3,FALSE)=2),Weapon_Ascension_Low_Rarity,Weapon_Ascension_High_Rarity)</formula1>
    </dataValidation>
    <dataValidation type="list" operator="equal" allowBlank="1" showInputMessage="1" showErrorMessage="1" sqref="B4" xr:uid="{7EE39B0E-BE99-451E-A840-439D2981116F}">
      <formula1>IF(OR(VLOOKUP(B1,Weapon_List,3,FALSE)=1,VLOOKUP(B1,Weapon_List,3,FALSE)=2),Weapon_Levels_Low_Rarity,Weapon_Levels_High_Rarity)</formula1>
    </dataValidation>
    <dataValidation type="list" operator="equal" allowBlank="1" showInputMessage="1" showErrorMessage="1" sqref="B5" xr:uid="{EF0F8971-F7B4-408A-8BDA-F97E5B28BCA1}">
      <formula1>IF(OR(VLOOKUP(B1,Weapon_List,3,FALSE)=1,VLOOKUP(B1,Weapon_List,3,FALSE)=2),Weapon_Levels_Low_Rarity,Weapon_Levels_High_Rarity)</formula1>
    </dataValidation>
    <dataValidation type="list" allowBlank="1" showInputMessage="1" showErrorMessage="1" sqref="B1" xr:uid="{555C1882-A74B-4A43-A620-64F4913D46EA}">
      <formula1>Weapon_Name_List</formula1>
    </dataValidation>
    <dataValidation type="list" allowBlank="1" showInputMessage="1" showErrorMessage="1" sqref="C11" xr:uid="{0C747133-371F-4AE2-86E6-ACD6C1592F08}">
      <formula1>IF(OR(VLOOKUP(B1,Weapon_List,3,FALSE)=1,VLOOKUP(B1,Weapon_List,3,FALSE)=2),Weapon_Ascension_Low_Rarity,Weapon_Ascension_High_Rarity)</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76C59-9537-4743-9F6A-8279C3EFFF82}">
  <sheetPr codeName="Sheet179">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54" priority="1" operator="containsText" text="Done">
      <formula>NOT(ISERROR(SEARCH("Done",H4)))</formula>
    </cfRule>
    <cfRule type="containsText" dxfId="253" priority="2" operator="containsText" text="In Progress">
      <formula>NOT(ISERROR(SEARCH("In Progress",H4)))</formula>
    </cfRule>
  </conditionalFormatting>
  <dataValidations count="6">
    <dataValidation type="list" allowBlank="1" showInputMessage="1" showErrorMessage="1" sqref="H4:H15" xr:uid="{E002A5A1-BACF-4FC1-838C-7966FF2F2600}">
      <formula1>"In Progress, Done"</formula1>
    </dataValidation>
    <dataValidation type="list" allowBlank="1" showInputMessage="1" showErrorMessage="1" sqref="C10" xr:uid="{82908279-A136-4364-B799-F76801E3BAEE}">
      <formula1>IF(OR(VLOOKUP(B1,Weapon_List,3,FALSE)=1,VLOOKUP(B1,Weapon_List,3,FALSE)=2),Weapon_Ascension_Low_Rarity,Weapon_Ascension_High_Rarity)</formula1>
    </dataValidation>
    <dataValidation type="list" operator="equal" allowBlank="1" showInputMessage="1" showErrorMessage="1" sqref="B4" xr:uid="{3AD7AFAD-952D-41CC-8A55-8AFB1E332901}">
      <formula1>IF(OR(VLOOKUP(B1,Weapon_List,3,FALSE)=1,VLOOKUP(B1,Weapon_List,3,FALSE)=2),Weapon_Levels_Low_Rarity,Weapon_Levels_High_Rarity)</formula1>
    </dataValidation>
    <dataValidation type="list" operator="equal" allowBlank="1" showInputMessage="1" showErrorMessage="1" sqref="B5" xr:uid="{43A89699-41CA-4E17-8EC4-625ACF01CDF2}">
      <formula1>IF(OR(VLOOKUP(B1,Weapon_List,3,FALSE)=1,VLOOKUP(B1,Weapon_List,3,FALSE)=2),Weapon_Levels_Low_Rarity,Weapon_Levels_High_Rarity)</formula1>
    </dataValidation>
    <dataValidation type="list" allowBlank="1" showInputMessage="1" showErrorMessage="1" sqref="B1" xr:uid="{19033928-BBA2-4A84-AA70-EBF317234054}">
      <formula1>Weapon_Name_List</formula1>
    </dataValidation>
    <dataValidation type="list" allowBlank="1" showInputMessage="1" showErrorMessage="1" sqref="C11" xr:uid="{2A0D212D-A30B-4AF8-9F51-DE5B1C3A5863}">
      <formula1>IF(OR(VLOOKUP(B1,Weapon_List,3,FALSE)=1,VLOOKUP(B1,Weapon_List,3,FALSE)=2),Weapon_Ascension_Low_Rarity,Weapon_Ascension_High_Rarity)</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CDA51-806A-48AD-A160-33C62CAE915B}">
  <sheetPr codeName="Sheet19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52" priority="1" operator="containsText" text="Done">
      <formula>NOT(ISERROR(SEARCH("Done",H4)))</formula>
    </cfRule>
    <cfRule type="containsText" dxfId="251" priority="2" operator="containsText" text="In Progress">
      <formula>NOT(ISERROR(SEARCH("In Progress",H4)))</formula>
    </cfRule>
  </conditionalFormatting>
  <dataValidations count="6">
    <dataValidation type="list" allowBlank="1" showInputMessage="1" showErrorMessage="1" sqref="H4:H15" xr:uid="{1B13B834-3FAE-42F3-A0B7-42ADBC77657A}">
      <formula1>"In Progress, Done"</formula1>
    </dataValidation>
    <dataValidation type="list" allowBlank="1" showInputMessage="1" showErrorMessage="1" sqref="C10" xr:uid="{C8132447-F7A1-43A7-B493-06E78F99FA11}">
      <formula1>IF(OR(VLOOKUP(B1,Weapon_List,3,FALSE)=1,VLOOKUP(B1,Weapon_List,3,FALSE)=2),Weapon_Ascension_Low_Rarity,Weapon_Ascension_High_Rarity)</formula1>
    </dataValidation>
    <dataValidation type="list" operator="equal" allowBlank="1" showInputMessage="1" showErrorMessage="1" sqref="B4" xr:uid="{857D0051-0E92-4B73-AF62-68337F3FC7DB}">
      <formula1>IF(OR(VLOOKUP(B1,Weapon_List,3,FALSE)=1,VLOOKUP(B1,Weapon_List,3,FALSE)=2),Weapon_Levels_Low_Rarity,Weapon_Levels_High_Rarity)</formula1>
    </dataValidation>
    <dataValidation type="list" operator="equal" allowBlank="1" showInputMessage="1" showErrorMessage="1" sqref="B5" xr:uid="{C77E69FE-3C58-4152-8222-3028ECE601A7}">
      <formula1>IF(OR(VLOOKUP(B1,Weapon_List,3,FALSE)=1,VLOOKUP(B1,Weapon_List,3,FALSE)=2),Weapon_Levels_Low_Rarity,Weapon_Levels_High_Rarity)</formula1>
    </dataValidation>
    <dataValidation type="list" allowBlank="1" showInputMessage="1" showErrorMessage="1" sqref="B1" xr:uid="{1D15723C-68D9-4B92-85D6-E6EB26BC5A37}">
      <formula1>Weapon_Name_List</formula1>
    </dataValidation>
    <dataValidation type="list" allowBlank="1" showInputMessage="1" showErrorMessage="1" sqref="C11" xr:uid="{967DBA26-610D-4ED3-8B63-00B53A536B2B}">
      <formula1>IF(OR(VLOOKUP(B1,Weapon_List,3,FALSE)=1,VLOOKUP(B1,Weapon_List,3,FALSE)=2),Weapon_Ascension_Low_Rarity,Weapon_Ascension_High_Rarity)</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1C59E-297D-46CF-AF05-4EF7BBEA7003}">
  <sheetPr codeName="Sheet148">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50" priority="1" operator="containsText" text="Done">
      <formula>NOT(ISERROR(SEARCH("Done",H4)))</formula>
    </cfRule>
    <cfRule type="containsText" dxfId="249" priority="2" operator="containsText" text="In Progress">
      <formula>NOT(ISERROR(SEARCH("In Progress",H4)))</formula>
    </cfRule>
  </conditionalFormatting>
  <dataValidations count="6">
    <dataValidation type="list" allowBlank="1" showInputMessage="1" showErrorMessage="1" sqref="H4:H15" xr:uid="{5433AA6C-CAEC-4699-93FF-E3DF15A337FE}">
      <formula1>"In Progress, Done"</formula1>
    </dataValidation>
    <dataValidation type="list" allowBlank="1" showInputMessage="1" showErrorMessage="1" sqref="C10" xr:uid="{5A71D137-35B9-4542-A0A5-21F3B5D93133}">
      <formula1>IF(OR(VLOOKUP(B1,Weapon_List,3,FALSE)=1,VLOOKUP(B1,Weapon_List,3,FALSE)=2),Weapon_Ascension_Low_Rarity,Weapon_Ascension_High_Rarity)</formula1>
    </dataValidation>
    <dataValidation type="list" operator="equal" allowBlank="1" showInputMessage="1" showErrorMessage="1" sqref="B4" xr:uid="{20ECE99B-53BF-49E4-B497-ABC8C2333583}">
      <formula1>IF(OR(VLOOKUP(B1,Weapon_List,3,FALSE)=1,VLOOKUP(B1,Weapon_List,3,FALSE)=2),Weapon_Levels_Low_Rarity,Weapon_Levels_High_Rarity)</formula1>
    </dataValidation>
    <dataValidation type="list" operator="equal" allowBlank="1" showInputMessage="1" showErrorMessage="1" sqref="B5" xr:uid="{D449D25C-0916-41B2-B517-DB21AFD3A426}">
      <formula1>IF(OR(VLOOKUP(B1,Weapon_List,3,FALSE)=1,VLOOKUP(B1,Weapon_List,3,FALSE)=2),Weapon_Levels_Low_Rarity,Weapon_Levels_High_Rarity)</formula1>
    </dataValidation>
    <dataValidation type="list" allowBlank="1" showInputMessage="1" showErrorMessage="1" sqref="B1" xr:uid="{5C34E199-DB8F-4EAB-B577-7ACA00D6F19B}">
      <formula1>Weapon_Name_List</formula1>
    </dataValidation>
    <dataValidation type="list" allowBlank="1" showInputMessage="1" showErrorMessage="1" sqref="C11" xr:uid="{F74A3A49-8611-4300-AF03-FD4B5108CE5C}">
      <formula1>IF(OR(VLOOKUP(B1,Weapon_List,3,FALSE)=1,VLOOKUP(B1,Weapon_List,3,FALSE)=2),Weapon_Ascension_Low_Rarity,Weapon_Ascension_High_Rarity)</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A309E-53EA-4375-B16D-C48ABFA3D12E}">
  <sheetPr codeName="Sheet136">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48" priority="1" operator="containsText" text="Done">
      <formula>NOT(ISERROR(SEARCH("Done",H4)))</formula>
    </cfRule>
    <cfRule type="containsText" dxfId="247" priority="2" operator="containsText" text="In Progress">
      <formula>NOT(ISERROR(SEARCH("In Progress",H4)))</formula>
    </cfRule>
  </conditionalFormatting>
  <dataValidations count="6">
    <dataValidation type="list" allowBlank="1" showInputMessage="1" showErrorMessage="1" sqref="H4:H15" xr:uid="{AA700C03-2431-406E-BBCE-67DB9AE88271}">
      <formula1>"In Progress, Done"</formula1>
    </dataValidation>
    <dataValidation type="list" allowBlank="1" showInputMessage="1" showErrorMessage="1" sqref="C10" xr:uid="{23A7F990-4D74-40CF-9A88-62145C77979D}">
      <formula1>IF(OR(VLOOKUP(B1,Weapon_List,3,FALSE)=1,VLOOKUP(B1,Weapon_List,3,FALSE)=2),Weapon_Ascension_Low_Rarity,Weapon_Ascension_High_Rarity)</formula1>
    </dataValidation>
    <dataValidation type="list" operator="equal" allowBlank="1" showInputMessage="1" showErrorMessage="1" sqref="B4" xr:uid="{60463376-8334-412E-9DB1-FE9693E3A5C7}">
      <formula1>IF(OR(VLOOKUP(B1,Weapon_List,3,FALSE)=1,VLOOKUP(B1,Weapon_List,3,FALSE)=2),Weapon_Levels_Low_Rarity,Weapon_Levels_High_Rarity)</formula1>
    </dataValidation>
    <dataValidation type="list" operator="equal" allowBlank="1" showInputMessage="1" showErrorMessage="1" sqref="B5" xr:uid="{4E9A97C2-7351-4DFE-8377-56F78895742B}">
      <formula1>IF(OR(VLOOKUP(B1,Weapon_List,3,FALSE)=1,VLOOKUP(B1,Weapon_List,3,FALSE)=2),Weapon_Levels_Low_Rarity,Weapon_Levels_High_Rarity)</formula1>
    </dataValidation>
    <dataValidation type="list" allowBlank="1" showInputMessage="1" showErrorMessage="1" sqref="B1" xr:uid="{C8B2950D-339A-4BA3-9392-AA5D1DC87E0E}">
      <formula1>Weapon_Name_List</formula1>
    </dataValidation>
    <dataValidation type="list" allowBlank="1" showInputMessage="1" showErrorMessage="1" sqref="C11" xr:uid="{326FF5F7-7DDE-4114-B83E-7D6631FB37B5}">
      <formula1>IF(OR(VLOOKUP(B1,Weapon_List,3,FALSE)=1,VLOOKUP(B1,Weapon_List,3,FALSE)=2),Weapon_Ascension_Low_Rarity,Weapon_Ascension_High_Rarity)</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8C9CB-8D0F-4C7D-B318-0FB628AC14F9}">
  <sheetPr codeName="Sheet137">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Fossilized Bone Shard</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46" priority="1" operator="containsText" text="Done">
      <formula>NOT(ISERROR(SEARCH("Done",H4)))</formula>
    </cfRule>
    <cfRule type="containsText" dxfId="245" priority="2" operator="containsText" text="In Progress">
      <formula>NOT(ISERROR(SEARCH("In Progress",H4)))</formula>
    </cfRule>
  </conditionalFormatting>
  <dataValidations count="6">
    <dataValidation type="list" allowBlank="1" showInputMessage="1" showErrorMessage="1" sqref="H4:H15" xr:uid="{CFA071B8-539B-41FC-BBC9-83596C089D65}">
      <formula1>"In Progress, Done"</formula1>
    </dataValidation>
    <dataValidation type="list" allowBlank="1" showInputMessage="1" showErrorMessage="1" sqref="C10" xr:uid="{48BB41CA-781F-415F-B67A-DF24C9806C2A}">
      <formula1>IF(OR(VLOOKUP(B1,Weapon_List,3,FALSE)=1,VLOOKUP(B1,Weapon_List,3,FALSE)=2),Weapon_Ascension_Low_Rarity,Weapon_Ascension_High_Rarity)</formula1>
    </dataValidation>
    <dataValidation type="list" operator="equal" allowBlank="1" showInputMessage="1" showErrorMessage="1" sqref="B4" xr:uid="{A3295A44-9F14-4914-ABE7-B1630FE9A418}">
      <formula1>IF(OR(VLOOKUP(B1,Weapon_List,3,FALSE)=1,VLOOKUP(B1,Weapon_List,3,FALSE)=2),Weapon_Levels_Low_Rarity,Weapon_Levels_High_Rarity)</formula1>
    </dataValidation>
    <dataValidation type="list" operator="equal" allowBlank="1" showInputMessage="1" showErrorMessage="1" sqref="B5" xr:uid="{A25E7250-374C-4247-8EEE-4DB49BE68603}">
      <formula1>IF(OR(VLOOKUP(B1,Weapon_List,3,FALSE)=1,VLOOKUP(B1,Weapon_List,3,FALSE)=2),Weapon_Levels_Low_Rarity,Weapon_Levels_High_Rarity)</formula1>
    </dataValidation>
    <dataValidation type="list" allowBlank="1" showInputMessage="1" showErrorMessage="1" sqref="B1" xr:uid="{46584C52-C496-42A7-9245-02666669825A}">
      <formula1>Weapon_Name_List</formula1>
    </dataValidation>
    <dataValidation type="list" allowBlank="1" showInputMessage="1" showErrorMessage="1" sqref="C11" xr:uid="{F871065F-2065-446A-A3D2-852685252635}">
      <formula1>IF(OR(VLOOKUP(B1,Weapon_List,3,FALSE)=1,VLOOKUP(B1,Weapon_List,3,FALSE)=2),Weapon_Ascension_Low_Rarity,Weapon_Ascension_High_Rarity)</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33243-43C7-430D-A79B-8CF102B46E6C}">
  <sheetPr codeName="Sheet67">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44" priority="1" operator="containsText" text="Done">
      <formula>NOT(ISERROR(SEARCH("Done",H4)))</formula>
    </cfRule>
    <cfRule type="containsText" dxfId="243" priority="2" operator="containsText" text="In Progress">
      <formula>NOT(ISERROR(SEARCH("In Progress",H4)))</formula>
    </cfRule>
  </conditionalFormatting>
  <dataValidations count="6">
    <dataValidation type="list" allowBlank="1" showInputMessage="1" showErrorMessage="1" sqref="H4:H15" xr:uid="{39BC04DA-A5A6-4386-A0E7-50E73E252F86}">
      <formula1>"In Progress, Done"</formula1>
    </dataValidation>
    <dataValidation type="list" allowBlank="1" showInputMessage="1" showErrorMessage="1" sqref="C10" xr:uid="{C072E274-1AE9-47C1-8E2F-574CC0666253}">
      <formula1>IF(OR(VLOOKUP(B1,Weapon_List,3,FALSE)=1,VLOOKUP(B1,Weapon_List,3,FALSE)=2),Weapon_Ascension_Low_Rarity,Weapon_Ascension_High_Rarity)</formula1>
    </dataValidation>
    <dataValidation type="list" operator="equal" allowBlank="1" showInputMessage="1" showErrorMessage="1" sqref="B4" xr:uid="{59C766AA-A0E3-40C0-A7A9-DB123617C473}">
      <formula1>IF(OR(VLOOKUP(B1,Weapon_List,3,FALSE)=1,VLOOKUP(B1,Weapon_List,3,FALSE)=2),Weapon_Levels_Low_Rarity,Weapon_Levels_High_Rarity)</formula1>
    </dataValidation>
    <dataValidation type="list" operator="equal" allowBlank="1" showInputMessage="1" showErrorMessage="1" sqref="B5" xr:uid="{F46514D6-AD38-438A-8375-B80620DCCC59}">
      <formula1>IF(OR(VLOOKUP(B1,Weapon_List,3,FALSE)=1,VLOOKUP(B1,Weapon_List,3,FALSE)=2),Weapon_Levels_Low_Rarity,Weapon_Levels_High_Rarity)</formula1>
    </dataValidation>
    <dataValidation type="list" allowBlank="1" showInputMessage="1" showErrorMessage="1" sqref="B1" xr:uid="{743F0E0E-4ADF-4C93-946D-EC16E7CD4FA7}">
      <formula1>Weapon_Name_List</formula1>
    </dataValidation>
    <dataValidation type="list" allowBlank="1" showInputMessage="1" showErrorMessage="1" sqref="C11" xr:uid="{7F15F4FA-8145-4776-BFAE-657E21BE7CE8}">
      <formula1>IF(OR(VLOOKUP(B1,Weapon_List,3,FALSE)=1,VLOOKUP(B1,Weapon_List,3,FALSE)=2),Weapon_Ascension_Low_Rarity,Weapon_Ascension_High_Rarity)</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C4A63-ED69-4E19-8A55-8222CEFE3CD2}">
  <sheetPr codeName="Sheet181">
    <tabColor theme="4" tint="0.39997558519241921"/>
  </sheetPr>
  <dimension ref="A1:H22"/>
  <sheetViews>
    <sheetView workbookViewId="0">
      <selection activeCell="F17" sqref="F1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42" priority="1" operator="containsText" text="Done">
      <formula>NOT(ISERROR(SEARCH("Done",H4)))</formula>
    </cfRule>
    <cfRule type="containsText" dxfId="241" priority="2" operator="containsText" text="In Progress">
      <formula>NOT(ISERROR(SEARCH("In Progress",H4)))</formula>
    </cfRule>
  </conditionalFormatting>
  <dataValidations count="6">
    <dataValidation type="list" allowBlank="1" showInputMessage="1" showErrorMessage="1" sqref="H4:H15" xr:uid="{5DD06BBD-4B27-49E4-991D-0AE8E992789D}">
      <formula1>"In Progress, Done"</formula1>
    </dataValidation>
    <dataValidation type="list" allowBlank="1" showInputMessage="1" showErrorMessage="1" sqref="C10" xr:uid="{FBC9167A-25A2-46C5-AC1E-A73BB0B2E495}">
      <formula1>IF(OR(VLOOKUP(B1,Weapon_List,3,FALSE)=1,VLOOKUP(B1,Weapon_List,3,FALSE)=2),Weapon_Ascension_Low_Rarity,Weapon_Ascension_High_Rarity)</formula1>
    </dataValidation>
    <dataValidation type="list" operator="equal" allowBlank="1" showInputMessage="1" showErrorMessage="1" sqref="B4" xr:uid="{105443C0-3CD3-4D51-9084-75DBF70D9FA0}">
      <formula1>IF(OR(VLOOKUP(B1,Weapon_List,3,FALSE)=1,VLOOKUP(B1,Weapon_List,3,FALSE)=2),Weapon_Levels_Low_Rarity,Weapon_Levels_High_Rarity)</formula1>
    </dataValidation>
    <dataValidation type="list" operator="equal" allowBlank="1" showInputMessage="1" showErrorMessage="1" sqref="B5" xr:uid="{C5B72B1C-26FE-455F-9D54-73D7AA19378D}">
      <formula1>IF(OR(VLOOKUP(B1,Weapon_List,3,FALSE)=1,VLOOKUP(B1,Weapon_List,3,FALSE)=2),Weapon_Levels_Low_Rarity,Weapon_Levels_High_Rarity)</formula1>
    </dataValidation>
    <dataValidation type="list" allowBlank="1" showInputMessage="1" showErrorMessage="1" sqref="B1" xr:uid="{344F420A-C650-46D0-9D6F-6E383FD37AAD}">
      <formula1>Weapon_Name_List</formula1>
    </dataValidation>
    <dataValidation type="list" allowBlank="1" showInputMessage="1" showErrorMessage="1" sqref="C11" xr:uid="{B3E58838-6795-45EC-B296-82B0C8049E30}">
      <formula1>IF(OR(VLOOKUP(B1,Weapon_List,3,FALSE)=1,VLOOKUP(B1,Weapon_List,3,FALSE)=2),Weapon_Ascension_Low_Rarity,Weapon_Ascension_High_Rarity)</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D0ED7-B645-4C11-A238-37E4083B32AE}">
  <sheetPr codeName="Sheet19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40" priority="1" operator="containsText" text="Done">
      <formula>NOT(ISERROR(SEARCH("Done",H4)))</formula>
    </cfRule>
    <cfRule type="containsText" dxfId="239" priority="2" operator="containsText" text="In Progress">
      <formula>NOT(ISERROR(SEARCH("In Progress",H4)))</formula>
    </cfRule>
  </conditionalFormatting>
  <dataValidations count="6">
    <dataValidation type="list" allowBlank="1" showInputMessage="1" showErrorMessage="1" sqref="H4:H15" xr:uid="{6E93A0B4-FE71-4BA7-90DA-08B3C483F95D}">
      <formula1>"In Progress, Done"</formula1>
    </dataValidation>
    <dataValidation type="list" allowBlank="1" showInputMessage="1" showErrorMessage="1" sqref="C10" xr:uid="{78BD665A-2802-4949-BDDF-8BED70CCAEE2}">
      <formula1>IF(OR(VLOOKUP(B1,Weapon_List,3,FALSE)=1,VLOOKUP(B1,Weapon_List,3,FALSE)=2),Weapon_Ascension_Low_Rarity,Weapon_Ascension_High_Rarity)</formula1>
    </dataValidation>
    <dataValidation type="list" operator="equal" allowBlank="1" showInputMessage="1" showErrorMessage="1" sqref="B4" xr:uid="{C882B121-B5AF-4199-8E3F-D84B2E71D4E9}">
      <formula1>IF(OR(VLOOKUP(B1,Weapon_List,3,FALSE)=1,VLOOKUP(B1,Weapon_List,3,FALSE)=2),Weapon_Levels_Low_Rarity,Weapon_Levels_High_Rarity)</formula1>
    </dataValidation>
    <dataValidation type="list" operator="equal" allowBlank="1" showInputMessage="1" showErrorMessage="1" sqref="B5" xr:uid="{FF8819BC-EE3A-44D4-9666-EACAE88A6BA2}">
      <formula1>IF(OR(VLOOKUP(B1,Weapon_List,3,FALSE)=1,VLOOKUP(B1,Weapon_List,3,FALSE)=2),Weapon_Levels_Low_Rarity,Weapon_Levels_High_Rarity)</formula1>
    </dataValidation>
    <dataValidation type="list" allowBlank="1" showInputMessage="1" showErrorMessage="1" sqref="B1" xr:uid="{E07196F3-833A-4B57-A52D-4F957B90FAC0}">
      <formula1>Weapon_Name_List</formula1>
    </dataValidation>
    <dataValidation type="list" allowBlank="1" showInputMessage="1" showErrorMessage="1" sqref="C11" xr:uid="{5C072EB6-8473-42A7-A341-8C56DFBC3F65}">
      <formula1>IF(OR(VLOOKUP(B1,Weapon_List,3,FALSE)=1,VLOOKUP(B1,Weapon_List,3,FALSE)=2),Weapon_Ascension_Low_Rarity,Weapon_Ascension_High_Rarity)</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FAD78-BD09-47DD-BFF0-133EEC306C23}">
  <sheetPr codeName="Sheet113">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38" priority="1" operator="containsText" text="Done">
      <formula>NOT(ISERROR(SEARCH("Done",H4)))</formula>
    </cfRule>
    <cfRule type="containsText" dxfId="237" priority="2" operator="containsText" text="In Progress">
      <formula>NOT(ISERROR(SEARCH("In Progress",H4)))</formula>
    </cfRule>
  </conditionalFormatting>
  <dataValidations count="6">
    <dataValidation type="list" allowBlank="1" showInputMessage="1" showErrorMessage="1" sqref="H4:H15" xr:uid="{8608F6BE-8498-4FA4-BB5A-390CBA1D2044}">
      <formula1>"In Progress, Done"</formula1>
    </dataValidation>
    <dataValidation type="list" allowBlank="1" showInputMessage="1" showErrorMessage="1" sqref="C10" xr:uid="{F2C8D15C-DE07-480E-A068-9A7A8AD736B6}">
      <formula1>IF(OR(VLOOKUP(B1,Weapon_List,3,FALSE)=1,VLOOKUP(B1,Weapon_List,3,FALSE)=2),Weapon_Ascension_Low_Rarity,Weapon_Ascension_High_Rarity)</formula1>
    </dataValidation>
    <dataValidation type="list" operator="equal" allowBlank="1" showInputMessage="1" showErrorMessage="1" sqref="B4" xr:uid="{3E6D4977-C5A2-4CE4-8895-25D059666392}">
      <formula1>IF(OR(VLOOKUP(B1,Weapon_List,3,FALSE)=1,VLOOKUP(B1,Weapon_List,3,FALSE)=2),Weapon_Levels_Low_Rarity,Weapon_Levels_High_Rarity)</formula1>
    </dataValidation>
    <dataValidation type="list" operator="equal" allowBlank="1" showInputMessage="1" showErrorMessage="1" sqref="B5" xr:uid="{7553B2CE-22C7-42AD-BC75-CA1D2AE71B72}">
      <formula1>IF(OR(VLOOKUP(B1,Weapon_List,3,FALSE)=1,VLOOKUP(B1,Weapon_List,3,FALSE)=2),Weapon_Levels_Low_Rarity,Weapon_Levels_High_Rarity)</formula1>
    </dataValidation>
    <dataValidation type="list" allowBlank="1" showInputMessage="1" showErrorMessage="1" sqref="B1" xr:uid="{B8C5100E-6CE5-40E0-9416-9DD476DB2935}">
      <formula1>Weapon_Name_List</formula1>
    </dataValidation>
    <dataValidation type="list" allowBlank="1" showInputMessage="1" showErrorMessage="1" sqref="C11" xr:uid="{9362A498-D0A2-451C-944C-F67642C9109E}">
      <formula1>IF(OR(VLOOKUP(B1,Weapon_List,3,FALSE)=1,VLOOKUP(B1,Weapon_List,3,FALSE)=2),Weapon_Ascension_Low_Rarity,Weapon_Ascension_High_Rarity)</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4CF55-5758-4013-A209-D020617B6D9D}">
  <sheetPr codeName="Sheet93">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36" priority="1" operator="containsText" text="Done">
      <formula>NOT(ISERROR(SEARCH("Done",H4)))</formula>
    </cfRule>
    <cfRule type="containsText" dxfId="235" priority="2" operator="containsText" text="In Progress">
      <formula>NOT(ISERROR(SEARCH("In Progress",H4)))</formula>
    </cfRule>
  </conditionalFormatting>
  <dataValidations count="6">
    <dataValidation type="list" allowBlank="1" showInputMessage="1" showErrorMessage="1" sqref="H4:H15" xr:uid="{654B1EF6-75E8-4BFC-B419-4A8ACB4A81B6}">
      <formula1>"In Progress, Done"</formula1>
    </dataValidation>
    <dataValidation type="list" allowBlank="1" showInputMessage="1" showErrorMessage="1" sqref="C10" xr:uid="{CC3D393A-4D15-467E-8DA7-A227DE7A2D56}">
      <formula1>IF(OR(VLOOKUP(B1,Weapon_List,3,FALSE)=1,VLOOKUP(B1,Weapon_List,3,FALSE)=2),Weapon_Ascension_Low_Rarity,Weapon_Ascension_High_Rarity)</formula1>
    </dataValidation>
    <dataValidation type="list" operator="equal" allowBlank="1" showInputMessage="1" showErrorMessage="1" sqref="B4" xr:uid="{1C7809ED-5346-4C5F-9237-273A3172B1D8}">
      <formula1>IF(OR(VLOOKUP(B1,Weapon_List,3,FALSE)=1,VLOOKUP(B1,Weapon_List,3,FALSE)=2),Weapon_Levels_Low_Rarity,Weapon_Levels_High_Rarity)</formula1>
    </dataValidation>
    <dataValidation type="list" operator="equal" allowBlank="1" showInputMessage="1" showErrorMessage="1" sqref="B5" xr:uid="{7EAE1566-2B37-4F7D-A17F-171D4C644FE3}">
      <formula1>IF(OR(VLOOKUP(B1,Weapon_List,3,FALSE)=1,VLOOKUP(B1,Weapon_List,3,FALSE)=2),Weapon_Levels_Low_Rarity,Weapon_Levels_High_Rarity)</formula1>
    </dataValidation>
    <dataValidation type="list" allowBlank="1" showInputMessage="1" showErrorMessage="1" sqref="B1" xr:uid="{5857C517-196B-4F0F-8B05-B4BB5C532489}">
      <formula1>Weapon_Name_List</formula1>
    </dataValidation>
    <dataValidation type="list" allowBlank="1" showInputMessage="1" showErrorMessage="1" sqref="C11" xr:uid="{136C560E-B5E0-4D43-AB62-081E04891D2B}">
      <formula1>IF(OR(VLOOKUP(B1,Weapon_List,3,FALSE)=1,VLOOKUP(B1,Weapon_List,3,FALSE)=2),Weapon_Ascension_Low_Rarity,Weapon_Ascension_High_Rarity)</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3C4F9-E4C3-40AE-BC41-C3A9D499EE58}">
  <sheetPr codeName="Sheet178">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34" priority="1" operator="containsText" text="Done">
      <formula>NOT(ISERROR(SEARCH("Done",H4)))</formula>
    </cfRule>
    <cfRule type="containsText" dxfId="233" priority="2" operator="containsText" text="In Progress">
      <formula>NOT(ISERROR(SEARCH("In Progress",H4)))</formula>
    </cfRule>
  </conditionalFormatting>
  <dataValidations count="6">
    <dataValidation type="list" allowBlank="1" showInputMessage="1" showErrorMessage="1" sqref="H4:H15" xr:uid="{AB2CC605-BB11-4BD9-B60D-BB8F7335A556}">
      <formula1>"In Progress, Done"</formula1>
    </dataValidation>
    <dataValidation type="list" allowBlank="1" showInputMessage="1" showErrorMessage="1" sqref="C10" xr:uid="{F6B53FE6-B512-4CA7-AA18-27A41D077455}">
      <formula1>IF(OR(VLOOKUP(B1,Weapon_List,3,FALSE)=1,VLOOKUP(B1,Weapon_List,3,FALSE)=2),Weapon_Ascension_Low_Rarity,Weapon_Ascension_High_Rarity)</formula1>
    </dataValidation>
    <dataValidation type="list" operator="equal" allowBlank="1" showInputMessage="1" showErrorMessage="1" sqref="B4" xr:uid="{6C09AD5C-E78B-46B0-A835-0C9BDAE399BC}">
      <formula1>IF(OR(VLOOKUP(B1,Weapon_List,3,FALSE)=1,VLOOKUP(B1,Weapon_List,3,FALSE)=2),Weapon_Levels_Low_Rarity,Weapon_Levels_High_Rarity)</formula1>
    </dataValidation>
    <dataValidation type="list" operator="equal" allowBlank="1" showInputMessage="1" showErrorMessage="1" sqref="B5" xr:uid="{A3D28C9C-A6F9-44BC-9755-C91C4941367F}">
      <formula1>IF(OR(VLOOKUP(B1,Weapon_List,3,FALSE)=1,VLOOKUP(B1,Weapon_List,3,FALSE)=2),Weapon_Levels_Low_Rarity,Weapon_Levels_High_Rarity)</formula1>
    </dataValidation>
    <dataValidation type="list" allowBlank="1" showInputMessage="1" showErrorMessage="1" sqref="B1" xr:uid="{78EB5D55-1DC4-47E1-A94D-EC1F7760FCF7}">
      <formula1>Weapon_Name_List</formula1>
    </dataValidation>
    <dataValidation type="list" allowBlank="1" showInputMessage="1" showErrorMessage="1" sqref="C11" xr:uid="{72F0DE04-83E4-4A80-9223-45F2C9CA0089}">
      <formula1>IF(OR(VLOOKUP(B1,Weapon_List,3,FALSE)=1,VLOOKUP(B1,Weapon_List,3,FALSE)=2),Weapon_Ascension_Low_Rarity,Weapon_Ascension_High_Rarity)</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24AA6-FCF3-4E3E-B796-CE0090881AF4}">
  <sheetPr codeName="Sheet111">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Ley Line Sprouts</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32" priority="1" operator="containsText" text="Done">
      <formula>NOT(ISERROR(SEARCH("Done",H4)))</formula>
    </cfRule>
    <cfRule type="containsText" dxfId="231" priority="2" operator="containsText" text="In Progress">
      <formula>NOT(ISERROR(SEARCH("In Progress",H4)))</formula>
    </cfRule>
  </conditionalFormatting>
  <dataValidations count="6">
    <dataValidation type="list" allowBlank="1" showInputMessage="1" showErrorMessage="1" sqref="H4:H15" xr:uid="{2E1A0A1B-FD4D-4EB1-87C4-4D52FB5DF4A5}">
      <formula1>"In Progress, Done"</formula1>
    </dataValidation>
    <dataValidation type="list" allowBlank="1" showInputMessage="1" showErrorMessage="1" sqref="C10" xr:uid="{187BE7D3-E2D2-4AB6-B990-DB71528D35B5}">
      <formula1>IF(OR(VLOOKUP(B1,Weapon_List,3,FALSE)=1,VLOOKUP(B1,Weapon_List,3,FALSE)=2),Weapon_Ascension_Low_Rarity,Weapon_Ascension_High_Rarity)</formula1>
    </dataValidation>
    <dataValidation type="list" operator="equal" allowBlank="1" showInputMessage="1" showErrorMessage="1" sqref="B4" xr:uid="{09013AA2-79D9-4C09-A31C-16077AD278F3}">
      <formula1>IF(OR(VLOOKUP(B1,Weapon_List,3,FALSE)=1,VLOOKUP(B1,Weapon_List,3,FALSE)=2),Weapon_Levels_Low_Rarity,Weapon_Levels_High_Rarity)</formula1>
    </dataValidation>
    <dataValidation type="list" operator="equal" allowBlank="1" showInputMessage="1" showErrorMessage="1" sqref="B5" xr:uid="{4B2E99A2-31E1-4223-B1BD-E940E3FCDFD3}">
      <formula1>IF(OR(VLOOKUP(B1,Weapon_List,3,FALSE)=1,VLOOKUP(B1,Weapon_List,3,FALSE)=2),Weapon_Levels_Low_Rarity,Weapon_Levels_High_Rarity)</formula1>
    </dataValidation>
    <dataValidation type="list" allowBlank="1" showInputMessage="1" showErrorMessage="1" sqref="B1" xr:uid="{48778464-55C6-4BF2-9F4D-1D62B05B92CC}">
      <formula1>Weapon_Name_List</formula1>
    </dataValidation>
    <dataValidation type="list" allowBlank="1" showInputMessage="1" showErrorMessage="1" sqref="C11" xr:uid="{DDAF6003-A9A1-40AE-832D-BD3ACDFEA45B}">
      <formula1>IF(OR(VLOOKUP(B1,Weapon_List,3,FALSE)=1,VLOOKUP(B1,Weapon_List,3,FALSE)=2),Weapon_Ascension_Low_Rarity,Weapon_Ascension_High_Rarity)</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0D371-684A-4809-A15A-5AFA43DE683F}">
  <sheetPr codeName="Sheet143">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Black Crystal Horn</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30" priority="1" operator="containsText" text="Done">
      <formula>NOT(ISERROR(SEARCH("Done",H4)))</formula>
    </cfRule>
    <cfRule type="containsText" dxfId="229" priority="2" operator="containsText" text="In Progress">
      <formula>NOT(ISERROR(SEARCH("In Progress",H4)))</formula>
    </cfRule>
  </conditionalFormatting>
  <dataValidations count="6">
    <dataValidation type="list" allowBlank="1" showInputMessage="1" showErrorMessage="1" sqref="H4:H15" xr:uid="{55D043BB-5FD9-4011-A805-9E502481BD89}">
      <formula1>"In Progress, Done"</formula1>
    </dataValidation>
    <dataValidation type="list" allowBlank="1" showInputMessage="1" showErrorMessage="1" sqref="C10" xr:uid="{9138245C-457E-4165-88CE-F8085CB7B41D}">
      <formula1>IF(OR(VLOOKUP(B1,Weapon_List,3,FALSE)=1,VLOOKUP(B1,Weapon_List,3,FALSE)=2),Weapon_Ascension_Low_Rarity,Weapon_Ascension_High_Rarity)</formula1>
    </dataValidation>
    <dataValidation type="list" operator="equal" allowBlank="1" showInputMessage="1" showErrorMessage="1" sqref="B4" xr:uid="{5EE617EB-2E6B-432F-9B16-E65555B29BB3}">
      <formula1>IF(OR(VLOOKUP(B1,Weapon_List,3,FALSE)=1,VLOOKUP(B1,Weapon_List,3,FALSE)=2),Weapon_Levels_Low_Rarity,Weapon_Levels_High_Rarity)</formula1>
    </dataValidation>
    <dataValidation type="list" operator="equal" allowBlank="1" showInputMessage="1" showErrorMessage="1" sqref="B5" xr:uid="{92D40B58-5977-42A5-A620-6B4A9ABF66C6}">
      <formula1>IF(OR(VLOOKUP(B1,Weapon_List,3,FALSE)=1,VLOOKUP(B1,Weapon_List,3,FALSE)=2),Weapon_Levels_Low_Rarity,Weapon_Levels_High_Rarity)</formula1>
    </dataValidation>
    <dataValidation type="list" allowBlank="1" showInputMessage="1" showErrorMessage="1" sqref="B1" xr:uid="{9E76C58F-4D05-416E-B323-9F32DDFD35E1}">
      <formula1>Weapon_Name_List</formula1>
    </dataValidation>
    <dataValidation type="list" allowBlank="1" showInputMessage="1" showErrorMessage="1" sqref="C11" xr:uid="{036276CB-5099-4712-92AC-D29EA458FA5B}">
      <formula1>IF(OR(VLOOKUP(B1,Weapon_List,3,FALSE)=1,VLOOKUP(B1,Weapon_List,3,FALSE)=2),Weapon_Ascension_Low_Rarity,Weapon_Ascension_High_Rarity)</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39C4-A542-40C4-A1D3-6FD7E043F3F8}">
  <sheetPr codeName="Sheet124">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28" priority="1" operator="containsText" text="Done">
      <formula>NOT(ISERROR(SEARCH("Done",H4)))</formula>
    </cfRule>
    <cfRule type="containsText" dxfId="227" priority="2" operator="containsText" text="In Progress">
      <formula>NOT(ISERROR(SEARCH("In Progress",H4)))</formula>
    </cfRule>
  </conditionalFormatting>
  <dataValidations count="6">
    <dataValidation type="list" allowBlank="1" showInputMessage="1" showErrorMessage="1" sqref="H4:H15" xr:uid="{A5356DF6-ABB9-4C85-8987-632F2B99B3C0}">
      <formula1>"In Progress, Done"</formula1>
    </dataValidation>
    <dataValidation type="list" allowBlank="1" showInputMessage="1" showErrorMessage="1" sqref="C10" xr:uid="{D41E59BC-5891-4975-99E2-C0D16D965738}">
      <formula1>IF(OR(VLOOKUP(B1,Weapon_List,3,FALSE)=1,VLOOKUP(B1,Weapon_List,3,FALSE)=2),Weapon_Ascension_Low_Rarity,Weapon_Ascension_High_Rarity)</formula1>
    </dataValidation>
    <dataValidation type="list" operator="equal" allowBlank="1" showInputMessage="1" showErrorMessage="1" sqref="B4" xr:uid="{CF02CCEE-808E-47E8-9E90-0E7E17063FE2}">
      <formula1>IF(OR(VLOOKUP(B1,Weapon_List,3,FALSE)=1,VLOOKUP(B1,Weapon_List,3,FALSE)=2),Weapon_Levels_Low_Rarity,Weapon_Levels_High_Rarity)</formula1>
    </dataValidation>
    <dataValidation type="list" operator="equal" allowBlank="1" showInputMessage="1" showErrorMessage="1" sqref="B5" xr:uid="{775AEC3C-4057-4966-91E0-95ECE2D1673F}">
      <formula1>IF(OR(VLOOKUP(B1,Weapon_List,3,FALSE)=1,VLOOKUP(B1,Weapon_List,3,FALSE)=2),Weapon_Levels_Low_Rarity,Weapon_Levels_High_Rarity)</formula1>
    </dataValidation>
    <dataValidation type="list" allowBlank="1" showInputMessage="1" showErrorMessage="1" sqref="B1" xr:uid="{9D8B8832-1334-4B72-8DF2-919B1EB6DD60}">
      <formula1>Weapon_Name_List</formula1>
    </dataValidation>
    <dataValidation type="list" allowBlank="1" showInputMessage="1" showErrorMessage="1" sqref="C11" xr:uid="{F6427BEA-EE94-4FE7-AFA8-C3E77C8A219E}">
      <formula1>IF(OR(VLOOKUP(B1,Weapon_List,3,FALSE)=1,VLOOKUP(B1,Weapon_List,3,FALSE)=2),Weapon_Ascension_Low_Rarity,Weapon_Ascension_High_Rarity)</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C4BC2-880F-4D8B-8770-7F7F74945B5F}">
  <sheetPr codeName="Sheet96">
    <tabColor theme="4" tint="0.39997558519241921"/>
  </sheetPr>
  <dimension ref="A1:H22"/>
  <sheetViews>
    <sheetView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171" t="s">
        <v>149</v>
      </c>
      <c r="B9" s="231"/>
      <c r="C9" s="172"/>
      <c r="E9" s="234"/>
      <c r="F9" s="44" t="str">
        <f t="shared" si="0"/>
        <v>Golden Branch of a Distant Sea</v>
      </c>
      <c r="G9" s="59">
        <f t="shared" ca="1" si="0"/>
        <v>0</v>
      </c>
      <c r="H9" s="34" t="s">
        <v>202</v>
      </c>
    </row>
    <row r="10" spans="1:8" ht="15.75" thickBot="1" x14ac:dyDescent="0.3">
      <c r="A10" s="173" t="s">
        <v>206</v>
      </c>
      <c r="B10" s="202"/>
      <c r="C10" s="43">
        <v>6</v>
      </c>
      <c r="E10" s="184" t="s">
        <v>19</v>
      </c>
      <c r="F10" s="2" t="str">
        <f t="shared" si="0"/>
        <v>Old Nobushi</v>
      </c>
      <c r="G10" s="15">
        <f t="shared" ca="1" si="0"/>
        <v>0</v>
      </c>
      <c r="H10" s="34" t="s">
        <v>202</v>
      </c>
    </row>
    <row r="11" spans="1:8" ht="15.75" thickBot="1" x14ac:dyDescent="0.3">
      <c r="A11" s="173" t="s">
        <v>208</v>
      </c>
      <c r="B11" s="202"/>
      <c r="C11" s="43">
        <v>6</v>
      </c>
      <c r="E11" s="185"/>
      <c r="F11" s="1" t="str">
        <f t="shared" si="0"/>
        <v>Kageuchi Nobushi</v>
      </c>
      <c r="G11" s="17">
        <f t="shared" ca="1" si="0"/>
        <v>0</v>
      </c>
      <c r="H11" s="34" t="s">
        <v>202</v>
      </c>
    </row>
    <row r="12" spans="1:8" ht="15.75" thickBot="1" x14ac:dyDescent="0.3">
      <c r="A12" s="227"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84" t="s">
        <v>18</v>
      </c>
      <c r="F13" s="2" t="str">
        <f t="shared" si="0"/>
        <v>Chaos Gear</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85"/>
      <c r="F14" s="1" t="str">
        <f t="shared" si="0"/>
        <v>Chaos Axis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86"/>
      <c r="F15" s="9" t="str">
        <f t="shared" si="0"/>
        <v>Chaos Oculus</v>
      </c>
      <c r="G15" s="16">
        <f t="shared" ca="1" si="0"/>
        <v>0</v>
      </c>
      <c r="H15" s="35" t="s">
        <v>202</v>
      </c>
    </row>
    <row r="16" spans="1:8" x14ac:dyDescent="0.25">
      <c r="A16" s="184"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26" priority="1" operator="containsText" text="Done">
      <formula>NOT(ISERROR(SEARCH("Done",H4)))</formula>
    </cfRule>
    <cfRule type="containsText" dxfId="225" priority="2" operator="containsText" text="In Progress">
      <formula>NOT(ISERROR(SEARCH("In Progress",H4)))</formula>
    </cfRule>
  </conditionalFormatting>
  <dataValidations count="6">
    <dataValidation type="list" allowBlank="1" showInputMessage="1" showErrorMessage="1" sqref="H4:H15" xr:uid="{FC07C7A1-82B9-4A2C-A65A-AB6081CAE7D3}">
      <formula1>"In Progress, Done"</formula1>
    </dataValidation>
    <dataValidation type="list" allowBlank="1" showInputMessage="1" showErrorMessage="1" sqref="C10" xr:uid="{50EE4491-AD93-4D93-B2DD-ED60D6E92E08}">
      <formula1>IF(OR(VLOOKUP(B1,Weapon_List,3,FALSE)=1,VLOOKUP(B1,Weapon_List,3,FALSE)=2),Weapon_Ascension_Low_Rarity,Weapon_Ascension_High_Rarity)</formula1>
    </dataValidation>
    <dataValidation type="list" operator="equal" allowBlank="1" showInputMessage="1" showErrorMessage="1" sqref="B4" xr:uid="{8D711E24-7750-4760-8F98-B15BD3CBAC27}">
      <formula1>IF(OR(VLOOKUP(B1,Weapon_List,3,FALSE)=1,VLOOKUP(B1,Weapon_List,3,FALSE)=2),Weapon_Levels_Low_Rarity,Weapon_Levels_High_Rarity)</formula1>
    </dataValidation>
    <dataValidation type="list" operator="equal" allowBlank="1" showInputMessage="1" showErrorMessage="1" sqref="B5" xr:uid="{E950453B-B64A-4B2A-8D42-355765C6A4FB}">
      <formula1>IF(OR(VLOOKUP(B1,Weapon_List,3,FALSE)=1,VLOOKUP(B1,Weapon_List,3,FALSE)=2),Weapon_Levels_Low_Rarity,Weapon_Levels_High_Rarity)</formula1>
    </dataValidation>
    <dataValidation type="list" allowBlank="1" showInputMessage="1" showErrorMessage="1" sqref="B1" xr:uid="{3A67E7D5-591B-4FA1-992C-455BA88A13F0}">
      <formula1>Weapon_Name_List</formula1>
    </dataValidation>
    <dataValidation type="list" allowBlank="1" showInputMessage="1" showErrorMessage="1" sqref="C11" xr:uid="{BD367291-CB1E-43B9-9A6A-058965E1F99D}">
      <formula1>IF(OR(VLOOKUP(B1,Weapon_List,3,FALSE)=1,VLOOKUP(B1,Weapon_List,3,FALSE)=2),Weapon_Ascension_Low_Rarity,Weapon_Ascension_High_Rarity)</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00EE2-F05C-4841-9A45-6601D453C001}">
  <sheetPr codeName="Sheet133">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171" t="s">
        <v>149</v>
      </c>
      <c r="B9" s="231"/>
      <c r="C9" s="172"/>
      <c r="E9" s="234"/>
      <c r="F9" s="44" t="str">
        <f t="shared" si="0"/>
        <v>Narukami's Valor</v>
      </c>
      <c r="G9" s="59">
        <f t="shared" ca="1" si="0"/>
        <v>0</v>
      </c>
      <c r="H9" s="34" t="s">
        <v>202</v>
      </c>
    </row>
    <row r="10" spans="1:8" ht="15.75" thickBot="1" x14ac:dyDescent="0.3">
      <c r="A10" s="173" t="s">
        <v>206</v>
      </c>
      <c r="B10" s="202"/>
      <c r="C10" s="43">
        <v>6</v>
      </c>
      <c r="E10" s="184" t="s">
        <v>19</v>
      </c>
      <c r="F10" s="2" t="str">
        <f t="shared" si="0"/>
        <v>Old Nobushi</v>
      </c>
      <c r="G10" s="15">
        <f t="shared" ca="1" si="0"/>
        <v>0</v>
      </c>
      <c r="H10" s="34" t="s">
        <v>202</v>
      </c>
    </row>
    <row r="11" spans="1:8" ht="15.75" thickBot="1" x14ac:dyDescent="0.3">
      <c r="A11" s="173" t="s">
        <v>208</v>
      </c>
      <c r="B11" s="202"/>
      <c r="C11" s="43">
        <v>6</v>
      </c>
      <c r="E11" s="185"/>
      <c r="F11" s="1" t="str">
        <f t="shared" si="0"/>
        <v>Kageuchi Nobushi</v>
      </c>
      <c r="G11" s="17">
        <f t="shared" ca="1" si="0"/>
        <v>0</v>
      </c>
      <c r="H11" s="34" t="s">
        <v>202</v>
      </c>
    </row>
    <row r="12" spans="1:8" ht="15.75" thickBot="1" x14ac:dyDescent="0.3">
      <c r="A12" s="227"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4" t="s">
        <v>18</v>
      </c>
      <c r="F13" s="2" t="str">
        <f t="shared" si="0"/>
        <v>Chaos Gear</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5"/>
      <c r="F14" s="1" t="str">
        <f t="shared" si="0"/>
        <v>Chaos Axis</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6"/>
      <c r="F15" s="9" t="str">
        <f t="shared" si="0"/>
        <v>Chaos Oculus</v>
      </c>
      <c r="G15" s="16">
        <f t="shared" ca="1" si="0"/>
        <v>0</v>
      </c>
      <c r="H15" s="35" t="s">
        <v>202</v>
      </c>
    </row>
    <row r="16" spans="1:8" x14ac:dyDescent="0.25">
      <c r="A16" s="184"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24" priority="1" operator="containsText" text="Done">
      <formula>NOT(ISERROR(SEARCH("Done",H4)))</formula>
    </cfRule>
    <cfRule type="containsText" dxfId="223" priority="2" operator="containsText" text="In Progress">
      <formula>NOT(ISERROR(SEARCH("In Progress",H4)))</formula>
    </cfRule>
  </conditionalFormatting>
  <dataValidations count="6">
    <dataValidation type="list" allowBlank="1" showInputMessage="1" showErrorMessage="1" sqref="H4:H15" xr:uid="{2458E40F-577F-4C8D-BA98-1C7BC8A3BD56}">
      <formula1>"In Progress, Done"</formula1>
    </dataValidation>
    <dataValidation type="list" allowBlank="1" showInputMessage="1" showErrorMessage="1" sqref="C10" xr:uid="{E040A8E2-F708-47EF-B3D3-65609F91D6C2}">
      <formula1>IF(OR(VLOOKUP(B1,Weapon_List,3,FALSE)=1,VLOOKUP(B1,Weapon_List,3,FALSE)=2),Weapon_Ascension_Low_Rarity,Weapon_Ascension_High_Rarity)</formula1>
    </dataValidation>
    <dataValidation type="list" operator="equal" allowBlank="1" showInputMessage="1" showErrorMessage="1" sqref="B4" xr:uid="{F34B14BF-2AD6-421A-B520-35D64AC78175}">
      <formula1>IF(OR(VLOOKUP(B1,Weapon_List,3,FALSE)=1,VLOOKUP(B1,Weapon_List,3,FALSE)=2),Weapon_Levels_Low_Rarity,Weapon_Levels_High_Rarity)</formula1>
    </dataValidation>
    <dataValidation type="list" operator="equal" allowBlank="1" showInputMessage="1" showErrorMessage="1" sqref="B5" xr:uid="{D4D7DB13-107B-491A-A3B9-9F9391D2E402}">
      <formula1>IF(OR(VLOOKUP(B1,Weapon_List,3,FALSE)=1,VLOOKUP(B1,Weapon_List,3,FALSE)=2),Weapon_Levels_Low_Rarity,Weapon_Levels_High_Rarity)</formula1>
    </dataValidation>
    <dataValidation type="list" allowBlank="1" showInputMessage="1" showErrorMessage="1" sqref="B1" xr:uid="{2C3DB248-4572-4C57-B95E-311EECF2CD68}">
      <formula1>Weapon_Name_List</formula1>
    </dataValidation>
    <dataValidation type="list" allowBlank="1" showInputMessage="1" showErrorMessage="1" sqref="C11" xr:uid="{FE4A9EDA-D821-464A-BCA5-747BAFA615BC}">
      <formula1>IF(OR(VLOOKUP(B1,Weapon_List,3,FALSE)=1,VLOOKUP(B1,Weapon_List,3,FALSE)=2),Weapon_Ascension_Low_Rarity,Weapon_Ascension_High_Rarity)</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4CF5F-F865-448E-BEAE-64A777939A1E}">
  <sheetPr codeName="Sheet13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171" t="s">
        <v>149</v>
      </c>
      <c r="B9" s="231"/>
      <c r="C9" s="172"/>
      <c r="E9" s="234"/>
      <c r="F9" s="44" t="str">
        <f t="shared" si="0"/>
        <v>Mask of the Kijin</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4" t="s">
        <v>18</v>
      </c>
      <c r="F13" s="2" t="str">
        <f t="shared" si="0"/>
        <v>Chaos Gear</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5"/>
      <c r="F14" s="1" t="str">
        <f t="shared" si="0"/>
        <v>Chaos Axis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6"/>
      <c r="F15" s="9" t="str">
        <f t="shared" si="0"/>
        <v>Chaos Oculus</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22" priority="1" operator="containsText" text="Done">
      <formula>NOT(ISERROR(SEARCH("Done",H4)))</formula>
    </cfRule>
    <cfRule type="containsText" dxfId="221" priority="2" operator="containsText" text="In Progress">
      <formula>NOT(ISERROR(SEARCH("In Progress",H4)))</formula>
    </cfRule>
  </conditionalFormatting>
  <dataValidations count="6">
    <dataValidation type="list" allowBlank="1" showInputMessage="1" showErrorMessage="1" sqref="H4:H15" xr:uid="{A16B149F-4F9B-4795-9A4F-675ABAE56568}">
      <formula1>"In Progress, Done"</formula1>
    </dataValidation>
    <dataValidation type="list" allowBlank="1" showInputMessage="1" showErrorMessage="1" sqref="C10" xr:uid="{1A7C604C-AC47-4874-A11E-0860BDCE56CF}">
      <formula1>IF(OR(VLOOKUP(B1,Weapon_List,3,FALSE)=1,VLOOKUP(B1,Weapon_List,3,FALSE)=2),Weapon_Ascension_Low_Rarity,Weapon_Ascension_High_Rarity)</formula1>
    </dataValidation>
    <dataValidation type="list" operator="equal" allowBlank="1" showInputMessage="1" showErrorMessage="1" sqref="B4" xr:uid="{FB02B602-1B2E-4198-B2B4-24A6906CF0AA}">
      <formula1>IF(OR(VLOOKUP(B1,Weapon_List,3,FALSE)=1,VLOOKUP(B1,Weapon_List,3,FALSE)=2),Weapon_Levels_Low_Rarity,Weapon_Levels_High_Rarity)</formula1>
    </dataValidation>
    <dataValidation type="list" operator="equal" allowBlank="1" showInputMessage="1" showErrorMessage="1" sqref="B5" xr:uid="{9D07D003-FEF7-4856-A5B0-0E49FCB93893}">
      <formula1>IF(OR(VLOOKUP(B1,Weapon_List,3,FALSE)=1,VLOOKUP(B1,Weapon_List,3,FALSE)=2),Weapon_Levels_Low_Rarity,Weapon_Levels_High_Rarity)</formula1>
    </dataValidation>
    <dataValidation type="list" allowBlank="1" showInputMessage="1" showErrorMessage="1" sqref="B1" xr:uid="{13105605-4DF4-4431-B24F-3F859A414763}">
      <formula1>Weapon_Name_List</formula1>
    </dataValidation>
    <dataValidation type="list" allowBlank="1" showInputMessage="1" showErrorMessage="1" sqref="C11" xr:uid="{94F63A88-8EEB-43EC-BBE3-2B75324383C9}">
      <formula1>IF(OR(VLOOKUP(B1,Weapon_List,3,FALSE)=1,VLOOKUP(B1,Weapon_List,3,FALSE)=2),Weapon_Ascension_Low_Rarity,Weapon_Ascension_High_Rarity)</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225C8-F58C-40EB-8007-48D28F66C629}">
  <sheetPr codeName="Sheet126">
    <tabColor theme="4" tint="0.39997558519241921"/>
  </sheetPr>
  <dimension ref="A1:H22"/>
  <sheetViews>
    <sheetView workbookViewId="0">
      <selection activeCell="A55" sqref="A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171" t="s">
        <v>149</v>
      </c>
      <c r="B9" s="231"/>
      <c r="C9" s="172"/>
      <c r="E9" s="234"/>
      <c r="F9" s="44" t="str">
        <f t="shared" si="0"/>
        <v>Golden Branch of a Distant Sea</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84" t="s">
        <v>18</v>
      </c>
      <c r="F13" s="2" t="str">
        <f t="shared" si="0"/>
        <v>Dismal Prism</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85"/>
      <c r="F14" s="1" t="str">
        <f t="shared" si="0"/>
        <v>Crystal Prism</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86"/>
      <c r="F15" s="9" t="str">
        <f t="shared" si="0"/>
        <v>Polarizing Prism</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20" priority="1" operator="containsText" text="Done">
      <formula>NOT(ISERROR(SEARCH("Done",H4)))</formula>
    </cfRule>
    <cfRule type="containsText" dxfId="219" priority="2" operator="containsText" text="In Progress">
      <formula>NOT(ISERROR(SEARCH("In Progress",H4)))</formula>
    </cfRule>
  </conditionalFormatting>
  <dataValidations count="6">
    <dataValidation type="list" allowBlank="1" showInputMessage="1" showErrorMessage="1" sqref="H4:H15" xr:uid="{1AE88D0D-8E35-4754-B373-CC0FE6E0699E}">
      <formula1>"In Progress, Done"</formula1>
    </dataValidation>
    <dataValidation type="list" allowBlank="1" showInputMessage="1" showErrorMessage="1" sqref="C10" xr:uid="{5F210B25-7C12-43CC-ABA8-F120BEDFD471}">
      <formula1>IF(OR(VLOOKUP(B1,Weapon_List,3,FALSE)=1,VLOOKUP(B1,Weapon_List,3,FALSE)=2),Weapon_Ascension_Low_Rarity,Weapon_Ascension_High_Rarity)</formula1>
    </dataValidation>
    <dataValidation type="list" operator="equal" allowBlank="1" showInputMessage="1" showErrorMessage="1" sqref="B4" xr:uid="{3A3469F2-BAD0-414B-805A-42250D9DE97F}">
      <formula1>IF(OR(VLOOKUP(B1,Weapon_List,3,FALSE)=1,VLOOKUP(B1,Weapon_List,3,FALSE)=2),Weapon_Levels_Low_Rarity,Weapon_Levels_High_Rarity)</formula1>
    </dataValidation>
    <dataValidation type="list" operator="equal" allowBlank="1" showInputMessage="1" showErrorMessage="1" sqref="B5" xr:uid="{AACF05EF-C643-46F9-82E8-20731136A2C5}">
      <formula1>IF(OR(VLOOKUP(B1,Weapon_List,3,FALSE)=1,VLOOKUP(B1,Weapon_List,3,FALSE)=2),Weapon_Levels_Low_Rarity,Weapon_Levels_High_Rarity)</formula1>
    </dataValidation>
    <dataValidation type="list" allowBlank="1" showInputMessage="1" showErrorMessage="1" sqref="B1" xr:uid="{93902714-39C5-4964-85D0-FF035C4D8A5F}">
      <formula1>Weapon_Name_List</formula1>
    </dataValidation>
    <dataValidation type="list" allowBlank="1" showInputMessage="1" showErrorMessage="1" sqref="C11" xr:uid="{ED83613D-2632-4EE2-B495-931A567730B4}">
      <formula1>IF(OR(VLOOKUP(B1,Weapon_List,3,FALSE)=1,VLOOKUP(B1,Weapon_List,3,FALSE)=2),Weapon_Ascension_Low_Rarity,Weapon_Ascension_High_Rarity)</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FA30E-0EAA-4CDA-AB52-FDF5870E59F8}">
  <sheetPr codeName="Sheet12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171" t="s">
        <v>149</v>
      </c>
      <c r="B9" s="231"/>
      <c r="C9" s="172"/>
      <c r="E9" s="234"/>
      <c r="F9" s="44" t="str">
        <f t="shared" si="0"/>
        <v>Narukami's Valor</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4" t="s">
        <v>18</v>
      </c>
      <c r="F13" s="2" t="str">
        <f t="shared" si="0"/>
        <v>Dismal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5"/>
      <c r="F14" s="1" t="str">
        <f t="shared" si="0"/>
        <v>Crystal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6"/>
      <c r="F15" s="9" t="str">
        <f t="shared" si="0"/>
        <v>Polarizing Prism</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18" priority="1" operator="containsText" text="Done">
      <formula>NOT(ISERROR(SEARCH("Done",H4)))</formula>
    </cfRule>
    <cfRule type="containsText" dxfId="217" priority="2" operator="containsText" text="In Progress">
      <formula>NOT(ISERROR(SEARCH("In Progress",H4)))</formula>
    </cfRule>
  </conditionalFormatting>
  <dataValidations count="6">
    <dataValidation type="list" allowBlank="1" showInputMessage="1" showErrorMessage="1" sqref="H4:H15" xr:uid="{FA529144-AEC3-4B9D-BFCE-82C65E2DA407}">
      <formula1>"In Progress, Done"</formula1>
    </dataValidation>
    <dataValidation type="list" allowBlank="1" showInputMessage="1" showErrorMessage="1" sqref="C10" xr:uid="{89781EEE-7BFD-4C8C-9D7E-DED85C8166AA}">
      <formula1>IF(OR(VLOOKUP(B1,Weapon_List,3,FALSE)=1,VLOOKUP(B1,Weapon_List,3,FALSE)=2),Weapon_Ascension_Low_Rarity,Weapon_Ascension_High_Rarity)</formula1>
    </dataValidation>
    <dataValidation type="list" operator="equal" allowBlank="1" showInputMessage="1" showErrorMessage="1" sqref="B4" xr:uid="{BFA86D9C-43CB-4EC4-AE12-A21CDD54DFEC}">
      <formula1>IF(OR(VLOOKUP(B1,Weapon_List,3,FALSE)=1,VLOOKUP(B1,Weapon_List,3,FALSE)=2),Weapon_Levels_Low_Rarity,Weapon_Levels_High_Rarity)</formula1>
    </dataValidation>
    <dataValidation type="list" operator="equal" allowBlank="1" showInputMessage="1" showErrorMessage="1" sqref="B5" xr:uid="{435C2C87-7239-4DA6-8C97-2A1D1835ADF9}">
      <formula1>IF(OR(VLOOKUP(B1,Weapon_List,3,FALSE)=1,VLOOKUP(B1,Weapon_List,3,FALSE)=2),Weapon_Levels_Low_Rarity,Weapon_Levels_High_Rarity)</formula1>
    </dataValidation>
    <dataValidation type="list" allowBlank="1" showInputMessage="1" showErrorMessage="1" sqref="B1" xr:uid="{8FA033D7-AD2E-45A6-9190-AB46546D0C9F}">
      <formula1>Weapon_Name_List</formula1>
    </dataValidation>
    <dataValidation type="list" allowBlank="1" showInputMessage="1" showErrorMessage="1" sqref="C11" xr:uid="{63A369AB-2111-4172-8607-E1FF2BF602D8}">
      <formula1>IF(OR(VLOOKUP(B1,Weapon_List,3,FALSE)=1,VLOOKUP(B1,Weapon_List,3,FALSE)=2),Weapon_Ascension_Low_Rarity,Weapon_Ascension_High_Rarity)</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0AAA4-6790-46D9-BB82-9B84B0EC5A38}">
  <sheetPr codeName="Sheet142">
    <tabColor theme="4" tint="0.39997558519241921"/>
  </sheetPr>
  <dimension ref="A1:H22"/>
  <sheetViews>
    <sheetView workbookViewId="0">
      <selection activeCell="B53" sqref="B5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171" t="s">
        <v>149</v>
      </c>
      <c r="B9" s="231"/>
      <c r="C9" s="172"/>
      <c r="E9" s="234"/>
      <c r="F9" s="44" t="str">
        <f t="shared" si="0"/>
        <v>Golden Branch of a Distant Sea</v>
      </c>
      <c r="G9" s="59">
        <f t="shared" ca="1" si="0"/>
        <v>0</v>
      </c>
      <c r="H9" s="34" t="s">
        <v>202</v>
      </c>
    </row>
    <row r="10" spans="1:8" ht="15.75" thickBot="1" x14ac:dyDescent="0.3">
      <c r="A10" s="173" t="s">
        <v>206</v>
      </c>
      <c r="B10" s="202"/>
      <c r="C10" s="43">
        <v>6</v>
      </c>
      <c r="E10" s="184" t="s">
        <v>19</v>
      </c>
      <c r="F10" s="2" t="str">
        <f t="shared" si="0"/>
        <v>Old Nobushi</v>
      </c>
      <c r="G10" s="15">
        <f t="shared" ca="1" si="0"/>
        <v>0</v>
      </c>
      <c r="H10" s="34" t="s">
        <v>202</v>
      </c>
    </row>
    <row r="11" spans="1:8" ht="15.75" thickBot="1" x14ac:dyDescent="0.3">
      <c r="A11" s="173" t="s">
        <v>208</v>
      </c>
      <c r="B11" s="202"/>
      <c r="C11" s="43">
        <v>6</v>
      </c>
      <c r="E11" s="185"/>
      <c r="F11" s="1" t="str">
        <f t="shared" si="0"/>
        <v>Kageuchi Nobushi</v>
      </c>
      <c r="G11" s="17">
        <f t="shared" ca="1" si="0"/>
        <v>0</v>
      </c>
      <c r="H11" s="34" t="s">
        <v>202</v>
      </c>
    </row>
    <row r="12" spans="1:8" ht="15.75" thickBot="1" x14ac:dyDescent="0.3">
      <c r="A12" s="227"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84" t="s">
        <v>18</v>
      </c>
      <c r="F13" s="2" t="str">
        <f t="shared" si="0"/>
        <v>Chaos Gear</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85"/>
      <c r="F14" s="1" t="str">
        <f t="shared" si="0"/>
        <v>Chaos Axis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86"/>
      <c r="F15" s="9" t="str">
        <f t="shared" si="0"/>
        <v>Chaos Oculus</v>
      </c>
      <c r="G15" s="16">
        <f t="shared" ca="1" si="0"/>
        <v>0</v>
      </c>
      <c r="H15" s="35" t="s">
        <v>202</v>
      </c>
    </row>
    <row r="16" spans="1:8" x14ac:dyDescent="0.25">
      <c r="A16" s="184"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16" priority="1" operator="containsText" text="Done">
      <formula>NOT(ISERROR(SEARCH("Done",H4)))</formula>
    </cfRule>
    <cfRule type="containsText" dxfId="215" priority="2" operator="containsText" text="In Progress">
      <formula>NOT(ISERROR(SEARCH("In Progress",H4)))</formula>
    </cfRule>
  </conditionalFormatting>
  <dataValidations count="6">
    <dataValidation type="list" allowBlank="1" showInputMessage="1" showErrorMessage="1" sqref="H4:H15" xr:uid="{69EDF3CE-B910-43A2-9DFA-EF0629260334}">
      <formula1>"In Progress, Done"</formula1>
    </dataValidation>
    <dataValidation type="list" allowBlank="1" showInputMessage="1" showErrorMessage="1" sqref="C10" xr:uid="{E3DD7D48-9653-4AC4-BA4C-A86AD3C492AA}">
      <formula1>IF(OR(VLOOKUP(B1,Weapon_List,3,FALSE)=1,VLOOKUP(B1,Weapon_List,3,FALSE)=2),Weapon_Ascension_Low_Rarity,Weapon_Ascension_High_Rarity)</formula1>
    </dataValidation>
    <dataValidation type="list" operator="equal" allowBlank="1" showInputMessage="1" showErrorMessage="1" sqref="B4" xr:uid="{F076A121-5F76-42DE-ADAD-1EA334E97CD9}">
      <formula1>IF(OR(VLOOKUP(B1,Weapon_List,3,FALSE)=1,VLOOKUP(B1,Weapon_List,3,FALSE)=2),Weapon_Levels_Low_Rarity,Weapon_Levels_High_Rarity)</formula1>
    </dataValidation>
    <dataValidation type="list" operator="equal" allowBlank="1" showInputMessage="1" showErrorMessage="1" sqref="B5" xr:uid="{8CAE197C-A01F-4CF5-B622-897D8934687F}">
      <formula1>IF(OR(VLOOKUP(B1,Weapon_List,3,FALSE)=1,VLOOKUP(B1,Weapon_List,3,FALSE)=2),Weapon_Levels_Low_Rarity,Weapon_Levels_High_Rarity)</formula1>
    </dataValidation>
    <dataValidation type="list" allowBlank="1" showInputMessage="1" showErrorMessage="1" sqref="B1" xr:uid="{BF0B276C-0404-4A9D-A89C-E5432D43FC7B}">
      <formula1>Weapon_Name_List</formula1>
    </dataValidation>
    <dataValidation type="list" allowBlank="1" showInputMessage="1" showErrorMessage="1" sqref="C11" xr:uid="{00921912-F231-48E4-A2C1-6C34DE4EE0C2}">
      <formula1>IF(OR(VLOOKUP(B1,Weapon_List,3,FALSE)=1,VLOOKUP(B1,Weapon_List,3,FALSE)=2),Weapon_Ascension_Low_Rarity,Weapon_Ascension_High_Rarity)</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6FAE4-8007-466E-A463-CAC7D502F573}">
  <sheetPr codeName="Sheet59">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171" t="s">
        <v>149</v>
      </c>
      <c r="B9" s="231"/>
      <c r="C9" s="172"/>
      <c r="E9" s="234"/>
      <c r="F9" s="44" t="str">
        <f t="shared" si="0"/>
        <v>Narukami's Valor</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4" t="s">
        <v>18</v>
      </c>
      <c r="F13" s="2" t="str">
        <f t="shared" si="0"/>
        <v>Dismal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5"/>
      <c r="F14" s="1" t="str">
        <f t="shared" si="0"/>
        <v>Crystal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6"/>
      <c r="F15" s="9" t="str">
        <f t="shared" si="0"/>
        <v>Polarizing Prism</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4" priority="1" operator="containsText" text="Done">
      <formula>NOT(ISERROR(SEARCH("Done",H4)))</formula>
    </cfRule>
    <cfRule type="containsText" dxfId="213" priority="2" operator="containsText" text="In Progress">
      <formula>NOT(ISERROR(SEARCH("In Progress",H4)))</formula>
    </cfRule>
  </conditionalFormatting>
  <dataValidations count="6">
    <dataValidation type="list" allowBlank="1" showInputMessage="1" showErrorMessage="1" sqref="H4:H15" xr:uid="{4D25904C-89C6-4129-B92E-1018F01BA88D}">
      <formula1>"In Progress, Done"</formula1>
    </dataValidation>
    <dataValidation type="list" allowBlank="1" showInputMessage="1" showErrorMessage="1" sqref="C10" xr:uid="{522384F9-FDAB-46B1-BB84-559550FCE61A}">
      <formula1>IF(OR(VLOOKUP(B1,Weapon_List,3,FALSE)=1,VLOOKUP(B1,Weapon_List,3,FALSE)=2),Weapon_Ascension_Low_Rarity,Weapon_Ascension_High_Rarity)</formula1>
    </dataValidation>
    <dataValidation type="list" operator="equal" allowBlank="1" showInputMessage="1" showErrorMessage="1" sqref="B4" xr:uid="{38878E66-1929-4044-98D2-8722E574675E}">
      <formula1>IF(OR(VLOOKUP(B1,Weapon_List,3,FALSE)=1,VLOOKUP(B1,Weapon_List,3,FALSE)=2),Weapon_Levels_Low_Rarity,Weapon_Levels_High_Rarity)</formula1>
    </dataValidation>
    <dataValidation type="list" operator="equal" allowBlank="1" showInputMessage="1" showErrorMessage="1" sqref="B5" xr:uid="{FC5750FA-B7B5-4FEE-B2A8-0073C00A87CF}">
      <formula1>IF(OR(VLOOKUP(B1,Weapon_List,3,FALSE)=1,VLOOKUP(B1,Weapon_List,3,FALSE)=2),Weapon_Levels_Low_Rarity,Weapon_Levels_High_Rarity)</formula1>
    </dataValidation>
    <dataValidation type="list" allowBlank="1" showInputMessage="1" showErrorMessage="1" sqref="B1" xr:uid="{8A775564-63F1-43BF-8535-CB414CE624FC}">
      <formula1>Weapon_Name_List</formula1>
    </dataValidation>
    <dataValidation type="list" allowBlank="1" showInputMessage="1" showErrorMessage="1" sqref="C11" xr:uid="{51BD41E5-6384-4193-8B54-38C4D8FEB703}">
      <formula1>IF(OR(VLOOKUP(B1,Weapon_List,3,FALSE)=1,VLOOKUP(B1,Weapon_List,3,FALSE)=2),Weapon_Ascension_Low_Rarity,Weapon_Ascension_High_Rarity)</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CABA5-9639-4F0E-AF51-581CC29B2854}">
  <sheetPr codeName="Sheet94">
    <tabColor theme="4" tint="0.39997558519241921"/>
  </sheetPr>
  <dimension ref="A1:H22"/>
  <sheetViews>
    <sheetView workbookViewId="0">
      <selection activeCell="J18" sqref="J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171" t="s">
        <v>149</v>
      </c>
      <c r="B9" s="231"/>
      <c r="C9" s="172"/>
      <c r="E9" s="234"/>
      <c r="F9" s="44" t="str">
        <f t="shared" si="0"/>
        <v>Mask of the Kijin</v>
      </c>
      <c r="G9" s="59">
        <f t="shared" ca="1" si="0"/>
        <v>0</v>
      </c>
      <c r="H9" s="34" t="s">
        <v>202</v>
      </c>
    </row>
    <row r="10" spans="1:8" ht="15.75" thickBot="1" x14ac:dyDescent="0.3">
      <c r="A10" s="173" t="s">
        <v>206</v>
      </c>
      <c r="B10" s="202"/>
      <c r="C10" s="43">
        <v>6</v>
      </c>
      <c r="E10" s="184" t="s">
        <v>19</v>
      </c>
      <c r="F10" s="2" t="str">
        <f t="shared" si="0"/>
        <v>Spectral Husk</v>
      </c>
      <c r="G10" s="15">
        <f t="shared" ca="1" si="0"/>
        <v>0</v>
      </c>
      <c r="H10" s="34" t="s">
        <v>202</v>
      </c>
    </row>
    <row r="11" spans="1:8" ht="15.75" thickBot="1" x14ac:dyDescent="0.3">
      <c r="A11" s="173" t="s">
        <v>208</v>
      </c>
      <c r="B11" s="202"/>
      <c r="C11" s="43">
        <v>6</v>
      </c>
      <c r="E11" s="185"/>
      <c r="F11" s="1" t="str">
        <f t="shared" si="0"/>
        <v>Spectral Heart</v>
      </c>
      <c r="G11" s="17">
        <f t="shared" ca="1" si="0"/>
        <v>0</v>
      </c>
      <c r="H11" s="34" t="s">
        <v>202</v>
      </c>
    </row>
    <row r="12" spans="1:8" ht="15.75" thickBot="1" x14ac:dyDescent="0.3">
      <c r="A12" s="227"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4" t="s">
        <v>18</v>
      </c>
      <c r="F13" s="2" t="str">
        <f t="shared" si="0"/>
        <v>Chaos Gear</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5"/>
      <c r="F14" s="1" t="str">
        <f t="shared" si="0"/>
        <v>Chaos Axis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6"/>
      <c r="F15" s="9" t="str">
        <f t="shared" si="0"/>
        <v>Chaos Oculus</v>
      </c>
      <c r="G15" s="16">
        <f t="shared" ca="1" si="0"/>
        <v>0</v>
      </c>
      <c r="H15" s="35" t="s">
        <v>202</v>
      </c>
    </row>
    <row r="16" spans="1:8" x14ac:dyDescent="0.25">
      <c r="A16" s="184"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12" priority="1" operator="containsText" text="Done">
      <formula>NOT(ISERROR(SEARCH("Done",H4)))</formula>
    </cfRule>
    <cfRule type="containsText" dxfId="211" priority="2" operator="containsText" text="In Progress">
      <formula>NOT(ISERROR(SEARCH("In Progress",H4)))</formula>
    </cfRule>
  </conditionalFormatting>
  <dataValidations count="6">
    <dataValidation type="list" allowBlank="1" showInputMessage="1" showErrorMessage="1" sqref="H4:H15" xr:uid="{73EEDC0D-3E99-4706-92F9-BEBFE75ACF2D}">
      <formula1>"In Progress, Done"</formula1>
    </dataValidation>
    <dataValidation type="list" allowBlank="1" showInputMessage="1" showErrorMessage="1" sqref="C10" xr:uid="{23C144E5-92D0-43A5-939D-8BD00F41CABF}">
      <formula1>IF(OR(VLOOKUP(B1,Weapon_List,3,FALSE)=1,VLOOKUP(B1,Weapon_List,3,FALSE)=2),Weapon_Ascension_Low_Rarity,Weapon_Ascension_High_Rarity)</formula1>
    </dataValidation>
    <dataValidation type="list" operator="equal" allowBlank="1" showInputMessage="1" showErrorMessage="1" sqref="B4" xr:uid="{4777CE90-0038-48D8-A106-79343F42213D}">
      <formula1>IF(OR(VLOOKUP(B1,Weapon_List,3,FALSE)=1,VLOOKUP(B1,Weapon_List,3,FALSE)=2),Weapon_Levels_Low_Rarity,Weapon_Levels_High_Rarity)</formula1>
    </dataValidation>
    <dataValidation type="list" operator="equal" allowBlank="1" showInputMessage="1" showErrorMessage="1" sqref="B5" xr:uid="{7CD53CEA-0D3F-4B5A-B166-F7FF5D0939E4}">
      <formula1>IF(OR(VLOOKUP(B1,Weapon_List,3,FALSE)=1,VLOOKUP(B1,Weapon_List,3,FALSE)=2),Weapon_Levels_Low_Rarity,Weapon_Levels_High_Rarity)</formula1>
    </dataValidation>
    <dataValidation type="list" allowBlank="1" showInputMessage="1" showErrorMessage="1" sqref="B1" xr:uid="{9AC41E5F-324C-4EB5-A6C9-94103BCF772D}">
      <formula1>Weapon_Name_List</formula1>
    </dataValidation>
    <dataValidation type="list" allowBlank="1" showInputMessage="1" showErrorMessage="1" sqref="C11" xr:uid="{8D2FCED5-D895-413F-9149-8B4237BA31CA}">
      <formula1>IF(OR(VLOOKUP(B1,Weapon_List,3,FALSE)=1,VLOOKUP(B1,Weapon_List,3,FALSE)=2),Weapon_Ascension_Low_Rarity,Weapon_Ascension_High_Rarity)</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1DD5F-EE66-40D2-8AC2-1E2980D99D55}">
  <sheetPr codeName="Sheet61">
    <tabColor theme="4" tint="0.39997558519241921"/>
  </sheetPr>
  <dimension ref="A1:H22"/>
  <sheetViews>
    <sheetView workbookViewId="0">
      <selection activeCell="B6" sqref="B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Fossilized Bone Shard</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10" priority="1" operator="containsText" text="Done">
      <formula>NOT(ISERROR(SEARCH("Done",H4)))</formula>
    </cfRule>
    <cfRule type="containsText" dxfId="209" priority="2" operator="containsText" text="In Progress">
      <formula>NOT(ISERROR(SEARCH("In Progress",H4)))</formula>
    </cfRule>
  </conditionalFormatting>
  <dataValidations count="6">
    <dataValidation type="list" allowBlank="1" showInputMessage="1" showErrorMessage="1" sqref="H4:H15" xr:uid="{05447F2E-85AF-4C16-BFD2-4C68A5DE0CC6}">
      <formula1>"In Progress, Done"</formula1>
    </dataValidation>
    <dataValidation type="list" allowBlank="1" showInputMessage="1" showErrorMessage="1" sqref="C10" xr:uid="{6A9DC519-ADB4-4BA8-975C-06065FF1368B}">
      <formula1>IF(OR(VLOOKUP(B1,Weapon_List,3,FALSE)=1,VLOOKUP(B1,Weapon_List,3,FALSE)=2),Weapon_Ascension_Low_Rarity,Weapon_Ascension_High_Rarity)</formula1>
    </dataValidation>
    <dataValidation type="list" operator="equal" allowBlank="1" showInputMessage="1" showErrorMessage="1" sqref="B4" xr:uid="{2EE0C6ED-09DE-473C-891C-8E2E4CBD4A6A}">
      <formula1>IF(OR(VLOOKUP(B1,Weapon_List,3,FALSE)=1,VLOOKUP(B1,Weapon_List,3,FALSE)=2),Weapon_Levels_Low_Rarity,Weapon_Levels_High_Rarity)</formula1>
    </dataValidation>
    <dataValidation type="list" operator="equal" allowBlank="1" showInputMessage="1" showErrorMessage="1" sqref="B5" xr:uid="{7224E74E-96C3-48DF-A47B-EBC1FA379241}">
      <formula1>IF(OR(VLOOKUP(B1,Weapon_List,3,FALSE)=1,VLOOKUP(B1,Weapon_List,3,FALSE)=2),Weapon_Levels_Low_Rarity,Weapon_Levels_High_Rarity)</formula1>
    </dataValidation>
    <dataValidation type="list" allowBlank="1" showInputMessage="1" showErrorMessage="1" sqref="B1" xr:uid="{0520CC7F-51CE-44E9-94EA-E8BDC955A0A1}">
      <formula1>Weapon_Name_List</formula1>
    </dataValidation>
    <dataValidation type="list" allowBlank="1" showInputMessage="1" showErrorMessage="1" sqref="C11" xr:uid="{10DD3108-C9AB-450E-A9B8-FA8746B7671B}">
      <formula1>IF(OR(VLOOKUP(B1,Weapon_List,3,FALSE)=1,VLOOKUP(B1,Weapon_List,3,FALSE)=2),Weapon_Ascension_Low_Rarity,Weapon_Ascension_High_Rarity)</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B100E-56F2-4EF1-A4EB-E792315FA8FA}">
  <sheetPr codeName="Sheet60">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171" t="s">
        <v>149</v>
      </c>
      <c r="B9" s="231"/>
      <c r="C9" s="172"/>
      <c r="E9" s="234"/>
      <c r="F9" s="44" t="str">
        <f t="shared" si="0"/>
        <v>Mask of the Kijin</v>
      </c>
      <c r="G9" s="59">
        <f t="shared" ca="1" si="0"/>
        <v>0</v>
      </c>
      <c r="H9" s="34" t="s">
        <v>202</v>
      </c>
    </row>
    <row r="10" spans="1:8" ht="15.75" thickBot="1" x14ac:dyDescent="0.3">
      <c r="A10" s="173" t="s">
        <v>206</v>
      </c>
      <c r="B10" s="202"/>
      <c r="C10" s="43">
        <v>6</v>
      </c>
      <c r="E10" s="184" t="s">
        <v>19</v>
      </c>
      <c r="F10" s="2" t="str">
        <f t="shared" si="0"/>
        <v>Old Nobushi</v>
      </c>
      <c r="G10" s="15">
        <f t="shared" ca="1" si="0"/>
        <v>0</v>
      </c>
      <c r="H10" s="34" t="s">
        <v>202</v>
      </c>
    </row>
    <row r="11" spans="1:8" ht="15.75" thickBot="1" x14ac:dyDescent="0.3">
      <c r="A11" s="173" t="s">
        <v>208</v>
      </c>
      <c r="B11" s="202"/>
      <c r="C11" s="43">
        <v>6</v>
      </c>
      <c r="E11" s="185"/>
      <c r="F11" s="1" t="str">
        <f t="shared" si="0"/>
        <v>Kageuchi Nobushi</v>
      </c>
      <c r="G11" s="17">
        <f t="shared" ca="1" si="0"/>
        <v>0</v>
      </c>
      <c r="H11" s="34" t="s">
        <v>202</v>
      </c>
    </row>
    <row r="12" spans="1:8" ht="15.75" thickBot="1" x14ac:dyDescent="0.3">
      <c r="A12" s="227"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4" t="s">
        <v>18</v>
      </c>
      <c r="F13" s="2" t="str">
        <f t="shared" si="0"/>
        <v>Chaos Gear</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5"/>
      <c r="F14" s="1" t="str">
        <f t="shared" si="0"/>
        <v>Chaos Axis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6"/>
      <c r="F15" s="9" t="str">
        <f t="shared" si="0"/>
        <v>Chaos Oculus</v>
      </c>
      <c r="G15" s="16">
        <f t="shared" ca="1" si="0"/>
        <v>0</v>
      </c>
      <c r="H15" s="35" t="s">
        <v>202</v>
      </c>
    </row>
    <row r="16" spans="1:8" x14ac:dyDescent="0.25">
      <c r="A16" s="184"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08" priority="1" operator="containsText" text="Done">
      <formula>NOT(ISERROR(SEARCH("Done",H4)))</formula>
    </cfRule>
    <cfRule type="containsText" dxfId="207" priority="2" operator="containsText" text="In Progress">
      <formula>NOT(ISERROR(SEARCH("In Progress",H4)))</formula>
    </cfRule>
  </conditionalFormatting>
  <dataValidations count="6">
    <dataValidation type="list" allowBlank="1" showInputMessage="1" showErrorMessage="1" sqref="H4:H15" xr:uid="{0D792585-8686-4111-9C76-120B525BC3D8}">
      <formula1>"In Progress, Done"</formula1>
    </dataValidation>
    <dataValidation type="list" allowBlank="1" showInputMessage="1" showErrorMessage="1" sqref="C10" xr:uid="{22FEC2E9-9C3F-461C-A922-5FFCF42D3AD8}">
      <formula1>IF(OR(VLOOKUP(B1,Weapon_List,3,FALSE)=1,VLOOKUP(B1,Weapon_List,3,FALSE)=2),Weapon_Ascension_Low_Rarity,Weapon_Ascension_High_Rarity)</formula1>
    </dataValidation>
    <dataValidation type="list" operator="equal" allowBlank="1" showInputMessage="1" showErrorMessage="1" sqref="B4" xr:uid="{B549213C-7062-45D3-9CDF-96F08BEAB86D}">
      <formula1>IF(OR(VLOOKUP(B1,Weapon_List,3,FALSE)=1,VLOOKUP(B1,Weapon_List,3,FALSE)=2),Weapon_Levels_Low_Rarity,Weapon_Levels_High_Rarity)</formula1>
    </dataValidation>
    <dataValidation type="list" operator="equal" allowBlank="1" showInputMessage="1" showErrorMessage="1" sqref="B5" xr:uid="{9AADE844-1C20-4780-9CFE-529E9CD1BD80}">
      <formula1>IF(OR(VLOOKUP(B1,Weapon_List,3,FALSE)=1,VLOOKUP(B1,Weapon_List,3,FALSE)=2),Weapon_Levels_Low_Rarity,Weapon_Levels_High_Rarity)</formula1>
    </dataValidation>
    <dataValidation type="list" allowBlank="1" showInputMessage="1" showErrorMessage="1" sqref="B1" xr:uid="{B7DB8FA9-0FF9-452B-92F5-F35043A3604A}">
      <formula1>Weapon_Name_List</formula1>
    </dataValidation>
    <dataValidation type="list" allowBlank="1" showInputMessage="1" showErrorMessage="1" sqref="C11" xr:uid="{CFF27C4C-90C9-4D3D-A583-A6583CB4B01E}">
      <formula1>IF(OR(VLOOKUP(B1,Weapon_List,3,FALSE)=1,VLOOKUP(B1,Weapon_List,3,FALSE)=2),Weapon_Ascension_Low_Rarity,Weapon_Ascension_High_Rarity)</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24A6A-1048-4E77-8165-EAC8DC4DEBBE}">
  <sheetPr codeName="Sheet62">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171" t="s">
        <v>149</v>
      </c>
      <c r="B9" s="231"/>
      <c r="C9" s="172"/>
      <c r="E9" s="234"/>
      <c r="F9" s="44" t="str">
        <f t="shared" si="0"/>
        <v>Golden Branch of a Distant Sea</v>
      </c>
      <c r="G9" s="59">
        <f t="shared" ca="1" si="0"/>
        <v>0</v>
      </c>
      <c r="H9" s="34" t="s">
        <v>202</v>
      </c>
    </row>
    <row r="10" spans="1:8" ht="15.75" thickBot="1" x14ac:dyDescent="0.3">
      <c r="A10" s="173" t="s">
        <v>206</v>
      </c>
      <c r="B10" s="202"/>
      <c r="C10" s="43">
        <v>6</v>
      </c>
      <c r="E10" s="184" t="s">
        <v>19</v>
      </c>
      <c r="F10" s="2" t="str">
        <f t="shared" si="0"/>
        <v>Spectral Husk</v>
      </c>
      <c r="G10" s="15">
        <f t="shared" ca="1" si="0"/>
        <v>0</v>
      </c>
      <c r="H10" s="34" t="s">
        <v>202</v>
      </c>
    </row>
    <row r="11" spans="1:8" ht="15.75" thickBot="1" x14ac:dyDescent="0.3">
      <c r="A11" s="173" t="s">
        <v>208</v>
      </c>
      <c r="B11" s="202"/>
      <c r="C11" s="43">
        <v>6</v>
      </c>
      <c r="E11" s="185"/>
      <c r="F11" s="1" t="str">
        <f t="shared" si="0"/>
        <v>Spectral Heart</v>
      </c>
      <c r="G11" s="17">
        <f t="shared" ca="1" si="0"/>
        <v>0</v>
      </c>
      <c r="H11" s="34" t="s">
        <v>202</v>
      </c>
    </row>
    <row r="12" spans="1:8" ht="15.75" thickBot="1" x14ac:dyDescent="0.3">
      <c r="A12" s="227"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84" t="s">
        <v>18</v>
      </c>
      <c r="F13" s="2" t="str">
        <f t="shared" si="0"/>
        <v>Dismal Prism</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85"/>
      <c r="F14" s="1" t="str">
        <f t="shared" si="0"/>
        <v>Crystal Prism</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86"/>
      <c r="F15" s="9" t="str">
        <f t="shared" si="0"/>
        <v>Polarizing Prism</v>
      </c>
      <c r="G15" s="16">
        <f t="shared" ca="1" si="0"/>
        <v>0</v>
      </c>
      <c r="H15" s="35" t="s">
        <v>202</v>
      </c>
    </row>
    <row r="16" spans="1:8" x14ac:dyDescent="0.25">
      <c r="A16" s="184"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06" priority="1" operator="containsText" text="Done">
      <formula>NOT(ISERROR(SEARCH("Done",H4)))</formula>
    </cfRule>
    <cfRule type="containsText" dxfId="205" priority="2" operator="containsText" text="In Progress">
      <formula>NOT(ISERROR(SEARCH("In Progress",H4)))</formula>
    </cfRule>
  </conditionalFormatting>
  <dataValidations count="6">
    <dataValidation type="list" allowBlank="1" showInputMessage="1" showErrorMessage="1" sqref="H4:H15" xr:uid="{05D1565F-3F19-4C46-B496-73107CA2C73C}">
      <formula1>"In Progress, Done"</formula1>
    </dataValidation>
    <dataValidation type="list" allowBlank="1" showInputMessage="1" showErrorMessage="1" sqref="C10" xr:uid="{C77D0EFE-A0BC-4024-A6B8-A4E5CC15D474}">
      <formula1>IF(OR(VLOOKUP(B1,Weapon_List,3,FALSE)=1,VLOOKUP(B1,Weapon_List,3,FALSE)=2),Weapon_Ascension_Low_Rarity,Weapon_Ascension_High_Rarity)</formula1>
    </dataValidation>
    <dataValidation type="list" operator="equal" allowBlank="1" showInputMessage="1" showErrorMessage="1" sqref="B4" xr:uid="{034E8506-12A2-40EE-BB22-5F555675E5CD}">
      <formula1>IF(OR(VLOOKUP(B1,Weapon_List,3,FALSE)=1,VLOOKUP(B1,Weapon_List,3,FALSE)=2),Weapon_Levels_Low_Rarity,Weapon_Levels_High_Rarity)</formula1>
    </dataValidation>
    <dataValidation type="list" operator="equal" allowBlank="1" showInputMessage="1" showErrorMessage="1" sqref="B5" xr:uid="{1CFE9169-D7CA-400F-9E87-AF009C58A67E}">
      <formula1>IF(OR(VLOOKUP(B1,Weapon_List,3,FALSE)=1,VLOOKUP(B1,Weapon_List,3,FALSE)=2),Weapon_Levels_Low_Rarity,Weapon_Levels_High_Rarity)</formula1>
    </dataValidation>
    <dataValidation type="list" allowBlank="1" showInputMessage="1" showErrorMessage="1" sqref="B1" xr:uid="{282A15FA-6FF6-4624-8042-2ED847C593D7}">
      <formula1>Weapon_Name_List</formula1>
    </dataValidation>
    <dataValidation type="list" allowBlank="1" showInputMessage="1" showErrorMessage="1" sqref="C11" xr:uid="{84E38422-822E-49C4-9A22-9CAAA0C27C70}">
      <formula1>IF(OR(VLOOKUP(B1,Weapon_List,3,FALSE)=1,VLOOKUP(B1,Weapon_List,3,FALSE)=2),Weapon_Ascension_Low_Rarity,Weapon_Ascension_High_Rarity)</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A382A-E217-40AD-A938-0A6D7A1279CF}">
  <sheetPr codeName="Sheet9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171" t="s">
        <v>149</v>
      </c>
      <c r="B9" s="231"/>
      <c r="C9" s="172"/>
      <c r="E9" s="234"/>
      <c r="F9" s="44" t="str">
        <f t="shared" si="0"/>
        <v>Golden Branch of a Distant Sea</v>
      </c>
      <c r="G9" s="59">
        <f t="shared" ca="1" si="0"/>
        <v>0</v>
      </c>
      <c r="H9" s="34" t="s">
        <v>202</v>
      </c>
    </row>
    <row r="10" spans="1:8" ht="15.75" thickBot="1" x14ac:dyDescent="0.3">
      <c r="A10" s="173" t="s">
        <v>206</v>
      </c>
      <c r="B10" s="202"/>
      <c r="C10" s="43">
        <v>6</v>
      </c>
      <c r="E10" s="184" t="s">
        <v>19</v>
      </c>
      <c r="F10" s="2" t="str">
        <f t="shared" si="0"/>
        <v>Old Nobushi</v>
      </c>
      <c r="G10" s="15">
        <f t="shared" ca="1" si="0"/>
        <v>0</v>
      </c>
      <c r="H10" s="34" t="s">
        <v>202</v>
      </c>
    </row>
    <row r="11" spans="1:8" ht="15.75" thickBot="1" x14ac:dyDescent="0.3">
      <c r="A11" s="173" t="s">
        <v>208</v>
      </c>
      <c r="B11" s="202"/>
      <c r="C11" s="43">
        <v>6</v>
      </c>
      <c r="E11" s="185"/>
      <c r="F11" s="1" t="str">
        <f t="shared" si="0"/>
        <v>Kageuchi Nobushi</v>
      </c>
      <c r="G11" s="17">
        <f t="shared" ca="1" si="0"/>
        <v>0</v>
      </c>
      <c r="H11" s="34" t="s">
        <v>202</v>
      </c>
    </row>
    <row r="12" spans="1:8" ht="15.75" thickBot="1" x14ac:dyDescent="0.3">
      <c r="A12" s="227"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84" t="s">
        <v>18</v>
      </c>
      <c r="F13" s="2" t="str">
        <f t="shared" si="0"/>
        <v>Concealed Rifthound</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85"/>
      <c r="F14" s="1" t="str">
        <f t="shared" si="0"/>
        <v>Concealed Unguis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86"/>
      <c r="F15" s="9" t="str">
        <f t="shared" si="0"/>
        <v>Concealed Talon</v>
      </c>
      <c r="G15" s="16">
        <f t="shared" ca="1" si="0"/>
        <v>0</v>
      </c>
      <c r="H15" s="35" t="s">
        <v>202</v>
      </c>
    </row>
    <row r="16" spans="1:8" x14ac:dyDescent="0.25">
      <c r="A16" s="184"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04" priority="1" operator="containsText" text="Done">
      <formula>NOT(ISERROR(SEARCH("Done",H4)))</formula>
    </cfRule>
    <cfRule type="containsText" dxfId="203" priority="2" operator="containsText" text="In Progress">
      <formula>NOT(ISERROR(SEARCH("In Progress",H4)))</formula>
    </cfRule>
  </conditionalFormatting>
  <dataValidations count="6">
    <dataValidation type="list" allowBlank="1" showInputMessage="1" showErrorMessage="1" sqref="H4:H15" xr:uid="{EBF4DDF5-E888-453C-977D-4E4C0461A1D2}">
      <formula1>"In Progress, Done"</formula1>
    </dataValidation>
    <dataValidation type="list" allowBlank="1" showInputMessage="1" showErrorMessage="1" sqref="C10" xr:uid="{2E8EFD7F-2636-4ED1-BEFF-5E2E7E4E8003}">
      <formula1>IF(OR(VLOOKUP(B1,Weapon_List,3,FALSE)=1,VLOOKUP(B1,Weapon_List,3,FALSE)=2),Weapon_Ascension_Low_Rarity,Weapon_Ascension_High_Rarity)</formula1>
    </dataValidation>
    <dataValidation type="list" operator="equal" allowBlank="1" showInputMessage="1" showErrorMessage="1" sqref="B4" xr:uid="{1E23843C-E9FB-48AC-A604-2FA1D2057AB1}">
      <formula1>IF(OR(VLOOKUP(B1,Weapon_List,3,FALSE)=1,VLOOKUP(B1,Weapon_List,3,FALSE)=2),Weapon_Levels_Low_Rarity,Weapon_Levels_High_Rarity)</formula1>
    </dataValidation>
    <dataValidation type="list" operator="equal" allowBlank="1" showInputMessage="1" showErrorMessage="1" sqref="B5" xr:uid="{5044284C-35CB-4F31-9007-0E539F1D3454}">
      <formula1>IF(OR(VLOOKUP(B1,Weapon_List,3,FALSE)=1,VLOOKUP(B1,Weapon_List,3,FALSE)=2),Weapon_Levels_Low_Rarity,Weapon_Levels_High_Rarity)</formula1>
    </dataValidation>
    <dataValidation type="list" allowBlank="1" showInputMessage="1" showErrorMessage="1" sqref="B1" xr:uid="{34A578BC-0854-4324-A1C9-09452BD9D467}">
      <formula1>Weapon_Name_List</formula1>
    </dataValidation>
    <dataValidation type="list" allowBlank="1" showInputMessage="1" showErrorMessage="1" sqref="C11" xr:uid="{0CBEB9DF-6B75-4F8C-A735-4246708CA05E}">
      <formula1>IF(OR(VLOOKUP(B1,Weapon_List,3,FALSE)=1,VLOOKUP(B1,Weapon_List,3,FALSE)=2),Weapon_Ascension_Low_Rarity,Weapon_Ascension_High_Rarity)</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2E931-8A5D-4EC9-B583-DC53CC3BC7AD}">
  <sheetPr codeName="Sheet6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171" t="s">
        <v>149</v>
      </c>
      <c r="B9" s="231"/>
      <c r="C9" s="172"/>
      <c r="E9" s="234"/>
      <c r="F9" s="44" t="str">
        <f t="shared" si="0"/>
        <v>Mask of the Kijin</v>
      </c>
      <c r="G9" s="59">
        <f t="shared" ca="1" si="0"/>
        <v>0</v>
      </c>
      <c r="H9" s="34" t="s">
        <v>202</v>
      </c>
    </row>
    <row r="10" spans="1:8" ht="15.75" thickBot="1" x14ac:dyDescent="0.3">
      <c r="A10" s="173" t="s">
        <v>206</v>
      </c>
      <c r="B10" s="202"/>
      <c r="C10" s="43">
        <v>6</v>
      </c>
      <c r="E10" s="184" t="s">
        <v>19</v>
      </c>
      <c r="F10" s="2" t="str">
        <f t="shared" si="0"/>
        <v>Spectral Husk</v>
      </c>
      <c r="G10" s="15">
        <f t="shared" ca="1" si="0"/>
        <v>0</v>
      </c>
      <c r="H10" s="34" t="s">
        <v>202</v>
      </c>
    </row>
    <row r="11" spans="1:8" ht="15.75" thickBot="1" x14ac:dyDescent="0.3">
      <c r="A11" s="173" t="s">
        <v>208</v>
      </c>
      <c r="B11" s="202"/>
      <c r="C11" s="43">
        <v>6</v>
      </c>
      <c r="E11" s="185"/>
      <c r="F11" s="1" t="str">
        <f t="shared" si="0"/>
        <v>Spectral Heart</v>
      </c>
      <c r="G11" s="17">
        <f t="shared" ca="1" si="0"/>
        <v>0</v>
      </c>
      <c r="H11" s="34" t="s">
        <v>202</v>
      </c>
    </row>
    <row r="12" spans="1:8" ht="15.75" thickBot="1" x14ac:dyDescent="0.3">
      <c r="A12" s="227"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4" t="s">
        <v>18</v>
      </c>
      <c r="F13" s="2" t="str">
        <f t="shared" si="0"/>
        <v>Concealed Rifthound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5"/>
      <c r="F14" s="1" t="str">
        <f t="shared" si="0"/>
        <v>Concealed Unguis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6"/>
      <c r="F15" s="9" t="str">
        <f t="shared" si="0"/>
        <v>Concealed Talon</v>
      </c>
      <c r="G15" s="16">
        <f t="shared" ca="1" si="0"/>
        <v>0</v>
      </c>
      <c r="H15" s="35" t="s">
        <v>202</v>
      </c>
    </row>
    <row r="16" spans="1:8" x14ac:dyDescent="0.25">
      <c r="A16" s="184"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02" priority="1" operator="containsText" text="Done">
      <formula>NOT(ISERROR(SEARCH("Done",H4)))</formula>
    </cfRule>
    <cfRule type="containsText" dxfId="201" priority="2" operator="containsText" text="In Progress">
      <formula>NOT(ISERROR(SEARCH("In Progress",H4)))</formula>
    </cfRule>
  </conditionalFormatting>
  <dataValidations count="6">
    <dataValidation type="list" allowBlank="1" showInputMessage="1" showErrorMessage="1" sqref="H4:H15" xr:uid="{1E5CFED4-49D0-49C2-B84D-F1C52A52B001}">
      <formula1>"In Progress, Done"</formula1>
    </dataValidation>
    <dataValidation type="list" allowBlank="1" showInputMessage="1" showErrorMessage="1" sqref="C10" xr:uid="{4CB2F944-AC5B-4C70-A659-46C9214F1DAA}">
      <formula1>IF(OR(VLOOKUP(B1,Weapon_List,3,FALSE)=1,VLOOKUP(B1,Weapon_List,3,FALSE)=2),Weapon_Ascension_Low_Rarity,Weapon_Ascension_High_Rarity)</formula1>
    </dataValidation>
    <dataValidation type="list" operator="equal" allowBlank="1" showInputMessage="1" showErrorMessage="1" sqref="B4" xr:uid="{07F87F71-946C-49F2-A9B0-D972FA55B071}">
      <formula1>IF(OR(VLOOKUP(B1,Weapon_List,3,FALSE)=1,VLOOKUP(B1,Weapon_List,3,FALSE)=2),Weapon_Levels_Low_Rarity,Weapon_Levels_High_Rarity)</formula1>
    </dataValidation>
    <dataValidation type="list" operator="equal" allowBlank="1" showInputMessage="1" showErrorMessage="1" sqref="B5" xr:uid="{22ACD13F-9E27-468A-9A03-177516732B22}">
      <formula1>IF(OR(VLOOKUP(B1,Weapon_List,3,FALSE)=1,VLOOKUP(B1,Weapon_List,3,FALSE)=2),Weapon_Levels_Low_Rarity,Weapon_Levels_High_Rarity)</formula1>
    </dataValidation>
    <dataValidation type="list" allowBlank="1" showInputMessage="1" showErrorMessage="1" sqref="B1" xr:uid="{F572BAC8-D867-4904-9709-52F687A58C14}">
      <formula1>Weapon_Name_List</formula1>
    </dataValidation>
    <dataValidation type="list" allowBlank="1" showInputMessage="1" showErrorMessage="1" sqref="C11" xr:uid="{3A9D0F6F-026D-40F1-8385-4FE996726CB9}">
      <formula1>IF(OR(VLOOKUP(B1,Weapon_List,3,FALSE)=1,VLOOKUP(B1,Weapon_List,3,FALSE)=2),Weapon_Ascension_Low_Rarity,Weapon_Ascension_High_Rarity)</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AFDD2-4D37-4345-938C-FADD56C8088D}">
  <sheetPr codeName="Sheet191">
    <tabColor theme="4" tint="0.39997558519241921"/>
  </sheetPr>
  <dimension ref="A1:H22"/>
  <sheetViews>
    <sheetView workbookViewId="0">
      <selection activeCell="K7" sqref="K7:K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171" t="s">
        <v>149</v>
      </c>
      <c r="B9" s="231"/>
      <c r="C9" s="172"/>
      <c r="E9" s="234"/>
      <c r="F9" s="44" t="str">
        <f t="shared" si="0"/>
        <v>Mask of the Kijin</v>
      </c>
      <c r="G9" s="59">
        <f t="shared" ca="1" si="0"/>
        <v>0</v>
      </c>
      <c r="H9" s="34" t="s">
        <v>202</v>
      </c>
    </row>
    <row r="10" spans="1:8" ht="15.75" thickBot="1" x14ac:dyDescent="0.3">
      <c r="A10" s="173" t="s">
        <v>206</v>
      </c>
      <c r="B10" s="202"/>
      <c r="C10" s="43">
        <v>6</v>
      </c>
      <c r="E10" s="184" t="s">
        <v>19</v>
      </c>
      <c r="F10" s="2" t="str">
        <f t="shared" si="0"/>
        <v>Old Nobushi</v>
      </c>
      <c r="G10" s="15">
        <f t="shared" ca="1" si="0"/>
        <v>0</v>
      </c>
      <c r="H10" s="34" t="s">
        <v>202</v>
      </c>
    </row>
    <row r="11" spans="1:8" ht="15.75" thickBot="1" x14ac:dyDescent="0.3">
      <c r="A11" s="173" t="s">
        <v>208</v>
      </c>
      <c r="B11" s="202"/>
      <c r="C11" s="43">
        <v>6</v>
      </c>
      <c r="E11" s="185"/>
      <c r="F11" s="1" t="str">
        <f t="shared" si="0"/>
        <v>Kageuchi Nobushi</v>
      </c>
      <c r="G11" s="17">
        <f t="shared" ca="1" si="0"/>
        <v>0</v>
      </c>
      <c r="H11" s="34" t="s">
        <v>202</v>
      </c>
    </row>
    <row r="12" spans="1:8" ht="15.75" thickBot="1" x14ac:dyDescent="0.3">
      <c r="A12" s="227"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4" t="s">
        <v>18</v>
      </c>
      <c r="F13" s="2" t="str">
        <f t="shared" si="0"/>
        <v>Concealed Rifthound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5"/>
      <c r="F14" s="1" t="str">
        <f t="shared" si="0"/>
        <v>Concealed Unguis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6"/>
      <c r="F15" s="9" t="str">
        <f t="shared" si="0"/>
        <v>Concealed Talon</v>
      </c>
      <c r="G15" s="16">
        <f t="shared" ca="1" si="0"/>
        <v>0</v>
      </c>
      <c r="H15" s="35" t="s">
        <v>202</v>
      </c>
    </row>
    <row r="16" spans="1:8" x14ac:dyDescent="0.25">
      <c r="A16" s="184"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00" priority="1" operator="containsText" text="Done">
      <formula>NOT(ISERROR(SEARCH("Done",H4)))</formula>
    </cfRule>
    <cfRule type="containsText" dxfId="199" priority="2" operator="containsText" text="In Progress">
      <formula>NOT(ISERROR(SEARCH("In Progress",H4)))</formula>
    </cfRule>
  </conditionalFormatting>
  <dataValidations count="6">
    <dataValidation type="list" allowBlank="1" showInputMessage="1" showErrorMessage="1" sqref="H4:H15" xr:uid="{74E303ED-8CCF-4E57-BC0B-2CD2925F34EF}">
      <formula1>"In Progress, Done"</formula1>
    </dataValidation>
    <dataValidation type="list" allowBlank="1" showInputMessage="1" showErrorMessage="1" sqref="C10" xr:uid="{0076D03F-8E37-4297-B86F-4C71BF41EFC5}">
      <formula1>IF(OR(VLOOKUP(B1,Weapon_List,3,FALSE)=1,VLOOKUP(B1,Weapon_List,3,FALSE)=2),Weapon_Ascension_Low_Rarity,Weapon_Ascension_High_Rarity)</formula1>
    </dataValidation>
    <dataValidation type="list" operator="equal" allowBlank="1" showInputMessage="1" showErrorMessage="1" sqref="B4" xr:uid="{38D3D4CA-AF18-4FB7-B657-FFA165294A4A}">
      <formula1>IF(OR(VLOOKUP(B1,Weapon_List,3,FALSE)=1,VLOOKUP(B1,Weapon_List,3,FALSE)=2),Weapon_Levels_Low_Rarity,Weapon_Levels_High_Rarity)</formula1>
    </dataValidation>
    <dataValidation type="list" operator="equal" allowBlank="1" showInputMessage="1" showErrorMessage="1" sqref="B5" xr:uid="{6C0877DA-EE8F-4372-A53C-B0439EB6DC08}">
      <formula1>IF(OR(VLOOKUP(B1,Weapon_List,3,FALSE)=1,VLOOKUP(B1,Weapon_List,3,FALSE)=2),Weapon_Levels_Low_Rarity,Weapon_Levels_High_Rarity)</formula1>
    </dataValidation>
    <dataValidation type="list" allowBlank="1" showInputMessage="1" showErrorMessage="1" sqref="B1" xr:uid="{63C502DB-681E-4CD8-A8AA-3D69B223C05B}">
      <formula1>Weapon_Name_List</formula1>
    </dataValidation>
    <dataValidation type="list" allowBlank="1" showInputMessage="1" showErrorMessage="1" sqref="C11" xr:uid="{911BBAB3-AFDF-43DE-A826-BE49E06D2411}">
      <formula1>IF(OR(VLOOKUP(B1,Weapon_List,3,FALSE)=1,VLOOKUP(B1,Weapon_List,3,FALSE)=2),Weapon_Ascension_Low_Rarity,Weapon_Ascension_High_Rarity)</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BCDC7-E6B1-4115-8677-C47331EC81BC}">
  <sheetPr codeName="Sheet144">
    <tabColor theme="4" tint="0.39997558519241921"/>
  </sheetPr>
  <dimension ref="A1:H22"/>
  <sheetViews>
    <sheetView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171" t="s">
        <v>149</v>
      </c>
      <c r="B9" s="231"/>
      <c r="C9" s="172"/>
      <c r="E9" s="234"/>
      <c r="F9" s="44" t="str">
        <f t="shared" si="0"/>
        <v>Narukami's Valor</v>
      </c>
      <c r="G9" s="59">
        <f t="shared" ca="1" si="0"/>
        <v>0</v>
      </c>
      <c r="H9" s="34" t="s">
        <v>202</v>
      </c>
    </row>
    <row r="10" spans="1:8" ht="15.75" thickBot="1" x14ac:dyDescent="0.3">
      <c r="A10" s="173" t="s">
        <v>206</v>
      </c>
      <c r="B10" s="202"/>
      <c r="C10" s="43">
        <v>6</v>
      </c>
      <c r="E10" s="184" t="s">
        <v>19</v>
      </c>
      <c r="F10" s="2" t="str">
        <f t="shared" si="0"/>
        <v>Spectral Husk</v>
      </c>
      <c r="G10" s="15">
        <f t="shared" ca="1" si="0"/>
        <v>0</v>
      </c>
      <c r="H10" s="34" t="s">
        <v>202</v>
      </c>
    </row>
    <row r="11" spans="1:8" ht="15.75" thickBot="1" x14ac:dyDescent="0.3">
      <c r="A11" s="173" t="s">
        <v>208</v>
      </c>
      <c r="B11" s="202"/>
      <c r="C11" s="43">
        <v>6</v>
      </c>
      <c r="E11" s="185"/>
      <c r="F11" s="1" t="str">
        <f t="shared" si="0"/>
        <v>Spectral Heart</v>
      </c>
      <c r="G11" s="17">
        <f t="shared" ca="1" si="0"/>
        <v>0</v>
      </c>
      <c r="H11" s="34" t="s">
        <v>202</v>
      </c>
    </row>
    <row r="12" spans="1:8" ht="15.75" thickBot="1" x14ac:dyDescent="0.3">
      <c r="A12" s="227"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4" t="s">
        <v>18</v>
      </c>
      <c r="F13" s="2" t="str">
        <f t="shared" si="0"/>
        <v>Dismal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5"/>
      <c r="F14" s="1" t="str">
        <f t="shared" si="0"/>
        <v>Crystal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6"/>
      <c r="F15" s="9" t="str">
        <f t="shared" si="0"/>
        <v>Polarizing Prism</v>
      </c>
      <c r="G15" s="16">
        <f t="shared" ca="1" si="0"/>
        <v>0</v>
      </c>
      <c r="H15" s="35" t="s">
        <v>202</v>
      </c>
    </row>
    <row r="16" spans="1:8" x14ac:dyDescent="0.25">
      <c r="A16" s="184"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98" priority="1" operator="containsText" text="Done">
      <formula>NOT(ISERROR(SEARCH("Done",H4)))</formula>
    </cfRule>
    <cfRule type="containsText" dxfId="197" priority="2" operator="containsText" text="In Progress">
      <formula>NOT(ISERROR(SEARCH("In Progress",H4)))</formula>
    </cfRule>
  </conditionalFormatting>
  <dataValidations count="6">
    <dataValidation type="list" allowBlank="1" showInputMessage="1" showErrorMessage="1" sqref="H4:H15" xr:uid="{0D9B3FB9-7CF7-42CB-9C5E-B7604765B4B7}">
      <formula1>"In Progress, Done"</formula1>
    </dataValidation>
    <dataValidation type="list" allowBlank="1" showInputMessage="1" showErrorMessage="1" sqref="C10" xr:uid="{7EC832C3-03A9-4EE1-8C24-016C10F8EA6C}">
      <formula1>IF(OR(VLOOKUP(B1,Weapon_List,3,FALSE)=1,VLOOKUP(B1,Weapon_List,3,FALSE)=2),Weapon_Ascension_Low_Rarity,Weapon_Ascension_High_Rarity)</formula1>
    </dataValidation>
    <dataValidation type="list" operator="equal" allowBlank="1" showInputMessage="1" showErrorMessage="1" sqref="B4" xr:uid="{6C178B65-56EB-4BB0-94D0-948D6C5FEA98}">
      <formula1>IF(OR(VLOOKUP(B1,Weapon_List,3,FALSE)=1,VLOOKUP(B1,Weapon_List,3,FALSE)=2),Weapon_Levels_Low_Rarity,Weapon_Levels_High_Rarity)</formula1>
    </dataValidation>
    <dataValidation type="list" operator="equal" allowBlank="1" showInputMessage="1" showErrorMessage="1" sqref="B5" xr:uid="{1C00289F-7BA1-493D-87F2-DDFCE1039D08}">
      <formula1>IF(OR(VLOOKUP(B1,Weapon_List,3,FALSE)=1,VLOOKUP(B1,Weapon_List,3,FALSE)=2),Weapon_Levels_Low_Rarity,Weapon_Levels_High_Rarity)</formula1>
    </dataValidation>
    <dataValidation type="list" allowBlank="1" showInputMessage="1" showErrorMessage="1" sqref="B1" xr:uid="{B6B1A019-E06F-4E0C-80AF-C42F49E71E90}">
      <formula1>Weapon_Name_List</formula1>
    </dataValidation>
    <dataValidation type="list" allowBlank="1" showInputMessage="1" showErrorMessage="1" sqref="C11" xr:uid="{300B2EA3-9DD1-456E-A985-5F78A2A98F29}">
      <formula1>IF(OR(VLOOKUP(B1,Weapon_List,3,FALSE)=1,VLOOKUP(B1,Weapon_List,3,FALSE)=2),Weapon_Ascension_Low_Rarity,Weapon_Ascension_High_Rarity)</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59BBB-F20F-4C65-8D76-C7A756538C30}">
  <sheetPr codeName="Sheet70">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96" priority="1" operator="containsText" text="Done">
      <formula>NOT(ISERROR(SEARCH("Done",H4)))</formula>
    </cfRule>
    <cfRule type="containsText" dxfId="195" priority="2" operator="containsText" text="In Progress">
      <formula>NOT(ISERROR(SEARCH("In Progress",H4)))</formula>
    </cfRule>
  </conditionalFormatting>
  <dataValidations count="6">
    <dataValidation type="list" allowBlank="1" showInputMessage="1" showErrorMessage="1" sqref="H4:H15" xr:uid="{47DA0EA6-6144-4301-9342-41FB6FA532B0}">
      <formula1>"In Progress, Done"</formula1>
    </dataValidation>
    <dataValidation type="list" allowBlank="1" showInputMessage="1" showErrorMessage="1" sqref="C10" xr:uid="{D6B5DA7F-1074-4180-A9A9-BADD48D57DB1}">
      <formula1>IF(OR(VLOOKUP(B1,Weapon_List,3,FALSE)=1,VLOOKUP(B1,Weapon_List,3,FALSE)=2),Weapon_Ascension_Low_Rarity,Weapon_Ascension_High_Rarity)</formula1>
    </dataValidation>
    <dataValidation type="list" operator="equal" allowBlank="1" showInputMessage="1" showErrorMessage="1" sqref="B4" xr:uid="{27D2B3C5-7CB7-46F5-8605-ED69B07422AF}">
      <formula1>IF(OR(VLOOKUP(B1,Weapon_List,3,FALSE)=1,VLOOKUP(B1,Weapon_List,3,FALSE)=2),Weapon_Levels_Low_Rarity,Weapon_Levels_High_Rarity)</formula1>
    </dataValidation>
    <dataValidation type="list" operator="equal" allowBlank="1" showInputMessage="1" showErrorMessage="1" sqref="B5" xr:uid="{5E7C2BE2-7BF4-434B-8533-8F03168D20DB}">
      <formula1>IF(OR(VLOOKUP(B1,Weapon_List,3,FALSE)=1,VLOOKUP(B1,Weapon_List,3,FALSE)=2),Weapon_Levels_Low_Rarity,Weapon_Levels_High_Rarity)</formula1>
    </dataValidation>
    <dataValidation type="list" allowBlank="1" showInputMessage="1" showErrorMessage="1" sqref="B1" xr:uid="{37124872-9177-4FFB-8A34-7F28200385B8}">
      <formula1>Weapon_Name_List</formula1>
    </dataValidation>
    <dataValidation type="list" allowBlank="1" showInputMessage="1" showErrorMessage="1" sqref="C11" xr:uid="{6E726207-7628-4922-9F86-CD97B993EE37}">
      <formula1>IF(OR(VLOOKUP(B1,Weapon_List,3,FALSE)=1,VLOOKUP(B1,Weapon_List,3,FALSE)=2),Weapon_Ascension_Low_Rarity,Weapon_Ascension_High_Rarity)</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59584-7D9C-4EF8-8938-E39858DC21BE}">
  <sheetPr codeName="Sheet71">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171" t="s">
        <v>149</v>
      </c>
      <c r="B9" s="231"/>
      <c r="C9" s="172"/>
      <c r="E9" s="234"/>
      <c r="F9" s="44" t="str">
        <f t="shared" si="0"/>
        <v>Narukami's Valor</v>
      </c>
      <c r="G9" s="59">
        <f t="shared" ca="1" si="0"/>
        <v>0</v>
      </c>
      <c r="H9" s="34" t="s">
        <v>202</v>
      </c>
    </row>
    <row r="10" spans="1:8" ht="15.75" thickBot="1" x14ac:dyDescent="0.3">
      <c r="A10" s="173" t="s">
        <v>206</v>
      </c>
      <c r="B10" s="202"/>
      <c r="C10" s="43">
        <v>6</v>
      </c>
      <c r="E10" s="184" t="s">
        <v>19</v>
      </c>
      <c r="F10" s="2" t="str">
        <f t="shared" si="0"/>
        <v>Old Nobushi</v>
      </c>
      <c r="G10" s="15">
        <f t="shared" ca="1" si="0"/>
        <v>0</v>
      </c>
      <c r="H10" s="34" t="s">
        <v>202</v>
      </c>
    </row>
    <row r="11" spans="1:8" ht="15.75" thickBot="1" x14ac:dyDescent="0.3">
      <c r="A11" s="173" t="s">
        <v>208</v>
      </c>
      <c r="B11" s="202"/>
      <c r="C11" s="43">
        <v>6</v>
      </c>
      <c r="E11" s="185"/>
      <c r="F11" s="1" t="str">
        <f t="shared" si="0"/>
        <v>Kageuchi Nobushi</v>
      </c>
      <c r="G11" s="17">
        <f t="shared" ca="1" si="0"/>
        <v>0</v>
      </c>
      <c r="H11" s="34" t="s">
        <v>202</v>
      </c>
    </row>
    <row r="12" spans="1:8" ht="15.75" thickBot="1" x14ac:dyDescent="0.3">
      <c r="A12" s="227"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4" t="s">
        <v>18</v>
      </c>
      <c r="F13" s="2" t="str">
        <f t="shared" si="0"/>
        <v>Concealed Rifthound</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5"/>
      <c r="F14" s="1" t="str">
        <f t="shared" si="0"/>
        <v>Concealed Unguis</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6"/>
      <c r="F15" s="9" t="str">
        <f t="shared" si="0"/>
        <v>Concealed Talon</v>
      </c>
      <c r="G15" s="16">
        <f t="shared" ca="1" si="0"/>
        <v>0</v>
      </c>
      <c r="H15" s="35" t="s">
        <v>202</v>
      </c>
    </row>
    <row r="16" spans="1:8" x14ac:dyDescent="0.25">
      <c r="A16" s="184"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94" priority="1" operator="containsText" text="Done">
      <formula>NOT(ISERROR(SEARCH("Done",H4)))</formula>
    </cfRule>
    <cfRule type="containsText" dxfId="193" priority="2" operator="containsText" text="In Progress">
      <formula>NOT(ISERROR(SEARCH("In Progress",H4)))</formula>
    </cfRule>
  </conditionalFormatting>
  <dataValidations count="6">
    <dataValidation type="list" allowBlank="1" showInputMessage="1" showErrorMessage="1" sqref="H4:H15" xr:uid="{037E518B-0148-4EF4-9C5C-003A9EDF0E37}">
      <formula1>"In Progress, Done"</formula1>
    </dataValidation>
    <dataValidation type="list" allowBlank="1" showInputMessage="1" showErrorMessage="1" sqref="C10" xr:uid="{D877E7FF-CB09-436A-9A74-3E5B8FE7EAE8}">
      <formula1>IF(OR(VLOOKUP(B1,Weapon_List,3,FALSE)=1,VLOOKUP(B1,Weapon_List,3,FALSE)=2),Weapon_Ascension_Low_Rarity,Weapon_Ascension_High_Rarity)</formula1>
    </dataValidation>
    <dataValidation type="list" operator="equal" allowBlank="1" showInputMessage="1" showErrorMessage="1" sqref="B4" xr:uid="{F76338E4-ABA8-47CB-B6E7-2442D72F3D2E}">
      <formula1>IF(OR(VLOOKUP(B1,Weapon_List,3,FALSE)=1,VLOOKUP(B1,Weapon_List,3,FALSE)=2),Weapon_Levels_Low_Rarity,Weapon_Levels_High_Rarity)</formula1>
    </dataValidation>
    <dataValidation type="list" operator="equal" allowBlank="1" showInputMessage="1" showErrorMessage="1" sqref="B5" xr:uid="{282C96AB-C811-4BA9-BEC9-C107882F5C1E}">
      <formula1>IF(OR(VLOOKUP(B1,Weapon_List,3,FALSE)=1,VLOOKUP(B1,Weapon_List,3,FALSE)=2),Weapon_Levels_Low_Rarity,Weapon_Levels_High_Rarity)</formula1>
    </dataValidation>
    <dataValidation type="list" allowBlank="1" showInputMessage="1" showErrorMessage="1" sqref="B1" xr:uid="{C090B015-0781-4F54-9BA9-066C9CC90BB8}">
      <formula1>Weapon_Name_List</formula1>
    </dataValidation>
    <dataValidation type="list" allowBlank="1" showInputMessage="1" showErrorMessage="1" sqref="C11" xr:uid="{92F82E75-EDAD-479C-80C6-35FC92BCF554}">
      <formula1>IF(OR(VLOOKUP(B1,Weapon_List,3,FALSE)=1,VLOOKUP(B1,Weapon_List,3,FALSE)=2),Weapon_Ascension_Low_Rarity,Weapon_Ascension_High_Rarity)</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70759-0941-439F-AF75-84B8E8BB3B62}">
  <sheetPr codeName="Sheet73">
    <tabColor theme="4" tint="0.39997558519241921"/>
  </sheetPr>
  <dimension ref="A1:H22"/>
  <sheetViews>
    <sheetView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92" priority="1" operator="containsText" text="Done">
      <formula>NOT(ISERROR(SEARCH("Done",H4)))</formula>
    </cfRule>
    <cfRule type="containsText" dxfId="191" priority="2" operator="containsText" text="In Progress">
      <formula>NOT(ISERROR(SEARCH("In Progress",H4)))</formula>
    </cfRule>
  </conditionalFormatting>
  <dataValidations count="6">
    <dataValidation type="list" allowBlank="1" showInputMessage="1" showErrorMessage="1" sqref="H4:H15" xr:uid="{A9B39B18-0BEC-443F-9910-8B5407FB7D9D}">
      <formula1>"In Progress, Done"</formula1>
    </dataValidation>
    <dataValidation type="list" allowBlank="1" showInputMessage="1" showErrorMessage="1" sqref="C10" xr:uid="{71871549-226F-4B02-A22B-FE8628A3CF56}">
      <formula1>IF(OR(VLOOKUP(B1,Weapon_List,3,FALSE)=1,VLOOKUP(B1,Weapon_List,3,FALSE)=2),Weapon_Ascension_Low_Rarity,Weapon_Ascension_High_Rarity)</formula1>
    </dataValidation>
    <dataValidation type="list" operator="equal" allowBlank="1" showInputMessage="1" showErrorMessage="1" sqref="B4" xr:uid="{AD22129F-2E44-4AEB-B74A-9652FEAF7A77}">
      <formula1>IF(OR(VLOOKUP(B1,Weapon_List,3,FALSE)=1,VLOOKUP(B1,Weapon_List,3,FALSE)=2),Weapon_Levels_Low_Rarity,Weapon_Levels_High_Rarity)</formula1>
    </dataValidation>
    <dataValidation type="list" operator="equal" allowBlank="1" showInputMessage="1" showErrorMessage="1" sqref="B5" xr:uid="{551073A4-5C12-4A26-8579-620A732AE451}">
      <formula1>IF(OR(VLOOKUP(B1,Weapon_List,3,FALSE)=1,VLOOKUP(B1,Weapon_List,3,FALSE)=2),Weapon_Levels_Low_Rarity,Weapon_Levels_High_Rarity)</formula1>
    </dataValidation>
    <dataValidation type="list" allowBlank="1" showInputMessage="1" showErrorMessage="1" sqref="B1" xr:uid="{4B29A67D-E0D8-4775-89B1-528A3016E437}">
      <formula1>Weapon_Name_List</formula1>
    </dataValidation>
    <dataValidation type="list" allowBlank="1" showInputMessage="1" showErrorMessage="1" sqref="C11" xr:uid="{63453EC9-BD22-4D81-BD20-E98CE9B3E931}">
      <formula1>IF(OR(VLOOKUP(B1,Weapon_List,3,FALSE)=1,VLOOKUP(B1,Weapon_List,3,FALSE)=2),Weapon_Ascension_Low_Rarity,Weapon_Ascension_High_Rarity)</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41EAD-DA00-42F1-9CE8-40B8A24987C6}">
  <sheetPr codeName="Sheet77">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171" t="s">
        <v>149</v>
      </c>
      <c r="B9" s="231"/>
      <c r="C9" s="172"/>
      <c r="E9" s="234"/>
      <c r="F9" s="44" t="str">
        <f t="shared" si="0"/>
        <v>Golden Branch of a Distant Sea</v>
      </c>
      <c r="G9" s="59">
        <f t="shared" ca="1" si="0"/>
        <v>0</v>
      </c>
      <c r="H9" s="34" t="s">
        <v>202</v>
      </c>
    </row>
    <row r="10" spans="1:8" ht="15.75" thickBot="1" x14ac:dyDescent="0.3">
      <c r="A10" s="173" t="s">
        <v>206</v>
      </c>
      <c r="B10" s="202"/>
      <c r="C10" s="43">
        <v>6</v>
      </c>
      <c r="E10" s="184" t="s">
        <v>19</v>
      </c>
      <c r="F10" s="2" t="str">
        <f t="shared" si="0"/>
        <v>Spectral Husk</v>
      </c>
      <c r="G10" s="15">
        <f t="shared" ca="1" si="0"/>
        <v>0</v>
      </c>
      <c r="H10" s="34" t="s">
        <v>202</v>
      </c>
    </row>
    <row r="11" spans="1:8" ht="15.75" thickBot="1" x14ac:dyDescent="0.3">
      <c r="A11" s="173" t="s">
        <v>208</v>
      </c>
      <c r="B11" s="202"/>
      <c r="C11" s="43">
        <v>6</v>
      </c>
      <c r="E11" s="185"/>
      <c r="F11" s="1" t="str">
        <f t="shared" si="0"/>
        <v>Spectral Heart</v>
      </c>
      <c r="G11" s="17">
        <f t="shared" ca="1" si="0"/>
        <v>0</v>
      </c>
      <c r="H11" s="34" t="s">
        <v>202</v>
      </c>
    </row>
    <row r="12" spans="1:8" ht="15.75" thickBot="1" x14ac:dyDescent="0.3">
      <c r="A12" s="227"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84" t="s">
        <v>18</v>
      </c>
      <c r="F13" s="2" t="str">
        <f t="shared" si="0"/>
        <v>Concealed Rifthound</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85"/>
      <c r="F14" s="1" t="str">
        <f t="shared" si="0"/>
        <v>Concealed Unguis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86"/>
      <c r="F15" s="9" t="str">
        <f t="shared" si="0"/>
        <v>Concealed Talon</v>
      </c>
      <c r="G15" s="16">
        <f t="shared" ca="1" si="0"/>
        <v>0</v>
      </c>
      <c r="H15" s="35" t="s">
        <v>202</v>
      </c>
    </row>
    <row r="16" spans="1:8" x14ac:dyDescent="0.25">
      <c r="A16" s="184"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90" priority="1" operator="containsText" text="Done">
      <formula>NOT(ISERROR(SEARCH("Done",H4)))</formula>
    </cfRule>
    <cfRule type="containsText" dxfId="189" priority="2" operator="containsText" text="In Progress">
      <formula>NOT(ISERROR(SEARCH("In Progress",H4)))</formula>
    </cfRule>
  </conditionalFormatting>
  <dataValidations count="6">
    <dataValidation type="list" allowBlank="1" showInputMessage="1" showErrorMessage="1" sqref="H4:H15" xr:uid="{649E2002-0C9E-4E64-8A52-04F24DAF5E13}">
      <formula1>"In Progress, Done"</formula1>
    </dataValidation>
    <dataValidation type="list" allowBlank="1" showInputMessage="1" showErrorMessage="1" sqref="C10" xr:uid="{9F085A03-2160-4B9B-8957-76CFD55A131E}">
      <formula1>IF(OR(VLOOKUP(B1,Weapon_List,3,FALSE)=1,VLOOKUP(B1,Weapon_List,3,FALSE)=2),Weapon_Ascension_Low_Rarity,Weapon_Ascension_High_Rarity)</formula1>
    </dataValidation>
    <dataValidation type="list" operator="equal" allowBlank="1" showInputMessage="1" showErrorMessage="1" sqref="B4" xr:uid="{56C3EF7C-41AC-433C-B5D0-AB625AC4908F}">
      <formula1>IF(OR(VLOOKUP(B1,Weapon_List,3,FALSE)=1,VLOOKUP(B1,Weapon_List,3,FALSE)=2),Weapon_Levels_Low_Rarity,Weapon_Levels_High_Rarity)</formula1>
    </dataValidation>
    <dataValidation type="list" operator="equal" allowBlank="1" showInputMessage="1" showErrorMessage="1" sqref="B5" xr:uid="{5E101B82-56E4-4BB9-80B2-B2B12A570366}">
      <formula1>IF(OR(VLOOKUP(B1,Weapon_List,3,FALSE)=1,VLOOKUP(B1,Weapon_List,3,FALSE)=2),Weapon_Levels_Low_Rarity,Weapon_Levels_High_Rarity)</formula1>
    </dataValidation>
    <dataValidation type="list" allowBlank="1" showInputMessage="1" showErrorMessage="1" sqref="B1" xr:uid="{76F58FAF-DCAD-4972-96F7-E72469F9A32D}">
      <formula1>Weapon_Name_List</formula1>
    </dataValidation>
    <dataValidation type="list" allowBlank="1" showInputMessage="1" showErrorMessage="1" sqref="C11" xr:uid="{11488C8C-E4F1-424E-9D81-5793EAAD8A9A}">
      <formula1>IF(OR(VLOOKUP(B1,Weapon_List,3,FALSE)=1,VLOOKUP(B1,Weapon_List,3,FALSE)=2),Weapon_Ascension_Low_Rarity,Weapon_Ascension_High_Rarity)</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ADB86-E060-4CB6-87C7-0AF4675EB0CC}">
  <sheetPr codeName="Sheet7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171" t="s">
        <v>149</v>
      </c>
      <c r="B9" s="231"/>
      <c r="C9" s="172"/>
      <c r="E9" s="234"/>
      <c r="F9" s="44" t="str">
        <f t="shared" si="0"/>
        <v>Mask of the Kijin</v>
      </c>
      <c r="G9" s="59">
        <f t="shared" ca="1" si="0"/>
        <v>0</v>
      </c>
      <c r="H9" s="34" t="s">
        <v>202</v>
      </c>
    </row>
    <row r="10" spans="1:8" ht="15.75" thickBot="1" x14ac:dyDescent="0.3">
      <c r="A10" s="173" t="s">
        <v>206</v>
      </c>
      <c r="B10" s="202"/>
      <c r="C10" s="43">
        <v>6</v>
      </c>
      <c r="E10" s="184" t="s">
        <v>19</v>
      </c>
      <c r="F10" s="2" t="str">
        <f t="shared" si="0"/>
        <v>Spectral Husk</v>
      </c>
      <c r="G10" s="15">
        <f t="shared" ca="1" si="0"/>
        <v>0</v>
      </c>
      <c r="H10" s="34" t="s">
        <v>202</v>
      </c>
    </row>
    <row r="11" spans="1:8" ht="15.75" thickBot="1" x14ac:dyDescent="0.3">
      <c r="A11" s="173" t="s">
        <v>208</v>
      </c>
      <c r="B11" s="202"/>
      <c r="C11" s="43">
        <v>6</v>
      </c>
      <c r="E11" s="185"/>
      <c r="F11" s="1" t="str">
        <f t="shared" si="0"/>
        <v>Spectral Heart</v>
      </c>
      <c r="G11" s="17">
        <f t="shared" ca="1" si="0"/>
        <v>0</v>
      </c>
      <c r="H11" s="34" t="s">
        <v>202</v>
      </c>
    </row>
    <row r="12" spans="1:8" ht="15.75" thickBot="1" x14ac:dyDescent="0.3">
      <c r="A12" s="227"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4" t="s">
        <v>18</v>
      </c>
      <c r="F13" s="2" t="str">
        <f t="shared" si="0"/>
        <v>Concealed Rifthound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5"/>
      <c r="F14" s="1" t="str">
        <f t="shared" si="0"/>
        <v>Concealed Unguis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6"/>
      <c r="F15" s="9" t="str">
        <f t="shared" si="0"/>
        <v>Concealed Talon</v>
      </c>
      <c r="G15" s="16">
        <f t="shared" ca="1" si="0"/>
        <v>0</v>
      </c>
      <c r="H15" s="35" t="s">
        <v>202</v>
      </c>
    </row>
    <row r="16" spans="1:8" x14ac:dyDescent="0.25">
      <c r="A16" s="184"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88" priority="1" operator="containsText" text="Done">
      <formula>NOT(ISERROR(SEARCH("Done",H4)))</formula>
    </cfRule>
    <cfRule type="containsText" dxfId="187" priority="2" operator="containsText" text="In Progress">
      <formula>NOT(ISERROR(SEARCH("In Progress",H4)))</formula>
    </cfRule>
  </conditionalFormatting>
  <dataValidations count="6">
    <dataValidation type="list" allowBlank="1" showInputMessage="1" showErrorMessage="1" sqref="H4:H15" xr:uid="{40613C7C-10B1-456F-B845-49378C1C189B}">
      <formula1>"In Progress, Done"</formula1>
    </dataValidation>
    <dataValidation type="list" allowBlank="1" showInputMessage="1" showErrorMessage="1" sqref="C10" xr:uid="{F2AAF60E-030E-4D58-9D49-930B2F67DCB3}">
      <formula1>IF(OR(VLOOKUP(B1,Weapon_List,3,FALSE)=1,VLOOKUP(B1,Weapon_List,3,FALSE)=2),Weapon_Ascension_Low_Rarity,Weapon_Ascension_High_Rarity)</formula1>
    </dataValidation>
    <dataValidation type="list" operator="equal" allowBlank="1" showInputMessage="1" showErrorMessage="1" sqref="B4" xr:uid="{E3D23F95-33EB-487F-A76D-B96A91291D3F}">
      <formula1>IF(OR(VLOOKUP(B1,Weapon_List,3,FALSE)=1,VLOOKUP(B1,Weapon_List,3,FALSE)=2),Weapon_Levels_Low_Rarity,Weapon_Levels_High_Rarity)</formula1>
    </dataValidation>
    <dataValidation type="list" operator="equal" allowBlank="1" showInputMessage="1" showErrorMessage="1" sqref="B5" xr:uid="{57FEE2C8-795F-4577-A391-6AFA122D8C8D}">
      <formula1>IF(OR(VLOOKUP(B1,Weapon_List,3,FALSE)=1,VLOOKUP(B1,Weapon_List,3,FALSE)=2),Weapon_Levels_Low_Rarity,Weapon_Levels_High_Rarity)</formula1>
    </dataValidation>
    <dataValidation type="list" allowBlank="1" showInputMessage="1" showErrorMessage="1" sqref="B1" xr:uid="{C785030F-83EE-4C79-BD3B-CC245B230DE3}">
      <formula1>Weapon_Name_List</formula1>
    </dataValidation>
    <dataValidation type="list" allowBlank="1" showInputMessage="1" showErrorMessage="1" sqref="C11" xr:uid="{5F40C1A4-5114-4B6B-8C38-DE2D24051286}">
      <formula1>IF(OR(VLOOKUP(B1,Weapon_List,3,FALSE)=1,VLOOKUP(B1,Weapon_List,3,FALSE)=2),Weapon_Ascension_Low_Rarity,Weapon_Ascension_High_Rarity)</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C253A-487F-49A5-BBB4-84EDB96979E5}">
  <sheetPr codeName="Sheet78">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171" t="s">
        <v>149</v>
      </c>
      <c r="B9" s="231"/>
      <c r="C9" s="172"/>
      <c r="E9" s="234"/>
      <c r="F9" s="44" t="str">
        <f t="shared" si="0"/>
        <v>Narukami's Valor</v>
      </c>
      <c r="G9" s="59">
        <f t="shared" ca="1" si="0"/>
        <v>0</v>
      </c>
      <c r="H9" s="34" t="s">
        <v>202</v>
      </c>
    </row>
    <row r="10" spans="1:8" ht="15.75" thickBot="1" x14ac:dyDescent="0.3">
      <c r="A10" s="173" t="s">
        <v>206</v>
      </c>
      <c r="B10" s="202"/>
      <c r="C10" s="43">
        <v>6</v>
      </c>
      <c r="E10" s="184" t="s">
        <v>19</v>
      </c>
      <c r="F10" s="2" t="str">
        <f t="shared" si="0"/>
        <v>Old Nobushi</v>
      </c>
      <c r="G10" s="15">
        <f t="shared" ca="1" si="0"/>
        <v>0</v>
      </c>
      <c r="H10" s="34" t="s">
        <v>202</v>
      </c>
    </row>
    <row r="11" spans="1:8" ht="15.75" thickBot="1" x14ac:dyDescent="0.3">
      <c r="A11" s="173" t="s">
        <v>208</v>
      </c>
      <c r="B11" s="202"/>
      <c r="C11" s="43">
        <v>6</v>
      </c>
      <c r="E11" s="185"/>
      <c r="F11" s="1" t="str">
        <f t="shared" si="0"/>
        <v>Kageuchi Nobushi</v>
      </c>
      <c r="G11" s="17">
        <f t="shared" ca="1" si="0"/>
        <v>0</v>
      </c>
      <c r="H11" s="34" t="s">
        <v>202</v>
      </c>
    </row>
    <row r="12" spans="1:8" ht="15.75" thickBot="1" x14ac:dyDescent="0.3">
      <c r="A12" s="227"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4" t="s">
        <v>18</v>
      </c>
      <c r="F13" s="2" t="str">
        <f t="shared" si="0"/>
        <v>Gloomy Shadowy Husk</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5"/>
      <c r="F14" s="1" t="str">
        <f t="shared" si="0"/>
        <v>Dark Shadowy Husk</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6"/>
      <c r="F15" s="9" t="str">
        <f t="shared" si="0"/>
        <v>Deathly Shadowy Husk</v>
      </c>
      <c r="G15" s="16">
        <f t="shared" ca="1" si="0"/>
        <v>0</v>
      </c>
      <c r="H15" s="35" t="s">
        <v>202</v>
      </c>
    </row>
    <row r="16" spans="1:8" x14ac:dyDescent="0.25">
      <c r="A16" s="184"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86" priority="1" operator="containsText" text="Done">
      <formula>NOT(ISERROR(SEARCH("Done",H4)))</formula>
    </cfRule>
    <cfRule type="containsText" dxfId="185" priority="2" operator="containsText" text="In Progress">
      <formula>NOT(ISERROR(SEARCH("In Progress",H4)))</formula>
    </cfRule>
  </conditionalFormatting>
  <dataValidations count="6">
    <dataValidation type="list" allowBlank="1" showInputMessage="1" showErrorMessage="1" sqref="H4:H15" xr:uid="{547000CC-AC6F-48AC-92D2-0C93918F9077}">
      <formula1>"In Progress, Done"</formula1>
    </dataValidation>
    <dataValidation type="list" allowBlank="1" showInputMessage="1" showErrorMessage="1" sqref="C10" xr:uid="{2967CC64-BF59-456D-A068-875B255CF601}">
      <formula1>IF(OR(VLOOKUP(B1,Weapon_List,3,FALSE)=1,VLOOKUP(B1,Weapon_List,3,FALSE)=2),Weapon_Ascension_Low_Rarity,Weapon_Ascension_High_Rarity)</formula1>
    </dataValidation>
    <dataValidation type="list" operator="equal" allowBlank="1" showInputMessage="1" showErrorMessage="1" sqref="B4" xr:uid="{5587F9D8-FEF4-4361-AE61-9B3989CDDB1C}">
      <formula1>IF(OR(VLOOKUP(B1,Weapon_List,3,FALSE)=1,VLOOKUP(B1,Weapon_List,3,FALSE)=2),Weapon_Levels_Low_Rarity,Weapon_Levels_High_Rarity)</formula1>
    </dataValidation>
    <dataValidation type="list" operator="equal" allowBlank="1" showInputMessage="1" showErrorMessage="1" sqref="B5" xr:uid="{22996AC9-D950-4EC1-A971-D2ADE7328B93}">
      <formula1>IF(OR(VLOOKUP(B1,Weapon_List,3,FALSE)=1,VLOOKUP(B1,Weapon_List,3,FALSE)=2),Weapon_Levels_Low_Rarity,Weapon_Levels_High_Rarity)</formula1>
    </dataValidation>
    <dataValidation type="list" allowBlank="1" showInputMessage="1" showErrorMessage="1" sqref="B1" xr:uid="{90BBAF38-42DB-49BC-92E1-E1270CB67ED5}">
      <formula1>Weapon_Name_List</formula1>
    </dataValidation>
    <dataValidation type="list" allowBlank="1" showInputMessage="1" showErrorMessage="1" sqref="C11" xr:uid="{1115D084-6DA1-41DE-838E-F78A9998B98F}">
      <formula1>IF(OR(VLOOKUP(B1,Weapon_List,3,FALSE)=1,VLOOKUP(B1,Weapon_List,3,FALSE)=2),Weapon_Ascension_Low_Rarity,Weapon_Ascension_High_Rarity)</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CF3E6-7AF1-4571-AB97-2D8A67D79057}">
  <sheetPr codeName="Sheet8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Hunter's Sacrificial Knife</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Agent's Sacrificial Knife</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Inspector's Sacrificial Knife</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84" priority="1" operator="containsText" text="Done">
      <formula>NOT(ISERROR(SEARCH("Done",H4)))</formula>
    </cfRule>
    <cfRule type="containsText" dxfId="183" priority="2" operator="containsText" text="In Progress">
      <formula>NOT(ISERROR(SEARCH("In Progress",H4)))</formula>
    </cfRule>
  </conditionalFormatting>
  <dataValidations count="6">
    <dataValidation type="list" allowBlank="1" showInputMessage="1" showErrorMessage="1" sqref="H4:H15" xr:uid="{9586C42A-35AF-46E1-AE3E-50748F74DD80}">
      <formula1>"In Progress, Done"</formula1>
    </dataValidation>
    <dataValidation type="list" allowBlank="1" showInputMessage="1" showErrorMessage="1" sqref="C10" xr:uid="{CFCA8BB8-29A2-45E6-8C7F-F877DAD83B50}">
      <formula1>IF(OR(VLOOKUP(B1,Weapon_List,3,FALSE)=1,VLOOKUP(B1,Weapon_List,3,FALSE)=2),Weapon_Ascension_Low_Rarity,Weapon_Ascension_High_Rarity)</formula1>
    </dataValidation>
    <dataValidation type="list" operator="equal" allowBlank="1" showInputMessage="1" showErrorMessage="1" sqref="B4" xr:uid="{E06649C6-94A5-411D-9CB9-5F14D48B2E15}">
      <formula1>IF(OR(VLOOKUP(B1,Weapon_List,3,FALSE)=1,VLOOKUP(B1,Weapon_List,3,FALSE)=2),Weapon_Levels_Low_Rarity,Weapon_Levels_High_Rarity)</formula1>
    </dataValidation>
    <dataValidation type="list" operator="equal" allowBlank="1" showInputMessage="1" showErrorMessage="1" sqref="B5" xr:uid="{A832C559-4FC4-471F-93F8-FC926DBEE82F}">
      <formula1>IF(OR(VLOOKUP(B1,Weapon_List,3,FALSE)=1,VLOOKUP(B1,Weapon_List,3,FALSE)=2),Weapon_Levels_Low_Rarity,Weapon_Levels_High_Rarity)</formula1>
    </dataValidation>
    <dataValidation type="list" allowBlank="1" showInputMessage="1" showErrorMessage="1" sqref="B1" xr:uid="{081A01A1-C99C-4549-BAF7-B84C998F2539}">
      <formula1>Weapon_Name_List</formula1>
    </dataValidation>
    <dataValidation type="list" allowBlank="1" showInputMessage="1" showErrorMessage="1" sqref="C11" xr:uid="{507FB734-4801-4B36-BFDF-C7456D7D7189}">
      <formula1>IF(OR(VLOOKUP(B1,Weapon_List,3,FALSE)=1,VLOOKUP(B1,Weapon_List,3,FALSE)=2),Weapon_Ascension_Low_Rarity,Weapon_Ascension_High_Rarity)</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89B4C-2BB6-44FF-82C1-E81427924BE2}">
  <sheetPr codeName="Sheet82">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Spectral Husk</v>
      </c>
      <c r="G10" s="15">
        <f t="shared" ca="1" si="0"/>
        <v>0</v>
      </c>
      <c r="H10" s="34" t="s">
        <v>202</v>
      </c>
    </row>
    <row r="11" spans="1:8" ht="15.75" thickBot="1" x14ac:dyDescent="0.3">
      <c r="A11" s="173" t="s">
        <v>208</v>
      </c>
      <c r="B11" s="202"/>
      <c r="C11" s="43">
        <v>6</v>
      </c>
      <c r="E11" s="185"/>
      <c r="F11" s="1" t="str">
        <f t="shared" si="0"/>
        <v>Spectral Heart</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Gloomy Shadowy Husk</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Dark Shadowy Husk</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Deathly Shadowy Husk</v>
      </c>
      <c r="G15" s="16">
        <f t="shared" ca="1" si="0"/>
        <v>0</v>
      </c>
      <c r="H15" s="35" t="s">
        <v>202</v>
      </c>
    </row>
    <row r="16" spans="1:8" x14ac:dyDescent="0.25">
      <c r="A16" s="184"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82" priority="3" operator="containsText" text="Done">
      <formula>NOT(ISERROR(SEARCH("Done",H4)))</formula>
    </cfRule>
    <cfRule type="containsText" dxfId="181" priority="4" operator="containsText" text="In Progress">
      <formula>NOT(ISERROR(SEARCH("In Progress",H4)))</formula>
    </cfRule>
  </conditionalFormatting>
  <dataValidations count="6">
    <dataValidation type="list" allowBlank="1" showInputMessage="1" showErrorMessage="1" sqref="H4:H15" xr:uid="{8AAF617D-8A62-4DF0-BB99-A54E1C5B8D86}">
      <formula1>"In Progress, Done"</formula1>
    </dataValidation>
    <dataValidation type="list" allowBlank="1" showInputMessage="1" showErrorMessage="1" sqref="C10" xr:uid="{AB341225-4EB9-4F04-8620-5A253440D81A}">
      <formula1>IF(OR(VLOOKUP(B1,Weapon_List,3,FALSE)=1,VLOOKUP(B1,Weapon_List,3,FALSE)=2),Weapon_Ascension_Low_Rarity,Weapon_Ascension_High_Rarity)</formula1>
    </dataValidation>
    <dataValidation type="list" operator="equal" allowBlank="1" showInputMessage="1" showErrorMessage="1" sqref="B4" xr:uid="{E69F2C9B-A65B-456F-B8CD-294F9FE93462}">
      <formula1>IF(OR(VLOOKUP(B1,Weapon_List,3,FALSE)=1,VLOOKUP(B1,Weapon_List,3,FALSE)=2),Weapon_Levels_Low_Rarity,Weapon_Levels_High_Rarity)</formula1>
    </dataValidation>
    <dataValidation type="list" operator="equal" allowBlank="1" showInputMessage="1" showErrorMessage="1" sqref="B5" xr:uid="{8FC4BDA4-4FBC-458F-8DDD-C239E0178919}">
      <formula1>IF(OR(VLOOKUP(B1,Weapon_List,3,FALSE)=1,VLOOKUP(B1,Weapon_List,3,FALSE)=2),Weapon_Levels_Low_Rarity,Weapon_Levels_High_Rarity)</formula1>
    </dataValidation>
    <dataValidation type="list" allowBlank="1" showInputMessage="1" showErrorMessage="1" sqref="B1" xr:uid="{7194030C-2AAB-43D8-97BC-6B4DC29A8EBB}">
      <formula1>Weapon_Name_List</formula1>
    </dataValidation>
    <dataValidation type="list" allowBlank="1" showInputMessage="1" showErrorMessage="1" sqref="C11" xr:uid="{86C29FA8-C51A-4DA0-B674-25974FC752B8}">
      <formula1>IF(OR(VLOOKUP(B1,Weapon_List,3,FALSE)=1,VLOOKUP(B1,Weapon_List,3,FALSE)=2),Weapon_Ascension_Low_Rarity,Weapon_Ascension_High_Rarity)</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74BA0-82B0-4664-B08D-7663A3B6BAB2}">
  <sheetPr codeName="Sheet20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171" t="s">
        <v>149</v>
      </c>
      <c r="B9" s="231"/>
      <c r="C9" s="172"/>
      <c r="E9" s="234"/>
      <c r="F9" s="44" t="str">
        <f t="shared" si="0"/>
        <v>Mask of the Kijin</v>
      </c>
      <c r="G9" s="59">
        <f t="shared" ca="1" si="0"/>
        <v>0</v>
      </c>
      <c r="H9" s="34" t="s">
        <v>202</v>
      </c>
    </row>
    <row r="10" spans="1:8" ht="15.75" thickBot="1" x14ac:dyDescent="0.3">
      <c r="A10" s="173" t="s">
        <v>206</v>
      </c>
      <c r="B10" s="202"/>
      <c r="C10" s="43">
        <v>6</v>
      </c>
      <c r="E10" s="184" t="s">
        <v>19</v>
      </c>
      <c r="F10" s="2" t="str">
        <f t="shared" si="0"/>
        <v>Spectral Husk</v>
      </c>
      <c r="G10" s="15">
        <f t="shared" ca="1" si="0"/>
        <v>0</v>
      </c>
      <c r="H10" s="34" t="s">
        <v>202</v>
      </c>
    </row>
    <row r="11" spans="1:8" ht="15.75" thickBot="1" x14ac:dyDescent="0.3">
      <c r="A11" s="173" t="s">
        <v>208</v>
      </c>
      <c r="B11" s="202"/>
      <c r="C11" s="43">
        <v>6</v>
      </c>
      <c r="E11" s="185"/>
      <c r="F11" s="1" t="str">
        <f t="shared" si="0"/>
        <v>Spectral Heart</v>
      </c>
      <c r="G11" s="17">
        <f t="shared" ca="1" si="0"/>
        <v>0</v>
      </c>
      <c r="H11" s="34" t="s">
        <v>202</v>
      </c>
    </row>
    <row r="12" spans="1:8" ht="15.75" thickBot="1" x14ac:dyDescent="0.3">
      <c r="A12" s="227"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4" t="s">
        <v>18</v>
      </c>
      <c r="F13" s="2" t="str">
        <f t="shared" si="0"/>
        <v>Gloomy Shadowy Husk</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5"/>
      <c r="F14" s="1" t="str">
        <f t="shared" si="0"/>
        <v>Dark Shadowy Husk</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6"/>
      <c r="F15" s="9" t="str">
        <f t="shared" si="0"/>
        <v>Deathly Shadowy Husk</v>
      </c>
      <c r="G15" s="16">
        <f t="shared" ca="1" si="0"/>
        <v>0</v>
      </c>
      <c r="H15" s="35" t="s">
        <v>202</v>
      </c>
    </row>
    <row r="16" spans="1:8" x14ac:dyDescent="0.25">
      <c r="A16" s="184"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80" priority="1" operator="containsText" text="Done">
      <formula>NOT(ISERROR(SEARCH("Done",H4)))</formula>
    </cfRule>
    <cfRule type="containsText" dxfId="179" priority="2" operator="containsText" text="In Progress">
      <formula>NOT(ISERROR(SEARCH("In Progress",H4)))</formula>
    </cfRule>
  </conditionalFormatting>
  <dataValidations count="6">
    <dataValidation type="list" allowBlank="1" showInputMessage="1" showErrorMessage="1" sqref="H4:H15" xr:uid="{303E1ABE-ACE9-4D97-88AE-FBF98B7FB77B}">
      <formula1>"In Progress, Done"</formula1>
    </dataValidation>
    <dataValidation type="list" allowBlank="1" showInputMessage="1" showErrorMessage="1" sqref="C10" xr:uid="{4380BE21-F578-430E-8AA9-0B54E14177AA}">
      <formula1>IF(OR(VLOOKUP(B1,Weapon_List,3,FALSE)=1,VLOOKUP(B1,Weapon_List,3,FALSE)=2),Weapon_Ascension_Low_Rarity,Weapon_Ascension_High_Rarity)</formula1>
    </dataValidation>
    <dataValidation type="list" operator="equal" allowBlank="1" showInputMessage="1" showErrorMessage="1" sqref="B4" xr:uid="{E72A8260-BB16-4E44-BEC0-4B6257DC9446}">
      <formula1>IF(OR(VLOOKUP(B1,Weapon_List,3,FALSE)=1,VLOOKUP(B1,Weapon_List,3,FALSE)=2),Weapon_Levels_Low_Rarity,Weapon_Levels_High_Rarity)</formula1>
    </dataValidation>
    <dataValidation type="list" operator="equal" allowBlank="1" showInputMessage="1" showErrorMessage="1" sqref="B5" xr:uid="{54A96226-3D8C-4463-952F-316F7C24D717}">
      <formula1>IF(OR(VLOOKUP(B1,Weapon_List,3,FALSE)=1,VLOOKUP(B1,Weapon_List,3,FALSE)=2),Weapon_Levels_Low_Rarity,Weapon_Levels_High_Rarity)</formula1>
    </dataValidation>
    <dataValidation type="list" allowBlank="1" showInputMessage="1" showErrorMessage="1" sqref="B1" xr:uid="{207F7919-AE1F-46E9-B161-8742529FEF41}">
      <formula1>Weapon_Name_List</formula1>
    </dataValidation>
    <dataValidation type="list" allowBlank="1" showInputMessage="1" showErrorMessage="1" sqref="C11" xr:uid="{FD7C1F61-1A05-4CC7-8212-7325630B1E2D}">
      <formula1>IF(OR(VLOOKUP(B1,Weapon_List,3,FALSE)=1,VLOOKUP(B1,Weapon_List,3,FALSE)=2),Weapon_Ascension_Low_Rarity,Weapon_Ascension_High_Rarity)</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14B89-8B30-4891-BD7D-D98920EBFE84}">
  <sheetPr codeName="Sheet228">
    <tabColor theme="4" tint="0.39997558519241921"/>
  </sheetPr>
  <dimension ref="A1:H22"/>
  <sheetViews>
    <sheetView workbookViewId="0">
      <selection activeCell="F15" sqref="F1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171" t="s">
        <v>149</v>
      </c>
      <c r="B9" s="231"/>
      <c r="C9" s="172"/>
      <c r="E9" s="234"/>
      <c r="F9" s="44" t="str">
        <f t="shared" si="0"/>
        <v>Golden Talisman of the Forest Dew</v>
      </c>
      <c r="G9" s="59">
        <f t="shared" ca="1" si="0"/>
        <v>0</v>
      </c>
      <c r="H9" s="34" t="s">
        <v>202</v>
      </c>
    </row>
    <row r="10" spans="1:8" ht="15.75" thickBot="1" x14ac:dyDescent="0.3">
      <c r="A10" s="173" t="s">
        <v>206</v>
      </c>
      <c r="B10" s="202"/>
      <c r="C10" s="43">
        <v>6</v>
      </c>
      <c r="E10" s="184" t="s">
        <v>19</v>
      </c>
      <c r="F10" s="2" t="str">
        <f t="shared" si="0"/>
        <v>Faded Red Satin</v>
      </c>
      <c r="G10" s="15">
        <f t="shared" ca="1" si="0"/>
        <v>0</v>
      </c>
      <c r="H10" s="34" t="s">
        <v>202</v>
      </c>
    </row>
    <row r="11" spans="1:8" ht="15.75" thickBot="1" x14ac:dyDescent="0.3">
      <c r="A11" s="173" t="s">
        <v>208</v>
      </c>
      <c r="B11" s="202"/>
      <c r="C11" s="43">
        <v>6</v>
      </c>
      <c r="E11" s="185"/>
      <c r="F11" s="1" t="str">
        <f t="shared" si="0"/>
        <v>Trimmed Red Silk</v>
      </c>
      <c r="G11" s="17">
        <f t="shared" ca="1" si="0"/>
        <v>0</v>
      </c>
      <c r="H11" s="34" t="s">
        <v>202</v>
      </c>
    </row>
    <row r="12" spans="1:8" ht="15.75" thickBot="1" x14ac:dyDescent="0.3">
      <c r="A12" s="227"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84" t="s">
        <v>18</v>
      </c>
      <c r="F13" s="2" t="str">
        <f t="shared" si="0"/>
        <v>Chaos Storage</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85"/>
      <c r="F14" s="1" t="str">
        <f t="shared" si="0"/>
        <v>Chaos Module</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86"/>
      <c r="F15" s="9" t="str">
        <f t="shared" si="0"/>
        <v>Chaos Bolt</v>
      </c>
      <c r="G15" s="16">
        <f t="shared" ca="1" si="0"/>
        <v>0</v>
      </c>
      <c r="H15" s="35" t="s">
        <v>202</v>
      </c>
    </row>
    <row r="16" spans="1:8" x14ac:dyDescent="0.25">
      <c r="A16" s="184"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78" priority="1" operator="containsText" text="Done">
      <formula>NOT(ISERROR(SEARCH("Done",H4)))</formula>
    </cfRule>
    <cfRule type="containsText" dxfId="177" priority="2" operator="containsText" text="In Progress">
      <formula>NOT(ISERROR(SEARCH("In Progress",H4)))</formula>
    </cfRule>
  </conditionalFormatting>
  <dataValidations count="6">
    <dataValidation type="list" allowBlank="1" showInputMessage="1" showErrorMessage="1" sqref="H4:H15" xr:uid="{397289C7-CA2E-4F56-A1E9-66961C509AA6}">
      <formula1>"In Progress, Done"</formula1>
    </dataValidation>
    <dataValidation type="list" allowBlank="1" showInputMessage="1" showErrorMessage="1" sqref="C10" xr:uid="{F574E214-33DB-4390-85D6-06D44F3F16EB}">
      <formula1>IF(OR(VLOOKUP(B1,Weapon_List,3,FALSE)=1,VLOOKUP(B1,Weapon_List,3,FALSE)=2),Weapon_Ascension_Low_Rarity,Weapon_Ascension_High_Rarity)</formula1>
    </dataValidation>
    <dataValidation type="list" operator="equal" allowBlank="1" showInputMessage="1" showErrorMessage="1" sqref="B4" xr:uid="{138E95CE-ED90-47CF-8ED3-8900455F3EC6}">
      <formula1>IF(OR(VLOOKUP(B1,Weapon_List,3,FALSE)=1,VLOOKUP(B1,Weapon_List,3,FALSE)=2),Weapon_Levels_Low_Rarity,Weapon_Levels_High_Rarity)</formula1>
    </dataValidation>
    <dataValidation type="list" operator="equal" allowBlank="1" showInputMessage="1" showErrorMessage="1" sqref="B5" xr:uid="{622C7C20-3AE2-43D7-8078-541CC2F1EF97}">
      <formula1>IF(OR(VLOOKUP(B1,Weapon_List,3,FALSE)=1,VLOOKUP(B1,Weapon_List,3,FALSE)=2),Weapon_Levels_Low_Rarity,Weapon_Levels_High_Rarity)</formula1>
    </dataValidation>
    <dataValidation type="list" allowBlank="1" showInputMessage="1" showErrorMessage="1" sqref="B1" xr:uid="{4833A19A-5EE7-4EDD-B87F-60B0C52C9DF5}">
      <formula1>Weapon_Name_List</formula1>
    </dataValidation>
    <dataValidation type="list" allowBlank="1" showInputMessage="1" showErrorMessage="1" sqref="C11" xr:uid="{3CBFCD0B-8263-4E4F-BB56-5023E47EFB90}">
      <formula1>IF(OR(VLOOKUP(B1,Weapon_List,3,FALSE)=1,VLOOKUP(B1,Weapon_List,3,FALSE)=2),Weapon_Ascension_Low_Rarity,Weapon_Ascension_High_Rarity)</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618D2-4B2A-47B7-BEE5-36900476B233}">
  <sheetPr codeName="Sheet229">
    <tabColor theme="4" tint="0.39997558519241921"/>
  </sheetPr>
  <dimension ref="A1:H22"/>
  <sheetViews>
    <sheetView workbookViewId="0">
      <selection activeCell="K8" sqref="K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171" t="s">
        <v>149</v>
      </c>
      <c r="B9" s="231"/>
      <c r="C9" s="172"/>
      <c r="E9" s="234"/>
      <c r="F9" s="44" t="str">
        <f t="shared" si="0"/>
        <v>Golden Talisman of the Forest Dew</v>
      </c>
      <c r="G9" s="59">
        <f t="shared" ca="1" si="0"/>
        <v>0</v>
      </c>
      <c r="H9" s="34" t="s">
        <v>202</v>
      </c>
    </row>
    <row r="10" spans="1:8" ht="15.75" thickBot="1" x14ac:dyDescent="0.3">
      <c r="A10" s="173" t="s">
        <v>206</v>
      </c>
      <c r="B10" s="202"/>
      <c r="C10" s="43">
        <v>6</v>
      </c>
      <c r="E10" s="184" t="s">
        <v>19</v>
      </c>
      <c r="F10" s="2" t="str">
        <f t="shared" si="0"/>
        <v>Faded Red Satin</v>
      </c>
      <c r="G10" s="15">
        <f t="shared" ca="1" si="0"/>
        <v>0</v>
      </c>
      <c r="H10" s="34" t="s">
        <v>202</v>
      </c>
    </row>
    <row r="11" spans="1:8" ht="15.75" thickBot="1" x14ac:dyDescent="0.3">
      <c r="A11" s="173" t="s">
        <v>208</v>
      </c>
      <c r="B11" s="202"/>
      <c r="C11" s="43">
        <v>6</v>
      </c>
      <c r="E11" s="185"/>
      <c r="F11" s="1" t="str">
        <f t="shared" si="0"/>
        <v>Trimmed Red Silk</v>
      </c>
      <c r="G11" s="17">
        <f t="shared" ca="1" si="0"/>
        <v>0</v>
      </c>
      <c r="H11" s="34" t="s">
        <v>202</v>
      </c>
    </row>
    <row r="12" spans="1:8" ht="15.75" thickBot="1" x14ac:dyDescent="0.3">
      <c r="A12" s="227"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84" t="s">
        <v>18</v>
      </c>
      <c r="F13" s="2" t="str">
        <f t="shared" si="0"/>
        <v>Chaos Storage</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85"/>
      <c r="F14" s="1" t="str">
        <f t="shared" si="0"/>
        <v>Chaos Module</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86"/>
      <c r="F15" s="9" t="str">
        <f t="shared" si="0"/>
        <v>Chaos Bolt</v>
      </c>
      <c r="G15" s="16">
        <f t="shared" ca="1" si="0"/>
        <v>0</v>
      </c>
      <c r="H15" s="35" t="s">
        <v>202</v>
      </c>
    </row>
    <row r="16" spans="1:8" x14ac:dyDescent="0.25">
      <c r="A16" s="184"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76" priority="1" operator="containsText" text="Done">
      <formula>NOT(ISERROR(SEARCH("Done",H4)))</formula>
    </cfRule>
    <cfRule type="containsText" dxfId="175" priority="2" operator="containsText" text="In Progress">
      <formula>NOT(ISERROR(SEARCH("In Progress",H4)))</formula>
    </cfRule>
  </conditionalFormatting>
  <dataValidations count="6">
    <dataValidation type="list" allowBlank="1" showInputMessage="1" showErrorMessage="1" sqref="C11" xr:uid="{A0F56266-3921-4729-8771-1C92D8833E78}">
      <formula1>IF(OR(VLOOKUP(B1,Weapon_List,3,FALSE)=1,VLOOKUP(B1,Weapon_List,3,FALSE)=2),Weapon_Ascension_Low_Rarity,Weapon_Ascension_High_Rarity)</formula1>
    </dataValidation>
    <dataValidation type="list" allowBlank="1" showInputMessage="1" showErrorMessage="1" sqref="B1" xr:uid="{88E5798C-E07F-4CB7-A386-3D2D753A4C52}">
      <formula1>Weapon_Name_List</formula1>
    </dataValidation>
    <dataValidation type="list" operator="equal" allowBlank="1" showInputMessage="1" showErrorMessage="1" sqref="B5" xr:uid="{A6C6435A-1431-4B02-B62D-1FA07EBA46B9}">
      <formula1>IF(OR(VLOOKUP(B1,Weapon_List,3,FALSE)=1,VLOOKUP(B1,Weapon_List,3,FALSE)=2),Weapon_Levels_Low_Rarity,Weapon_Levels_High_Rarity)</formula1>
    </dataValidation>
    <dataValidation type="list" operator="equal" allowBlank="1" showInputMessage="1" showErrorMessage="1" sqref="B4" xr:uid="{BDC23B75-F2C6-47A7-8CCF-D784055BD71E}">
      <formula1>IF(OR(VLOOKUP(B1,Weapon_List,3,FALSE)=1,VLOOKUP(B1,Weapon_List,3,FALSE)=2),Weapon_Levels_Low_Rarity,Weapon_Levels_High_Rarity)</formula1>
    </dataValidation>
    <dataValidation type="list" allowBlank="1" showInputMessage="1" showErrorMessage="1" sqref="C10" xr:uid="{C31E643E-D1B3-475C-8F24-01802F863F7D}">
      <formula1>IF(OR(VLOOKUP(B1,Weapon_List,3,FALSE)=1,VLOOKUP(B1,Weapon_List,3,FALSE)=2),Weapon_Ascension_Low_Rarity,Weapon_Ascension_High_Rarity)</formula1>
    </dataValidation>
    <dataValidation type="list" allowBlank="1" showInputMessage="1" showErrorMessage="1" sqref="H4:H15" xr:uid="{E67AEC77-DB94-4D3B-855F-39E9989C9104}">
      <formula1>"In Progress, Done"</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BF07F-3896-47E0-9A65-664792B131F6}">
  <sheetPr codeName="Sheet230">
    <tabColor theme="4" tint="0.39997558519241921"/>
  </sheetPr>
  <dimension ref="A1:H22"/>
  <sheetViews>
    <sheetView workbookViewId="0">
      <selection activeCell="R55" sqref="R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171" t="s">
        <v>149</v>
      </c>
      <c r="B9" s="231"/>
      <c r="C9" s="172"/>
      <c r="E9" s="234"/>
      <c r="F9" s="44" t="str">
        <f t="shared" si="0"/>
        <v>Oasis Garden's Truth</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84" t="s">
        <v>18</v>
      </c>
      <c r="F13" s="2" t="str">
        <f t="shared" si="0"/>
        <v>Chaos Storage</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85"/>
      <c r="F14" s="1" t="str">
        <f t="shared" si="0"/>
        <v>Chaos Module</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86"/>
      <c r="F15" s="9" t="str">
        <f t="shared" si="0"/>
        <v>Chaos Bolt</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74" priority="1" operator="containsText" text="Done">
      <formula>NOT(ISERROR(SEARCH("Done",H4)))</formula>
    </cfRule>
    <cfRule type="containsText" dxfId="173" priority="2" operator="containsText" text="In Progress">
      <formula>NOT(ISERROR(SEARCH("In Progress",H4)))</formula>
    </cfRule>
  </conditionalFormatting>
  <dataValidations count="6">
    <dataValidation type="list" allowBlank="1" showInputMessage="1" showErrorMessage="1" sqref="H4:H15" xr:uid="{53A93112-1915-452C-90AF-F2ED5FE0A01F}">
      <formula1>"In Progress, Done"</formula1>
    </dataValidation>
    <dataValidation type="list" allowBlank="1" showInputMessage="1" showErrorMessage="1" sqref="C10" xr:uid="{B46789E9-F8CC-493D-8816-B3E22B091BB7}">
      <formula1>IF(OR(VLOOKUP(B1,Weapon_List,3,FALSE)=1,VLOOKUP(B1,Weapon_List,3,FALSE)=2),Weapon_Ascension_Low_Rarity,Weapon_Ascension_High_Rarity)</formula1>
    </dataValidation>
    <dataValidation type="list" operator="equal" allowBlank="1" showInputMessage="1" showErrorMessage="1" sqref="B4" xr:uid="{BF328D31-C54F-4997-9663-5793D9F31681}">
      <formula1>IF(OR(VLOOKUP(B1,Weapon_List,3,FALSE)=1,VLOOKUP(B1,Weapon_List,3,FALSE)=2),Weapon_Levels_Low_Rarity,Weapon_Levels_High_Rarity)</formula1>
    </dataValidation>
    <dataValidation type="list" operator="equal" allowBlank="1" showInputMessage="1" showErrorMessage="1" sqref="B5" xr:uid="{06CD71B8-8C45-4175-917F-3D10F5E53348}">
      <formula1>IF(OR(VLOOKUP(B1,Weapon_List,3,FALSE)=1,VLOOKUP(B1,Weapon_List,3,FALSE)=2),Weapon_Levels_Low_Rarity,Weapon_Levels_High_Rarity)</formula1>
    </dataValidation>
    <dataValidation type="list" allowBlank="1" showInputMessage="1" showErrorMessage="1" sqref="B1" xr:uid="{6BD81B38-3090-479D-843D-D127E201191D}">
      <formula1>Weapon_Name_List</formula1>
    </dataValidation>
    <dataValidation type="list" allowBlank="1" showInputMessage="1" showErrorMessage="1" sqref="C11" xr:uid="{4C8B2D19-E3F8-407C-9203-E44CB1102F20}">
      <formula1>IF(OR(VLOOKUP(B1,Weapon_List,3,FALSE)=1,VLOOKUP(B1,Weapon_List,3,FALSE)=2),Weapon_Ascension_Low_Rarity,Weapon_Ascension_High_Rarity)</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76AFD-6857-4872-86B3-6066E3889116}">
  <sheetPr codeName="Sheet23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171" t="s">
        <v>149</v>
      </c>
      <c r="B9" s="231"/>
      <c r="C9" s="172"/>
      <c r="E9" s="234"/>
      <c r="F9" s="44" t="str">
        <f t="shared" si="0"/>
        <v>Oasis Garden's Truth</v>
      </c>
      <c r="G9" s="59">
        <f t="shared" ca="1" si="0"/>
        <v>0</v>
      </c>
      <c r="H9" s="34" t="s">
        <v>202</v>
      </c>
    </row>
    <row r="10" spans="1:8" ht="15.75" thickBot="1" x14ac:dyDescent="0.3">
      <c r="A10" s="173" t="s">
        <v>206</v>
      </c>
      <c r="B10" s="202"/>
      <c r="C10" s="43">
        <v>6</v>
      </c>
      <c r="E10" s="184" t="s">
        <v>19</v>
      </c>
      <c r="F10" s="2" t="str">
        <f t="shared" si="0"/>
        <v>Fungal Spores</v>
      </c>
      <c r="G10" s="15">
        <f t="shared" ca="1" si="0"/>
        <v>0</v>
      </c>
      <c r="H10" s="34" t="s">
        <v>202</v>
      </c>
    </row>
    <row r="11" spans="1:8" ht="15.75" thickBot="1" x14ac:dyDescent="0.3">
      <c r="A11" s="173" t="s">
        <v>208</v>
      </c>
      <c r="B11" s="202"/>
      <c r="C11" s="43">
        <v>6</v>
      </c>
      <c r="E11" s="185"/>
      <c r="F11" s="1" t="str">
        <f t="shared" si="0"/>
        <v>Luminescent Pollen</v>
      </c>
      <c r="G11" s="17">
        <f t="shared" ca="1" si="0"/>
        <v>0</v>
      </c>
      <c r="H11" s="34" t="s">
        <v>202</v>
      </c>
    </row>
    <row r="12" spans="1:8" ht="15.75" thickBot="1" x14ac:dyDescent="0.3">
      <c r="A12" s="227"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84" t="s">
        <v>18</v>
      </c>
      <c r="F13" s="2" t="str">
        <f t="shared" si="0"/>
        <v>Gloomy Shadowy Husk</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85"/>
      <c r="F14" s="1" t="str">
        <f t="shared" si="0"/>
        <v>Dark Shadowy Husk</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86"/>
      <c r="F15" s="9" t="str">
        <f t="shared" si="0"/>
        <v>Deathly Shadowy Husk</v>
      </c>
      <c r="G15" s="16">
        <f t="shared" ca="1" si="0"/>
        <v>0</v>
      </c>
      <c r="H15" s="35" t="s">
        <v>202</v>
      </c>
    </row>
    <row r="16" spans="1:8" x14ac:dyDescent="0.25">
      <c r="A16" s="184"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72" priority="1" operator="containsText" text="Done">
      <formula>NOT(ISERROR(SEARCH("Done",H4)))</formula>
    </cfRule>
    <cfRule type="containsText" dxfId="171" priority="2" operator="containsText" text="In Progress">
      <formula>NOT(ISERROR(SEARCH("In Progress",H4)))</formula>
    </cfRule>
  </conditionalFormatting>
  <dataValidations count="6">
    <dataValidation type="list" allowBlank="1" showInputMessage="1" showErrorMessage="1" sqref="H4:H15" xr:uid="{5F15CC8B-E09B-4CFC-9E7E-DC12E4BD0314}">
      <formula1>"In Progress, Done"</formula1>
    </dataValidation>
    <dataValidation type="list" allowBlank="1" showInputMessage="1" showErrorMessage="1" sqref="C10" xr:uid="{CCC09378-30AD-427B-A425-CAFC440EF49C}">
      <formula1>IF(OR(VLOOKUP(B1,Weapon_List,3,FALSE)=1,VLOOKUP(B1,Weapon_List,3,FALSE)=2),Weapon_Ascension_Low_Rarity,Weapon_Ascension_High_Rarity)</formula1>
    </dataValidation>
    <dataValidation type="list" operator="equal" allowBlank="1" showInputMessage="1" showErrorMessage="1" sqref="B4" xr:uid="{1F08E559-C60F-48DC-88F3-D665D49DF5C2}">
      <formula1>IF(OR(VLOOKUP(B1,Weapon_List,3,FALSE)=1,VLOOKUP(B1,Weapon_List,3,FALSE)=2),Weapon_Levels_Low_Rarity,Weapon_Levels_High_Rarity)</formula1>
    </dataValidation>
    <dataValidation type="list" operator="equal" allowBlank="1" showInputMessage="1" showErrorMessage="1" sqref="B5" xr:uid="{56ADD0AC-3811-481F-96A2-7B800ED4D7EB}">
      <formula1>IF(OR(VLOOKUP(B1,Weapon_List,3,FALSE)=1,VLOOKUP(B1,Weapon_List,3,FALSE)=2),Weapon_Levels_Low_Rarity,Weapon_Levels_High_Rarity)</formula1>
    </dataValidation>
    <dataValidation type="list" allowBlank="1" showInputMessage="1" showErrorMessage="1" sqref="B1" xr:uid="{4275CEB2-F432-4CC6-932B-D9B70F89C605}">
      <formula1>Weapon_Name_List</formula1>
    </dataValidation>
    <dataValidation type="list" allowBlank="1" showInputMessage="1" showErrorMessage="1" sqref="C11" xr:uid="{8FA39FD5-F55C-4439-9FC9-800F8E3E570D}">
      <formula1>IF(OR(VLOOKUP(B1,Weapon_List,3,FALSE)=1,VLOOKUP(B1,Weapon_List,3,FALSE)=2),Weapon_Ascension_Low_Rarity,Weapon_Ascension_High_Rarity)</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22A90-6983-46B1-9186-76D6649DBE75}">
  <sheetPr codeName="Sheet23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171" t="s">
        <v>149</v>
      </c>
      <c r="B9" s="231"/>
      <c r="C9" s="172"/>
      <c r="E9" s="234"/>
      <c r="F9" s="44" t="str">
        <f t="shared" si="0"/>
        <v>Olden Days of Scorching Might</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84"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85"/>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86"/>
      <c r="F15" s="9" t="str">
        <f t="shared" si="0"/>
        <v>Robust Activated Fungi</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70" priority="1" operator="containsText" text="Done">
      <formula>NOT(ISERROR(SEARCH("Done",H4)))</formula>
    </cfRule>
    <cfRule type="containsText" dxfId="169" priority="2" operator="containsText" text="In Progress">
      <formula>NOT(ISERROR(SEARCH("In Progress",H4)))</formula>
    </cfRule>
  </conditionalFormatting>
  <dataValidations count="6">
    <dataValidation type="list" allowBlank="1" showInputMessage="1" showErrorMessage="1" sqref="C11" xr:uid="{CD6EE63E-555F-4F3E-93DF-AD4528393A60}">
      <formula1>IF(OR(VLOOKUP(B1,Weapon_List,3,FALSE)=1,VLOOKUP(B1,Weapon_List,3,FALSE)=2),Weapon_Ascension_Low_Rarity,Weapon_Ascension_High_Rarity)</formula1>
    </dataValidation>
    <dataValidation type="list" allowBlank="1" showInputMessage="1" showErrorMessage="1" sqref="B1" xr:uid="{CD64831B-A668-4D32-AC58-4BB1AD71ED0B}">
      <formula1>Weapon_Name_List</formula1>
    </dataValidation>
    <dataValidation type="list" operator="equal" allowBlank="1" showInputMessage="1" showErrorMessage="1" sqref="B5" xr:uid="{3E752C35-A6BE-4490-B649-412B692E09AA}">
      <formula1>IF(OR(VLOOKUP(B1,Weapon_List,3,FALSE)=1,VLOOKUP(B1,Weapon_List,3,FALSE)=2),Weapon_Levels_Low_Rarity,Weapon_Levels_High_Rarity)</formula1>
    </dataValidation>
    <dataValidation type="list" operator="equal" allowBlank="1" showInputMessage="1" showErrorMessage="1" sqref="B4" xr:uid="{BD8CE0DB-5AB3-4851-B9DA-D684FCF314CA}">
      <formula1>IF(OR(VLOOKUP(B1,Weapon_List,3,FALSE)=1,VLOOKUP(B1,Weapon_List,3,FALSE)=2),Weapon_Levels_Low_Rarity,Weapon_Levels_High_Rarity)</formula1>
    </dataValidation>
    <dataValidation type="list" allowBlank="1" showInputMessage="1" showErrorMessage="1" sqref="C10" xr:uid="{6E2401E5-965B-44DE-8D4F-276D56540ADA}">
      <formula1>IF(OR(VLOOKUP(B1,Weapon_List,3,FALSE)=1,VLOOKUP(B1,Weapon_List,3,FALSE)=2),Weapon_Ascension_Low_Rarity,Weapon_Ascension_High_Rarity)</formula1>
    </dataValidation>
    <dataValidation type="list" allowBlank="1" showInputMessage="1" showErrorMessage="1" sqref="H4:H15" xr:uid="{D243208E-7110-4F8E-A954-4856A6DDC81A}">
      <formula1>"In Progress, Done"</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A6107-9F83-4ACD-8830-88050A7891A3}">
  <sheetPr codeName="Sheet23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171" t="s">
        <v>149</v>
      </c>
      <c r="B9" s="231"/>
      <c r="C9" s="172"/>
      <c r="E9" s="234"/>
      <c r="F9" s="44" t="str">
        <f t="shared" si="0"/>
        <v>Olden Days of Scorching Might</v>
      </c>
      <c r="G9" s="59">
        <f t="shared" ca="1" si="0"/>
        <v>0</v>
      </c>
      <c r="H9" s="34" t="s">
        <v>202</v>
      </c>
    </row>
    <row r="10" spans="1:8" ht="15.75" thickBot="1" x14ac:dyDescent="0.3">
      <c r="A10" s="173" t="s">
        <v>206</v>
      </c>
      <c r="B10" s="202"/>
      <c r="C10" s="43">
        <v>6</v>
      </c>
      <c r="E10" s="184" t="s">
        <v>19</v>
      </c>
      <c r="F10" s="2" t="str">
        <f t="shared" si="0"/>
        <v>Fungal Spores</v>
      </c>
      <c r="G10" s="15">
        <f t="shared" ca="1" si="0"/>
        <v>0</v>
      </c>
      <c r="H10" s="34" t="s">
        <v>202</v>
      </c>
    </row>
    <row r="11" spans="1:8" ht="15.75" thickBot="1" x14ac:dyDescent="0.3">
      <c r="A11" s="173" t="s">
        <v>208</v>
      </c>
      <c r="B11" s="202"/>
      <c r="C11" s="43">
        <v>6</v>
      </c>
      <c r="E11" s="185"/>
      <c r="F11" s="1" t="str">
        <f t="shared" si="0"/>
        <v>Luminescent Pollen</v>
      </c>
      <c r="G11" s="17">
        <f t="shared" ca="1" si="0"/>
        <v>0</v>
      </c>
      <c r="H11" s="34" t="s">
        <v>202</v>
      </c>
    </row>
    <row r="12" spans="1:8" ht="15.75" thickBot="1" x14ac:dyDescent="0.3">
      <c r="A12" s="227"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84"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85"/>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86"/>
      <c r="F15" s="9" t="str">
        <f t="shared" si="0"/>
        <v>Robust Activated Fungi</v>
      </c>
      <c r="G15" s="16">
        <f t="shared" ca="1" si="0"/>
        <v>0</v>
      </c>
      <c r="H15" s="35" t="s">
        <v>202</v>
      </c>
    </row>
    <row r="16" spans="1:8" x14ac:dyDescent="0.25">
      <c r="A16" s="184"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68" priority="1" operator="containsText" text="Done">
      <formula>NOT(ISERROR(SEARCH("Done",H4)))</formula>
    </cfRule>
    <cfRule type="containsText" dxfId="167" priority="2" operator="containsText" text="In Progress">
      <formula>NOT(ISERROR(SEARCH("In Progress",H4)))</formula>
    </cfRule>
  </conditionalFormatting>
  <dataValidations count="6">
    <dataValidation type="list" allowBlank="1" showInputMessage="1" showErrorMessage="1" sqref="H4:H15" xr:uid="{390752FD-6F96-4BDE-AB99-F8C95A9EAEC1}">
      <formula1>"In Progress, Done"</formula1>
    </dataValidation>
    <dataValidation type="list" allowBlank="1" showInputMessage="1" showErrorMessage="1" sqref="C10" xr:uid="{E2788632-6B6F-4947-B1BD-BF5B4B54551F}">
      <formula1>IF(OR(VLOOKUP(B1,Weapon_List,3,FALSE)=1,VLOOKUP(B1,Weapon_List,3,FALSE)=2),Weapon_Ascension_Low_Rarity,Weapon_Ascension_High_Rarity)</formula1>
    </dataValidation>
    <dataValidation type="list" operator="equal" allowBlank="1" showInputMessage="1" showErrorMessage="1" sqref="B4" xr:uid="{6E844D7B-7333-4904-88A0-1AE0EC142318}">
      <formula1>IF(OR(VLOOKUP(B1,Weapon_List,3,FALSE)=1,VLOOKUP(B1,Weapon_List,3,FALSE)=2),Weapon_Levels_Low_Rarity,Weapon_Levels_High_Rarity)</formula1>
    </dataValidation>
    <dataValidation type="list" operator="equal" allowBlank="1" showInputMessage="1" showErrorMessage="1" sqref="B5" xr:uid="{B3F75A04-F74D-4D59-86A1-309C3DA69E94}">
      <formula1>IF(OR(VLOOKUP(B1,Weapon_List,3,FALSE)=1,VLOOKUP(B1,Weapon_List,3,FALSE)=2),Weapon_Levels_Low_Rarity,Weapon_Levels_High_Rarity)</formula1>
    </dataValidation>
    <dataValidation type="list" allowBlank="1" showInputMessage="1" showErrorMessage="1" sqref="B1" xr:uid="{10AF13C4-BCAB-46A4-BA6D-16E9D8B6575A}">
      <formula1>Weapon_Name_List</formula1>
    </dataValidation>
    <dataValidation type="list" allowBlank="1" showInputMessage="1" showErrorMessage="1" sqref="C11" xr:uid="{CF5DDFFE-EB22-4595-8347-3308111A51E7}">
      <formula1>IF(OR(VLOOKUP(B1,Weapon_List,3,FALSE)=1,VLOOKUP(B1,Weapon_List,3,FALSE)=2),Weapon_Ascension_Low_Rarity,Weapon_Ascension_High_Rarity)</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4BD3-792A-4361-80CA-C5F0366A1CD2}">
  <sheetPr codeName="Sheet23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171" t="s">
        <v>149</v>
      </c>
      <c r="B9" s="231"/>
      <c r="C9" s="172"/>
      <c r="E9" s="234"/>
      <c r="F9" s="44" t="str">
        <f t="shared" si="0"/>
        <v>Olden Days of Scorching Might</v>
      </c>
      <c r="G9" s="59">
        <f t="shared" ca="1" si="0"/>
        <v>0</v>
      </c>
      <c r="H9" s="34" t="s">
        <v>202</v>
      </c>
    </row>
    <row r="10" spans="1:8" ht="15.75" thickBot="1" x14ac:dyDescent="0.3">
      <c r="A10" s="173" t="s">
        <v>206</v>
      </c>
      <c r="B10" s="202"/>
      <c r="C10" s="43">
        <v>6</v>
      </c>
      <c r="E10" s="184" t="s">
        <v>19</v>
      </c>
      <c r="F10" s="2" t="str">
        <f t="shared" si="0"/>
        <v>Faded Red Satin</v>
      </c>
      <c r="G10" s="15">
        <f t="shared" ca="1" si="0"/>
        <v>0</v>
      </c>
      <c r="H10" s="34" t="s">
        <v>202</v>
      </c>
    </row>
    <row r="11" spans="1:8" ht="15.75" thickBot="1" x14ac:dyDescent="0.3">
      <c r="A11" s="173" t="s">
        <v>208</v>
      </c>
      <c r="B11" s="202"/>
      <c r="C11" s="43">
        <v>6</v>
      </c>
      <c r="E11" s="185"/>
      <c r="F11" s="1" t="str">
        <f t="shared" si="0"/>
        <v>Trimmed Red Silk</v>
      </c>
      <c r="G11" s="17">
        <f t="shared" ca="1" si="0"/>
        <v>0</v>
      </c>
      <c r="H11" s="34" t="s">
        <v>202</v>
      </c>
    </row>
    <row r="12" spans="1:8" ht="15.75" thickBot="1" x14ac:dyDescent="0.3">
      <c r="A12" s="227"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84"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85"/>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86"/>
      <c r="F15" s="9" t="str">
        <f t="shared" si="0"/>
        <v>Robust Activated Fungi</v>
      </c>
      <c r="G15" s="16">
        <f t="shared" ca="1" si="0"/>
        <v>0</v>
      </c>
      <c r="H15" s="35" t="s">
        <v>202</v>
      </c>
    </row>
    <row r="16" spans="1:8" x14ac:dyDescent="0.25">
      <c r="A16" s="184"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66" priority="1" operator="containsText" text="Done">
      <formula>NOT(ISERROR(SEARCH("Done",H4)))</formula>
    </cfRule>
    <cfRule type="containsText" dxfId="165" priority="2" operator="containsText" text="In Progress">
      <formula>NOT(ISERROR(SEARCH("In Progress",H4)))</formula>
    </cfRule>
  </conditionalFormatting>
  <dataValidations count="6">
    <dataValidation type="list" allowBlank="1" showInputMessage="1" showErrorMessage="1" sqref="C11" xr:uid="{482D611F-98DC-4771-994A-6F27DC26EE44}">
      <formula1>IF(OR(VLOOKUP(B1,Weapon_List,3,FALSE)=1,VLOOKUP(B1,Weapon_List,3,FALSE)=2),Weapon_Ascension_Low_Rarity,Weapon_Ascension_High_Rarity)</formula1>
    </dataValidation>
    <dataValidation type="list" allowBlank="1" showInputMessage="1" showErrorMessage="1" sqref="B1" xr:uid="{1076CB81-5478-408D-ABEC-C60673A54DB2}">
      <formula1>Weapon_Name_List</formula1>
    </dataValidation>
    <dataValidation type="list" operator="equal" allowBlank="1" showInputMessage="1" showErrorMessage="1" sqref="B5" xr:uid="{AEFD820A-BD8F-470D-8D06-31F348E71692}">
      <formula1>IF(OR(VLOOKUP(B1,Weapon_List,3,FALSE)=1,VLOOKUP(B1,Weapon_List,3,FALSE)=2),Weapon_Levels_Low_Rarity,Weapon_Levels_High_Rarity)</formula1>
    </dataValidation>
    <dataValidation type="list" operator="equal" allowBlank="1" showInputMessage="1" showErrorMessage="1" sqref="B4" xr:uid="{FF0B3C72-C42F-4596-A700-DBFF531F6108}">
      <formula1>IF(OR(VLOOKUP(B1,Weapon_List,3,FALSE)=1,VLOOKUP(B1,Weapon_List,3,FALSE)=2),Weapon_Levels_Low_Rarity,Weapon_Levels_High_Rarity)</formula1>
    </dataValidation>
    <dataValidation type="list" allowBlank="1" showInputMessage="1" showErrorMessage="1" sqref="C10" xr:uid="{D28FF00F-5935-48D8-8935-77361E2417F2}">
      <formula1>IF(OR(VLOOKUP(B1,Weapon_List,3,FALSE)=1,VLOOKUP(B1,Weapon_List,3,FALSE)=2),Weapon_Ascension_Low_Rarity,Weapon_Ascension_High_Rarity)</formula1>
    </dataValidation>
    <dataValidation type="list" allowBlank="1" showInputMessage="1" showErrorMessage="1" sqref="H4:H15" xr:uid="{34501514-1FC1-46E6-A912-BE5782479094}">
      <formula1>"In Progress, Done"</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E91EB-CE57-4B64-B185-9480BC4F31EC}">
  <sheetPr codeName="Sheet23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Gloomy Shadowy Husk</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Dark Shadowy Husk</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Deathly Shadowy Husk</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64" priority="1" operator="containsText" text="Done">
      <formula>NOT(ISERROR(SEARCH("Done",H4)))</formula>
    </cfRule>
    <cfRule type="containsText" dxfId="163" priority="2" operator="containsText" text="In Progress">
      <formula>NOT(ISERROR(SEARCH("In Progress",H4)))</formula>
    </cfRule>
  </conditionalFormatting>
  <dataValidations count="6">
    <dataValidation type="list" allowBlank="1" showInputMessage="1" showErrorMessage="1" sqref="H4:H15" xr:uid="{23048BDD-63B0-4B88-AE02-2523229E4010}">
      <formula1>"In Progress, Done"</formula1>
    </dataValidation>
    <dataValidation type="list" allowBlank="1" showInputMessage="1" showErrorMessage="1" sqref="C10" xr:uid="{1EE3F1DB-AD59-4BA2-A572-1260991891DC}">
      <formula1>IF(OR(VLOOKUP(B1,Weapon_List,3,FALSE)=1,VLOOKUP(B1,Weapon_List,3,FALSE)=2),Weapon_Ascension_Low_Rarity,Weapon_Ascension_High_Rarity)</formula1>
    </dataValidation>
    <dataValidation type="list" operator="equal" allowBlank="1" showInputMessage="1" showErrorMessage="1" sqref="B4" xr:uid="{A94AA7D6-63E6-40D6-87F6-DADD70D7BCC8}">
      <formula1>IF(OR(VLOOKUP(B1,Weapon_List,3,FALSE)=1,VLOOKUP(B1,Weapon_List,3,FALSE)=2),Weapon_Levels_Low_Rarity,Weapon_Levels_High_Rarity)</formula1>
    </dataValidation>
    <dataValidation type="list" operator="equal" allowBlank="1" showInputMessage="1" showErrorMessage="1" sqref="B5" xr:uid="{CCE77A7F-7615-4F6F-919F-E50BA2E33A36}">
      <formula1>IF(OR(VLOOKUP(B1,Weapon_List,3,FALSE)=1,VLOOKUP(B1,Weapon_List,3,FALSE)=2),Weapon_Levels_Low_Rarity,Weapon_Levels_High_Rarity)</formula1>
    </dataValidation>
    <dataValidation type="list" allowBlank="1" showInputMessage="1" showErrorMessage="1" sqref="B1" xr:uid="{7301D743-2636-49C0-A38F-D11078C42F6D}">
      <formula1>Weapon_Name_List</formula1>
    </dataValidation>
    <dataValidation type="list" allowBlank="1" showInputMessage="1" showErrorMessage="1" sqref="C11" xr:uid="{AE759DDA-B3B7-4EE9-8B41-2D8C8A784B55}">
      <formula1>IF(OR(VLOOKUP(B1,Weapon_List,3,FALSE)=1,VLOOKUP(B1,Weapon_List,3,FALSE)=2),Weapon_Ascension_Low_Rarity,Weapon_Ascension_High_Rarity)</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0CD8D-A6DD-43D7-B288-E53EE36B90EE}">
  <sheetPr codeName="Sheet23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171" t="s">
        <v>149</v>
      </c>
      <c r="B9" s="231"/>
      <c r="C9" s="172"/>
      <c r="E9" s="234"/>
      <c r="F9" s="44" t="str">
        <f t="shared" si="0"/>
        <v>Oasis Garden's Truth</v>
      </c>
      <c r="G9" s="59">
        <f t="shared" ca="1" si="0"/>
        <v>0</v>
      </c>
      <c r="H9" s="34" t="s">
        <v>202</v>
      </c>
    </row>
    <row r="10" spans="1:8" ht="15.75" thickBot="1" x14ac:dyDescent="0.3">
      <c r="A10" s="173" t="s">
        <v>206</v>
      </c>
      <c r="B10" s="202"/>
      <c r="C10" s="43">
        <v>6</v>
      </c>
      <c r="E10" s="184" t="s">
        <v>19</v>
      </c>
      <c r="F10" s="2" t="str">
        <f t="shared" si="0"/>
        <v>Fungal Spores</v>
      </c>
      <c r="G10" s="15">
        <f t="shared" ca="1" si="0"/>
        <v>0</v>
      </c>
      <c r="H10" s="34" t="s">
        <v>202</v>
      </c>
    </row>
    <row r="11" spans="1:8" ht="15.75" thickBot="1" x14ac:dyDescent="0.3">
      <c r="A11" s="173" t="s">
        <v>208</v>
      </c>
      <c r="B11" s="202"/>
      <c r="C11" s="43">
        <v>6</v>
      </c>
      <c r="E11" s="185"/>
      <c r="F11" s="1" t="str">
        <f t="shared" si="0"/>
        <v>Luminescent Pollen</v>
      </c>
      <c r="G11" s="17">
        <f t="shared" ca="1" si="0"/>
        <v>0</v>
      </c>
      <c r="H11" s="34" t="s">
        <v>202</v>
      </c>
    </row>
    <row r="12" spans="1:8" ht="15.75" thickBot="1" x14ac:dyDescent="0.3">
      <c r="A12" s="227"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84" t="s">
        <v>18</v>
      </c>
      <c r="F13" s="2" t="str">
        <f t="shared" si="0"/>
        <v>Chaos Storage</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85"/>
      <c r="F14" s="1" t="str">
        <f t="shared" si="0"/>
        <v>Chaos Module</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86"/>
      <c r="F15" s="9" t="str">
        <f t="shared" si="0"/>
        <v>Chaos Bolt</v>
      </c>
      <c r="G15" s="16">
        <f t="shared" ca="1" si="0"/>
        <v>0</v>
      </c>
      <c r="H15" s="35" t="s">
        <v>202</v>
      </c>
    </row>
    <row r="16" spans="1:8" x14ac:dyDescent="0.25">
      <c r="A16" s="184"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62" priority="1" operator="containsText" text="Done">
      <formula>NOT(ISERROR(SEARCH("Done",H4)))</formula>
    </cfRule>
    <cfRule type="containsText" dxfId="161" priority="2" operator="containsText" text="In Progress">
      <formula>NOT(ISERROR(SEARCH("In Progress",H4)))</formula>
    </cfRule>
  </conditionalFormatting>
  <dataValidations count="6">
    <dataValidation type="list" allowBlank="1" showInputMessage="1" showErrorMessage="1" sqref="H4:H15" xr:uid="{DCDA7504-671A-49FB-A28C-455C8053E15B}">
      <formula1>"In Progress, Done"</formula1>
    </dataValidation>
    <dataValidation type="list" allowBlank="1" showInputMessage="1" showErrorMessage="1" sqref="C10" xr:uid="{0773664F-7BE4-48F8-BFBF-3585AA2B38A2}">
      <formula1>IF(OR(VLOOKUP(B1,Weapon_List,3,FALSE)=1,VLOOKUP(B1,Weapon_List,3,FALSE)=2),Weapon_Ascension_Low_Rarity,Weapon_Ascension_High_Rarity)</formula1>
    </dataValidation>
    <dataValidation type="list" operator="equal" allowBlank="1" showInputMessage="1" showErrorMessage="1" sqref="B4" xr:uid="{B6F8F258-E58F-4C0E-AC00-D361612EBFDE}">
      <formula1>IF(OR(VLOOKUP(B1,Weapon_List,3,FALSE)=1,VLOOKUP(B1,Weapon_List,3,FALSE)=2),Weapon_Levels_Low_Rarity,Weapon_Levels_High_Rarity)</formula1>
    </dataValidation>
    <dataValidation type="list" operator="equal" allowBlank="1" showInputMessage="1" showErrorMessage="1" sqref="B5" xr:uid="{69EF88A5-B2D5-4B65-B890-2E309F22D9EC}">
      <formula1>IF(OR(VLOOKUP(B1,Weapon_List,3,FALSE)=1,VLOOKUP(B1,Weapon_List,3,FALSE)=2),Weapon_Levels_Low_Rarity,Weapon_Levels_High_Rarity)</formula1>
    </dataValidation>
    <dataValidation type="list" allowBlank="1" showInputMessage="1" showErrorMessage="1" sqref="B1" xr:uid="{96BA7D77-4262-47C9-9485-53F6924E3064}">
      <formula1>Weapon_Name_List</formula1>
    </dataValidation>
    <dataValidation type="list" allowBlank="1" showInputMessage="1" showErrorMessage="1" sqref="C11" xr:uid="{C00BB4E5-678E-4C43-9F5F-1C2ACD8D2679}">
      <formula1>IF(OR(VLOOKUP(B1,Weapon_List,3,FALSE)=1,VLOOKUP(B1,Weapon_List,3,FALSE)=2),Weapon_Ascension_Low_Rarity,Weapon_Ascension_High_Rarity)</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2967-6549-4759-9FE9-CD8C9543C7C7}">
  <sheetPr codeName="Sheet23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171" t="s">
        <v>149</v>
      </c>
      <c r="B9" s="231"/>
      <c r="C9" s="172"/>
      <c r="E9" s="234"/>
      <c r="F9" s="44" t="str">
        <f t="shared" si="0"/>
        <v>Golden Talisman of the Forest Dew</v>
      </c>
      <c r="G9" s="59">
        <f t="shared" ca="1" si="0"/>
        <v>0</v>
      </c>
      <c r="H9" s="34" t="s">
        <v>202</v>
      </c>
    </row>
    <row r="10" spans="1:8" ht="15.75" thickBot="1" x14ac:dyDescent="0.3">
      <c r="A10" s="173" t="s">
        <v>206</v>
      </c>
      <c r="B10" s="202"/>
      <c r="C10" s="43">
        <v>6</v>
      </c>
      <c r="E10" s="184" t="s">
        <v>19</v>
      </c>
      <c r="F10" s="2" t="str">
        <f t="shared" si="0"/>
        <v>Faded Red Satin</v>
      </c>
      <c r="G10" s="15">
        <f t="shared" ca="1" si="0"/>
        <v>0</v>
      </c>
      <c r="H10" s="34" t="s">
        <v>202</v>
      </c>
    </row>
    <row r="11" spans="1:8" ht="15.75" thickBot="1" x14ac:dyDescent="0.3">
      <c r="A11" s="173" t="s">
        <v>208</v>
      </c>
      <c r="B11" s="202"/>
      <c r="C11" s="43">
        <v>6</v>
      </c>
      <c r="E11" s="185"/>
      <c r="F11" s="1" t="str">
        <f t="shared" si="0"/>
        <v>Trimmed Red Silk</v>
      </c>
      <c r="G11" s="17">
        <f t="shared" ca="1" si="0"/>
        <v>0</v>
      </c>
      <c r="H11" s="34" t="s">
        <v>202</v>
      </c>
    </row>
    <row r="12" spans="1:8" ht="15.75" thickBot="1" x14ac:dyDescent="0.3">
      <c r="A12" s="227"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84" t="s">
        <v>18</v>
      </c>
      <c r="F13" s="2" t="str">
        <f t="shared" si="0"/>
        <v>Damaged Prism</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85"/>
      <c r="F14" s="1" t="str">
        <f t="shared" si="0"/>
        <v>Turbid Prism</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86"/>
      <c r="F15" s="9" t="str">
        <f t="shared" si="0"/>
        <v>Radiant Prism</v>
      </c>
      <c r="G15" s="16">
        <f t="shared" ca="1" si="0"/>
        <v>0</v>
      </c>
      <c r="H15" s="35" t="s">
        <v>202</v>
      </c>
    </row>
    <row r="16" spans="1:8" x14ac:dyDescent="0.25">
      <c r="A16" s="184"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60" priority="1" operator="containsText" text="Done">
      <formula>NOT(ISERROR(SEARCH("Done",H4)))</formula>
    </cfRule>
    <cfRule type="containsText" dxfId="159" priority="2" operator="containsText" text="In Progress">
      <formula>NOT(ISERROR(SEARCH("In Progress",H4)))</formula>
    </cfRule>
  </conditionalFormatting>
  <dataValidations count="6">
    <dataValidation type="list" allowBlank="1" showInputMessage="1" showErrorMessage="1" sqref="H4:H15" xr:uid="{C38A7420-A220-485A-9109-6D830CDC6D65}">
      <formula1>"In Progress, Done"</formula1>
    </dataValidation>
    <dataValidation type="list" allowBlank="1" showInputMessage="1" showErrorMessage="1" sqref="C10" xr:uid="{D94028D0-34A3-4B41-BE14-0A65A07797F1}">
      <formula1>IF(OR(VLOOKUP(B1,Weapon_List,3,FALSE)=1,VLOOKUP(B1,Weapon_List,3,FALSE)=2),Weapon_Ascension_Low_Rarity,Weapon_Ascension_High_Rarity)</formula1>
    </dataValidation>
    <dataValidation type="list" operator="equal" allowBlank="1" showInputMessage="1" showErrorMessage="1" sqref="B4" xr:uid="{80D8D318-1D9C-4A86-899C-A03474C9F602}">
      <formula1>IF(OR(VLOOKUP(B1,Weapon_List,3,FALSE)=1,VLOOKUP(B1,Weapon_List,3,FALSE)=2),Weapon_Levels_Low_Rarity,Weapon_Levels_High_Rarity)</formula1>
    </dataValidation>
    <dataValidation type="list" operator="equal" allowBlank="1" showInputMessage="1" showErrorMessage="1" sqref="B5" xr:uid="{75BBF1ED-0346-42E9-AEB5-B211F5CB6E74}">
      <formula1>IF(OR(VLOOKUP(B1,Weapon_List,3,FALSE)=1,VLOOKUP(B1,Weapon_List,3,FALSE)=2),Weapon_Levels_Low_Rarity,Weapon_Levels_High_Rarity)</formula1>
    </dataValidation>
    <dataValidation type="list" allowBlank="1" showInputMessage="1" showErrorMessage="1" sqref="B1" xr:uid="{F1A6DABA-C012-4BD9-8484-697C4FBAE235}">
      <formula1>Weapon_Name_List</formula1>
    </dataValidation>
    <dataValidation type="list" allowBlank="1" showInputMessage="1" showErrorMessage="1" sqref="C11" xr:uid="{F905D6E8-8170-428B-BC8C-4820F25DFCC8}">
      <formula1>IF(OR(VLOOKUP(B1,Weapon_List,3,FALSE)=1,VLOOKUP(B1,Weapon_List,3,FALSE)=2),Weapon_Ascension_Low_Rarity,Weapon_Ascension_High_Rarity)</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170F0-653B-4302-B9BE-88A06A070C13}">
  <sheetPr codeName="Sheet238">
    <tabColor theme="4" tint="0.39997558519241921"/>
  </sheetPr>
  <dimension ref="A1:H22"/>
  <sheetViews>
    <sheetView topLeftCell="A12"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171" t="s">
        <v>149</v>
      </c>
      <c r="B9" s="231"/>
      <c r="C9" s="172"/>
      <c r="E9" s="234"/>
      <c r="F9" s="44" t="str">
        <f t="shared" si="0"/>
        <v>Golden Talisman of the Forest Dew</v>
      </c>
      <c r="G9" s="59">
        <f t="shared" ca="1" si="0"/>
        <v>0</v>
      </c>
      <c r="H9" s="34" t="s">
        <v>202</v>
      </c>
    </row>
    <row r="10" spans="1:8" ht="15.75" thickBot="1" x14ac:dyDescent="0.3">
      <c r="A10" s="173" t="s">
        <v>206</v>
      </c>
      <c r="B10" s="202"/>
      <c r="C10" s="43">
        <v>6</v>
      </c>
      <c r="E10" s="184" t="s">
        <v>19</v>
      </c>
      <c r="F10" s="2" t="str">
        <f t="shared" si="0"/>
        <v>Faded Red Satin</v>
      </c>
      <c r="G10" s="15">
        <f t="shared" ca="1" si="0"/>
        <v>0</v>
      </c>
      <c r="H10" s="34" t="s">
        <v>202</v>
      </c>
    </row>
    <row r="11" spans="1:8" ht="15.75" thickBot="1" x14ac:dyDescent="0.3">
      <c r="A11" s="173" t="s">
        <v>208</v>
      </c>
      <c r="B11" s="202"/>
      <c r="C11" s="43">
        <v>6</v>
      </c>
      <c r="E11" s="185"/>
      <c r="F11" s="1" t="str">
        <f t="shared" si="0"/>
        <v>Trimmed Red Silk</v>
      </c>
      <c r="G11" s="17">
        <f t="shared" ca="1" si="0"/>
        <v>0</v>
      </c>
      <c r="H11" s="34" t="s">
        <v>202</v>
      </c>
    </row>
    <row r="12" spans="1:8" ht="15.75" thickBot="1" x14ac:dyDescent="0.3">
      <c r="A12" s="227"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84" t="s">
        <v>18</v>
      </c>
      <c r="F13" s="2" t="str">
        <f t="shared" si="0"/>
        <v>Damaged Prism</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85"/>
      <c r="F14" s="1" t="str">
        <f t="shared" si="0"/>
        <v>Turbid Prism</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86"/>
      <c r="F15" s="9" t="str">
        <f t="shared" si="0"/>
        <v>Radiant Prism</v>
      </c>
      <c r="G15" s="16">
        <f t="shared" ca="1" si="0"/>
        <v>0</v>
      </c>
      <c r="H15" s="35" t="s">
        <v>202</v>
      </c>
    </row>
    <row r="16" spans="1:8" x14ac:dyDescent="0.25">
      <c r="A16" s="184"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58" priority="1" operator="containsText" text="Done">
      <formula>NOT(ISERROR(SEARCH("Done",H4)))</formula>
    </cfRule>
    <cfRule type="containsText" dxfId="157" priority="2" operator="containsText" text="In Progress">
      <formula>NOT(ISERROR(SEARCH("In Progress",H4)))</formula>
    </cfRule>
  </conditionalFormatting>
  <dataValidations count="6">
    <dataValidation type="list" allowBlank="1" showInputMessage="1" showErrorMessage="1" sqref="H4:H15" xr:uid="{3F9698DF-2259-42FC-B95E-DEC508C71760}">
      <formula1>"In Progress, Done"</formula1>
    </dataValidation>
    <dataValidation type="list" allowBlank="1" showInputMessage="1" showErrorMessage="1" sqref="C10" xr:uid="{48FB440F-268F-4832-BB87-6FB6F953398F}">
      <formula1>IF(OR(VLOOKUP(B1,Weapon_List,3,FALSE)=1,VLOOKUP(B1,Weapon_List,3,FALSE)=2),Weapon_Ascension_Low_Rarity,Weapon_Ascension_High_Rarity)</formula1>
    </dataValidation>
    <dataValidation type="list" operator="equal" allowBlank="1" showInputMessage="1" showErrorMessage="1" sqref="B4" xr:uid="{511657BD-620A-42E7-A88C-0CE120B31156}">
      <formula1>IF(OR(VLOOKUP(B1,Weapon_List,3,FALSE)=1,VLOOKUP(B1,Weapon_List,3,FALSE)=2),Weapon_Levels_Low_Rarity,Weapon_Levels_High_Rarity)</formula1>
    </dataValidation>
    <dataValidation type="list" operator="equal" allowBlank="1" showInputMessage="1" showErrorMessage="1" sqref="B5" xr:uid="{7FBBE9DA-AD15-4C35-9D8B-D36D96334836}">
      <formula1>IF(OR(VLOOKUP(B1,Weapon_List,3,FALSE)=1,VLOOKUP(B1,Weapon_List,3,FALSE)=2),Weapon_Levels_Low_Rarity,Weapon_Levels_High_Rarity)</formula1>
    </dataValidation>
    <dataValidation type="list" allowBlank="1" showInputMessage="1" showErrorMessage="1" sqref="B1" xr:uid="{DC6C2D84-EE8F-4F11-8A68-8F7A945EF92A}">
      <formula1>Weapon_Name_List</formula1>
    </dataValidation>
    <dataValidation type="list" allowBlank="1" showInputMessage="1" showErrorMessage="1" sqref="C11" xr:uid="{7CFD1D09-6664-442E-8A26-5DE4E32E19F5}">
      <formula1>IF(OR(VLOOKUP(B1,Weapon_List,3,FALSE)=1,VLOOKUP(B1,Weapon_List,3,FALSE)=2),Weapon_Ascension_Low_Rarity,Weapon_Ascension_High_Rarity)</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38188-DDCC-4169-9912-8280D6E9A58F}">
  <sheetPr codeName="Sheet239">
    <tabColor theme="4" tint="0.39997558519241921"/>
  </sheetPr>
  <dimension ref="A1:H22"/>
  <sheetViews>
    <sheetView workbookViewId="0">
      <selection activeCell="F6" sqref="F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171" t="s">
        <v>149</v>
      </c>
      <c r="B9" s="231"/>
      <c r="C9" s="172"/>
      <c r="E9" s="234"/>
      <c r="F9" s="44" t="str">
        <f t="shared" si="0"/>
        <v>Olden Days of Scorching Might</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84" t="s">
        <v>18</v>
      </c>
      <c r="F13" s="2" t="str">
        <f t="shared" si="0"/>
        <v>Chaos Storage</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85"/>
      <c r="F14" s="1" t="str">
        <f t="shared" si="0"/>
        <v>Chaos Module</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86"/>
      <c r="F15" s="9" t="str">
        <f t="shared" si="0"/>
        <v>Chaos Bolt</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56" priority="1" operator="containsText" text="Done">
      <formula>NOT(ISERROR(SEARCH("Done",H4)))</formula>
    </cfRule>
    <cfRule type="containsText" dxfId="155" priority="2" operator="containsText" text="In Progress">
      <formula>NOT(ISERROR(SEARCH("In Progress",H4)))</formula>
    </cfRule>
  </conditionalFormatting>
  <dataValidations count="6">
    <dataValidation type="list" allowBlank="1" showInputMessage="1" showErrorMessage="1" sqref="H4:H15" xr:uid="{1BC01026-D80D-4454-BA87-6B04C2B2CC3C}">
      <formula1>"In Progress, Done"</formula1>
    </dataValidation>
    <dataValidation type="list" allowBlank="1" showInputMessage="1" showErrorMessage="1" sqref="C10" xr:uid="{EB9F4B26-088A-4D7F-862C-48EA9EFCE8B6}">
      <formula1>IF(OR(VLOOKUP(B1,Weapon_List,3,FALSE)=1,VLOOKUP(B1,Weapon_List,3,FALSE)=2),Weapon_Ascension_Low_Rarity,Weapon_Ascension_High_Rarity)</formula1>
    </dataValidation>
    <dataValidation type="list" operator="equal" allowBlank="1" showInputMessage="1" showErrorMessage="1" sqref="B4" xr:uid="{BBB14EBF-5ACB-4937-9044-F69562E86AAF}">
      <formula1>IF(OR(VLOOKUP(B1,Weapon_List,3,FALSE)=1,VLOOKUP(B1,Weapon_List,3,FALSE)=2),Weapon_Levels_Low_Rarity,Weapon_Levels_High_Rarity)</formula1>
    </dataValidation>
    <dataValidation type="list" operator="equal" allowBlank="1" showInputMessage="1" showErrorMessage="1" sqref="B5" xr:uid="{EAACB44F-8487-476E-8B61-BB6342DE8AC5}">
      <formula1>IF(OR(VLOOKUP(B1,Weapon_List,3,FALSE)=1,VLOOKUP(B1,Weapon_List,3,FALSE)=2),Weapon_Levels_Low_Rarity,Weapon_Levels_High_Rarity)</formula1>
    </dataValidation>
    <dataValidation type="list" allowBlank="1" showInputMessage="1" showErrorMessage="1" sqref="B1" xr:uid="{4FD9CF6A-9545-41EB-A3A1-80FC111A18B0}">
      <formula1>Weapon_Name_List</formula1>
    </dataValidation>
    <dataValidation type="list" allowBlank="1" showInputMessage="1" showErrorMessage="1" sqref="C11" xr:uid="{6F28D732-E1A0-4633-B28E-172115E2BE9B}">
      <formula1>IF(OR(VLOOKUP(B1,Weapon_List,3,FALSE)=1,VLOOKUP(B1,Weapon_List,3,FALSE)=2),Weapon_Ascension_Low_Rarity,Weapon_Ascension_High_Rarity)</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C6501-C890-4CC0-A534-6DDB3BE40CFD}">
  <sheetPr codeName="Sheet24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171" t="s">
        <v>149</v>
      </c>
      <c r="B9" s="231"/>
      <c r="C9" s="172"/>
      <c r="E9" s="234"/>
      <c r="F9" s="44" t="str">
        <f t="shared" si="0"/>
        <v>Oasis Garden's Truth</v>
      </c>
      <c r="G9" s="59">
        <f t="shared" ca="1" si="0"/>
        <v>0</v>
      </c>
      <c r="H9" s="34" t="s">
        <v>202</v>
      </c>
    </row>
    <row r="10" spans="1:8" ht="15.75" thickBot="1" x14ac:dyDescent="0.3">
      <c r="A10" s="173" t="s">
        <v>206</v>
      </c>
      <c r="B10" s="202"/>
      <c r="C10" s="43">
        <v>6</v>
      </c>
      <c r="E10" s="184" t="s">
        <v>19</v>
      </c>
      <c r="F10" s="2" t="str">
        <f t="shared" si="0"/>
        <v>Fungal Spores</v>
      </c>
      <c r="G10" s="15">
        <f t="shared" ca="1" si="0"/>
        <v>0</v>
      </c>
      <c r="H10" s="34" t="s">
        <v>202</v>
      </c>
    </row>
    <row r="11" spans="1:8" ht="15.75" thickBot="1" x14ac:dyDescent="0.3">
      <c r="A11" s="173" t="s">
        <v>208</v>
      </c>
      <c r="B11" s="202"/>
      <c r="C11" s="43">
        <v>6</v>
      </c>
      <c r="E11" s="185"/>
      <c r="F11" s="1" t="str">
        <f t="shared" si="0"/>
        <v>Luminescent Pollen</v>
      </c>
      <c r="G11" s="17">
        <f t="shared" ca="1" si="0"/>
        <v>0</v>
      </c>
      <c r="H11" s="34" t="s">
        <v>202</v>
      </c>
    </row>
    <row r="12" spans="1:8" ht="15.75" thickBot="1" x14ac:dyDescent="0.3">
      <c r="A12" s="227"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84" t="s">
        <v>18</v>
      </c>
      <c r="F13" s="2" t="str">
        <f t="shared" si="0"/>
        <v>Inactivated Activated Fungi</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85"/>
      <c r="F14" s="1" t="str">
        <f t="shared" si="0"/>
        <v>Dormant Activated Fungi</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86"/>
      <c r="F15" s="9" t="str">
        <f t="shared" si="0"/>
        <v>Robust Activated Fungi</v>
      </c>
      <c r="G15" s="16">
        <f t="shared" ca="1" si="0"/>
        <v>0</v>
      </c>
      <c r="H15" s="35" t="s">
        <v>202</v>
      </c>
    </row>
    <row r="16" spans="1:8" x14ac:dyDescent="0.25">
      <c r="A16" s="184"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54" priority="1" operator="containsText" text="Done">
      <formula>NOT(ISERROR(SEARCH("Done",H4)))</formula>
    </cfRule>
    <cfRule type="containsText" dxfId="153" priority="2" operator="containsText" text="In Progress">
      <formula>NOT(ISERROR(SEARCH("In Progress",H4)))</formula>
    </cfRule>
  </conditionalFormatting>
  <dataValidations count="6">
    <dataValidation type="list" allowBlank="1" showInputMessage="1" showErrorMessage="1" sqref="H4:H15" xr:uid="{52FABD5B-1695-4BD9-8172-75912E9C636B}">
      <formula1>"In Progress, Done"</formula1>
    </dataValidation>
    <dataValidation type="list" allowBlank="1" showInputMessage="1" showErrorMessage="1" sqref="C10" xr:uid="{803120A1-E73E-4532-A41F-2D4DE2B3DE34}">
      <formula1>IF(OR(VLOOKUP(B1,Weapon_List,3,FALSE)=1,VLOOKUP(B1,Weapon_List,3,FALSE)=2),Weapon_Ascension_Low_Rarity,Weapon_Ascension_High_Rarity)</formula1>
    </dataValidation>
    <dataValidation type="list" operator="equal" allowBlank="1" showInputMessage="1" showErrorMessage="1" sqref="B4" xr:uid="{97BE3510-A371-482F-92A3-5F6431C2DFEF}">
      <formula1>IF(OR(VLOOKUP(B1,Weapon_List,3,FALSE)=1,VLOOKUP(B1,Weapon_List,3,FALSE)=2),Weapon_Levels_Low_Rarity,Weapon_Levels_High_Rarity)</formula1>
    </dataValidation>
    <dataValidation type="list" operator="equal" allowBlank="1" showInputMessage="1" showErrorMessage="1" sqref="B5" xr:uid="{16D92590-5811-490B-8438-CA35E5B1E7D1}">
      <formula1>IF(OR(VLOOKUP(B1,Weapon_List,3,FALSE)=1,VLOOKUP(B1,Weapon_List,3,FALSE)=2),Weapon_Levels_Low_Rarity,Weapon_Levels_High_Rarity)</formula1>
    </dataValidation>
    <dataValidation type="list" allowBlank="1" showInputMessage="1" showErrorMessage="1" sqref="B1" xr:uid="{85BC7ECA-1FFB-4CA1-9CA5-FA6677C2F337}">
      <formula1>Weapon_Name_List</formula1>
    </dataValidation>
    <dataValidation type="list" allowBlank="1" showInputMessage="1" showErrorMessage="1" sqref="C11" xr:uid="{5F2A9DCD-9D4C-4129-B258-FB0D0A82811D}">
      <formula1>IF(OR(VLOOKUP(B1,Weapon_List,3,FALSE)=1,VLOOKUP(B1,Weapon_List,3,FALSE)=2),Weapon_Ascension_Low_Rarity,Weapon_Ascension_High_Rarity)</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36FCB-29CA-423B-857D-1C6ADDBF7BB4}">
  <sheetPr codeName="Sheet24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171" t="s">
        <v>149</v>
      </c>
      <c r="B9" s="231"/>
      <c r="C9" s="172"/>
      <c r="E9" s="234"/>
      <c r="F9" s="44" t="str">
        <f t="shared" si="0"/>
        <v>Oasis Garden's Truth</v>
      </c>
      <c r="G9" s="59">
        <f t="shared" ca="1" si="0"/>
        <v>0</v>
      </c>
      <c r="H9" s="34" t="s">
        <v>202</v>
      </c>
    </row>
    <row r="10" spans="1:8" ht="15.75" thickBot="1" x14ac:dyDescent="0.3">
      <c r="A10" s="173" t="s">
        <v>206</v>
      </c>
      <c r="B10" s="202"/>
      <c r="C10" s="43">
        <v>6</v>
      </c>
      <c r="E10" s="184" t="s">
        <v>19</v>
      </c>
      <c r="F10" s="2" t="str">
        <f t="shared" si="0"/>
        <v>Fungal Spores</v>
      </c>
      <c r="G10" s="15">
        <f t="shared" ca="1" si="0"/>
        <v>0</v>
      </c>
      <c r="H10" s="34" t="s">
        <v>202</v>
      </c>
    </row>
    <row r="11" spans="1:8" ht="15.75" thickBot="1" x14ac:dyDescent="0.3">
      <c r="A11" s="173" t="s">
        <v>208</v>
      </c>
      <c r="B11" s="202"/>
      <c r="C11" s="43">
        <v>6</v>
      </c>
      <c r="E11" s="185"/>
      <c r="F11" s="1" t="str">
        <f t="shared" si="0"/>
        <v>Luminescent Pollen</v>
      </c>
      <c r="G11" s="17">
        <f t="shared" ca="1" si="0"/>
        <v>0</v>
      </c>
      <c r="H11" s="34" t="s">
        <v>202</v>
      </c>
    </row>
    <row r="12" spans="1:8" ht="15.75" thickBot="1" x14ac:dyDescent="0.3">
      <c r="A12" s="227"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84" t="s">
        <v>18</v>
      </c>
      <c r="F13" s="2" t="str">
        <f t="shared" si="0"/>
        <v>Damaged Prism</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85"/>
      <c r="F14" s="1" t="str">
        <f t="shared" si="0"/>
        <v>Turbid Prism</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86"/>
      <c r="F15" s="9" t="str">
        <f t="shared" si="0"/>
        <v>Radiant Prism</v>
      </c>
      <c r="G15" s="16">
        <f t="shared" ca="1" si="0"/>
        <v>0</v>
      </c>
      <c r="H15" s="35" t="s">
        <v>202</v>
      </c>
    </row>
    <row r="16" spans="1:8" x14ac:dyDescent="0.25">
      <c r="A16" s="184"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2" priority="1" operator="containsText" text="Done">
      <formula>NOT(ISERROR(SEARCH("Done",H4)))</formula>
    </cfRule>
    <cfRule type="containsText" dxfId="151" priority="2" operator="containsText" text="In Progress">
      <formula>NOT(ISERROR(SEARCH("In Progress",H4)))</formula>
    </cfRule>
  </conditionalFormatting>
  <dataValidations count="6">
    <dataValidation type="list" allowBlank="1" showInputMessage="1" showErrorMessage="1" sqref="H4:H15" xr:uid="{3EFB8E58-BB5C-4328-92BC-93396B12B192}">
      <formula1>"In Progress, Done"</formula1>
    </dataValidation>
    <dataValidation type="list" allowBlank="1" showInputMessage="1" showErrorMessage="1" sqref="C10" xr:uid="{E98E6EA5-8440-479F-B9C0-77A82A4D2C17}">
      <formula1>IF(OR(VLOOKUP(B1,Weapon_List,3,FALSE)=1,VLOOKUP(B1,Weapon_List,3,FALSE)=2),Weapon_Ascension_Low_Rarity,Weapon_Ascension_High_Rarity)</formula1>
    </dataValidation>
    <dataValidation type="list" operator="equal" allowBlank="1" showInputMessage="1" showErrorMessage="1" sqref="B4" xr:uid="{14ABBB56-B53D-4E86-83F9-801DD5A551C0}">
      <formula1>IF(OR(VLOOKUP(B1,Weapon_List,3,FALSE)=1,VLOOKUP(B1,Weapon_List,3,FALSE)=2),Weapon_Levels_Low_Rarity,Weapon_Levels_High_Rarity)</formula1>
    </dataValidation>
    <dataValidation type="list" operator="equal" allowBlank="1" showInputMessage="1" showErrorMessage="1" sqref="B5" xr:uid="{47AA2833-E1E5-46C4-B23F-C43A16C08AD4}">
      <formula1>IF(OR(VLOOKUP(B1,Weapon_List,3,FALSE)=1,VLOOKUP(B1,Weapon_List,3,FALSE)=2),Weapon_Levels_Low_Rarity,Weapon_Levels_High_Rarity)</formula1>
    </dataValidation>
    <dataValidation type="list" allowBlank="1" showInputMessage="1" showErrorMessage="1" sqref="B1" xr:uid="{7F0D2601-8A24-415F-B106-8ECD87A42AF6}">
      <formula1>Weapon_Name_List</formula1>
    </dataValidation>
    <dataValidation type="list" allowBlank="1" showInputMessage="1" showErrorMessage="1" sqref="C11" xr:uid="{AADE6BA4-6DFD-484A-8BCB-BEC1EAD877FC}">
      <formula1>IF(OR(VLOOKUP(B1,Weapon_List,3,FALSE)=1,VLOOKUP(B1,Weapon_List,3,FALSE)=2),Weapon_Ascension_Low_Rarity,Weapon_Ascension_High_Rarity)</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BF292-5658-4C1B-B857-003B679EF96F}">
  <sheetPr codeName="Sheet242">
    <tabColor theme="4" tint="0.39997558519241921"/>
  </sheetPr>
  <dimension ref="A1:H22"/>
  <sheetViews>
    <sheetView workbookViewId="0">
      <selection activeCell="R55" sqref="R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171" t="s">
        <v>149</v>
      </c>
      <c r="B9" s="231"/>
      <c r="C9" s="172"/>
      <c r="E9" s="234"/>
      <c r="F9" s="44" t="str">
        <f t="shared" si="0"/>
        <v>Olden Days of Scorching Might</v>
      </c>
      <c r="G9" s="59">
        <f t="shared" ca="1" si="0"/>
        <v>0</v>
      </c>
      <c r="H9" s="34" t="s">
        <v>202</v>
      </c>
    </row>
    <row r="10" spans="1:8" ht="15.75" thickBot="1" x14ac:dyDescent="0.3">
      <c r="A10" s="173" t="s">
        <v>206</v>
      </c>
      <c r="B10" s="202"/>
      <c r="C10" s="43">
        <v>6</v>
      </c>
      <c r="E10" s="184" t="s">
        <v>19</v>
      </c>
      <c r="F10" s="2" t="str">
        <f t="shared" si="0"/>
        <v>Fungal Spores</v>
      </c>
      <c r="G10" s="15">
        <f t="shared" ca="1" si="0"/>
        <v>0</v>
      </c>
      <c r="H10" s="34" t="s">
        <v>202</v>
      </c>
    </row>
    <row r="11" spans="1:8" ht="15.75" thickBot="1" x14ac:dyDescent="0.3">
      <c r="A11" s="173" t="s">
        <v>208</v>
      </c>
      <c r="B11" s="202"/>
      <c r="C11" s="43">
        <v>6</v>
      </c>
      <c r="E11" s="185"/>
      <c r="F11" s="1" t="str">
        <f t="shared" si="0"/>
        <v>Luminescent Pollen</v>
      </c>
      <c r="G11" s="17">
        <f t="shared" ca="1" si="0"/>
        <v>0</v>
      </c>
      <c r="H11" s="34" t="s">
        <v>202</v>
      </c>
    </row>
    <row r="12" spans="1:8" ht="15.75" thickBot="1" x14ac:dyDescent="0.3">
      <c r="A12" s="227"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84"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85"/>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86"/>
      <c r="F15" s="9" t="str">
        <f t="shared" si="0"/>
        <v>Robust Activated Fungi</v>
      </c>
      <c r="G15" s="16">
        <f t="shared" ca="1" si="0"/>
        <v>0</v>
      </c>
      <c r="H15" s="35" t="s">
        <v>202</v>
      </c>
    </row>
    <row r="16" spans="1:8" x14ac:dyDescent="0.25">
      <c r="A16" s="184"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0" priority="1" operator="containsText" text="Done">
      <formula>NOT(ISERROR(SEARCH("Done",H4)))</formula>
    </cfRule>
    <cfRule type="containsText" dxfId="149" priority="2" operator="containsText" text="In Progress">
      <formula>NOT(ISERROR(SEARCH("In Progress",H4)))</formula>
    </cfRule>
  </conditionalFormatting>
  <dataValidations count="6">
    <dataValidation type="list" allowBlank="1" showInputMessage="1" showErrorMessage="1" sqref="C11" xr:uid="{ECC4181C-B273-4D67-A2DB-7891C186D38F}">
      <formula1>IF(OR(VLOOKUP(B1,Weapon_List,3,FALSE)=1,VLOOKUP(B1,Weapon_List,3,FALSE)=2),Weapon_Ascension_Low_Rarity,Weapon_Ascension_High_Rarity)</formula1>
    </dataValidation>
    <dataValidation type="list" allowBlank="1" showInputMessage="1" showErrorMessage="1" sqref="B1" xr:uid="{12EE3758-38B4-428C-AE5D-0A09322A8678}">
      <formula1>Weapon_Name_List</formula1>
    </dataValidation>
    <dataValidation type="list" operator="equal" allowBlank="1" showInputMessage="1" showErrorMessage="1" sqref="B5" xr:uid="{C4A95CEE-ED26-42CE-AB66-287F99D72680}">
      <formula1>IF(OR(VLOOKUP(B1,Weapon_List,3,FALSE)=1,VLOOKUP(B1,Weapon_List,3,FALSE)=2),Weapon_Levels_Low_Rarity,Weapon_Levels_High_Rarity)</formula1>
    </dataValidation>
    <dataValidation type="list" operator="equal" allowBlank="1" showInputMessage="1" showErrorMessage="1" sqref="B4" xr:uid="{C1C2644D-B8DD-44F8-A201-5073AB50E866}">
      <formula1>IF(OR(VLOOKUP(B1,Weapon_List,3,FALSE)=1,VLOOKUP(B1,Weapon_List,3,FALSE)=2),Weapon_Levels_Low_Rarity,Weapon_Levels_High_Rarity)</formula1>
    </dataValidation>
    <dataValidation type="list" allowBlank="1" showInputMessage="1" showErrorMessage="1" sqref="C10" xr:uid="{CFBDF99A-DF36-4939-AF6D-78AA0C80D9D6}">
      <formula1>IF(OR(VLOOKUP(B1,Weapon_List,3,FALSE)=1,VLOOKUP(B1,Weapon_List,3,FALSE)=2),Weapon_Ascension_Low_Rarity,Weapon_Ascension_High_Rarity)</formula1>
    </dataValidation>
    <dataValidation type="list" allowBlank="1" showInputMessage="1" showErrorMessage="1" sqref="H4:H15" xr:uid="{024BA27C-C349-42F9-9165-9E809B21EDCB}">
      <formula1>"In Progress, Done"</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4E12D-E602-45EB-B0D1-ED969F690C73}">
  <sheetPr codeName="Sheet243">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171" t="s">
        <v>149</v>
      </c>
      <c r="B9" s="231"/>
      <c r="C9" s="172"/>
      <c r="E9" s="234"/>
      <c r="F9" s="44" t="str">
        <f t="shared" si="0"/>
        <v>Narukami's Valor</v>
      </c>
      <c r="G9" s="59">
        <f t="shared" ca="1" si="0"/>
        <v>0</v>
      </c>
      <c r="H9" s="34" t="s">
        <v>202</v>
      </c>
    </row>
    <row r="10" spans="1:8" ht="15.75" thickBot="1" x14ac:dyDescent="0.3">
      <c r="A10" s="173" t="s">
        <v>206</v>
      </c>
      <c r="B10" s="202"/>
      <c r="C10" s="43">
        <v>6</v>
      </c>
      <c r="E10" s="184" t="s">
        <v>19</v>
      </c>
      <c r="F10" s="2" t="str">
        <f t="shared" si="0"/>
        <v>Old Nobushi</v>
      </c>
      <c r="G10" s="15">
        <f t="shared" ca="1" si="0"/>
        <v>0</v>
      </c>
      <c r="H10" s="34" t="s">
        <v>202</v>
      </c>
    </row>
    <row r="11" spans="1:8" ht="15.75" thickBot="1" x14ac:dyDescent="0.3">
      <c r="A11" s="173" t="s">
        <v>208</v>
      </c>
      <c r="B11" s="202"/>
      <c r="C11" s="43">
        <v>6</v>
      </c>
      <c r="E11" s="185"/>
      <c r="F11" s="1" t="str">
        <f t="shared" si="0"/>
        <v>Kageuchi Nobushi</v>
      </c>
      <c r="G11" s="17">
        <f t="shared" ca="1" si="0"/>
        <v>0</v>
      </c>
      <c r="H11" s="34" t="s">
        <v>202</v>
      </c>
    </row>
    <row r="12" spans="1:8" ht="15.75" thickBot="1" x14ac:dyDescent="0.3">
      <c r="A12" s="227"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4" t="s">
        <v>18</v>
      </c>
      <c r="F13" s="2" t="str">
        <f t="shared" si="0"/>
        <v>Damaged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5"/>
      <c r="F14" s="1" t="str">
        <f t="shared" si="0"/>
        <v>Turbid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6"/>
      <c r="F15" s="9" t="str">
        <f t="shared" si="0"/>
        <v>Radiant Prism</v>
      </c>
      <c r="G15" s="16">
        <f t="shared" ca="1" si="0"/>
        <v>0</v>
      </c>
      <c r="H15" s="35" t="s">
        <v>202</v>
      </c>
    </row>
    <row r="16" spans="1:8" x14ac:dyDescent="0.25">
      <c r="A16" s="184"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48" priority="1" operator="containsText" text="Done">
      <formula>NOT(ISERROR(SEARCH("Done",H4)))</formula>
    </cfRule>
    <cfRule type="containsText" dxfId="147" priority="2" operator="containsText" text="In Progress">
      <formula>NOT(ISERROR(SEARCH("In Progress",H4)))</formula>
    </cfRule>
  </conditionalFormatting>
  <dataValidations count="6">
    <dataValidation type="list" allowBlank="1" showInputMessage="1" showErrorMessage="1" sqref="H4:H15" xr:uid="{4FFE1632-DCD9-467F-96A4-B8CF4D268223}">
      <formula1>"In Progress, Done"</formula1>
    </dataValidation>
    <dataValidation type="list" allowBlank="1" showInputMessage="1" showErrorMessage="1" sqref="C10" xr:uid="{7D53C983-8D5C-4636-83B9-281337428264}">
      <formula1>IF(OR(VLOOKUP(B1,Weapon_List,3,FALSE)=1,VLOOKUP(B1,Weapon_List,3,FALSE)=2),Weapon_Ascension_Low_Rarity,Weapon_Ascension_High_Rarity)</formula1>
    </dataValidation>
    <dataValidation type="list" operator="equal" allowBlank="1" showInputMessage="1" showErrorMessage="1" sqref="B4" xr:uid="{B0F55774-14A0-4AAE-9CEF-2C8D050F26EA}">
      <formula1>IF(OR(VLOOKUP(B1,Weapon_List,3,FALSE)=1,VLOOKUP(B1,Weapon_List,3,FALSE)=2),Weapon_Levels_Low_Rarity,Weapon_Levels_High_Rarity)</formula1>
    </dataValidation>
    <dataValidation type="list" operator="equal" allowBlank="1" showInputMessage="1" showErrorMessage="1" sqref="B5" xr:uid="{257E3AFA-2B24-40A2-BD33-6AE5C38AE351}">
      <formula1>IF(OR(VLOOKUP(B1,Weapon_List,3,FALSE)=1,VLOOKUP(B1,Weapon_List,3,FALSE)=2),Weapon_Levels_Low_Rarity,Weapon_Levels_High_Rarity)</formula1>
    </dataValidation>
    <dataValidation type="list" allowBlank="1" showInputMessage="1" showErrorMessage="1" sqref="B1" xr:uid="{8D178D52-4D7E-4F16-BBF4-A21E3AEBC336}">
      <formula1>Weapon_Name_List</formula1>
    </dataValidation>
    <dataValidation type="list" allowBlank="1" showInputMessage="1" showErrorMessage="1" sqref="C11" xr:uid="{93799537-773D-4B71-90FE-1B4311CBEF50}">
      <formula1>IF(OR(VLOOKUP(B1,Weapon_List,3,FALSE)=1,VLOOKUP(B1,Weapon_List,3,FALSE)=2),Weapon_Ascension_Low_Rarity,Weapon_Ascension_High_Rarity)</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4284B-8917-4223-A2E2-1A5803AD3D9D}">
  <sheetPr codeName="Sheet244">
    <tabColor theme="4" tint="0.39997558519241921"/>
  </sheetPr>
  <dimension ref="A1:H22"/>
  <sheetViews>
    <sheetView workbookViewId="0">
      <selection activeCell="I24" sqref="I24"/>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171" t="s">
        <v>149</v>
      </c>
      <c r="B9" s="231"/>
      <c r="C9" s="172"/>
      <c r="E9" s="234"/>
      <c r="F9" s="44" t="str">
        <f t="shared" si="0"/>
        <v>Golden Talisman of the Forest Dew</v>
      </c>
      <c r="G9" s="59">
        <f t="shared" ca="1" si="0"/>
        <v>0</v>
      </c>
      <c r="H9" s="34" t="s">
        <v>202</v>
      </c>
    </row>
    <row r="10" spans="1:8" ht="15.75" thickBot="1" x14ac:dyDescent="0.3">
      <c r="A10" s="173" t="s">
        <v>206</v>
      </c>
      <c r="B10" s="202"/>
      <c r="C10" s="43">
        <v>6</v>
      </c>
      <c r="E10" s="184" t="s">
        <v>19</v>
      </c>
      <c r="F10" s="2" t="str">
        <f t="shared" si="0"/>
        <v>Faded Red Satin</v>
      </c>
      <c r="G10" s="15">
        <f t="shared" ca="1" si="0"/>
        <v>0</v>
      </c>
      <c r="H10" s="34" t="s">
        <v>202</v>
      </c>
    </row>
    <row r="11" spans="1:8" ht="15.75" thickBot="1" x14ac:dyDescent="0.3">
      <c r="A11" s="173" t="s">
        <v>208</v>
      </c>
      <c r="B11" s="202"/>
      <c r="C11" s="43">
        <v>6</v>
      </c>
      <c r="E11" s="185"/>
      <c r="F11" s="1" t="str">
        <f t="shared" si="0"/>
        <v>Trimmed Red Silk</v>
      </c>
      <c r="G11" s="17">
        <f t="shared" ca="1" si="0"/>
        <v>0</v>
      </c>
      <c r="H11" s="34" t="s">
        <v>202</v>
      </c>
    </row>
    <row r="12" spans="1:8" ht="15.75" thickBot="1" x14ac:dyDescent="0.3">
      <c r="A12" s="227"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84" t="s">
        <v>18</v>
      </c>
      <c r="F13" s="2" t="str">
        <f t="shared" si="0"/>
        <v>Desiccated Shell</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85"/>
      <c r="F14" s="1" t="str">
        <f t="shared" si="0"/>
        <v>Sturdy Shell</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86"/>
      <c r="F15" s="9" t="str">
        <f t="shared" si="0"/>
        <v>Marked Shell</v>
      </c>
      <c r="G15" s="16">
        <f t="shared" ca="1" si="0"/>
        <v>0</v>
      </c>
      <c r="H15" s="35" t="s">
        <v>202</v>
      </c>
    </row>
    <row r="16" spans="1:8" x14ac:dyDescent="0.25">
      <c r="A16" s="184"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46" priority="1" operator="containsText" text="Done">
      <formula>NOT(ISERROR(SEARCH("Done",H4)))</formula>
    </cfRule>
    <cfRule type="containsText" dxfId="145" priority="2" operator="containsText" text="In Progress">
      <formula>NOT(ISERROR(SEARCH("In Progress",H4)))</formula>
    </cfRule>
  </conditionalFormatting>
  <dataValidations count="6">
    <dataValidation type="list" allowBlank="1" showInputMessage="1" showErrorMessage="1" sqref="C11" xr:uid="{18241CBF-825C-4C13-B181-2490B5197E1B}">
      <formula1>IF(OR(VLOOKUP(B1,Weapon_List,3,FALSE)=1,VLOOKUP(B1,Weapon_List,3,FALSE)=2),Weapon_Ascension_Low_Rarity,Weapon_Ascension_High_Rarity)</formula1>
    </dataValidation>
    <dataValidation type="list" allowBlank="1" showInputMessage="1" showErrorMessage="1" sqref="B1" xr:uid="{B86F6D8F-0371-4584-9A1E-12555CA13C88}">
      <formula1>Weapon_Name_List</formula1>
    </dataValidation>
    <dataValidation type="list" operator="equal" allowBlank="1" showInputMessage="1" showErrorMessage="1" sqref="B5" xr:uid="{154783B3-0514-48B9-A4AF-9859702B5581}">
      <formula1>IF(OR(VLOOKUP(B1,Weapon_List,3,FALSE)=1,VLOOKUP(B1,Weapon_List,3,FALSE)=2),Weapon_Levels_Low_Rarity,Weapon_Levels_High_Rarity)</formula1>
    </dataValidation>
    <dataValidation type="list" operator="equal" allowBlank="1" showInputMessage="1" showErrorMessage="1" sqref="B4" xr:uid="{43E459A4-8C70-4A86-8524-BA55ECAE9929}">
      <formula1>IF(OR(VLOOKUP(B1,Weapon_List,3,FALSE)=1,VLOOKUP(B1,Weapon_List,3,FALSE)=2),Weapon_Levels_Low_Rarity,Weapon_Levels_High_Rarity)</formula1>
    </dataValidation>
    <dataValidation type="list" allowBlank="1" showInputMessage="1" showErrorMessage="1" sqref="C10" xr:uid="{F9417740-9296-474E-8ECB-C58190D60391}">
      <formula1>IF(OR(VLOOKUP(B1,Weapon_List,3,FALSE)=1,VLOOKUP(B1,Weapon_List,3,FALSE)=2),Weapon_Ascension_Low_Rarity,Weapon_Ascension_High_Rarity)</formula1>
    </dataValidation>
    <dataValidation type="list" allowBlank="1" showInputMessage="1" showErrorMessage="1" sqref="H4:H15" xr:uid="{31A110F9-960A-4623-8ACA-ABEEF7E37EDB}">
      <formula1>"In Progress, Done"</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EDCE4-77D0-4735-B964-6F09CF003056}">
  <sheetPr codeName="Sheet245">
    <tabColor theme="4" tint="0.39997558519241921"/>
  </sheetPr>
  <dimension ref="A1:H22"/>
  <sheetViews>
    <sheetView workbookViewId="0">
      <selection activeCell="E19" sqref="E19"/>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171" t="s">
        <v>149</v>
      </c>
      <c r="B9" s="231"/>
      <c r="C9" s="172"/>
      <c r="E9" s="234"/>
      <c r="F9" s="44" t="str">
        <f t="shared" si="0"/>
        <v>Olden Days of Scorching Might</v>
      </c>
      <c r="G9" s="59">
        <f t="shared" ca="1" si="0"/>
        <v>0</v>
      </c>
      <c r="H9" s="34" t="s">
        <v>202</v>
      </c>
    </row>
    <row r="10" spans="1:8" ht="15.75" thickBot="1" x14ac:dyDescent="0.3">
      <c r="A10" s="173" t="s">
        <v>206</v>
      </c>
      <c r="B10" s="202"/>
      <c r="C10" s="43">
        <v>6</v>
      </c>
      <c r="E10" s="184" t="s">
        <v>19</v>
      </c>
      <c r="F10" s="2" t="str">
        <f t="shared" si="0"/>
        <v>Faded Red Satin</v>
      </c>
      <c r="G10" s="15">
        <f t="shared" ca="1" si="0"/>
        <v>0</v>
      </c>
      <c r="H10" s="34" t="s">
        <v>202</v>
      </c>
    </row>
    <row r="11" spans="1:8" ht="15.75" thickBot="1" x14ac:dyDescent="0.3">
      <c r="A11" s="173" t="s">
        <v>208</v>
      </c>
      <c r="B11" s="202"/>
      <c r="C11" s="43">
        <v>6</v>
      </c>
      <c r="E11" s="185"/>
      <c r="F11" s="1" t="str">
        <f t="shared" si="0"/>
        <v>Trimmed Red Silk</v>
      </c>
      <c r="G11" s="17">
        <f t="shared" ca="1" si="0"/>
        <v>0</v>
      </c>
      <c r="H11" s="34" t="s">
        <v>202</v>
      </c>
    </row>
    <row r="12" spans="1:8" ht="15.75" thickBot="1" x14ac:dyDescent="0.3">
      <c r="A12" s="227"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84" t="s">
        <v>18</v>
      </c>
      <c r="F13" s="2" t="str">
        <f t="shared" si="0"/>
        <v>Desiccated Shell</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85"/>
      <c r="F14" s="1" t="str">
        <f t="shared" si="0"/>
        <v>Sturdy Shell</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86"/>
      <c r="F15" s="9" t="str">
        <f t="shared" si="0"/>
        <v>Marked Shell</v>
      </c>
      <c r="G15" s="16">
        <f t="shared" ca="1" si="0"/>
        <v>0</v>
      </c>
      <c r="H15" s="35" t="s">
        <v>202</v>
      </c>
    </row>
    <row r="16" spans="1:8" x14ac:dyDescent="0.25">
      <c r="A16" s="184"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44" priority="1" operator="containsText" text="Done">
      <formula>NOT(ISERROR(SEARCH("Done",H4)))</formula>
    </cfRule>
    <cfRule type="containsText" dxfId="143" priority="2" operator="containsText" text="In Progress">
      <formula>NOT(ISERROR(SEARCH("In Progress",H4)))</formula>
    </cfRule>
  </conditionalFormatting>
  <dataValidations count="6">
    <dataValidation type="list" allowBlank="1" showInputMessage="1" showErrorMessage="1" sqref="H4:H15" xr:uid="{5FB47B7B-ADF7-492B-9DAB-2DDCF6130C95}">
      <formula1>"In Progress, Done"</formula1>
    </dataValidation>
    <dataValidation type="list" allowBlank="1" showInputMessage="1" showErrorMessage="1" sqref="C10" xr:uid="{DD876AE8-1500-4A2B-9B0B-9D54B0242A8B}">
      <formula1>IF(OR(VLOOKUP(B1,Weapon_List,3,FALSE)=1,VLOOKUP(B1,Weapon_List,3,FALSE)=2),Weapon_Ascension_Low_Rarity,Weapon_Ascension_High_Rarity)</formula1>
    </dataValidation>
    <dataValidation type="list" operator="equal" allowBlank="1" showInputMessage="1" showErrorMessage="1" sqref="B4" xr:uid="{C5144AA7-042E-4E71-801D-C73C1FA3E9DE}">
      <formula1>IF(OR(VLOOKUP(B1,Weapon_List,3,FALSE)=1,VLOOKUP(B1,Weapon_List,3,FALSE)=2),Weapon_Levels_Low_Rarity,Weapon_Levels_High_Rarity)</formula1>
    </dataValidation>
    <dataValidation type="list" operator="equal" allowBlank="1" showInputMessage="1" showErrorMessage="1" sqref="B5" xr:uid="{50EEFEB5-1113-40D2-AA1C-597AF730B00A}">
      <formula1>IF(OR(VLOOKUP(B1,Weapon_List,3,FALSE)=1,VLOOKUP(B1,Weapon_List,3,FALSE)=2),Weapon_Levels_Low_Rarity,Weapon_Levels_High_Rarity)</formula1>
    </dataValidation>
    <dataValidation type="list" allowBlank="1" showInputMessage="1" showErrorMessage="1" sqref="B1" xr:uid="{DD0CCC9A-E1A9-48EF-AB50-7A56C98B5777}">
      <formula1>Weapon_Name_List</formula1>
    </dataValidation>
    <dataValidation type="list" allowBlank="1" showInputMessage="1" showErrorMessage="1" sqref="C11" xr:uid="{49C3C2AF-E570-4A4C-B3AE-ABB60CFFF8E0}">
      <formula1>IF(OR(VLOOKUP(B1,Weapon_List,3,FALSE)=1,VLOOKUP(B1,Weapon_List,3,FALSE)=2),Weapon_Ascension_Low_Rarity,Weapon_Ascension_High_Rarity)</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E7086-2CA5-49E5-A311-10A618B0649D}">
  <sheetPr codeName="Sheet24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171" t="s">
        <v>149</v>
      </c>
      <c r="B9" s="231"/>
      <c r="C9" s="172"/>
      <c r="E9" s="234"/>
      <c r="F9" s="44" t="str">
        <f t="shared" si="0"/>
        <v>Dream of the Dandelion Gladiator</v>
      </c>
      <c r="G9" s="59">
        <f t="shared" ca="1" si="0"/>
        <v>0</v>
      </c>
      <c r="H9" s="34" t="s">
        <v>202</v>
      </c>
    </row>
    <row r="10" spans="1:8" ht="15.75" thickBot="1" x14ac:dyDescent="0.3">
      <c r="A10" s="173" t="s">
        <v>206</v>
      </c>
      <c r="B10" s="202"/>
      <c r="C10" s="43">
        <v>6</v>
      </c>
      <c r="E10" s="184" t="s">
        <v>19</v>
      </c>
      <c r="F10" s="2" t="str">
        <f t="shared" si="0"/>
        <v>Spectral Husk</v>
      </c>
      <c r="G10" s="15">
        <f t="shared" ca="1" si="0"/>
        <v>0</v>
      </c>
      <c r="H10" s="34" t="s">
        <v>202</v>
      </c>
    </row>
    <row r="11" spans="1:8" ht="15.75" thickBot="1" x14ac:dyDescent="0.3">
      <c r="A11" s="173" t="s">
        <v>208</v>
      </c>
      <c r="B11" s="202"/>
      <c r="C11" s="43">
        <v>6</v>
      </c>
      <c r="E11" s="185"/>
      <c r="F11" s="1" t="str">
        <f t="shared" si="0"/>
        <v>Spectral Heart</v>
      </c>
      <c r="G11" s="17">
        <f t="shared" ca="1" si="0"/>
        <v>0</v>
      </c>
      <c r="H11" s="34" t="s">
        <v>202</v>
      </c>
    </row>
    <row r="12" spans="1:8" ht="15.75" thickBot="1" x14ac:dyDescent="0.3">
      <c r="A12" s="227"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84" t="s">
        <v>18</v>
      </c>
      <c r="F13" s="2" t="str">
        <f t="shared" si="0"/>
        <v>Desiccated Shell</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85"/>
      <c r="F14" s="1" t="str">
        <f t="shared" si="0"/>
        <v>Sturdy Shell</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86"/>
      <c r="F15" s="9" t="str">
        <f t="shared" si="0"/>
        <v>Marked Shell</v>
      </c>
      <c r="G15" s="16">
        <f t="shared" ca="1" si="0"/>
        <v>0</v>
      </c>
      <c r="H15" s="35" t="s">
        <v>202</v>
      </c>
    </row>
    <row r="16" spans="1:8" x14ac:dyDescent="0.25">
      <c r="A16" s="184"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42" priority="1" operator="containsText" text="Done">
      <formula>NOT(ISERROR(SEARCH("Done",H4)))</formula>
    </cfRule>
    <cfRule type="containsText" dxfId="141" priority="2" operator="containsText" text="In Progress">
      <formula>NOT(ISERROR(SEARCH("In Progress",H4)))</formula>
    </cfRule>
  </conditionalFormatting>
  <dataValidations count="6">
    <dataValidation type="list" allowBlank="1" showInputMessage="1" showErrorMessage="1" sqref="C11" xr:uid="{E32060F4-CA86-49CD-B869-3307B2DD29EF}">
      <formula1>IF(OR(VLOOKUP(B1,Weapon_List,3,FALSE)=1,VLOOKUP(B1,Weapon_List,3,FALSE)=2),Weapon_Ascension_Low_Rarity,Weapon_Ascension_High_Rarity)</formula1>
    </dataValidation>
    <dataValidation type="list" allowBlank="1" showInputMessage="1" showErrorMessage="1" sqref="B1" xr:uid="{6ABD1549-79D3-4965-A52D-3A33CD40ED23}">
      <formula1>Weapon_Name_List</formula1>
    </dataValidation>
    <dataValidation type="list" operator="equal" allowBlank="1" showInputMessage="1" showErrorMessage="1" sqref="B5" xr:uid="{ABB5B8EA-F427-43A1-AFD9-7234C2176F6B}">
      <formula1>IF(OR(VLOOKUP(B1,Weapon_List,3,FALSE)=1,VLOOKUP(B1,Weapon_List,3,FALSE)=2),Weapon_Levels_Low_Rarity,Weapon_Levels_High_Rarity)</formula1>
    </dataValidation>
    <dataValidation type="list" operator="equal" allowBlank="1" showInputMessage="1" showErrorMessage="1" sqref="B4" xr:uid="{8D167F9D-B2B1-47A8-BC55-C5C713EEA5C0}">
      <formula1>IF(OR(VLOOKUP(B1,Weapon_List,3,FALSE)=1,VLOOKUP(B1,Weapon_List,3,FALSE)=2),Weapon_Levels_Low_Rarity,Weapon_Levels_High_Rarity)</formula1>
    </dataValidation>
    <dataValidation type="list" allowBlank="1" showInputMessage="1" showErrorMessage="1" sqref="C10" xr:uid="{8C671375-7318-4C63-B805-4C1D9E054692}">
      <formula1>IF(OR(VLOOKUP(B1,Weapon_List,3,FALSE)=1,VLOOKUP(B1,Weapon_List,3,FALSE)=2),Weapon_Ascension_Low_Rarity,Weapon_Ascension_High_Rarity)</formula1>
    </dataValidation>
    <dataValidation type="list" allowBlank="1" showInputMessage="1" showErrorMessage="1" sqref="H4:H15" xr:uid="{36D48DF2-ECCD-41B5-A39C-EEB18376D137}">
      <formula1>"In Progress, Done"</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D5A0A-2554-4834-BFC3-8F51E410DE36}">
  <sheetPr codeName="Sheet24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Fungal Spores</v>
      </c>
      <c r="G10" s="15">
        <f t="shared" ca="1" si="0"/>
        <v>0</v>
      </c>
      <c r="H10" s="34" t="s">
        <v>202</v>
      </c>
    </row>
    <row r="11" spans="1:8" ht="15.75" thickBot="1" x14ac:dyDescent="0.3">
      <c r="A11" s="173" t="s">
        <v>208</v>
      </c>
      <c r="B11" s="202"/>
      <c r="C11" s="43">
        <v>6</v>
      </c>
      <c r="E11" s="185"/>
      <c r="F11" s="1" t="str">
        <f t="shared" si="0"/>
        <v>Luminescent Pollen</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A Flower Yet to Bloom</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Treasured Flower</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Wanderer's Blooming Flower</v>
      </c>
      <c r="G15" s="16">
        <f t="shared" ca="1" si="0"/>
        <v>0</v>
      </c>
      <c r="H15" s="35" t="s">
        <v>202</v>
      </c>
    </row>
    <row r="16" spans="1:8" x14ac:dyDescent="0.25">
      <c r="A16" s="184"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0" priority="1" operator="containsText" text="Done">
      <formula>NOT(ISERROR(SEARCH("Done",H4)))</formula>
    </cfRule>
    <cfRule type="containsText" dxfId="139" priority="2" operator="containsText" text="In Progress">
      <formula>NOT(ISERROR(SEARCH("In Progress",H4)))</formula>
    </cfRule>
  </conditionalFormatting>
  <dataValidations count="6">
    <dataValidation type="list" allowBlank="1" showInputMessage="1" showErrorMessage="1" sqref="H4:H15" xr:uid="{90FF9B1F-934A-4141-A236-28F69774832F}">
      <formula1>"In Progress, Done"</formula1>
    </dataValidation>
    <dataValidation type="list" allowBlank="1" showInputMessage="1" showErrorMessage="1" sqref="C10" xr:uid="{67C6CEAB-8F77-44FD-8074-9D92DFA62A6D}">
      <formula1>IF(OR(VLOOKUP(B1,Weapon_List,3,FALSE)=1,VLOOKUP(B1,Weapon_List,3,FALSE)=2),Weapon_Ascension_Low_Rarity,Weapon_Ascension_High_Rarity)</formula1>
    </dataValidation>
    <dataValidation type="list" operator="equal" allowBlank="1" showInputMessage="1" showErrorMessage="1" sqref="B4" xr:uid="{01B612AA-89ED-49AC-A30E-AC7EF2C979FC}">
      <formula1>IF(OR(VLOOKUP(B1,Weapon_List,3,FALSE)=1,VLOOKUP(B1,Weapon_List,3,FALSE)=2),Weapon_Levels_Low_Rarity,Weapon_Levels_High_Rarity)</formula1>
    </dataValidation>
    <dataValidation type="list" operator="equal" allowBlank="1" showInputMessage="1" showErrorMessage="1" sqref="B5" xr:uid="{B327EC4B-7D0E-4BB7-8263-05A43CAFA20D}">
      <formula1>IF(OR(VLOOKUP(B1,Weapon_List,3,FALSE)=1,VLOOKUP(B1,Weapon_List,3,FALSE)=2),Weapon_Levels_Low_Rarity,Weapon_Levels_High_Rarity)</formula1>
    </dataValidation>
    <dataValidation type="list" allowBlank="1" showInputMessage="1" showErrorMessage="1" sqref="B1" xr:uid="{BED8757D-B5E7-464D-AA3B-FC6EE5E899C8}">
      <formula1>Weapon_Name_List</formula1>
    </dataValidation>
    <dataValidation type="list" allowBlank="1" showInputMessage="1" showErrorMessage="1" sqref="C11" xr:uid="{1EB1D396-FCA4-4983-8B19-F89D481529D7}">
      <formula1>IF(OR(VLOOKUP(B1,Weapon_List,3,FALSE)=1,VLOOKUP(B1,Weapon_List,3,FALSE)=2),Weapon_Ascension_Low_Rarity,Weapon_Ascension_High_Rarity)</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FBD0F-D9F4-4406-8DB5-A17D408D5CBA}">
  <sheetPr codeName="Sheet25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171" t="s">
        <v>149</v>
      </c>
      <c r="B9" s="231"/>
      <c r="C9" s="172"/>
      <c r="E9" s="234"/>
      <c r="F9" s="44" t="str">
        <f t="shared" si="0"/>
        <v>Golden Talisman of the Forest Dew</v>
      </c>
      <c r="G9" s="59">
        <f t="shared" ca="1" si="0"/>
        <v>0</v>
      </c>
      <c r="H9" s="34" t="s">
        <v>202</v>
      </c>
    </row>
    <row r="10" spans="1:8" ht="15.75" thickBot="1" x14ac:dyDescent="0.3">
      <c r="A10" s="173" t="s">
        <v>206</v>
      </c>
      <c r="B10" s="202"/>
      <c r="C10" s="43">
        <v>6</v>
      </c>
      <c r="E10" s="184" t="s">
        <v>19</v>
      </c>
      <c r="F10" s="2" t="str">
        <f t="shared" si="0"/>
        <v>Faded Red Satin</v>
      </c>
      <c r="G10" s="15">
        <f t="shared" ca="1" si="0"/>
        <v>0</v>
      </c>
      <c r="H10" s="34" t="s">
        <v>202</v>
      </c>
    </row>
    <row r="11" spans="1:8" ht="15.75" thickBot="1" x14ac:dyDescent="0.3">
      <c r="A11" s="173" t="s">
        <v>208</v>
      </c>
      <c r="B11" s="202"/>
      <c r="C11" s="43">
        <v>6</v>
      </c>
      <c r="E11" s="185"/>
      <c r="F11" s="1" t="str">
        <f t="shared" si="0"/>
        <v>Trimmed Red Silk</v>
      </c>
      <c r="G11" s="17">
        <f t="shared" ca="1" si="0"/>
        <v>0</v>
      </c>
      <c r="H11" s="34" t="s">
        <v>202</v>
      </c>
    </row>
    <row r="12" spans="1:8" ht="15.75" thickBot="1" x14ac:dyDescent="0.3">
      <c r="A12" s="227"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84" t="s">
        <v>18</v>
      </c>
      <c r="F13" s="2" t="str">
        <f t="shared" si="0"/>
        <v>A Flower Yet to Bloom</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85"/>
      <c r="F14" s="1" t="str">
        <f t="shared" si="0"/>
        <v>Treasured Flower</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86"/>
      <c r="F15" s="9" t="str">
        <f t="shared" si="0"/>
        <v>Wanderer's Blooming Flower</v>
      </c>
      <c r="G15" s="16">
        <f t="shared" ca="1" si="0"/>
        <v>0</v>
      </c>
      <c r="H15" s="35" t="s">
        <v>202</v>
      </c>
    </row>
    <row r="16" spans="1:8" x14ac:dyDescent="0.25">
      <c r="A16" s="184"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38" priority="1" operator="containsText" text="Done">
      <formula>NOT(ISERROR(SEARCH("Done",H4)))</formula>
    </cfRule>
    <cfRule type="containsText" dxfId="137" priority="2" operator="containsText" text="In Progress">
      <formula>NOT(ISERROR(SEARCH("In Progress",H4)))</formula>
    </cfRule>
  </conditionalFormatting>
  <dataValidations count="6">
    <dataValidation type="list" allowBlank="1" showInputMessage="1" showErrorMessage="1" sqref="C11" xr:uid="{6521BA08-B452-44DD-B325-97439BAEFE3A}">
      <formula1>IF(OR(VLOOKUP(B1,Weapon_List,3,FALSE)=1,VLOOKUP(B1,Weapon_List,3,FALSE)=2),Weapon_Ascension_Low_Rarity,Weapon_Ascension_High_Rarity)</formula1>
    </dataValidation>
    <dataValidation type="list" allowBlank="1" showInputMessage="1" showErrorMessage="1" sqref="B1" xr:uid="{086193C8-6C1A-4B34-A27E-596679CA4964}">
      <formula1>Weapon_Name_List</formula1>
    </dataValidation>
    <dataValidation type="list" operator="equal" allowBlank="1" showInputMessage="1" showErrorMessage="1" sqref="B5" xr:uid="{7F933BD5-F617-4F23-969D-26EFE84EC852}">
      <formula1>IF(OR(VLOOKUP(B1,Weapon_List,3,FALSE)=1,VLOOKUP(B1,Weapon_List,3,FALSE)=2),Weapon_Levels_Low_Rarity,Weapon_Levels_High_Rarity)</formula1>
    </dataValidation>
    <dataValidation type="list" operator="equal" allowBlank="1" showInputMessage="1" showErrorMessage="1" sqref="B4" xr:uid="{6E25D1F7-CB9A-4D2E-AAC4-6154414244F0}">
      <formula1>IF(OR(VLOOKUP(B1,Weapon_List,3,FALSE)=1,VLOOKUP(B1,Weapon_List,3,FALSE)=2),Weapon_Levels_Low_Rarity,Weapon_Levels_High_Rarity)</formula1>
    </dataValidation>
    <dataValidation type="list" allowBlank="1" showInputMessage="1" showErrorMessage="1" sqref="C10" xr:uid="{E98DA4BD-AB9F-409E-9D15-9738791232E5}">
      <formula1>IF(OR(VLOOKUP(B1,Weapon_List,3,FALSE)=1,VLOOKUP(B1,Weapon_List,3,FALSE)=2),Weapon_Ascension_Low_Rarity,Weapon_Ascension_High_Rarity)</formula1>
    </dataValidation>
    <dataValidation type="list" allowBlank="1" showInputMessage="1" showErrorMessage="1" sqref="H4:H15" xr:uid="{1DCE3DBC-4005-4489-B856-9695674EC212}">
      <formula1>"In Progress, Done"</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166AD-7807-42BD-B4A7-BDA5967978BA}">
  <sheetPr codeName="Sheet25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171" t="s">
        <v>149</v>
      </c>
      <c r="B9" s="231"/>
      <c r="C9" s="172"/>
      <c r="E9" s="234"/>
      <c r="F9" s="44" t="str">
        <f t="shared" si="0"/>
        <v>Scattered Piece of Decarabian's Dream</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84" t="s">
        <v>18</v>
      </c>
      <c r="F13" s="2" t="str">
        <f t="shared" si="0"/>
        <v>Chaos Device</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85"/>
      <c r="F14" s="1" t="str">
        <f t="shared" si="0"/>
        <v>Chaos Circuit</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86"/>
      <c r="F15" s="9" t="str">
        <f t="shared" si="0"/>
        <v>Chaos Core</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36" priority="1" operator="containsText" text="Done">
      <formula>NOT(ISERROR(SEARCH("Done",H4)))</formula>
    </cfRule>
    <cfRule type="containsText" dxfId="135" priority="2" operator="containsText" text="In Progress">
      <formula>NOT(ISERROR(SEARCH("In Progress",H4)))</formula>
    </cfRule>
  </conditionalFormatting>
  <dataValidations count="6">
    <dataValidation type="list" allowBlank="1" showInputMessage="1" showErrorMessage="1" sqref="C11" xr:uid="{DA23C552-5416-4CC3-8F18-D76DD81DB392}">
      <formula1>IF(OR(VLOOKUP(B1,Weapon_List,3,FALSE)=1,VLOOKUP(B1,Weapon_List,3,FALSE)=2),Weapon_Ascension_Low_Rarity,Weapon_Ascension_High_Rarity)</formula1>
    </dataValidation>
    <dataValidation type="list" allowBlank="1" showInputMessage="1" showErrorMessage="1" sqref="B1" xr:uid="{5DB931A1-5147-463B-A703-63D44834CA3B}">
      <formula1>Weapon_Name_List</formula1>
    </dataValidation>
    <dataValidation type="list" operator="equal" allowBlank="1" showInputMessage="1" showErrorMessage="1" sqref="B5" xr:uid="{EE94E896-7679-4BC1-A6F9-70D3D606001A}">
      <formula1>IF(OR(VLOOKUP(B1,Weapon_List,3,FALSE)=1,VLOOKUP(B1,Weapon_List,3,FALSE)=2),Weapon_Levels_Low_Rarity,Weapon_Levels_High_Rarity)</formula1>
    </dataValidation>
    <dataValidation type="list" operator="equal" allowBlank="1" showInputMessage="1" showErrorMessage="1" sqref="B4" xr:uid="{22DB0365-D850-4B48-B946-25845E968A62}">
      <formula1>IF(OR(VLOOKUP(B1,Weapon_List,3,FALSE)=1,VLOOKUP(B1,Weapon_List,3,FALSE)=2),Weapon_Levels_Low_Rarity,Weapon_Levels_High_Rarity)</formula1>
    </dataValidation>
    <dataValidation type="list" allowBlank="1" showInputMessage="1" showErrorMessage="1" sqref="C10" xr:uid="{986157E2-628D-447D-99C5-C6457989229F}">
      <formula1>IF(OR(VLOOKUP(B1,Weapon_List,3,FALSE)=1,VLOOKUP(B1,Weapon_List,3,FALSE)=2),Weapon_Ascension_Low_Rarity,Weapon_Ascension_High_Rarity)</formula1>
    </dataValidation>
    <dataValidation type="list" allowBlank="1" showInputMessage="1" showErrorMessage="1" sqref="H4:H15" xr:uid="{3A62F0F7-2B66-4D26-ADDF-935ABE0D9340}">
      <formula1>"In Progress, Done"</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D391A-AFEC-42E9-AD29-AB7B9B0E3F12}">
  <sheetPr codeName="Sheet25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171" t="s">
        <v>149</v>
      </c>
      <c r="B9" s="231"/>
      <c r="C9" s="172"/>
      <c r="E9" s="234"/>
      <c r="F9" s="44" t="str">
        <f t="shared" si="0"/>
        <v>Oasis Garden's Truth</v>
      </c>
      <c r="G9" s="59">
        <f t="shared" ca="1" si="0"/>
        <v>0</v>
      </c>
      <c r="H9" s="34" t="s">
        <v>202</v>
      </c>
    </row>
    <row r="10" spans="1:8" ht="15.75" thickBot="1" x14ac:dyDescent="0.3">
      <c r="A10" s="173" t="s">
        <v>206</v>
      </c>
      <c r="B10" s="202"/>
      <c r="C10" s="43">
        <v>6</v>
      </c>
      <c r="E10" s="184" t="s">
        <v>19</v>
      </c>
      <c r="F10" s="2" t="str">
        <f t="shared" si="0"/>
        <v>Slime Condensate</v>
      </c>
      <c r="G10" s="15">
        <f t="shared" ca="1" si="0"/>
        <v>0</v>
      </c>
      <c r="H10" s="34" t="s">
        <v>202</v>
      </c>
    </row>
    <row r="11" spans="1:8" ht="15.75" thickBot="1" x14ac:dyDescent="0.3">
      <c r="A11" s="173" t="s">
        <v>208</v>
      </c>
      <c r="B11" s="202"/>
      <c r="C11" s="43">
        <v>6</v>
      </c>
      <c r="E11" s="185"/>
      <c r="F11" s="1" t="str">
        <f t="shared" si="0"/>
        <v>Slime Secretions</v>
      </c>
      <c r="G11" s="17">
        <f t="shared" ca="1" si="0"/>
        <v>0</v>
      </c>
      <c r="H11" s="34" t="s">
        <v>202</v>
      </c>
    </row>
    <row r="12" spans="1:8" ht="15.75" thickBot="1" x14ac:dyDescent="0.3">
      <c r="A12" s="227"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84" t="s">
        <v>18</v>
      </c>
      <c r="F13" s="2" t="str">
        <f t="shared" si="0"/>
        <v>Desiccated Shell</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85"/>
      <c r="F14" s="1" t="str">
        <f t="shared" si="0"/>
        <v>Sturdy Shell</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86"/>
      <c r="F15" s="9" t="str">
        <f t="shared" si="0"/>
        <v>Marked Shell</v>
      </c>
      <c r="G15" s="16">
        <f t="shared" ca="1" si="0"/>
        <v>0</v>
      </c>
      <c r="H15" s="35" t="s">
        <v>202</v>
      </c>
    </row>
    <row r="16" spans="1:8" x14ac:dyDescent="0.25">
      <c r="A16" s="184"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34" priority="1" operator="containsText" text="Done">
      <formula>NOT(ISERROR(SEARCH("Done",H4)))</formula>
    </cfRule>
    <cfRule type="containsText" dxfId="133" priority="2" operator="containsText" text="In Progress">
      <formula>NOT(ISERROR(SEARCH("In Progress",H4)))</formula>
    </cfRule>
  </conditionalFormatting>
  <dataValidations count="6">
    <dataValidation type="list" allowBlank="1" showInputMessage="1" showErrorMessage="1" sqref="C11" xr:uid="{1953B4CA-846F-460F-9E83-F6E455674D85}">
      <formula1>IF(OR(VLOOKUP(B1,Weapon_List,3,FALSE)=1,VLOOKUP(B1,Weapon_List,3,FALSE)=2),Weapon_Ascension_Low_Rarity,Weapon_Ascension_High_Rarity)</formula1>
    </dataValidation>
    <dataValidation type="list" allowBlank="1" showInputMessage="1" showErrorMessage="1" sqref="B1" xr:uid="{8F7701B5-7235-49B6-9BA7-C8A6CAEB4F63}">
      <formula1>Weapon_Name_List</formula1>
    </dataValidation>
    <dataValidation type="list" operator="equal" allowBlank="1" showInputMessage="1" showErrorMessage="1" sqref="B5" xr:uid="{68910687-25C1-4FC1-9A92-C6F189FA1803}">
      <formula1>IF(OR(VLOOKUP(B1,Weapon_List,3,FALSE)=1,VLOOKUP(B1,Weapon_List,3,FALSE)=2),Weapon_Levels_Low_Rarity,Weapon_Levels_High_Rarity)</formula1>
    </dataValidation>
    <dataValidation type="list" operator="equal" allowBlank="1" showInputMessage="1" showErrorMessage="1" sqref="B4" xr:uid="{0539A763-5593-401D-99E5-2E71A43FC887}">
      <formula1>IF(OR(VLOOKUP(B1,Weapon_List,3,FALSE)=1,VLOOKUP(B1,Weapon_List,3,FALSE)=2),Weapon_Levels_Low_Rarity,Weapon_Levels_High_Rarity)</formula1>
    </dataValidation>
    <dataValidation type="list" allowBlank="1" showInputMessage="1" showErrorMessage="1" sqref="C10" xr:uid="{B9DDCE2B-C81D-47C7-A38F-3DEA9357781C}">
      <formula1>IF(OR(VLOOKUP(B1,Weapon_List,3,FALSE)=1,VLOOKUP(B1,Weapon_List,3,FALSE)=2),Weapon_Ascension_Low_Rarity,Weapon_Ascension_High_Rarity)</formula1>
    </dataValidation>
    <dataValidation type="list" allowBlank="1" showInputMessage="1" showErrorMessage="1" sqref="H4:H15" xr:uid="{4D63843E-A099-44F2-A55A-A6783F3CBD8B}">
      <formula1>"In Progress, Done"</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8223A-DDA1-4DEA-9314-B9B13E98D21C}">
  <sheetPr codeName="Sheet258">
    <tabColor theme="4" tint="0.39997558519241921"/>
  </sheetPr>
  <dimension ref="A1:H22"/>
  <sheetViews>
    <sheetView workbookViewId="0">
      <selection activeCell="F19" sqref="F19"/>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171" t="s">
        <v>149</v>
      </c>
      <c r="B9" s="231"/>
      <c r="C9" s="172"/>
      <c r="E9" s="234"/>
      <c r="F9" s="44" t="str">
        <f t="shared" si="0"/>
        <v>Golden Goblet of the Pristine Sea</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4" t="s">
        <v>18</v>
      </c>
      <c r="F13" s="2" t="str">
        <f t="shared" si="0"/>
        <v>A Flower Yet to Bloom</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5"/>
      <c r="F14" s="1" t="str">
        <f t="shared" si="0"/>
        <v>Treasured Flower</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6"/>
      <c r="F15" s="9" t="str">
        <f t="shared" si="0"/>
        <v>Wanderer's Blooming Flower</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32" priority="1" operator="containsText" text="Done">
      <formula>NOT(ISERROR(SEARCH("Done",H4)))</formula>
    </cfRule>
    <cfRule type="containsText" dxfId="131" priority="2" operator="containsText" text="In Progress">
      <formula>NOT(ISERROR(SEARCH("In Progress",H4)))</formula>
    </cfRule>
  </conditionalFormatting>
  <dataValidations count="6">
    <dataValidation type="list" allowBlank="1" showInputMessage="1" showErrorMessage="1" sqref="C11" xr:uid="{B460B1B7-E834-4926-9E92-7CD56CABE5BB}">
      <formula1>IF(OR(VLOOKUP(B1,Weapon_List,3,FALSE)=1,VLOOKUP(B1,Weapon_List,3,FALSE)=2),Weapon_Ascension_Low_Rarity,Weapon_Ascension_High_Rarity)</formula1>
    </dataValidation>
    <dataValidation type="list" allowBlank="1" showInputMessage="1" showErrorMessage="1" sqref="B1" xr:uid="{11EBA1C5-7116-48C9-B466-88B66A0842BF}">
      <formula1>Weapon_Name_List</formula1>
    </dataValidation>
    <dataValidation type="list" operator="equal" allowBlank="1" showInputMessage="1" showErrorMessage="1" sqref="B5" xr:uid="{2C4855C0-623C-4630-9140-F7C7EA0717EE}">
      <formula1>IF(OR(VLOOKUP(B1,Weapon_List,3,FALSE)=1,VLOOKUP(B1,Weapon_List,3,FALSE)=2),Weapon_Levels_Low_Rarity,Weapon_Levels_High_Rarity)</formula1>
    </dataValidation>
    <dataValidation type="list" operator="equal" allowBlank="1" showInputMessage="1" showErrorMessage="1" sqref="B4" xr:uid="{BB4906F8-A49B-40CF-AFEA-120D2C46ADC3}">
      <formula1>IF(OR(VLOOKUP(B1,Weapon_List,3,FALSE)=1,VLOOKUP(B1,Weapon_List,3,FALSE)=2),Weapon_Levels_Low_Rarity,Weapon_Levels_High_Rarity)</formula1>
    </dataValidation>
    <dataValidation type="list" allowBlank="1" showInputMessage="1" showErrorMessage="1" sqref="C10" xr:uid="{27FE27F4-CAA7-47FB-BAB6-C69EB325C524}">
      <formula1>IF(OR(VLOOKUP(B1,Weapon_List,3,FALSE)=1,VLOOKUP(B1,Weapon_List,3,FALSE)=2),Weapon_Ascension_Low_Rarity,Weapon_Ascension_High_Rarity)</formula1>
    </dataValidation>
    <dataValidation type="list" allowBlank="1" showInputMessage="1" showErrorMessage="1" sqref="H4:H15" xr:uid="{F4652002-8D84-4308-BDEA-BBBDF79E01F3}">
      <formula1>"In Progress, Done"</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C8265-9058-4714-A5A7-87C06DDF100C}">
  <sheetPr codeName="Sheet259">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171" t="s">
        <v>149</v>
      </c>
      <c r="B9" s="231"/>
      <c r="C9" s="172"/>
      <c r="E9" s="234"/>
      <c r="F9" s="44" t="str">
        <f t="shared" si="0"/>
        <v>Divine Body from Guyun</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84" t="s">
        <v>18</v>
      </c>
      <c r="F13" s="2" t="str">
        <f t="shared" si="0"/>
        <v>Mist Grass Pollen</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85"/>
      <c r="F14" s="1" t="str">
        <f t="shared" si="0"/>
        <v>Mist Grass</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86"/>
      <c r="F15" s="9" t="str">
        <f t="shared" si="0"/>
        <v>Mist Grass Wick</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30" priority="1" operator="containsText" text="Done">
      <formula>NOT(ISERROR(SEARCH("Done",H4)))</formula>
    </cfRule>
    <cfRule type="containsText" dxfId="129" priority="2" operator="containsText" text="In Progress">
      <formula>NOT(ISERROR(SEARCH("In Progress",H4)))</formula>
    </cfRule>
  </conditionalFormatting>
  <dataValidations count="6">
    <dataValidation type="list" allowBlank="1" showInputMessage="1" showErrorMessage="1" sqref="C11" xr:uid="{C21A1D31-4433-4B86-BFC0-2DA095F5EA7C}">
      <formula1>IF(OR(VLOOKUP(B1,Weapon_List,3,FALSE)=1,VLOOKUP(B1,Weapon_List,3,FALSE)=2),Weapon_Ascension_Low_Rarity,Weapon_Ascension_High_Rarity)</formula1>
    </dataValidation>
    <dataValidation type="list" allowBlank="1" showInputMessage="1" showErrorMessage="1" sqref="B1" xr:uid="{935691E9-B5CF-44BE-9E40-0D1B1C16540E}">
      <formula1>Weapon_Name_List</formula1>
    </dataValidation>
    <dataValidation type="list" operator="equal" allowBlank="1" showInputMessage="1" showErrorMessage="1" sqref="B5" xr:uid="{D5EAFFF3-41CD-4BAB-9A3C-B8EE12DEEC36}">
      <formula1>IF(OR(VLOOKUP(B1,Weapon_List,3,FALSE)=1,VLOOKUP(B1,Weapon_List,3,FALSE)=2),Weapon_Levels_Low_Rarity,Weapon_Levels_High_Rarity)</formula1>
    </dataValidation>
    <dataValidation type="list" operator="equal" allowBlank="1" showInputMessage="1" showErrorMessage="1" sqref="B4" xr:uid="{430640CB-4DEE-4385-BF77-47DCACB046CB}">
      <formula1>IF(OR(VLOOKUP(B1,Weapon_List,3,FALSE)=1,VLOOKUP(B1,Weapon_List,3,FALSE)=2),Weapon_Levels_Low_Rarity,Weapon_Levels_High_Rarity)</formula1>
    </dataValidation>
    <dataValidation type="list" allowBlank="1" showInputMessage="1" showErrorMessage="1" sqref="C10" xr:uid="{6AE13CB4-EC19-44F3-A822-694C47F35C55}">
      <formula1>IF(OR(VLOOKUP(B1,Weapon_List,3,FALSE)=1,VLOOKUP(B1,Weapon_List,3,FALSE)=2),Weapon_Ascension_Low_Rarity,Weapon_Ascension_High_Rarity)</formula1>
    </dataValidation>
    <dataValidation type="list" allowBlank="1" showInputMessage="1" showErrorMessage="1" sqref="H4:H15" xr:uid="{B64A839F-7515-4894-A2E2-8A0117F1245F}">
      <formula1>"In Progress, Done"</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53A50-19D5-4B9A-9872-E9FBC2352985}">
  <sheetPr codeName="Sheet26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171" t="s">
        <v>149</v>
      </c>
      <c r="B9" s="231"/>
      <c r="C9" s="172"/>
      <c r="E9" s="234"/>
      <c r="F9" s="44" t="str">
        <f t="shared" si="0"/>
        <v>Olden Days of Scorching Might</v>
      </c>
      <c r="G9" s="59">
        <f t="shared" ca="1" si="0"/>
        <v>0</v>
      </c>
      <c r="H9" s="34" t="s">
        <v>202</v>
      </c>
    </row>
    <row r="10" spans="1:8" ht="15.75" thickBot="1" x14ac:dyDescent="0.3">
      <c r="A10" s="173" t="s">
        <v>206</v>
      </c>
      <c r="B10" s="202"/>
      <c r="C10" s="43">
        <v>6</v>
      </c>
      <c r="E10" s="184" t="s">
        <v>19</v>
      </c>
      <c r="F10" s="2" t="str">
        <f t="shared" si="0"/>
        <v>Fungal Spores</v>
      </c>
      <c r="G10" s="15">
        <f t="shared" ca="1" si="0"/>
        <v>0</v>
      </c>
      <c r="H10" s="34" t="s">
        <v>202</v>
      </c>
    </row>
    <row r="11" spans="1:8" ht="15.75" thickBot="1" x14ac:dyDescent="0.3">
      <c r="A11" s="173" t="s">
        <v>208</v>
      </c>
      <c r="B11" s="202"/>
      <c r="C11" s="43">
        <v>6</v>
      </c>
      <c r="E11" s="185"/>
      <c r="F11" s="1" t="str">
        <f t="shared" si="0"/>
        <v>Luminescent Pollen</v>
      </c>
      <c r="G11" s="17">
        <f t="shared" ca="1" si="0"/>
        <v>0</v>
      </c>
      <c r="H11" s="34" t="s">
        <v>202</v>
      </c>
    </row>
    <row r="12" spans="1:8" ht="15.75" thickBot="1" x14ac:dyDescent="0.3">
      <c r="A12" s="227"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84" t="s">
        <v>18</v>
      </c>
      <c r="F13" s="2" t="str">
        <f t="shared" si="0"/>
        <v>A Flower Yet to Bloom</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85"/>
      <c r="F14" s="1" t="str">
        <f t="shared" si="0"/>
        <v>Treasured Flower</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86"/>
      <c r="F15" s="9" t="str">
        <f t="shared" si="0"/>
        <v>Wanderer's Blooming Flower</v>
      </c>
      <c r="G15" s="16">
        <f t="shared" ca="1" si="0"/>
        <v>0</v>
      </c>
      <c r="H15" s="35" t="s">
        <v>202</v>
      </c>
    </row>
    <row r="16" spans="1:8" x14ac:dyDescent="0.25">
      <c r="A16" s="184"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28" priority="1" operator="containsText" text="Done">
      <formula>NOT(ISERROR(SEARCH("Done",H4)))</formula>
    </cfRule>
    <cfRule type="containsText" dxfId="127" priority="2" operator="containsText" text="In Progress">
      <formula>NOT(ISERROR(SEARCH("In Progress",H4)))</formula>
    </cfRule>
  </conditionalFormatting>
  <dataValidations count="6">
    <dataValidation type="list" allowBlank="1" showInputMessage="1" showErrorMessage="1" sqref="C11" xr:uid="{2F557448-E0AB-4C35-A19F-61B5B31BC840}">
      <formula1>IF(OR(VLOOKUP(B1,Weapon_List,3,FALSE)=1,VLOOKUP(B1,Weapon_List,3,FALSE)=2),Weapon_Ascension_Low_Rarity,Weapon_Ascension_High_Rarity)</formula1>
    </dataValidation>
    <dataValidation type="list" allowBlank="1" showInputMessage="1" showErrorMessage="1" sqref="B1" xr:uid="{B9FFF2AE-B309-48D8-A538-FAAE927E978C}">
      <formula1>Weapon_Name_List</formula1>
    </dataValidation>
    <dataValidation type="list" operator="equal" allowBlank="1" showInputMessage="1" showErrorMessage="1" sqref="B5" xr:uid="{22C538D5-AB0A-4A32-B37F-F9262E5D446E}">
      <formula1>IF(OR(VLOOKUP(B1,Weapon_List,3,FALSE)=1,VLOOKUP(B1,Weapon_List,3,FALSE)=2),Weapon_Levels_Low_Rarity,Weapon_Levels_High_Rarity)</formula1>
    </dataValidation>
    <dataValidation type="list" operator="equal" allowBlank="1" showInputMessage="1" showErrorMessage="1" sqref="B4" xr:uid="{AA794DFB-5D2F-4BA6-AB1C-47EDD2978111}">
      <formula1>IF(OR(VLOOKUP(B1,Weapon_List,3,FALSE)=1,VLOOKUP(B1,Weapon_List,3,FALSE)=2),Weapon_Levels_Low_Rarity,Weapon_Levels_High_Rarity)</formula1>
    </dataValidation>
    <dataValidation type="list" allowBlank="1" showInputMessage="1" showErrorMessage="1" sqref="C10" xr:uid="{CAFB7186-6242-4354-89D9-9D7C110C757A}">
      <formula1>IF(OR(VLOOKUP(B1,Weapon_List,3,FALSE)=1,VLOOKUP(B1,Weapon_List,3,FALSE)=2),Weapon_Ascension_Low_Rarity,Weapon_Ascension_High_Rarity)</formula1>
    </dataValidation>
    <dataValidation type="list" allowBlank="1" showInputMessage="1" showErrorMessage="1" sqref="H4:H15" xr:uid="{8DD4801B-5D51-4E8F-9335-8BCD7EB911C5}">
      <formula1>"In Progress, Done"</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4AE1-E5B6-4403-80C1-5E7C3D898A89}">
  <sheetPr codeName="Sheet261">
    <tabColor theme="4" tint="0.39997558519241921"/>
  </sheetPr>
  <dimension ref="A1:H22"/>
  <sheetViews>
    <sheetView workbookViewId="0">
      <selection activeCell="Q52" sqref="Q5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171" t="s">
        <v>149</v>
      </c>
      <c r="B9" s="231"/>
      <c r="C9" s="172"/>
      <c r="E9" s="234"/>
      <c r="F9" s="44" t="str">
        <f t="shared" si="0"/>
        <v>Essense of Pure Sacred Dewdrop</v>
      </c>
      <c r="G9" s="59">
        <f t="shared" ca="1" si="0"/>
        <v>0</v>
      </c>
      <c r="H9" s="34" t="s">
        <v>202</v>
      </c>
    </row>
    <row r="10" spans="1:8" ht="15.75" thickBot="1" x14ac:dyDescent="0.3">
      <c r="A10" s="173" t="s">
        <v>206</v>
      </c>
      <c r="B10" s="202"/>
      <c r="C10" s="43">
        <v>6</v>
      </c>
      <c r="E10" s="184" t="s">
        <v>19</v>
      </c>
      <c r="F10" s="2" t="str">
        <f t="shared" si="0"/>
        <v>Old Nobushi</v>
      </c>
      <c r="G10" s="15">
        <f t="shared" ca="1" si="0"/>
        <v>0</v>
      </c>
      <c r="H10" s="34" t="s">
        <v>202</v>
      </c>
    </row>
    <row r="11" spans="1:8" ht="15.75" thickBot="1" x14ac:dyDescent="0.3">
      <c r="A11" s="173" t="s">
        <v>208</v>
      </c>
      <c r="B11" s="202"/>
      <c r="C11" s="43">
        <v>6</v>
      </c>
      <c r="E11" s="185"/>
      <c r="F11" s="1" t="str">
        <f t="shared" si="0"/>
        <v>Kageuchi Nobushi</v>
      </c>
      <c r="G11" s="17">
        <f t="shared" ca="1" si="0"/>
        <v>0</v>
      </c>
      <c r="H11" s="34" t="s">
        <v>202</v>
      </c>
    </row>
    <row r="12" spans="1:8" ht="15.75" thickBot="1" x14ac:dyDescent="0.3">
      <c r="A12" s="227"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84" t="s">
        <v>18</v>
      </c>
      <c r="F13" s="2" t="str">
        <f t="shared" si="0"/>
        <v>Drop of Tainted Water</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85"/>
      <c r="F14" s="1" t="str">
        <f t="shared" si="0"/>
        <v>Scoop of Tainted Water</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86"/>
      <c r="F15" s="9" t="str">
        <f t="shared" si="0"/>
        <v>Newborn Tainted Hydro Eidolon</v>
      </c>
      <c r="G15" s="16">
        <f t="shared" ca="1" si="0"/>
        <v>0</v>
      </c>
      <c r="H15" s="35" t="s">
        <v>202</v>
      </c>
    </row>
    <row r="16" spans="1:8" x14ac:dyDescent="0.25">
      <c r="A16" s="184"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26" priority="1" operator="containsText" text="Done">
      <formula>NOT(ISERROR(SEARCH("Done",H4)))</formula>
    </cfRule>
    <cfRule type="containsText" dxfId="125" priority="2" operator="containsText" text="In Progress">
      <formula>NOT(ISERROR(SEARCH("In Progress",H4)))</formula>
    </cfRule>
  </conditionalFormatting>
  <dataValidations count="6">
    <dataValidation type="list" allowBlank="1" showInputMessage="1" showErrorMessage="1" sqref="C11" xr:uid="{1FC3F860-5977-4291-9A87-0D0DDE4E2145}">
      <formula1>IF(OR(VLOOKUP(B1,Weapon_List,3,FALSE)=1,VLOOKUP(B1,Weapon_List,3,FALSE)=2),Weapon_Ascension_Low_Rarity,Weapon_Ascension_High_Rarity)</formula1>
    </dataValidation>
    <dataValidation type="list" allowBlank="1" showInputMessage="1" showErrorMessage="1" sqref="B1" xr:uid="{D3992EEA-52E2-4BBA-922B-BB9854A72F86}">
      <formula1>Weapon_Name_List</formula1>
    </dataValidation>
    <dataValidation type="list" operator="equal" allowBlank="1" showInputMessage="1" showErrorMessage="1" sqref="B5" xr:uid="{76B1D378-AC01-4EF5-B2F2-3BA82D66C9C7}">
      <formula1>IF(OR(VLOOKUP(B1,Weapon_List,3,FALSE)=1,VLOOKUP(B1,Weapon_List,3,FALSE)=2),Weapon_Levels_Low_Rarity,Weapon_Levels_High_Rarity)</formula1>
    </dataValidation>
    <dataValidation type="list" operator="equal" allowBlank="1" showInputMessage="1" showErrorMessage="1" sqref="B4" xr:uid="{37D31931-50D8-4C02-8CCF-77AE74DE1298}">
      <formula1>IF(OR(VLOOKUP(B1,Weapon_List,3,FALSE)=1,VLOOKUP(B1,Weapon_List,3,FALSE)=2),Weapon_Levels_Low_Rarity,Weapon_Levels_High_Rarity)</formula1>
    </dataValidation>
    <dataValidation type="list" allowBlank="1" showInputMessage="1" showErrorMessage="1" sqref="C10" xr:uid="{55684D1E-627F-473C-BA5C-C7DAFC4D9BF0}">
      <formula1>IF(OR(VLOOKUP(B1,Weapon_List,3,FALSE)=1,VLOOKUP(B1,Weapon_List,3,FALSE)=2),Weapon_Ascension_Low_Rarity,Weapon_Ascension_High_Rarity)</formula1>
    </dataValidation>
    <dataValidation type="list" allowBlank="1" showInputMessage="1" showErrorMessage="1" sqref="H4:H15" xr:uid="{B98CD36B-00F7-43E9-B81A-5FCB22027BD1}">
      <formula1>"In Progress, Done"</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FF92B-FA44-4709-AF48-F5EC02B2081F}">
  <sheetPr codeName="Sheet26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171" t="s">
        <v>149</v>
      </c>
      <c r="B9" s="231"/>
      <c r="C9" s="172"/>
      <c r="E9" s="234"/>
      <c r="F9" s="44" t="str">
        <f t="shared" si="0"/>
        <v>Golden Goblet of the Pristine Sea</v>
      </c>
      <c r="G9" s="59">
        <f t="shared" ca="1" si="0"/>
        <v>0</v>
      </c>
      <c r="H9" s="34" t="s">
        <v>202</v>
      </c>
    </row>
    <row r="10" spans="1:8" ht="15.75" thickBot="1" x14ac:dyDescent="0.3">
      <c r="A10" s="173" t="s">
        <v>206</v>
      </c>
      <c r="B10" s="202"/>
      <c r="C10" s="43">
        <v>6</v>
      </c>
      <c r="E10" s="184" t="s">
        <v>19</v>
      </c>
      <c r="F10" s="2" t="str">
        <f t="shared" si="0"/>
        <v>Clockwork Meka</v>
      </c>
      <c r="G10" s="15">
        <f t="shared" ca="1" si="0"/>
        <v>0</v>
      </c>
      <c r="H10" s="34" t="s">
        <v>202</v>
      </c>
    </row>
    <row r="11" spans="1:8" ht="15.75" thickBot="1" x14ac:dyDescent="0.3">
      <c r="A11" s="173" t="s">
        <v>208</v>
      </c>
      <c r="B11" s="202"/>
      <c r="C11" s="43">
        <v>6</v>
      </c>
      <c r="E11" s="185"/>
      <c r="F11" s="1" t="str">
        <f t="shared" si="0"/>
        <v>Mechanical Spur Gear</v>
      </c>
      <c r="G11" s="17">
        <f t="shared" ca="1" si="0"/>
        <v>0</v>
      </c>
      <c r="H11" s="34" t="s">
        <v>202</v>
      </c>
    </row>
    <row r="12" spans="1:8" ht="15.75" thickBot="1" x14ac:dyDescent="0.3">
      <c r="A12" s="227"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4" t="s">
        <v>18</v>
      </c>
      <c r="F13" s="2" t="str">
        <f t="shared" si="0"/>
        <v>Rift Core</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5"/>
      <c r="F14" s="1" t="str">
        <f t="shared" si="0"/>
        <v>Foreign Synapse</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6"/>
      <c r="F15" s="9" t="str">
        <f t="shared" si="0"/>
        <v>Alien Life Core</v>
      </c>
      <c r="G15" s="16">
        <f t="shared" ca="1" si="0"/>
        <v>0</v>
      </c>
      <c r="H15" s="35" t="s">
        <v>202</v>
      </c>
    </row>
    <row r="16" spans="1:8" x14ac:dyDescent="0.25">
      <c r="A16" s="184"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24" priority="1" operator="containsText" text="Done">
      <formula>NOT(ISERROR(SEARCH("Done",H4)))</formula>
    </cfRule>
    <cfRule type="containsText" dxfId="123" priority="2" operator="containsText" text="In Progress">
      <formula>NOT(ISERROR(SEARCH("In Progress",H4)))</formula>
    </cfRule>
  </conditionalFormatting>
  <dataValidations count="6">
    <dataValidation type="list" allowBlank="1" showInputMessage="1" showErrorMessage="1" sqref="C11" xr:uid="{6DFC7E11-6E9D-448D-BEFF-4FAD65AD7A79}">
      <formula1>IF(OR(VLOOKUP(B1,Weapon_List,3,FALSE)=1,VLOOKUP(B1,Weapon_List,3,FALSE)=2),Weapon_Ascension_Low_Rarity,Weapon_Ascension_High_Rarity)</formula1>
    </dataValidation>
    <dataValidation type="list" allowBlank="1" showInputMessage="1" showErrorMessage="1" sqref="B1" xr:uid="{95CDBE49-0D5F-435F-83BD-61C7CE9E0261}">
      <formula1>Weapon_Name_List</formula1>
    </dataValidation>
    <dataValidation type="list" operator="equal" allowBlank="1" showInputMessage="1" showErrorMessage="1" sqref="B5" xr:uid="{C43AA926-BA9C-4699-8D10-E20D8A54DDE0}">
      <formula1>IF(OR(VLOOKUP(B1,Weapon_List,3,FALSE)=1,VLOOKUP(B1,Weapon_List,3,FALSE)=2),Weapon_Levels_Low_Rarity,Weapon_Levels_High_Rarity)</formula1>
    </dataValidation>
    <dataValidation type="list" operator="equal" allowBlank="1" showInputMessage="1" showErrorMessage="1" sqref="B4" xr:uid="{345BFAE7-67DB-4BBA-8618-AB1170B80638}">
      <formula1>IF(OR(VLOOKUP(B1,Weapon_List,3,FALSE)=1,VLOOKUP(B1,Weapon_List,3,FALSE)=2),Weapon_Levels_Low_Rarity,Weapon_Levels_High_Rarity)</formula1>
    </dataValidation>
    <dataValidation type="list" allowBlank="1" showInputMessage="1" showErrorMessage="1" sqref="C10" xr:uid="{51BAA970-2233-457E-ABC0-080899D01485}">
      <formula1>IF(OR(VLOOKUP(B1,Weapon_List,3,FALSE)=1,VLOOKUP(B1,Weapon_List,3,FALSE)=2),Weapon_Ascension_Low_Rarity,Weapon_Ascension_High_Rarity)</formula1>
    </dataValidation>
    <dataValidation type="list" allowBlank="1" showInputMessage="1" showErrorMessage="1" sqref="H4:H15" xr:uid="{83EFED74-8FFC-438B-8F28-2F70EF70CA7D}">
      <formula1>"In Progress, Done"</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C5D07-F10E-4132-8659-D2E907FC5213}">
  <sheetPr codeName="Sheet26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171" t="s">
        <v>149</v>
      </c>
      <c r="B9" s="231"/>
      <c r="C9" s="172"/>
      <c r="E9" s="234"/>
      <c r="F9" s="44" t="str">
        <f t="shared" si="0"/>
        <v>Golden Goblet of the Pristine Sea</v>
      </c>
      <c r="G9" s="59">
        <f t="shared" ca="1" si="0"/>
        <v>0</v>
      </c>
      <c r="H9" s="34" t="s">
        <v>202</v>
      </c>
    </row>
    <row r="10" spans="1:8" ht="15.75" thickBot="1" x14ac:dyDescent="0.3">
      <c r="A10" s="173" t="s">
        <v>206</v>
      </c>
      <c r="B10" s="202"/>
      <c r="C10" s="43">
        <v>6</v>
      </c>
      <c r="E10" s="184" t="s">
        <v>19</v>
      </c>
      <c r="F10" s="2" t="str">
        <f t="shared" si="0"/>
        <v>Clockwork Meka</v>
      </c>
      <c r="G10" s="15">
        <f t="shared" ca="1" si="0"/>
        <v>0</v>
      </c>
      <c r="H10" s="34" t="s">
        <v>202</v>
      </c>
    </row>
    <row r="11" spans="1:8" ht="15.75" thickBot="1" x14ac:dyDescent="0.3">
      <c r="A11" s="173" t="s">
        <v>208</v>
      </c>
      <c r="B11" s="202"/>
      <c r="C11" s="43">
        <v>6</v>
      </c>
      <c r="E11" s="185"/>
      <c r="F11" s="1" t="str">
        <f t="shared" si="0"/>
        <v>Mechanical Spur Gear</v>
      </c>
      <c r="G11" s="17">
        <f t="shared" ca="1" si="0"/>
        <v>0</v>
      </c>
      <c r="H11" s="34" t="s">
        <v>202</v>
      </c>
    </row>
    <row r="12" spans="1:8" ht="15.75" thickBot="1" x14ac:dyDescent="0.3">
      <c r="A12" s="227"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4" t="s">
        <v>18</v>
      </c>
      <c r="F13" s="2" t="str">
        <f t="shared" si="0"/>
        <v>Rift Core</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5"/>
      <c r="F14" s="1" t="str">
        <f t="shared" si="0"/>
        <v>Foreign Synapse</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6"/>
      <c r="F15" s="9" t="str">
        <f t="shared" si="0"/>
        <v>Alien Life Core</v>
      </c>
      <c r="G15" s="16">
        <f t="shared" ca="1" si="0"/>
        <v>0</v>
      </c>
      <c r="H15" s="35" t="s">
        <v>202</v>
      </c>
    </row>
    <row r="16" spans="1:8" x14ac:dyDescent="0.25">
      <c r="A16" s="184"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22" priority="1" operator="containsText" text="Done">
      <formula>NOT(ISERROR(SEARCH("Done",H4)))</formula>
    </cfRule>
    <cfRule type="containsText" dxfId="121" priority="2" operator="containsText" text="In Progress">
      <formula>NOT(ISERROR(SEARCH("In Progress",H4)))</formula>
    </cfRule>
  </conditionalFormatting>
  <dataValidations count="6">
    <dataValidation type="list" allowBlank="1" showInputMessage="1" showErrorMessage="1" sqref="C11" xr:uid="{0FD76964-2DF2-49FE-AFE0-9C3514A3E19C}">
      <formula1>IF(OR(VLOOKUP(B1,Weapon_List,3,FALSE)=1,VLOOKUP(B1,Weapon_List,3,FALSE)=2),Weapon_Ascension_Low_Rarity,Weapon_Ascension_High_Rarity)</formula1>
    </dataValidation>
    <dataValidation type="list" allowBlank="1" showInputMessage="1" showErrorMessage="1" sqref="B1" xr:uid="{07167515-DB00-4C75-A0BA-A3FB76853B3F}">
      <formula1>Weapon_Name_List</formula1>
    </dataValidation>
    <dataValidation type="list" operator="equal" allowBlank="1" showInputMessage="1" showErrorMessage="1" sqref="B5" xr:uid="{45D324D5-5C2E-4F0E-86B3-CED398E3B968}">
      <formula1>IF(OR(VLOOKUP(B1,Weapon_List,3,FALSE)=1,VLOOKUP(B1,Weapon_List,3,FALSE)=2),Weapon_Levels_Low_Rarity,Weapon_Levels_High_Rarity)</formula1>
    </dataValidation>
    <dataValidation type="list" operator="equal" allowBlank="1" showInputMessage="1" showErrorMessage="1" sqref="B4" xr:uid="{4367CDCD-DC35-4245-B89E-C45E9001A906}">
      <formula1>IF(OR(VLOOKUP(B1,Weapon_List,3,FALSE)=1,VLOOKUP(B1,Weapon_List,3,FALSE)=2),Weapon_Levels_Low_Rarity,Weapon_Levels_High_Rarity)</formula1>
    </dataValidation>
    <dataValidation type="list" allowBlank="1" showInputMessage="1" showErrorMessage="1" sqref="C10" xr:uid="{BB544FF0-0C93-4AA1-8C63-0FE2BAF0ACF1}">
      <formula1>IF(OR(VLOOKUP(B1,Weapon_List,3,FALSE)=1,VLOOKUP(B1,Weapon_List,3,FALSE)=2),Weapon_Ascension_Low_Rarity,Weapon_Ascension_High_Rarity)</formula1>
    </dataValidation>
    <dataValidation type="list" allowBlank="1" showInputMessage="1" showErrorMessage="1" sqref="H4:H15" xr:uid="{491258D7-67A3-4D30-90C2-8DCD0EDDA7F5}">
      <formula1>"In Progress, Done"</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3FEB4-829E-45CC-98EC-271F87147002}">
  <sheetPr codeName="Sheet264">
    <tabColor theme="4" tint="0.39997558519241921"/>
  </sheetPr>
  <dimension ref="A1:H22"/>
  <sheetViews>
    <sheetView workbookViewId="0">
      <selection activeCell="H11" sqref="H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171" t="s">
        <v>149</v>
      </c>
      <c r="B9" s="231"/>
      <c r="C9" s="172"/>
      <c r="E9" s="234"/>
      <c r="F9" s="44" t="str">
        <f t="shared" si="0"/>
        <v>Essense of Pure Sacred Dewdrop</v>
      </c>
      <c r="G9" s="59">
        <f t="shared" ca="1" si="0"/>
        <v>0</v>
      </c>
      <c r="H9" s="34" t="s">
        <v>202</v>
      </c>
    </row>
    <row r="10" spans="1:8" ht="15.75" thickBot="1" x14ac:dyDescent="0.3">
      <c r="A10" s="173" t="s">
        <v>206</v>
      </c>
      <c r="B10" s="202"/>
      <c r="C10" s="43">
        <v>6</v>
      </c>
      <c r="E10" s="184" t="s">
        <v>19</v>
      </c>
      <c r="F10" s="2" t="str">
        <f t="shared" si="0"/>
        <v>Transoceanic Pearl</v>
      </c>
      <c r="G10" s="15">
        <f t="shared" ca="1" si="0"/>
        <v>0</v>
      </c>
      <c r="H10" s="34" t="s">
        <v>202</v>
      </c>
    </row>
    <row r="11" spans="1:8" ht="15.75" thickBot="1" x14ac:dyDescent="0.3">
      <c r="A11" s="173" t="s">
        <v>208</v>
      </c>
      <c r="B11" s="202"/>
      <c r="C11" s="43">
        <v>6</v>
      </c>
      <c r="E11" s="185"/>
      <c r="F11" s="1" t="str">
        <f t="shared" si="0"/>
        <v>Transoceanic Chunk</v>
      </c>
      <c r="G11" s="17">
        <f t="shared" ca="1" si="0"/>
        <v>0</v>
      </c>
      <c r="H11" s="34" t="s">
        <v>202</v>
      </c>
    </row>
    <row r="12" spans="1:8" ht="15.75" thickBot="1" x14ac:dyDescent="0.3">
      <c r="A12" s="227"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84" t="s">
        <v>18</v>
      </c>
      <c r="F13" s="2" t="str">
        <f t="shared" si="0"/>
        <v>Rift Core</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85"/>
      <c r="F14" s="1" t="str">
        <f t="shared" si="0"/>
        <v>Foreign Synapse</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86"/>
      <c r="F15" s="9" t="str">
        <f t="shared" si="0"/>
        <v>Alien Life Core</v>
      </c>
      <c r="G15" s="16">
        <f t="shared" ca="1" si="0"/>
        <v>0</v>
      </c>
      <c r="H15" s="35" t="s">
        <v>202</v>
      </c>
    </row>
    <row r="16" spans="1:8" x14ac:dyDescent="0.25">
      <c r="A16" s="184"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20" priority="1" operator="containsText" text="Done">
      <formula>NOT(ISERROR(SEARCH("Done",H4)))</formula>
    </cfRule>
    <cfRule type="containsText" dxfId="119" priority="2" operator="containsText" text="In Progress">
      <formula>NOT(ISERROR(SEARCH("In Progress",H4)))</formula>
    </cfRule>
  </conditionalFormatting>
  <dataValidations count="6">
    <dataValidation type="list" allowBlank="1" showInputMessage="1" showErrorMessage="1" sqref="C11" xr:uid="{E464CB54-0858-47D9-AED3-165BD97895F4}">
      <formula1>IF(OR(VLOOKUP(B1,Weapon_List,3,FALSE)=1,VLOOKUP(B1,Weapon_List,3,FALSE)=2),Weapon_Ascension_Low_Rarity,Weapon_Ascension_High_Rarity)</formula1>
    </dataValidation>
    <dataValidation type="list" allowBlank="1" showInputMessage="1" showErrorMessage="1" sqref="B1" xr:uid="{CCDAC1B5-A162-4B96-A45E-032E25859C9E}">
      <formula1>Weapon_Name_List</formula1>
    </dataValidation>
    <dataValidation type="list" operator="equal" allowBlank="1" showInputMessage="1" showErrorMessage="1" sqref="B5" xr:uid="{3B1ED754-D103-4057-9102-8CD25B24A65A}">
      <formula1>IF(OR(VLOOKUP(B1,Weapon_List,3,FALSE)=1,VLOOKUP(B1,Weapon_List,3,FALSE)=2),Weapon_Levels_Low_Rarity,Weapon_Levels_High_Rarity)</formula1>
    </dataValidation>
    <dataValidation type="list" operator="equal" allowBlank="1" showInputMessage="1" showErrorMessage="1" sqref="B4" xr:uid="{3D49A8EA-F0A5-4CB3-85C5-78371169EF07}">
      <formula1>IF(OR(VLOOKUP(B1,Weapon_List,3,FALSE)=1,VLOOKUP(B1,Weapon_List,3,FALSE)=2),Weapon_Levels_Low_Rarity,Weapon_Levels_High_Rarity)</formula1>
    </dataValidation>
    <dataValidation type="list" allowBlank="1" showInputMessage="1" showErrorMessage="1" sqref="C10" xr:uid="{88B1C4CA-CFB4-423F-A65C-B02EFB07DFD3}">
      <formula1>IF(OR(VLOOKUP(B1,Weapon_List,3,FALSE)=1,VLOOKUP(B1,Weapon_List,3,FALSE)=2),Weapon_Ascension_Low_Rarity,Weapon_Ascension_High_Rarity)</formula1>
    </dataValidation>
    <dataValidation type="list" allowBlank="1" showInputMessage="1" showErrorMessage="1" sqref="H4:H15" xr:uid="{AB304EC0-38DD-459D-997D-6672690DA991}">
      <formula1>"In Progress, Done"</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6AB88-3E76-40FF-BE0C-AB6D1403D7A6}">
  <sheetPr codeName="Sheet26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171" t="s">
        <v>149</v>
      </c>
      <c r="B9" s="231"/>
      <c r="C9" s="172"/>
      <c r="E9" s="234"/>
      <c r="F9" s="44" t="str">
        <f t="shared" si="0"/>
        <v>Echo of an Ancient Chord</v>
      </c>
      <c r="G9" s="59">
        <f t="shared" ca="1" si="0"/>
        <v>0</v>
      </c>
      <c r="H9" s="34" t="s">
        <v>202</v>
      </c>
    </row>
    <row r="10" spans="1:8" ht="15.75" thickBot="1" x14ac:dyDescent="0.3">
      <c r="A10" s="173" t="s">
        <v>206</v>
      </c>
      <c r="B10" s="202"/>
      <c r="C10" s="43">
        <v>6</v>
      </c>
      <c r="E10" s="184" t="s">
        <v>19</v>
      </c>
      <c r="F10" s="2" t="str">
        <f t="shared" si="0"/>
        <v>Firm Arrowhead</v>
      </c>
      <c r="G10" s="15">
        <f t="shared" ca="1" si="0"/>
        <v>0</v>
      </c>
      <c r="H10" s="34" t="s">
        <v>202</v>
      </c>
    </row>
    <row r="11" spans="1:8" ht="15.75" thickBot="1" x14ac:dyDescent="0.3">
      <c r="A11" s="173" t="s">
        <v>208</v>
      </c>
      <c r="B11" s="202"/>
      <c r="C11" s="43">
        <v>6</v>
      </c>
      <c r="E11" s="185"/>
      <c r="F11" s="1" t="str">
        <f t="shared" si="0"/>
        <v>Sharp Arrowhead</v>
      </c>
      <c r="G11" s="17">
        <f t="shared" ca="1" si="0"/>
        <v>0</v>
      </c>
      <c r="H11" s="34" t="s">
        <v>202</v>
      </c>
    </row>
    <row r="12" spans="1:8" ht="15.75" thickBot="1" x14ac:dyDescent="0.3">
      <c r="A12" s="227"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4"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5"/>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6"/>
      <c r="F15" s="9" t="str">
        <f t="shared" si="0"/>
        <v>Newborn Tainted Hydro Eidolon</v>
      </c>
      <c r="G15" s="16">
        <f t="shared" ca="1" si="0"/>
        <v>0</v>
      </c>
      <c r="H15" s="35" t="s">
        <v>202</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18" priority="1" operator="containsText" text="Done">
      <formula>NOT(ISERROR(SEARCH("Done",H4)))</formula>
    </cfRule>
    <cfRule type="containsText" dxfId="117" priority="2" operator="containsText" text="In Progress">
      <formula>NOT(ISERROR(SEARCH("In Progress",H4)))</formula>
    </cfRule>
  </conditionalFormatting>
  <dataValidations count="6">
    <dataValidation type="list" allowBlank="1" showInputMessage="1" showErrorMessage="1" sqref="C11" xr:uid="{D7904FEB-133A-49F5-8A84-8D686BC99144}">
      <formula1>IF(OR(VLOOKUP(B1,Weapon_List,3,FALSE)=1,VLOOKUP(B1,Weapon_List,3,FALSE)=2),Weapon_Ascension_Low_Rarity,Weapon_Ascension_High_Rarity)</formula1>
    </dataValidation>
    <dataValidation type="list" allowBlank="1" showInputMessage="1" showErrorMessage="1" sqref="B1" xr:uid="{506A1884-69C6-4C93-B442-DF214DEB31FA}">
      <formula1>Weapon_Name_List</formula1>
    </dataValidation>
    <dataValidation type="list" operator="equal" allowBlank="1" showInputMessage="1" showErrorMessage="1" sqref="B5" xr:uid="{1B22CD65-3311-4117-98CC-CD8B08EAB757}">
      <formula1>IF(OR(VLOOKUP(B1,Weapon_List,3,FALSE)=1,VLOOKUP(B1,Weapon_List,3,FALSE)=2),Weapon_Levels_Low_Rarity,Weapon_Levels_High_Rarity)</formula1>
    </dataValidation>
    <dataValidation type="list" operator="equal" allowBlank="1" showInputMessage="1" showErrorMessage="1" sqref="B4" xr:uid="{220B832D-7FB3-4BDC-8973-6EF1B48471BE}">
      <formula1>IF(OR(VLOOKUP(B1,Weapon_List,3,FALSE)=1,VLOOKUP(B1,Weapon_List,3,FALSE)=2),Weapon_Levels_Low_Rarity,Weapon_Levels_High_Rarity)</formula1>
    </dataValidation>
    <dataValidation type="list" allowBlank="1" showInputMessage="1" showErrorMessage="1" sqref="C10" xr:uid="{60B93082-E455-487B-93F3-1F251B6BAA66}">
      <formula1>IF(OR(VLOOKUP(B1,Weapon_List,3,FALSE)=1,VLOOKUP(B1,Weapon_List,3,FALSE)=2),Weapon_Ascension_Low_Rarity,Weapon_Ascension_High_Rarity)</formula1>
    </dataValidation>
    <dataValidation type="list" allowBlank="1" showInputMessage="1" showErrorMessage="1" sqref="H4:H15" xr:uid="{4D954732-C821-468F-99C0-452E6D688591}">
      <formula1>"In Progress, Done"</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A659F-CFFA-4690-8EAB-389F06781981}">
  <sheetPr codeName="Sheet266">
    <tabColor theme="4" tint="0.39997558519241921"/>
  </sheetPr>
  <dimension ref="A1:H22"/>
  <sheetViews>
    <sheetView workbookViewId="0">
      <selection activeCell="F17" sqref="F1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171" t="s">
        <v>149</v>
      </c>
      <c r="B9" s="231"/>
      <c r="C9" s="172"/>
      <c r="E9" s="234"/>
      <c r="F9" s="44" t="str">
        <f t="shared" si="0"/>
        <v>Echo of an Ancient Chord</v>
      </c>
      <c r="G9" s="59">
        <f t="shared" ca="1" si="0"/>
        <v>0</v>
      </c>
      <c r="H9" s="34" t="s">
        <v>202</v>
      </c>
    </row>
    <row r="10" spans="1:8" ht="15.75" thickBot="1" x14ac:dyDescent="0.3">
      <c r="A10" s="173" t="s">
        <v>206</v>
      </c>
      <c r="B10" s="202"/>
      <c r="C10" s="43">
        <v>6</v>
      </c>
      <c r="E10" s="184" t="s">
        <v>19</v>
      </c>
      <c r="F10" s="2" t="str">
        <f t="shared" si="0"/>
        <v>Transoceanic Pearl</v>
      </c>
      <c r="G10" s="15">
        <f t="shared" ca="1" si="0"/>
        <v>0</v>
      </c>
      <c r="H10" s="34" t="s">
        <v>202</v>
      </c>
    </row>
    <row r="11" spans="1:8" ht="15.75" thickBot="1" x14ac:dyDescent="0.3">
      <c r="A11" s="173" t="s">
        <v>208</v>
      </c>
      <c r="B11" s="202"/>
      <c r="C11" s="43">
        <v>6</v>
      </c>
      <c r="E11" s="185"/>
      <c r="F11" s="1" t="str">
        <f t="shared" si="0"/>
        <v>Transoceanic Chunk</v>
      </c>
      <c r="G11" s="17">
        <f t="shared" ca="1" si="0"/>
        <v>0</v>
      </c>
      <c r="H11" s="34" t="s">
        <v>202</v>
      </c>
    </row>
    <row r="12" spans="1:8" ht="15.75" thickBot="1" x14ac:dyDescent="0.3">
      <c r="A12" s="227"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4"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5"/>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6"/>
      <c r="F15" s="9" t="str">
        <f t="shared" si="0"/>
        <v>Newborn Tainted Hydro Eidolon</v>
      </c>
      <c r="G15" s="16">
        <f t="shared" ca="1" si="0"/>
        <v>0</v>
      </c>
      <c r="H15" s="35" t="s">
        <v>202</v>
      </c>
    </row>
    <row r="16" spans="1:8" x14ac:dyDescent="0.25">
      <c r="A16" s="184"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16" priority="1" operator="containsText" text="Done">
      <formula>NOT(ISERROR(SEARCH("Done",H4)))</formula>
    </cfRule>
    <cfRule type="containsText" dxfId="115" priority="2" operator="containsText" text="In Progress">
      <formula>NOT(ISERROR(SEARCH("In Progress",H4)))</formula>
    </cfRule>
  </conditionalFormatting>
  <dataValidations count="6">
    <dataValidation type="list" allowBlank="1" showInputMessage="1" showErrorMessage="1" sqref="C11" xr:uid="{018B54C9-FB4E-4D26-8EBB-B587199EB533}">
      <formula1>IF(OR(VLOOKUP(B1,Weapon_List,3,FALSE)=1,VLOOKUP(B1,Weapon_List,3,FALSE)=2),Weapon_Ascension_Low_Rarity,Weapon_Ascension_High_Rarity)</formula1>
    </dataValidation>
    <dataValidation type="list" allowBlank="1" showInputMessage="1" showErrorMessage="1" sqref="B1" xr:uid="{9B42275F-4452-4ACA-A91E-EC5A27EC9911}">
      <formula1>Weapon_Name_List</formula1>
    </dataValidation>
    <dataValidation type="list" operator="equal" allowBlank="1" showInputMessage="1" showErrorMessage="1" sqref="B5" xr:uid="{1969CE09-1845-4643-BBB8-13E655FFC3F3}">
      <formula1>IF(OR(VLOOKUP(B1,Weapon_List,3,FALSE)=1,VLOOKUP(B1,Weapon_List,3,FALSE)=2),Weapon_Levels_Low_Rarity,Weapon_Levels_High_Rarity)</formula1>
    </dataValidation>
    <dataValidation type="list" operator="equal" allowBlank="1" showInputMessage="1" showErrorMessage="1" sqref="B4" xr:uid="{6EACB482-B4E0-4FBA-AAD3-B1BA0D858C53}">
      <formula1>IF(OR(VLOOKUP(B1,Weapon_List,3,FALSE)=1,VLOOKUP(B1,Weapon_List,3,FALSE)=2),Weapon_Levels_Low_Rarity,Weapon_Levels_High_Rarity)</formula1>
    </dataValidation>
    <dataValidation type="list" allowBlank="1" showInputMessage="1" showErrorMessage="1" sqref="C10" xr:uid="{8D7EE6AF-5171-4051-87AB-BC74EEF20CEE}">
      <formula1>IF(OR(VLOOKUP(B1,Weapon_List,3,FALSE)=1,VLOOKUP(B1,Weapon_List,3,FALSE)=2),Weapon_Ascension_Low_Rarity,Weapon_Ascension_High_Rarity)</formula1>
    </dataValidation>
    <dataValidation type="list" allowBlank="1" showInputMessage="1" showErrorMessage="1" sqref="H4:H15" xr:uid="{270C6A59-E056-4C0F-AF83-E19FA43DB0D5}">
      <formula1>"In Progress, Done"</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3015D-8FEF-4D32-9FC7-CDB0458356B4}">
  <sheetPr codeName="Sheet26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171" t="s">
        <v>149</v>
      </c>
      <c r="B9" s="231"/>
      <c r="C9" s="172"/>
      <c r="E9" s="234"/>
      <c r="F9" s="44" t="str">
        <f t="shared" si="0"/>
        <v>Echo of an Ancient Chord</v>
      </c>
      <c r="G9" s="59">
        <f t="shared" ca="1" si="0"/>
        <v>0</v>
      </c>
      <c r="H9" s="34" t="s">
        <v>202</v>
      </c>
    </row>
    <row r="10" spans="1:8" ht="15.75" thickBot="1" x14ac:dyDescent="0.3">
      <c r="A10" s="173" t="s">
        <v>206</v>
      </c>
      <c r="B10" s="202"/>
      <c r="C10" s="43">
        <v>6</v>
      </c>
      <c r="E10" s="184" t="s">
        <v>19</v>
      </c>
      <c r="F10" s="2" t="str">
        <f t="shared" si="0"/>
        <v>Transoceanic Pearl</v>
      </c>
      <c r="G10" s="15">
        <f t="shared" ca="1" si="0"/>
        <v>0</v>
      </c>
      <c r="H10" s="34" t="s">
        <v>202</v>
      </c>
    </row>
    <row r="11" spans="1:8" ht="15.75" thickBot="1" x14ac:dyDescent="0.3">
      <c r="A11" s="173" t="s">
        <v>208</v>
      </c>
      <c r="B11" s="202"/>
      <c r="C11" s="43">
        <v>6</v>
      </c>
      <c r="E11" s="185"/>
      <c r="F11" s="1" t="str">
        <f t="shared" si="0"/>
        <v>Transoceanic Chunk</v>
      </c>
      <c r="G11" s="17">
        <f t="shared" ca="1" si="0"/>
        <v>0</v>
      </c>
      <c r="H11" s="34" t="s">
        <v>202</v>
      </c>
    </row>
    <row r="12" spans="1:8" ht="15.75" thickBot="1" x14ac:dyDescent="0.3">
      <c r="A12" s="227"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4"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5"/>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6"/>
      <c r="F15" s="9" t="str">
        <f t="shared" si="0"/>
        <v>Newborn Tainted Hydro Eidolon</v>
      </c>
      <c r="G15" s="16">
        <f t="shared" ca="1" si="0"/>
        <v>0</v>
      </c>
      <c r="H15" s="35" t="s">
        <v>202</v>
      </c>
    </row>
    <row r="16" spans="1:8" x14ac:dyDescent="0.25">
      <c r="A16" s="184"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14" priority="1" operator="containsText" text="Done">
      <formula>NOT(ISERROR(SEARCH("Done",H4)))</formula>
    </cfRule>
    <cfRule type="containsText" dxfId="113" priority="2" operator="containsText" text="In Progress">
      <formula>NOT(ISERROR(SEARCH("In Progress",H4)))</formula>
    </cfRule>
  </conditionalFormatting>
  <dataValidations count="6">
    <dataValidation type="list" allowBlank="1" showInputMessage="1" showErrorMessage="1" sqref="H4:H15" xr:uid="{976903C7-FA5C-468A-93EF-E0B703AA13CF}">
      <formula1>"In Progress, Done"</formula1>
    </dataValidation>
    <dataValidation type="list" allowBlank="1" showInputMessage="1" showErrorMessage="1" sqref="C10" xr:uid="{147AA5FD-F7E8-470C-B8FE-C951552330F7}">
      <formula1>IF(OR(VLOOKUP(B1,Weapon_List,3,FALSE)=1,VLOOKUP(B1,Weapon_List,3,FALSE)=2),Weapon_Ascension_Low_Rarity,Weapon_Ascension_High_Rarity)</formula1>
    </dataValidation>
    <dataValidation type="list" operator="equal" allowBlank="1" showInputMessage="1" showErrorMessage="1" sqref="B4" xr:uid="{0090560D-1DE6-4BAF-896C-2E5A4AD2690F}">
      <formula1>IF(OR(VLOOKUP(B1,Weapon_List,3,FALSE)=1,VLOOKUP(B1,Weapon_List,3,FALSE)=2),Weapon_Levels_Low_Rarity,Weapon_Levels_High_Rarity)</formula1>
    </dataValidation>
    <dataValidation type="list" operator="equal" allowBlank="1" showInputMessage="1" showErrorMessage="1" sqref="B5" xr:uid="{52ACB960-2110-416E-B800-DC7492A6DD25}">
      <formula1>IF(OR(VLOOKUP(B1,Weapon_List,3,FALSE)=1,VLOOKUP(B1,Weapon_List,3,FALSE)=2),Weapon_Levels_Low_Rarity,Weapon_Levels_High_Rarity)</formula1>
    </dataValidation>
    <dataValidation type="list" allowBlank="1" showInputMessage="1" showErrorMessage="1" sqref="B1" xr:uid="{F09BBE14-DAE7-4029-9606-6A66A000A023}">
      <formula1>Weapon_Name_List</formula1>
    </dataValidation>
    <dataValidation type="list" allowBlank="1" showInputMessage="1" showErrorMessage="1" sqref="C11" xr:uid="{40F59EAF-FD5D-4A76-8303-30F641EC94AA}">
      <formula1>IF(OR(VLOOKUP(B1,Weapon_List,3,FALSE)=1,VLOOKUP(B1,Weapon_List,3,FALSE)=2),Weapon_Ascension_Low_Rarity,Weapon_Ascension_High_Rarity)</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B6AB3-FB07-4121-8F0B-A8DE89964B2C}">
  <sheetPr codeName="Sheet26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171" t="s">
        <v>149</v>
      </c>
      <c r="B9" s="231"/>
      <c r="C9" s="172"/>
      <c r="E9" s="234"/>
      <c r="F9" s="44" t="str">
        <f t="shared" si="0"/>
        <v>Essense of Pure Sacred Dewdrop</v>
      </c>
      <c r="G9" s="59">
        <f t="shared" ca="1" si="0"/>
        <v>0</v>
      </c>
      <c r="H9" s="34" t="s">
        <v>202</v>
      </c>
    </row>
    <row r="10" spans="1:8" ht="15.75" thickBot="1" x14ac:dyDescent="0.3">
      <c r="A10" s="173" t="s">
        <v>206</v>
      </c>
      <c r="B10" s="202"/>
      <c r="C10" s="43">
        <v>6</v>
      </c>
      <c r="E10" s="184" t="s">
        <v>19</v>
      </c>
      <c r="F10" s="2" t="str">
        <f t="shared" si="0"/>
        <v>Clockwork Meka</v>
      </c>
      <c r="G10" s="15">
        <f t="shared" ca="1" si="0"/>
        <v>0</v>
      </c>
      <c r="H10" s="34" t="s">
        <v>202</v>
      </c>
    </row>
    <row r="11" spans="1:8" ht="15.75" thickBot="1" x14ac:dyDescent="0.3">
      <c r="A11" s="173" t="s">
        <v>208</v>
      </c>
      <c r="B11" s="202"/>
      <c r="C11" s="43">
        <v>6</v>
      </c>
      <c r="E11" s="185"/>
      <c r="F11" s="1" t="str">
        <f t="shared" si="0"/>
        <v>Mechanical Spur Gear</v>
      </c>
      <c r="G11" s="17">
        <f t="shared" ca="1" si="0"/>
        <v>0</v>
      </c>
      <c r="H11" s="34" t="s">
        <v>202</v>
      </c>
    </row>
    <row r="12" spans="1:8" ht="15.75" thickBot="1" x14ac:dyDescent="0.3">
      <c r="A12" s="227"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84" t="s">
        <v>18</v>
      </c>
      <c r="F13" s="2" t="str">
        <f t="shared" si="0"/>
        <v>Rift Core</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85"/>
      <c r="F14" s="1" t="str">
        <f t="shared" si="0"/>
        <v>Foreign Synapse</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86"/>
      <c r="F15" s="9" t="str">
        <f t="shared" si="0"/>
        <v>Alien Life Core</v>
      </c>
      <c r="G15" s="16">
        <f t="shared" ca="1" si="0"/>
        <v>0</v>
      </c>
      <c r="H15" s="35" t="s">
        <v>202</v>
      </c>
    </row>
    <row r="16" spans="1:8" x14ac:dyDescent="0.25">
      <c r="A16" s="184"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2" priority="1" operator="containsText" text="Done">
      <formula>NOT(ISERROR(SEARCH("Done",H4)))</formula>
    </cfRule>
    <cfRule type="containsText" dxfId="111" priority="2" operator="containsText" text="In Progress">
      <formula>NOT(ISERROR(SEARCH("In Progress",H4)))</formula>
    </cfRule>
  </conditionalFormatting>
  <dataValidations count="6">
    <dataValidation type="list" allowBlank="1" showInputMessage="1" showErrorMessage="1" sqref="C11" xr:uid="{A51109A2-5737-48C9-9161-869CCEAD93D9}">
      <formula1>IF(OR(VLOOKUP(B1,Weapon_List,3,FALSE)=1,VLOOKUP(B1,Weapon_List,3,FALSE)=2),Weapon_Ascension_Low_Rarity,Weapon_Ascension_High_Rarity)</formula1>
    </dataValidation>
    <dataValidation type="list" allowBlank="1" showInputMessage="1" showErrorMessage="1" sqref="B1" xr:uid="{F7950AA8-4BF8-46D5-A752-788ECB75E802}">
      <formula1>Weapon_Name_List</formula1>
    </dataValidation>
    <dataValidation type="list" operator="equal" allowBlank="1" showInputMessage="1" showErrorMessage="1" sqref="B5" xr:uid="{8115C526-7B3A-4F5E-9847-60A0054DC2EE}">
      <formula1>IF(OR(VLOOKUP(B1,Weapon_List,3,FALSE)=1,VLOOKUP(B1,Weapon_List,3,FALSE)=2),Weapon_Levels_Low_Rarity,Weapon_Levels_High_Rarity)</formula1>
    </dataValidation>
    <dataValidation type="list" operator="equal" allowBlank="1" showInputMessage="1" showErrorMessage="1" sqref="B4" xr:uid="{BB457058-6591-437F-AEA4-DE326ACE643E}">
      <formula1>IF(OR(VLOOKUP(B1,Weapon_List,3,FALSE)=1,VLOOKUP(B1,Weapon_List,3,FALSE)=2),Weapon_Levels_Low_Rarity,Weapon_Levels_High_Rarity)</formula1>
    </dataValidation>
    <dataValidation type="list" allowBlank="1" showInputMessage="1" showErrorMessage="1" sqref="C10" xr:uid="{915AE268-49D1-42DB-B3BD-5A8A51678DD4}">
      <formula1>IF(OR(VLOOKUP(B1,Weapon_List,3,FALSE)=1,VLOOKUP(B1,Weapon_List,3,FALSE)=2),Weapon_Ascension_Low_Rarity,Weapon_Ascension_High_Rarity)</formula1>
    </dataValidation>
    <dataValidation type="list" allowBlank="1" showInputMessage="1" showErrorMessage="1" sqref="H4:H15" xr:uid="{F65EA67D-0B1A-40C2-AED8-E0BB8FF67BBD}">
      <formula1>"In Progress, Done"</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55C17-4F3C-445A-8EDB-16255F7AA47B}">
  <sheetPr codeName="Sheet269">
    <tabColor theme="4" tint="0.39997558519241921"/>
  </sheetPr>
  <dimension ref="A1:H22"/>
  <sheetViews>
    <sheetView workbookViewId="0">
      <selection activeCell="F52" sqref="F5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171" t="s">
        <v>149</v>
      </c>
      <c r="B9" s="231"/>
      <c r="C9" s="172"/>
      <c r="E9" s="234"/>
      <c r="F9" s="44" t="str">
        <f t="shared" si="0"/>
        <v>Essense of Pure Sacred Dewdrop</v>
      </c>
      <c r="G9" s="59">
        <f t="shared" ca="1" si="0"/>
        <v>0</v>
      </c>
      <c r="H9" s="34" t="s">
        <v>202</v>
      </c>
    </row>
    <row r="10" spans="1:8" ht="15.75" thickBot="1" x14ac:dyDescent="0.3">
      <c r="A10" s="173" t="s">
        <v>206</v>
      </c>
      <c r="B10" s="202"/>
      <c r="C10" s="43">
        <v>6</v>
      </c>
      <c r="E10" s="184" t="s">
        <v>19</v>
      </c>
      <c r="F10" s="2" t="str">
        <f t="shared" si="0"/>
        <v>Transoceanic Pearl</v>
      </c>
      <c r="G10" s="15">
        <f t="shared" ca="1" si="0"/>
        <v>0</v>
      </c>
      <c r="H10" s="34" t="s">
        <v>202</v>
      </c>
    </row>
    <row r="11" spans="1:8" ht="15.75" thickBot="1" x14ac:dyDescent="0.3">
      <c r="A11" s="173" t="s">
        <v>208</v>
      </c>
      <c r="B11" s="202"/>
      <c r="C11" s="43">
        <v>6</v>
      </c>
      <c r="E11" s="185"/>
      <c r="F11" s="1" t="str">
        <f t="shared" si="0"/>
        <v>Transoceanic Chunk</v>
      </c>
      <c r="G11" s="17">
        <f t="shared" ca="1" si="0"/>
        <v>0</v>
      </c>
      <c r="H11" s="34" t="s">
        <v>202</v>
      </c>
    </row>
    <row r="12" spans="1:8" ht="15.75" thickBot="1" x14ac:dyDescent="0.3">
      <c r="A12" s="227"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84" t="s">
        <v>18</v>
      </c>
      <c r="F13" s="2" t="str">
        <f t="shared" si="0"/>
        <v>Old Operative's Pocket Watch</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85"/>
      <c r="F14" s="1" t="str">
        <f t="shared" si="0"/>
        <v>Operative's Standard Pocket Watch</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86"/>
      <c r="F15" s="9" t="str">
        <f t="shared" si="0"/>
        <v>Operative's Constancy</v>
      </c>
      <c r="G15" s="16">
        <f t="shared" ca="1" si="0"/>
        <v>0</v>
      </c>
      <c r="H15" s="35" t="s">
        <v>202</v>
      </c>
    </row>
    <row r="16" spans="1:8" x14ac:dyDescent="0.25">
      <c r="A16" s="184"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0" priority="1" operator="containsText" text="Done">
      <formula>NOT(ISERROR(SEARCH("Done",H4)))</formula>
    </cfRule>
    <cfRule type="containsText" dxfId="109" priority="2" operator="containsText" text="In Progress">
      <formula>NOT(ISERROR(SEARCH("In Progress",H4)))</formula>
    </cfRule>
  </conditionalFormatting>
  <dataValidations count="6">
    <dataValidation type="list" allowBlank="1" showInputMessage="1" showErrorMessage="1" sqref="C11" xr:uid="{B86257AE-FCB3-4CDA-B37D-1F89EA03D087}">
      <formula1>IF(OR(VLOOKUP(B1,Weapon_List,3,FALSE)=1,VLOOKUP(B1,Weapon_List,3,FALSE)=2),Weapon_Ascension_Low_Rarity,Weapon_Ascension_High_Rarity)</formula1>
    </dataValidation>
    <dataValidation type="list" allowBlank="1" showInputMessage="1" showErrorMessage="1" sqref="B1" xr:uid="{05C86C3D-0D7E-43A4-946D-329E0E62ED46}">
      <formula1>Weapon_Name_List</formula1>
    </dataValidation>
    <dataValidation type="list" operator="equal" allowBlank="1" showInputMessage="1" showErrorMessage="1" sqref="B5" xr:uid="{F2028081-A266-446F-BDDF-A9B24E7DF1DB}">
      <formula1>IF(OR(VLOOKUP(B1,Weapon_List,3,FALSE)=1,VLOOKUP(B1,Weapon_List,3,FALSE)=2),Weapon_Levels_Low_Rarity,Weapon_Levels_High_Rarity)</formula1>
    </dataValidation>
    <dataValidation type="list" operator="equal" allowBlank="1" showInputMessage="1" showErrorMessage="1" sqref="B4" xr:uid="{7FE384FF-E461-4354-B9DE-6DAFCB76FFF3}">
      <formula1>IF(OR(VLOOKUP(B1,Weapon_List,3,FALSE)=1,VLOOKUP(B1,Weapon_List,3,FALSE)=2),Weapon_Levels_Low_Rarity,Weapon_Levels_High_Rarity)</formula1>
    </dataValidation>
    <dataValidation type="list" allowBlank="1" showInputMessage="1" showErrorMessage="1" sqref="C10" xr:uid="{7831F42B-2490-485B-AEEC-B1EA57EF7057}">
      <formula1>IF(OR(VLOOKUP(B1,Weapon_List,3,FALSE)=1,VLOOKUP(B1,Weapon_List,3,FALSE)=2),Weapon_Ascension_Low_Rarity,Weapon_Ascension_High_Rarity)</formula1>
    </dataValidation>
    <dataValidation type="list" allowBlank="1" showInputMessage="1" showErrorMessage="1" sqref="H4:H15" xr:uid="{7E277104-BC92-4B3B-8BD6-3FB9A9613668}">
      <formula1>"In Progress, Done"</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92587-3001-4141-B231-E5A3DA71431D}">
  <sheetPr codeName="Sheet27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171" t="s">
        <v>149</v>
      </c>
      <c r="B9" s="231"/>
      <c r="C9" s="172"/>
      <c r="E9" s="234"/>
      <c r="F9" s="44" t="str">
        <f t="shared" si="0"/>
        <v>Golden Goblet of the Pristine Sea</v>
      </c>
      <c r="G9" s="59">
        <f t="shared" ca="1" si="0"/>
        <v>0</v>
      </c>
      <c r="H9" s="34" t="s">
        <v>202</v>
      </c>
    </row>
    <row r="10" spans="1:8" ht="15.75" thickBot="1" x14ac:dyDescent="0.3">
      <c r="A10" s="173" t="s">
        <v>206</v>
      </c>
      <c r="B10" s="202"/>
      <c r="C10" s="43">
        <v>6</v>
      </c>
      <c r="E10" s="184" t="s">
        <v>19</v>
      </c>
      <c r="F10" s="2" t="str">
        <f t="shared" si="0"/>
        <v>Clockwork Meka</v>
      </c>
      <c r="G10" s="15">
        <f t="shared" ca="1" si="0"/>
        <v>0</v>
      </c>
      <c r="H10" s="34" t="s">
        <v>202</v>
      </c>
    </row>
    <row r="11" spans="1:8" ht="15.75" thickBot="1" x14ac:dyDescent="0.3">
      <c r="A11" s="173" t="s">
        <v>208</v>
      </c>
      <c r="B11" s="202"/>
      <c r="C11" s="43">
        <v>6</v>
      </c>
      <c r="E11" s="185"/>
      <c r="F11" s="1" t="str">
        <f t="shared" si="0"/>
        <v>Mechanical Spur Gear</v>
      </c>
      <c r="G11" s="17">
        <f t="shared" ca="1" si="0"/>
        <v>0</v>
      </c>
      <c r="H11" s="34" t="s">
        <v>202</v>
      </c>
    </row>
    <row r="12" spans="1:8" ht="15.75" thickBot="1" x14ac:dyDescent="0.3">
      <c r="A12" s="227"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4" t="s">
        <v>18</v>
      </c>
      <c r="F13" s="2" t="str">
        <f t="shared" si="0"/>
        <v>Rift Core</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5"/>
      <c r="F14" s="1" t="str">
        <f t="shared" si="0"/>
        <v>Foreign Synapse</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6"/>
      <c r="F15" s="9" t="str">
        <f t="shared" si="0"/>
        <v>Alien Life Core</v>
      </c>
      <c r="G15" s="16">
        <f t="shared" ca="1" si="0"/>
        <v>0</v>
      </c>
      <c r="H15" s="35" t="s">
        <v>202</v>
      </c>
    </row>
    <row r="16" spans="1:8" x14ac:dyDescent="0.25">
      <c r="A16" s="184"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08" priority="1" operator="containsText" text="Done">
      <formula>NOT(ISERROR(SEARCH("Done",H4)))</formula>
    </cfRule>
    <cfRule type="containsText" dxfId="107" priority="2" operator="containsText" text="In Progress">
      <formula>NOT(ISERROR(SEARCH("In Progress",H4)))</formula>
    </cfRule>
  </conditionalFormatting>
  <dataValidations count="6">
    <dataValidation type="list" allowBlank="1" showInputMessage="1" showErrorMessage="1" sqref="C11" xr:uid="{4541CFBF-F3FF-428F-A2ED-5BD2440771E3}">
      <formula1>IF(OR(VLOOKUP(B1,Weapon_List,3,FALSE)=1,VLOOKUP(B1,Weapon_List,3,FALSE)=2),Weapon_Ascension_Low_Rarity,Weapon_Ascension_High_Rarity)</formula1>
    </dataValidation>
    <dataValidation type="list" allowBlank="1" showInputMessage="1" showErrorMessage="1" sqref="B1" xr:uid="{8EFE1BC0-C50B-4C49-B8C4-C5063B4B1928}">
      <formula1>Weapon_Name_List</formula1>
    </dataValidation>
    <dataValidation type="list" operator="equal" allowBlank="1" showInputMessage="1" showErrorMessage="1" sqref="B5" xr:uid="{725CADA4-85CC-441A-89F2-4CA3EA507AC4}">
      <formula1>IF(OR(VLOOKUP(B1,Weapon_List,3,FALSE)=1,VLOOKUP(B1,Weapon_List,3,FALSE)=2),Weapon_Levels_Low_Rarity,Weapon_Levels_High_Rarity)</formula1>
    </dataValidation>
    <dataValidation type="list" operator="equal" allowBlank="1" showInputMessage="1" showErrorMessage="1" sqref="B4" xr:uid="{E8AB1F23-CCAD-4D85-90DE-95BFDE5ECE9A}">
      <formula1>IF(OR(VLOOKUP(B1,Weapon_List,3,FALSE)=1,VLOOKUP(B1,Weapon_List,3,FALSE)=2),Weapon_Levels_Low_Rarity,Weapon_Levels_High_Rarity)</formula1>
    </dataValidation>
    <dataValidation type="list" allowBlank="1" showInputMessage="1" showErrorMessage="1" sqref="C10" xr:uid="{EC860B26-A0EF-460B-B276-6CA05FA1ED9C}">
      <formula1>IF(OR(VLOOKUP(B1,Weapon_List,3,FALSE)=1,VLOOKUP(B1,Weapon_List,3,FALSE)=2),Weapon_Ascension_Low_Rarity,Weapon_Ascension_High_Rarity)</formula1>
    </dataValidation>
    <dataValidation type="list" allowBlank="1" showInputMessage="1" showErrorMessage="1" sqref="H4:H15" xr:uid="{A6E20F0D-D5AA-4EA3-8AC9-778F57303036}">
      <formula1>"In Progress, Done"</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FDF1C-CAA7-46F9-901F-216F01375C80}">
  <sheetPr codeName="Sheet271">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171" t="s">
        <v>149</v>
      </c>
      <c r="B9" s="231"/>
      <c r="C9" s="172"/>
      <c r="E9" s="234"/>
      <c r="F9" s="44" t="str">
        <f t="shared" si="0"/>
        <v>Golden Goblet of the Pristine Sea</v>
      </c>
      <c r="G9" s="59">
        <f t="shared" ca="1" si="0"/>
        <v>0</v>
      </c>
      <c r="H9" s="34" t="s">
        <v>202</v>
      </c>
    </row>
    <row r="10" spans="1:8" ht="15.75" thickBot="1" x14ac:dyDescent="0.3">
      <c r="A10" s="173" t="s">
        <v>206</v>
      </c>
      <c r="B10" s="202"/>
      <c r="C10" s="43">
        <v>6</v>
      </c>
      <c r="E10" s="184" t="s">
        <v>19</v>
      </c>
      <c r="F10" s="2" t="str">
        <f t="shared" si="0"/>
        <v>Transoceanic Pearl</v>
      </c>
      <c r="G10" s="15">
        <f t="shared" ca="1" si="0"/>
        <v>0</v>
      </c>
      <c r="H10" s="34" t="s">
        <v>202</v>
      </c>
    </row>
    <row r="11" spans="1:8" ht="15.75" thickBot="1" x14ac:dyDescent="0.3">
      <c r="A11" s="173" t="s">
        <v>208</v>
      </c>
      <c r="B11" s="202"/>
      <c r="C11" s="43">
        <v>6</v>
      </c>
      <c r="E11" s="185"/>
      <c r="F11" s="1" t="str">
        <f t="shared" si="0"/>
        <v>Transoceanic Chunk</v>
      </c>
      <c r="G11" s="17">
        <f t="shared" ca="1" si="0"/>
        <v>0</v>
      </c>
      <c r="H11" s="34" t="s">
        <v>202</v>
      </c>
    </row>
    <row r="12" spans="1:8" ht="15.75" thickBot="1" x14ac:dyDescent="0.3">
      <c r="A12" s="227"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4" t="s">
        <v>18</v>
      </c>
      <c r="F13" s="2" t="str">
        <f t="shared" si="0"/>
        <v>Old Operative's Pocket Watch</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5"/>
      <c r="F14" s="1" t="str">
        <f t="shared" si="0"/>
        <v>Operative's Standard Pocket Watch</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6"/>
      <c r="F15" s="9" t="str">
        <f t="shared" si="0"/>
        <v>Operative's Constancy</v>
      </c>
      <c r="G15" s="16">
        <f t="shared" ca="1" si="0"/>
        <v>0</v>
      </c>
      <c r="H15" s="35" t="s">
        <v>202</v>
      </c>
    </row>
    <row r="16" spans="1:8" x14ac:dyDescent="0.25">
      <c r="A16" s="184"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06" priority="1" operator="containsText" text="Done">
      <formula>NOT(ISERROR(SEARCH("Done",H4)))</formula>
    </cfRule>
    <cfRule type="containsText" dxfId="105" priority="2" operator="containsText" text="In Progress">
      <formula>NOT(ISERROR(SEARCH("In Progress",H4)))</formula>
    </cfRule>
  </conditionalFormatting>
  <dataValidations count="6">
    <dataValidation type="list" allowBlank="1" showInputMessage="1" showErrorMessage="1" sqref="C11" xr:uid="{415ACE54-AC58-4536-B40E-4D545A8637F4}">
      <formula1>IF(OR(VLOOKUP(B1,Weapon_List,3,FALSE)=1,VLOOKUP(B1,Weapon_List,3,FALSE)=2),Weapon_Ascension_Low_Rarity,Weapon_Ascension_High_Rarity)</formula1>
    </dataValidation>
    <dataValidation type="list" allowBlank="1" showInputMessage="1" showErrorMessage="1" sqref="B1" xr:uid="{58E7DE5D-0FC6-46F6-976B-E7286536862A}">
      <formula1>Weapon_Name_List</formula1>
    </dataValidation>
    <dataValidation type="list" operator="equal" allowBlank="1" showInputMessage="1" showErrorMessage="1" sqref="B5" xr:uid="{1F6C401E-8E27-47FD-9B28-AEF3F761C7F4}">
      <formula1>IF(OR(VLOOKUP(B1,Weapon_List,3,FALSE)=1,VLOOKUP(B1,Weapon_List,3,FALSE)=2),Weapon_Levels_Low_Rarity,Weapon_Levels_High_Rarity)</formula1>
    </dataValidation>
    <dataValidation type="list" operator="equal" allowBlank="1" showInputMessage="1" showErrorMessage="1" sqref="B4" xr:uid="{C881328D-89C5-4524-9F29-CCDA6F7BD46A}">
      <formula1>IF(OR(VLOOKUP(B1,Weapon_List,3,FALSE)=1,VLOOKUP(B1,Weapon_List,3,FALSE)=2),Weapon_Levels_Low_Rarity,Weapon_Levels_High_Rarity)</formula1>
    </dataValidation>
    <dataValidation type="list" allowBlank="1" showInputMessage="1" showErrorMessage="1" sqref="C10" xr:uid="{3C0AD32F-F38A-4E0E-ABBA-27BF12315142}">
      <formula1>IF(OR(VLOOKUP(B1,Weapon_List,3,FALSE)=1,VLOOKUP(B1,Weapon_List,3,FALSE)=2),Weapon_Ascension_Low_Rarity,Weapon_Ascension_High_Rarity)</formula1>
    </dataValidation>
    <dataValidation type="list" allowBlank="1" showInputMessage="1" showErrorMessage="1" sqref="H4:H15" xr:uid="{522D63F9-6F4B-411B-9A39-4BB77C17B45F}">
      <formula1>"In Progress, Done"</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FC1D1-2E25-4AD7-A2D8-A6A2E6836759}">
  <sheetPr codeName="Sheet272">
    <tabColor theme="4" tint="0.39997558519241921"/>
  </sheetPr>
  <dimension ref="A1:H22"/>
  <sheetViews>
    <sheetView workbookViewId="0">
      <selection activeCell="Q52" sqref="Q5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171" t="s">
        <v>149</v>
      </c>
      <c r="B9" s="231"/>
      <c r="C9" s="172"/>
      <c r="E9" s="234"/>
      <c r="F9" s="44" t="str">
        <f t="shared" si="0"/>
        <v>Boreal Wolf's Nostalgia</v>
      </c>
      <c r="G9" s="59">
        <f t="shared" ca="1" si="0"/>
        <v>0</v>
      </c>
      <c r="H9" s="34" t="s">
        <v>202</v>
      </c>
    </row>
    <row r="10" spans="1:8" ht="15.75" thickBot="1" x14ac:dyDescent="0.3">
      <c r="A10" s="173" t="s">
        <v>206</v>
      </c>
      <c r="B10" s="202"/>
      <c r="C10" s="43">
        <v>6</v>
      </c>
      <c r="E10" s="184" t="s">
        <v>19</v>
      </c>
      <c r="F10" s="2" t="str">
        <f t="shared" si="0"/>
        <v>Treasure Hoarder Insignia</v>
      </c>
      <c r="G10" s="15">
        <f t="shared" ca="1" si="0"/>
        <v>0</v>
      </c>
      <c r="H10" s="34" t="s">
        <v>202</v>
      </c>
    </row>
    <row r="11" spans="1:8" ht="15.75" thickBot="1" x14ac:dyDescent="0.3">
      <c r="A11" s="173" t="s">
        <v>208</v>
      </c>
      <c r="B11" s="202"/>
      <c r="C11" s="43">
        <v>6</v>
      </c>
      <c r="E11" s="185"/>
      <c r="F11" s="1" t="str">
        <f t="shared" si="0"/>
        <v>Silver Raven Insignia</v>
      </c>
      <c r="G11" s="17">
        <f t="shared" ca="1" si="0"/>
        <v>0</v>
      </c>
      <c r="H11" s="34" t="s">
        <v>202</v>
      </c>
    </row>
    <row r="12" spans="1:8" ht="15.75" thickBot="1" x14ac:dyDescent="0.3">
      <c r="A12" s="227"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84" t="s">
        <v>18</v>
      </c>
      <c r="F13" s="2" t="str">
        <f t="shared" si="0"/>
        <v>Fragile Bone Shard</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85"/>
      <c r="F14" s="1" t="str">
        <f t="shared" si="0"/>
        <v>Sturdy Bone Shard</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86"/>
      <c r="F15" s="9" t="str">
        <f t="shared" si="0"/>
        <v>Fossilized Bone Shard</v>
      </c>
      <c r="G15" s="16">
        <f t="shared" ca="1" si="0"/>
        <v>0</v>
      </c>
      <c r="H15" s="35" t="s">
        <v>202</v>
      </c>
    </row>
    <row r="16" spans="1:8" x14ac:dyDescent="0.25">
      <c r="A16" s="184"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04" priority="1" operator="containsText" text="Done">
      <formula>NOT(ISERROR(SEARCH("Done",H4)))</formula>
    </cfRule>
    <cfRule type="containsText" dxfId="103" priority="2" operator="containsText" text="In Progress">
      <formula>NOT(ISERROR(SEARCH("In Progress",H4)))</formula>
    </cfRule>
  </conditionalFormatting>
  <dataValidations count="6">
    <dataValidation type="list" allowBlank="1" showInputMessage="1" showErrorMessage="1" sqref="C11" xr:uid="{F7DD5CB4-6BC5-4F8D-9954-C2D27F17712A}">
      <formula1>IF(OR(VLOOKUP(B1,Weapon_List,3,FALSE)=1,VLOOKUP(B1,Weapon_List,3,FALSE)=2),Weapon_Ascension_Low_Rarity,Weapon_Ascension_High_Rarity)</formula1>
    </dataValidation>
    <dataValidation type="list" allowBlank="1" showInputMessage="1" showErrorMessage="1" sqref="B1" xr:uid="{9B443DEF-FEDF-4173-8273-39865939F7CB}">
      <formula1>Weapon_Name_List</formula1>
    </dataValidation>
    <dataValidation type="list" operator="equal" allowBlank="1" showInputMessage="1" showErrorMessage="1" sqref="B5" xr:uid="{45688A7C-234D-4656-8E3C-FD7802E6BF57}">
      <formula1>IF(OR(VLOOKUP(B1,Weapon_List,3,FALSE)=1,VLOOKUP(B1,Weapon_List,3,FALSE)=2),Weapon_Levels_Low_Rarity,Weapon_Levels_High_Rarity)</formula1>
    </dataValidation>
    <dataValidation type="list" operator="equal" allowBlank="1" showInputMessage="1" showErrorMessage="1" sqref="B4" xr:uid="{AF5C46DC-0C33-4855-BC89-48D17F38E4AA}">
      <formula1>IF(OR(VLOOKUP(B1,Weapon_List,3,FALSE)=1,VLOOKUP(B1,Weapon_List,3,FALSE)=2),Weapon_Levels_Low_Rarity,Weapon_Levels_High_Rarity)</formula1>
    </dataValidation>
    <dataValidation type="list" allowBlank="1" showInputMessage="1" showErrorMessage="1" sqref="C10" xr:uid="{EC27E4DA-AD5A-4097-91AC-B065450AF881}">
      <formula1>IF(OR(VLOOKUP(B1,Weapon_List,3,FALSE)=1,VLOOKUP(B1,Weapon_List,3,FALSE)=2),Weapon_Ascension_Low_Rarity,Weapon_Ascension_High_Rarity)</formula1>
    </dataValidation>
    <dataValidation type="list" allowBlank="1" showInputMessage="1" showErrorMessage="1" sqref="H4:H15" xr:uid="{47702CCA-7D97-4972-903A-10F833A592B9}">
      <formula1>"In Progress, Done"</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C4012-46DC-458E-8501-412A96404384}">
  <sheetPr codeName="Sheet273">
    <tabColor theme="4" tint="0.39997558519241921"/>
  </sheetPr>
  <dimension ref="A1:H22"/>
  <sheetViews>
    <sheetView workbookViewId="0">
      <selection activeCell="E21" sqref="E2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171" t="s">
        <v>149</v>
      </c>
      <c r="B9" s="231"/>
      <c r="C9" s="172"/>
      <c r="E9" s="234"/>
      <c r="F9" s="44" t="str">
        <f t="shared" si="0"/>
        <v>Echo of an Ancient Chord</v>
      </c>
      <c r="G9" s="59">
        <f t="shared" ca="1" si="0"/>
        <v>0</v>
      </c>
      <c r="H9" s="34" t="s">
        <v>202</v>
      </c>
    </row>
    <row r="10" spans="1:8" ht="15.75" thickBot="1" x14ac:dyDescent="0.3">
      <c r="A10" s="173" t="s">
        <v>206</v>
      </c>
      <c r="B10" s="202"/>
      <c r="C10" s="43">
        <v>6</v>
      </c>
      <c r="E10" s="184" t="s">
        <v>19</v>
      </c>
      <c r="F10" s="2" t="str">
        <f t="shared" si="0"/>
        <v>Clockwork Meka</v>
      </c>
      <c r="G10" s="15">
        <f t="shared" ca="1" si="0"/>
        <v>0</v>
      </c>
      <c r="H10" s="34" t="s">
        <v>202</v>
      </c>
    </row>
    <row r="11" spans="1:8" ht="15.75" thickBot="1" x14ac:dyDescent="0.3">
      <c r="A11" s="173" t="s">
        <v>208</v>
      </c>
      <c r="B11" s="202"/>
      <c r="C11" s="43">
        <v>6</v>
      </c>
      <c r="E11" s="185"/>
      <c r="F11" s="1" t="str">
        <f t="shared" si="0"/>
        <v>Mechanical Spur Gear</v>
      </c>
      <c r="G11" s="17">
        <f t="shared" ca="1" si="0"/>
        <v>0</v>
      </c>
      <c r="H11" s="34" t="s">
        <v>202</v>
      </c>
    </row>
    <row r="12" spans="1:8" ht="15.75" thickBot="1" x14ac:dyDescent="0.3">
      <c r="A12" s="227"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4" t="s">
        <v>18</v>
      </c>
      <c r="F13" s="2" t="str">
        <f t="shared" si="0"/>
        <v>Old Operative's Pocket Watch</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5"/>
      <c r="F14" s="1" t="str">
        <f t="shared" si="0"/>
        <v>Operative's Standard Pocket Watch</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6"/>
      <c r="F15" s="9" t="str">
        <f t="shared" si="0"/>
        <v>Operative's Constancy</v>
      </c>
      <c r="G15" s="16">
        <f t="shared" ca="1" si="0"/>
        <v>0</v>
      </c>
      <c r="H15" s="35" t="s">
        <v>202</v>
      </c>
    </row>
    <row r="16" spans="1:8" x14ac:dyDescent="0.25">
      <c r="A16" s="184"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02" priority="1" operator="containsText" text="Done">
      <formula>NOT(ISERROR(SEARCH("Done",H4)))</formula>
    </cfRule>
    <cfRule type="containsText" dxfId="101" priority="2" operator="containsText" text="In Progress">
      <formula>NOT(ISERROR(SEARCH("In Progress",H4)))</formula>
    </cfRule>
  </conditionalFormatting>
  <dataValidations count="6">
    <dataValidation type="list" allowBlank="1" showInputMessage="1" showErrorMessage="1" sqref="C11" xr:uid="{8DFF6CF7-AD7B-4011-832C-EBF4EC3C75D4}">
      <formula1>IF(OR(VLOOKUP(B1,Weapon_List,3,FALSE)=1,VLOOKUP(B1,Weapon_List,3,FALSE)=2),Weapon_Ascension_Low_Rarity,Weapon_Ascension_High_Rarity)</formula1>
    </dataValidation>
    <dataValidation type="list" allowBlank="1" showInputMessage="1" showErrorMessage="1" sqref="B1" xr:uid="{0AEA2712-7415-4D79-90D6-DC8C1B36C359}">
      <formula1>Weapon_Name_List</formula1>
    </dataValidation>
    <dataValidation type="list" operator="equal" allowBlank="1" showInputMessage="1" showErrorMessage="1" sqref="B5" xr:uid="{7F804617-F0B6-4A8B-BEB6-41CAC42E0561}">
      <formula1>IF(OR(VLOOKUP(B1,Weapon_List,3,FALSE)=1,VLOOKUP(B1,Weapon_List,3,FALSE)=2),Weapon_Levels_Low_Rarity,Weapon_Levels_High_Rarity)</formula1>
    </dataValidation>
    <dataValidation type="list" operator="equal" allowBlank="1" showInputMessage="1" showErrorMessage="1" sqref="B4" xr:uid="{293EB60A-0789-4905-8F9F-4F5E75A081DD}">
      <formula1>IF(OR(VLOOKUP(B1,Weapon_List,3,FALSE)=1,VLOOKUP(B1,Weapon_List,3,FALSE)=2),Weapon_Levels_Low_Rarity,Weapon_Levels_High_Rarity)</formula1>
    </dataValidation>
    <dataValidation type="list" allowBlank="1" showInputMessage="1" showErrorMessage="1" sqref="C10" xr:uid="{AE58483F-C8AE-4535-8620-2CC6A57D1C69}">
      <formula1>IF(OR(VLOOKUP(B1,Weapon_List,3,FALSE)=1,VLOOKUP(B1,Weapon_List,3,FALSE)=2),Weapon_Ascension_Low_Rarity,Weapon_Ascension_High_Rarity)</formula1>
    </dataValidation>
    <dataValidation type="list" allowBlank="1" showInputMessage="1" showErrorMessage="1" sqref="H4:H15" xr:uid="{5370E5E2-6E68-47B6-8865-ACA6976AFDB9}">
      <formula1>"In Progress, Done"</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FFE29-DD60-4CA0-970C-9E6FD1F01233}">
  <sheetPr codeName="Sheet274">
    <tabColor theme="4" tint="0.39997558519241921"/>
  </sheetPr>
  <dimension ref="A1:H22"/>
  <sheetViews>
    <sheetView workbookViewId="0">
      <selection activeCell="F22" sqref="F22:F2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171" t="s">
        <v>149</v>
      </c>
      <c r="B9" s="231"/>
      <c r="C9" s="172"/>
      <c r="E9" s="234"/>
      <c r="F9" s="44" t="str">
        <f t="shared" si="0"/>
        <v>Echo of an Ancient Chord</v>
      </c>
      <c r="G9" s="59">
        <f t="shared" ca="1" si="0"/>
        <v>0</v>
      </c>
      <c r="H9" s="34" t="s">
        <v>202</v>
      </c>
    </row>
    <row r="10" spans="1:8" ht="15.75" thickBot="1" x14ac:dyDescent="0.3">
      <c r="A10" s="173" t="s">
        <v>206</v>
      </c>
      <c r="B10" s="202"/>
      <c r="C10" s="43">
        <v>6</v>
      </c>
      <c r="E10" s="184" t="s">
        <v>19</v>
      </c>
      <c r="F10" s="2" t="str">
        <f t="shared" si="0"/>
        <v>Transoceanic Pearl</v>
      </c>
      <c r="G10" s="15">
        <f t="shared" ca="1" si="0"/>
        <v>0</v>
      </c>
      <c r="H10" s="34" t="s">
        <v>202</v>
      </c>
    </row>
    <row r="11" spans="1:8" ht="15.75" thickBot="1" x14ac:dyDescent="0.3">
      <c r="A11" s="173" t="s">
        <v>208</v>
      </c>
      <c r="B11" s="202"/>
      <c r="C11" s="43">
        <v>6</v>
      </c>
      <c r="E11" s="185"/>
      <c r="F11" s="1" t="str">
        <f t="shared" si="0"/>
        <v>Transoceanic Chunk</v>
      </c>
      <c r="G11" s="17">
        <f t="shared" ca="1" si="0"/>
        <v>0</v>
      </c>
      <c r="H11" s="34" t="s">
        <v>202</v>
      </c>
    </row>
    <row r="12" spans="1:8" ht="15.75" thickBot="1" x14ac:dyDescent="0.3">
      <c r="A12" s="227"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4"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5"/>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6"/>
      <c r="F15" s="9" t="str">
        <f t="shared" si="0"/>
        <v>Newborn Tainted Hydro Eidolon</v>
      </c>
      <c r="G15" s="16">
        <f t="shared" ca="1" si="0"/>
        <v>0</v>
      </c>
      <c r="H15" s="35" t="s">
        <v>202</v>
      </c>
    </row>
    <row r="16" spans="1:8" x14ac:dyDescent="0.25">
      <c r="A16" s="184"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00" priority="1" operator="containsText" text="Done">
      <formula>NOT(ISERROR(SEARCH("Done",H4)))</formula>
    </cfRule>
    <cfRule type="containsText" dxfId="99" priority="2" operator="containsText" text="In Progress">
      <formula>NOT(ISERROR(SEARCH("In Progress",H4)))</formula>
    </cfRule>
  </conditionalFormatting>
  <dataValidations count="6">
    <dataValidation type="list" allowBlank="1" showInputMessage="1" showErrorMessage="1" sqref="C11" xr:uid="{EE83DF8D-A033-4BDD-9E24-5E675C19158E}">
      <formula1>IF(OR(VLOOKUP(B1,Weapon_List,3,FALSE)=1,VLOOKUP(B1,Weapon_List,3,FALSE)=2),Weapon_Ascension_Low_Rarity,Weapon_Ascension_High_Rarity)</formula1>
    </dataValidation>
    <dataValidation type="list" allowBlank="1" showInputMessage="1" showErrorMessage="1" sqref="B1" xr:uid="{22383794-2AAC-44C5-A910-E15197409CC3}">
      <formula1>Weapon_Name_List</formula1>
    </dataValidation>
    <dataValidation type="list" operator="equal" allowBlank="1" showInputMessage="1" showErrorMessage="1" sqref="B5" xr:uid="{29139501-98D4-445D-AF17-80CF57CED19B}">
      <formula1>IF(OR(VLOOKUP(B1,Weapon_List,3,FALSE)=1,VLOOKUP(B1,Weapon_List,3,FALSE)=2),Weapon_Levels_Low_Rarity,Weapon_Levels_High_Rarity)</formula1>
    </dataValidation>
    <dataValidation type="list" operator="equal" allowBlank="1" showInputMessage="1" showErrorMessage="1" sqref="B4" xr:uid="{962B9611-98BD-4377-8291-9F54A82E56CF}">
      <formula1>IF(OR(VLOOKUP(B1,Weapon_List,3,FALSE)=1,VLOOKUP(B1,Weapon_List,3,FALSE)=2),Weapon_Levels_Low_Rarity,Weapon_Levels_High_Rarity)</formula1>
    </dataValidation>
    <dataValidation type="list" allowBlank="1" showInputMessage="1" showErrorMessage="1" sqref="C10" xr:uid="{1F0D36D1-19C2-4711-A394-4A3C6F9416DF}">
      <formula1>IF(OR(VLOOKUP(B1,Weapon_List,3,FALSE)=1,VLOOKUP(B1,Weapon_List,3,FALSE)=2),Weapon_Ascension_Low_Rarity,Weapon_Ascension_High_Rarity)</formula1>
    </dataValidation>
    <dataValidation type="list" allowBlank="1" showInputMessage="1" showErrorMessage="1" sqref="H4:H15" xr:uid="{FF0CB2FB-DDC7-41AC-A5E4-911C78157DC6}">
      <formula1>"In Progress, Done"</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FF285-67B8-4C21-8BC3-374731702E2C}">
  <sheetPr codeName="Sheet27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171" t="s">
        <v>149</v>
      </c>
      <c r="B9" s="231"/>
      <c r="C9" s="172"/>
      <c r="E9" s="234"/>
      <c r="F9" s="44" t="str">
        <f t="shared" si="0"/>
        <v>Essense of Pure Sacred Dewdrop</v>
      </c>
      <c r="G9" s="59">
        <f t="shared" ca="1" si="0"/>
        <v>0</v>
      </c>
      <c r="H9" s="34" t="s">
        <v>202</v>
      </c>
    </row>
    <row r="10" spans="1:8" ht="15.75" thickBot="1" x14ac:dyDescent="0.3">
      <c r="A10" s="173" t="s">
        <v>206</v>
      </c>
      <c r="B10" s="202"/>
      <c r="C10" s="43">
        <v>6</v>
      </c>
      <c r="E10" s="184" t="s">
        <v>19</v>
      </c>
      <c r="F10" s="2" t="str">
        <f t="shared" si="0"/>
        <v>Transoceanic Pearl</v>
      </c>
      <c r="G10" s="15">
        <f t="shared" ca="1" si="0"/>
        <v>0</v>
      </c>
      <c r="H10" s="34" t="s">
        <v>202</v>
      </c>
    </row>
    <row r="11" spans="1:8" ht="15.75" thickBot="1" x14ac:dyDescent="0.3">
      <c r="A11" s="173" t="s">
        <v>208</v>
      </c>
      <c r="B11" s="202"/>
      <c r="C11" s="43">
        <v>6</v>
      </c>
      <c r="E11" s="185"/>
      <c r="F11" s="1" t="str">
        <f t="shared" si="0"/>
        <v>Transoceanic Chunk</v>
      </c>
      <c r="G11" s="17">
        <f t="shared" ca="1" si="0"/>
        <v>0</v>
      </c>
      <c r="H11" s="34" t="s">
        <v>202</v>
      </c>
    </row>
    <row r="12" spans="1:8" ht="15.75" thickBot="1" x14ac:dyDescent="0.3">
      <c r="A12" s="227"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84" t="s">
        <v>18</v>
      </c>
      <c r="F13" s="2" t="str">
        <f t="shared" si="0"/>
        <v>Drop of Tainted Water</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85"/>
      <c r="F14" s="1" t="str">
        <f t="shared" si="0"/>
        <v>Scoop of Tainted Water</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86"/>
      <c r="F15" s="9" t="str">
        <f t="shared" si="0"/>
        <v>Newborn Tainted Hydro Eidolon</v>
      </c>
      <c r="G15" s="16">
        <f t="shared" ca="1" si="0"/>
        <v>0</v>
      </c>
      <c r="H15" s="35" t="s">
        <v>202</v>
      </c>
    </row>
    <row r="16" spans="1:8" x14ac:dyDescent="0.25">
      <c r="A16" s="184"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98" priority="1" operator="containsText" text="Done">
      <formula>NOT(ISERROR(SEARCH("Done",H4)))</formula>
    </cfRule>
    <cfRule type="containsText" dxfId="97" priority="2" operator="containsText" text="In Progress">
      <formula>NOT(ISERROR(SEARCH("In Progress",H4)))</formula>
    </cfRule>
  </conditionalFormatting>
  <dataValidations count="6">
    <dataValidation type="list" allowBlank="1" showInputMessage="1" showErrorMessage="1" sqref="H4:H15" xr:uid="{5B21EAC4-0D16-45F7-809A-CDC3E0415C2B}">
      <formula1>"In Progress, Done"</formula1>
    </dataValidation>
    <dataValidation type="list" allowBlank="1" showInputMessage="1" showErrorMessage="1" sqref="C10" xr:uid="{CA678480-ACEE-4DA1-A7EC-809884F172E1}">
      <formula1>IF(OR(VLOOKUP(B1,Weapon_List,3,FALSE)=1,VLOOKUP(B1,Weapon_List,3,FALSE)=2),Weapon_Ascension_Low_Rarity,Weapon_Ascension_High_Rarity)</formula1>
    </dataValidation>
    <dataValidation type="list" operator="equal" allowBlank="1" showInputMessage="1" showErrorMessage="1" sqref="B4" xr:uid="{95651604-FBF5-488F-8F7E-DB8E65BE8F45}">
      <formula1>IF(OR(VLOOKUP(B1,Weapon_List,3,FALSE)=1,VLOOKUP(B1,Weapon_List,3,FALSE)=2),Weapon_Levels_Low_Rarity,Weapon_Levels_High_Rarity)</formula1>
    </dataValidation>
    <dataValidation type="list" operator="equal" allowBlank="1" showInputMessage="1" showErrorMessage="1" sqref="B5" xr:uid="{AD58F1DE-D847-4579-8680-E5EA6C47993A}">
      <formula1>IF(OR(VLOOKUP(B1,Weapon_List,3,FALSE)=1,VLOOKUP(B1,Weapon_List,3,FALSE)=2),Weapon_Levels_Low_Rarity,Weapon_Levels_High_Rarity)</formula1>
    </dataValidation>
    <dataValidation type="list" allowBlank="1" showInputMessage="1" showErrorMessage="1" sqref="B1" xr:uid="{836041FC-6E73-49A7-8ED1-9F5258AB81B9}">
      <formula1>Weapon_Name_List</formula1>
    </dataValidation>
    <dataValidation type="list" allowBlank="1" showInputMessage="1" showErrorMessage="1" sqref="C11" xr:uid="{19314A1A-EDFD-4522-8EF0-C14B88710026}">
      <formula1>IF(OR(VLOOKUP(B1,Weapon_List,3,FALSE)=1,VLOOKUP(B1,Weapon_List,3,FALSE)=2),Weapon_Ascension_Low_Rarity,Weapon_Ascension_High_Rarity)</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0CCB-C146-464C-B8BE-AF4287B3C8EB}">
  <sheetPr codeName="Sheet276">
    <tabColor theme="4" tint="0.39997558519241921"/>
  </sheetPr>
  <dimension ref="A1:H22"/>
  <sheetViews>
    <sheetView workbookViewId="0">
      <selection activeCell="F21" sqref="F2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171" t="s">
        <v>149</v>
      </c>
      <c r="B9" s="231"/>
      <c r="C9" s="172"/>
      <c r="E9" s="234"/>
      <c r="F9" s="44" t="str">
        <f t="shared" si="0"/>
        <v>Echo of an Ancient Chord</v>
      </c>
      <c r="G9" s="59">
        <f t="shared" ca="1" si="0"/>
        <v>0</v>
      </c>
      <c r="H9" s="34" t="s">
        <v>202</v>
      </c>
    </row>
    <row r="10" spans="1:8" ht="15.75" thickBot="1" x14ac:dyDescent="0.3">
      <c r="A10" s="173" t="s">
        <v>206</v>
      </c>
      <c r="B10" s="202"/>
      <c r="C10" s="43">
        <v>6</v>
      </c>
      <c r="E10" s="184" t="s">
        <v>19</v>
      </c>
      <c r="F10" s="2" t="str">
        <f t="shared" si="0"/>
        <v>Transoceanic Pearl</v>
      </c>
      <c r="G10" s="15">
        <f t="shared" ca="1" si="0"/>
        <v>0</v>
      </c>
      <c r="H10" s="34" t="s">
        <v>202</v>
      </c>
    </row>
    <row r="11" spans="1:8" ht="15.75" thickBot="1" x14ac:dyDescent="0.3">
      <c r="A11" s="173" t="s">
        <v>208</v>
      </c>
      <c r="B11" s="202"/>
      <c r="C11" s="43">
        <v>6</v>
      </c>
      <c r="E11" s="185"/>
      <c r="F11" s="1" t="str">
        <f t="shared" si="0"/>
        <v>Transoceanic Chunk</v>
      </c>
      <c r="G11" s="17">
        <f t="shared" ca="1" si="0"/>
        <v>0</v>
      </c>
      <c r="H11" s="34" t="s">
        <v>202</v>
      </c>
    </row>
    <row r="12" spans="1:8" ht="15.75" thickBot="1" x14ac:dyDescent="0.3">
      <c r="A12" s="227"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4" t="s">
        <v>18</v>
      </c>
      <c r="F13" s="2" t="str">
        <f t="shared" si="0"/>
        <v>Old Operative's Pocket Watch</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5"/>
      <c r="F14" s="1" t="str">
        <f t="shared" si="0"/>
        <v>Operative's Standard Pocket Watch</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6"/>
      <c r="F15" s="9" t="str">
        <f t="shared" si="0"/>
        <v>Operative's Constancy</v>
      </c>
      <c r="G15" s="16">
        <f t="shared" ca="1" si="0"/>
        <v>0</v>
      </c>
      <c r="H15" s="35" t="s">
        <v>202</v>
      </c>
    </row>
    <row r="16" spans="1:8" x14ac:dyDescent="0.25">
      <c r="A16" s="184"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96" priority="1" operator="containsText" text="Done">
      <formula>NOT(ISERROR(SEARCH("Done",H4)))</formula>
    </cfRule>
    <cfRule type="containsText" dxfId="95" priority="2" operator="containsText" text="In Progress">
      <formula>NOT(ISERROR(SEARCH("In Progress",H4)))</formula>
    </cfRule>
  </conditionalFormatting>
  <dataValidations count="6">
    <dataValidation type="list" allowBlank="1" showInputMessage="1" showErrorMessage="1" sqref="H4:H15" xr:uid="{2B6608C5-33A8-4708-BDBB-9AE57C202776}">
      <formula1>"In Progress, Done"</formula1>
    </dataValidation>
    <dataValidation type="list" allowBlank="1" showInputMessage="1" showErrorMessage="1" sqref="C10" xr:uid="{E9D917CA-A910-41CF-BFD2-89432B17AAE4}">
      <formula1>IF(OR(VLOOKUP(B1,Weapon_List,3,FALSE)=1,VLOOKUP(B1,Weapon_List,3,FALSE)=2),Weapon_Ascension_Low_Rarity,Weapon_Ascension_High_Rarity)</formula1>
    </dataValidation>
    <dataValidation type="list" operator="equal" allowBlank="1" showInputMessage="1" showErrorMessage="1" sqref="B4" xr:uid="{C9CF9E45-AB41-4C98-A758-4586B3859338}">
      <formula1>IF(OR(VLOOKUP(B1,Weapon_List,3,FALSE)=1,VLOOKUP(B1,Weapon_List,3,FALSE)=2),Weapon_Levels_Low_Rarity,Weapon_Levels_High_Rarity)</formula1>
    </dataValidation>
    <dataValidation type="list" operator="equal" allowBlank="1" showInputMessage="1" showErrorMessage="1" sqref="B5" xr:uid="{DD6D0A0F-C381-4769-9309-A260A432FE91}">
      <formula1>IF(OR(VLOOKUP(B1,Weapon_List,3,FALSE)=1,VLOOKUP(B1,Weapon_List,3,FALSE)=2),Weapon_Levels_Low_Rarity,Weapon_Levels_High_Rarity)</formula1>
    </dataValidation>
    <dataValidation type="list" allowBlank="1" showInputMessage="1" showErrorMessage="1" sqref="B1" xr:uid="{18AF68D5-A56A-4B18-8565-101F020EF1A6}">
      <formula1>Weapon_Name_List</formula1>
    </dataValidation>
    <dataValidation type="list" allowBlank="1" showInputMessage="1" showErrorMessage="1" sqref="C11" xr:uid="{DE562F86-A99E-49B8-B3C0-0964A5992A66}">
      <formula1>IF(OR(VLOOKUP(B1,Weapon_List,3,FALSE)=1,VLOOKUP(B1,Weapon_List,3,FALSE)=2),Weapon_Ascension_Low_Rarity,Weapon_Ascension_High_Rarity)</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CD5F6-5DE5-40FE-81DC-B78A9A82008F}">
  <sheetPr codeName="Sheet282">
    <tabColor rgb="FF8EA9DB"/>
  </sheetPr>
  <dimension ref="A1:H22"/>
  <sheetViews>
    <sheetView workbookViewId="0">
      <selection activeCell="E22" sqref="E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171" t="s">
        <v>149</v>
      </c>
      <c r="B9" s="231"/>
      <c r="C9" s="172"/>
      <c r="E9" s="234"/>
      <c r="F9" s="44" t="str">
        <f t="shared" si="0"/>
        <v>Echo of an Ancient Chord</v>
      </c>
      <c r="G9" s="59">
        <f t="shared" ca="1" si="0"/>
        <v>0</v>
      </c>
      <c r="H9" s="34" t="s">
        <v>202</v>
      </c>
    </row>
    <row r="10" spans="1:8" ht="15.75" thickBot="1" x14ac:dyDescent="0.3">
      <c r="A10" s="173" t="s">
        <v>206</v>
      </c>
      <c r="B10" s="202"/>
      <c r="C10" s="43">
        <v>6</v>
      </c>
      <c r="E10" s="184" t="s">
        <v>19</v>
      </c>
      <c r="F10" s="2" t="str">
        <f t="shared" si="0"/>
        <v>Clockwork Meka</v>
      </c>
      <c r="G10" s="15">
        <f t="shared" ca="1" si="0"/>
        <v>0</v>
      </c>
      <c r="H10" s="34" t="s">
        <v>202</v>
      </c>
    </row>
    <row r="11" spans="1:8" ht="15.75" thickBot="1" x14ac:dyDescent="0.3">
      <c r="A11" s="173" t="s">
        <v>208</v>
      </c>
      <c r="B11" s="202"/>
      <c r="C11" s="43">
        <v>6</v>
      </c>
      <c r="E11" s="185"/>
      <c r="F11" s="1" t="str">
        <f t="shared" si="0"/>
        <v>Mechanical Spur Gear</v>
      </c>
      <c r="G11" s="17">
        <f t="shared" ca="1" si="0"/>
        <v>0</v>
      </c>
      <c r="H11" s="34" t="s">
        <v>202</v>
      </c>
    </row>
    <row r="12" spans="1:8" ht="15.75" thickBot="1" x14ac:dyDescent="0.3">
      <c r="A12" s="227"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4" t="s">
        <v>18</v>
      </c>
      <c r="F13" s="2" t="str">
        <f t="shared" si="0"/>
        <v>Rift Core</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5"/>
      <c r="F14" s="1" t="str">
        <f t="shared" si="0"/>
        <v>Foreign Synapse</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6"/>
      <c r="F15" s="9" t="str">
        <f t="shared" si="0"/>
        <v>Alien Life Core</v>
      </c>
      <c r="G15" s="16">
        <f t="shared" ca="1" si="0"/>
        <v>0</v>
      </c>
      <c r="H15" s="35" t="s">
        <v>202</v>
      </c>
    </row>
    <row r="16" spans="1:8" x14ac:dyDescent="0.25">
      <c r="A16" s="184"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94" priority="1" operator="containsText" text="Done">
      <formula>NOT(ISERROR(SEARCH("Done",H4)))</formula>
    </cfRule>
    <cfRule type="containsText" dxfId="93" priority="2" operator="containsText" text="In Progress">
      <formula>NOT(ISERROR(SEARCH("In Progress",H4)))</formula>
    </cfRule>
  </conditionalFormatting>
  <dataValidations count="6">
    <dataValidation type="list" allowBlank="1" showInputMessage="1" showErrorMessage="1" sqref="H4:H15" xr:uid="{77AB142D-C758-4AF8-B78F-4BA438FD8546}">
      <formula1>"In Progress, Done"</formula1>
    </dataValidation>
    <dataValidation type="list" allowBlank="1" showInputMessage="1" showErrorMessage="1" sqref="C10" xr:uid="{55C660FF-0C9D-4DFF-9CC2-4288DFED50EE}">
      <formula1>IF(OR(VLOOKUP(B1,Weapon_List,3,FALSE)=1,VLOOKUP(B1,Weapon_List,3,FALSE)=2),Weapon_Ascension_Low_Rarity,Weapon_Ascension_High_Rarity)</formula1>
    </dataValidation>
    <dataValidation type="list" operator="equal" allowBlank="1" showInputMessage="1" showErrorMessage="1" sqref="B4" xr:uid="{226EF57D-7EE6-48F0-9F8B-5604B267086D}">
      <formula1>IF(OR(VLOOKUP(B1,Weapon_List,3,FALSE)=1,VLOOKUP(B1,Weapon_List,3,FALSE)=2),Weapon_Levels_Low_Rarity,Weapon_Levels_High_Rarity)</formula1>
    </dataValidation>
    <dataValidation type="list" operator="equal" allowBlank="1" showInputMessage="1" showErrorMessage="1" sqref="B5" xr:uid="{8930AF55-3CAD-43F5-9C44-0D933F576610}">
      <formula1>IF(OR(VLOOKUP(B1,Weapon_List,3,FALSE)=1,VLOOKUP(B1,Weapon_List,3,FALSE)=2),Weapon_Levels_Low_Rarity,Weapon_Levels_High_Rarity)</formula1>
    </dataValidation>
    <dataValidation type="list" allowBlank="1" showInputMessage="1" showErrorMessage="1" sqref="B1" xr:uid="{1EB952E7-EF68-423B-8142-3A9540D08F53}">
      <formula1>Weapon_Name_List</formula1>
    </dataValidation>
    <dataValidation type="list" allowBlank="1" showInputMessage="1" showErrorMessage="1" sqref="C11" xr:uid="{0B1AE7F9-139A-4709-936E-F64E139ECEFB}">
      <formula1>IF(OR(VLOOKUP(B1,Weapon_List,3,FALSE)=1,VLOOKUP(B1,Weapon_List,3,FALSE)=2),Weapon_Ascension_Low_Rarity,Weapon_Ascension_High_Rarity)</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E4A20-C22B-4255-A9A4-679FC7207A06}">
  <sheetPr codeName="Sheet284">
    <tabColor rgb="FF8EA9DB"/>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171" t="s">
        <v>149</v>
      </c>
      <c r="B9" s="231"/>
      <c r="C9" s="172"/>
      <c r="E9" s="234"/>
      <c r="F9" s="44" t="str">
        <f t="shared" si="0"/>
        <v>Golden Goblet of the Pristine Sea</v>
      </c>
      <c r="G9" s="59">
        <f t="shared" ca="1" si="0"/>
        <v>0</v>
      </c>
      <c r="H9" s="34" t="s">
        <v>202</v>
      </c>
    </row>
    <row r="10" spans="1:8" ht="15.75" thickBot="1" x14ac:dyDescent="0.3">
      <c r="A10" s="173" t="s">
        <v>206</v>
      </c>
      <c r="B10" s="202"/>
      <c r="C10" s="43">
        <v>6</v>
      </c>
      <c r="E10" s="184" t="s">
        <v>19</v>
      </c>
      <c r="F10" s="2" t="str">
        <f t="shared" si="0"/>
        <v>Clockwork Meka</v>
      </c>
      <c r="G10" s="15">
        <f t="shared" ca="1" si="0"/>
        <v>0</v>
      </c>
      <c r="H10" s="34" t="s">
        <v>202</v>
      </c>
    </row>
    <row r="11" spans="1:8" ht="15.75" thickBot="1" x14ac:dyDescent="0.3">
      <c r="A11" s="173" t="s">
        <v>208</v>
      </c>
      <c r="B11" s="202"/>
      <c r="C11" s="43">
        <v>6</v>
      </c>
      <c r="E11" s="185"/>
      <c r="F11" s="1" t="str">
        <f t="shared" si="0"/>
        <v>Mechanical Spur Gear</v>
      </c>
      <c r="G11" s="17">
        <f t="shared" ca="1" si="0"/>
        <v>0</v>
      </c>
      <c r="H11" s="34" t="s">
        <v>202</v>
      </c>
    </row>
    <row r="12" spans="1:8" ht="15.75" thickBot="1" x14ac:dyDescent="0.3">
      <c r="A12" s="227"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4" t="s">
        <v>18</v>
      </c>
      <c r="F13" s="2" t="str">
        <f t="shared" si="0"/>
        <v>Old Operative's Pocket Watch</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5"/>
      <c r="F14" s="1" t="str">
        <f t="shared" si="0"/>
        <v>Operative's Standard Pocket Watch</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6"/>
      <c r="F15" s="9" t="str">
        <f t="shared" si="0"/>
        <v>Operative's Constancy</v>
      </c>
      <c r="G15" s="16">
        <f t="shared" ca="1" si="0"/>
        <v>0</v>
      </c>
      <c r="H15" s="35" t="s">
        <v>202</v>
      </c>
    </row>
    <row r="16" spans="1:8" x14ac:dyDescent="0.25">
      <c r="A16" s="184"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92" priority="1" operator="containsText" text="Done">
      <formula>NOT(ISERROR(SEARCH("Done",H4)))</formula>
    </cfRule>
    <cfRule type="containsText" dxfId="91" priority="2" operator="containsText" text="In Progress">
      <formula>NOT(ISERROR(SEARCH("In Progress",H4)))</formula>
    </cfRule>
  </conditionalFormatting>
  <dataValidations count="6">
    <dataValidation type="list" allowBlank="1" showInputMessage="1" showErrorMessage="1" sqref="H4:H15" xr:uid="{13F53381-E2C2-408A-B7CA-8EB1A95B2954}">
      <formula1>"In Progress, Done"</formula1>
    </dataValidation>
    <dataValidation type="list" allowBlank="1" showInputMessage="1" showErrorMessage="1" sqref="C10" xr:uid="{5469EDC9-80DA-49FE-9991-E6B22A689FF8}">
      <formula1>IF(OR(VLOOKUP(B1,Weapon_List,3,FALSE)=1,VLOOKUP(B1,Weapon_List,3,FALSE)=2),Weapon_Ascension_Low_Rarity,Weapon_Ascension_High_Rarity)</formula1>
    </dataValidation>
    <dataValidation type="list" operator="equal" allowBlank="1" showInputMessage="1" showErrorMessage="1" sqref="B4" xr:uid="{DCDBBE0C-3E4B-4C5D-9DA9-F016DB2A3A25}">
      <formula1>IF(OR(VLOOKUP(B1,Weapon_List,3,FALSE)=1,VLOOKUP(B1,Weapon_List,3,FALSE)=2),Weapon_Levels_Low_Rarity,Weapon_Levels_High_Rarity)</formula1>
    </dataValidation>
    <dataValidation type="list" operator="equal" allowBlank="1" showInputMessage="1" showErrorMessage="1" sqref="B5" xr:uid="{9699EE54-8995-4FE3-B73D-AD1A225CF78A}">
      <formula1>IF(OR(VLOOKUP(B1,Weapon_List,3,FALSE)=1,VLOOKUP(B1,Weapon_List,3,FALSE)=2),Weapon_Levels_Low_Rarity,Weapon_Levels_High_Rarity)</formula1>
    </dataValidation>
    <dataValidation type="list" allowBlank="1" showInputMessage="1" showErrorMessage="1" sqref="B1" xr:uid="{BB4D3612-BB32-49B8-B0C3-AC8A27F23234}">
      <formula1>Weapon_Name_List</formula1>
    </dataValidation>
    <dataValidation type="list" allowBlank="1" showInputMessage="1" showErrorMessage="1" sqref="C11" xr:uid="{09513146-5F7B-4C2A-8058-5672CEE69600}">
      <formula1>IF(OR(VLOOKUP(B1,Weapon_List,3,FALSE)=1,VLOOKUP(B1,Weapon_List,3,FALSE)=2),Weapon_Ascension_Low_Rarity,Weapon_Ascension_High_Rarity)</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FED96-4832-4082-ABA0-17235460552E}">
  <sheetPr codeName="Sheet281">
    <tabColor rgb="FF8EA9DB"/>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171" t="s">
        <v>149</v>
      </c>
      <c r="B9" s="231"/>
      <c r="C9" s="172"/>
      <c r="E9" s="234"/>
      <c r="F9" s="44" t="str">
        <f t="shared" si="0"/>
        <v>Mist Veiled Primo Elixir</v>
      </c>
      <c r="G9" s="59">
        <f t="shared" ca="1" si="0"/>
        <v>0</v>
      </c>
      <c r="H9" s="34" t="s">
        <v>202</v>
      </c>
    </row>
    <row r="10" spans="1:8" ht="15.75" thickBot="1" x14ac:dyDescent="0.3">
      <c r="A10" s="173" t="s">
        <v>206</v>
      </c>
      <c r="B10" s="202"/>
      <c r="C10" s="43">
        <v>6</v>
      </c>
      <c r="E10" s="184" t="s">
        <v>19</v>
      </c>
      <c r="F10" s="2" t="str">
        <f t="shared" si="0"/>
        <v>Divining Scroll</v>
      </c>
      <c r="G10" s="15">
        <f t="shared" ca="1" si="0"/>
        <v>0</v>
      </c>
      <c r="H10" s="34" t="s">
        <v>202</v>
      </c>
    </row>
    <row r="11" spans="1:8" ht="15.75" thickBot="1" x14ac:dyDescent="0.3">
      <c r="A11" s="173" t="s">
        <v>208</v>
      </c>
      <c r="B11" s="202"/>
      <c r="C11" s="43">
        <v>6</v>
      </c>
      <c r="E11" s="185"/>
      <c r="F11" s="1" t="str">
        <f t="shared" si="0"/>
        <v>Sealed Scroll</v>
      </c>
      <c r="G11" s="17">
        <f t="shared" ca="1" si="0"/>
        <v>0</v>
      </c>
      <c r="H11" s="34" t="s">
        <v>202</v>
      </c>
    </row>
    <row r="12" spans="1:8" ht="15.75" thickBot="1" x14ac:dyDescent="0.3">
      <c r="A12" s="227"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84" t="s">
        <v>18</v>
      </c>
      <c r="F13" s="2" t="str">
        <f t="shared" si="0"/>
        <v>Feathery Fin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85"/>
      <c r="F14" s="1" t="str">
        <f t="shared" si="0"/>
        <v>Lunar Fin</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86"/>
      <c r="F15" s="9" t="str">
        <f t="shared" si="0"/>
        <v>Chasmlight Fin</v>
      </c>
      <c r="G15" s="16">
        <f t="shared" ca="1" si="0"/>
        <v>0</v>
      </c>
      <c r="H15" s="35" t="s">
        <v>202</v>
      </c>
    </row>
    <row r="16" spans="1:8" x14ac:dyDescent="0.25">
      <c r="A16" s="184"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90" priority="1" operator="containsText" text="Done">
      <formula>NOT(ISERROR(SEARCH("Done",H4)))</formula>
    </cfRule>
    <cfRule type="containsText" dxfId="89" priority="2" operator="containsText" text="In Progress">
      <formula>NOT(ISERROR(SEARCH("In Progress",H4)))</formula>
    </cfRule>
  </conditionalFormatting>
  <dataValidations count="6">
    <dataValidation type="list" allowBlank="1" showInputMessage="1" showErrorMessage="1" sqref="H4:H15" xr:uid="{9A0AAF51-F088-48AA-BBB5-5EEDAE20B97F}">
      <formula1>"In Progress, Done"</formula1>
    </dataValidation>
    <dataValidation type="list" allowBlank="1" showInputMessage="1" showErrorMessage="1" sqref="C10" xr:uid="{F12F17F2-6599-4DA0-A1B5-D47D28684D8D}">
      <formula1>IF(OR(VLOOKUP(B1,Weapon_List,3,FALSE)=1,VLOOKUP(B1,Weapon_List,3,FALSE)=2),Weapon_Ascension_Low_Rarity,Weapon_Ascension_High_Rarity)</formula1>
    </dataValidation>
    <dataValidation type="list" operator="equal" allowBlank="1" showInputMessage="1" showErrorMessage="1" sqref="B4" xr:uid="{BF69724F-6D66-479A-98E1-C6F140C52911}">
      <formula1>IF(OR(VLOOKUP(B1,Weapon_List,3,FALSE)=1,VLOOKUP(B1,Weapon_List,3,FALSE)=2),Weapon_Levels_Low_Rarity,Weapon_Levels_High_Rarity)</formula1>
    </dataValidation>
    <dataValidation type="list" operator="equal" allowBlank="1" showInputMessage="1" showErrorMessage="1" sqref="B5" xr:uid="{5BF33512-F904-4ACA-98ED-DCA5A99AB7A9}">
      <formula1>IF(OR(VLOOKUP(B1,Weapon_List,3,FALSE)=1,VLOOKUP(B1,Weapon_List,3,FALSE)=2),Weapon_Levels_Low_Rarity,Weapon_Levels_High_Rarity)</formula1>
    </dataValidation>
    <dataValidation type="list" allowBlank="1" showInputMessage="1" showErrorMessage="1" sqref="B1" xr:uid="{A019952A-E817-4FF8-A52D-7E7FE3F8246C}">
      <formula1>Weapon_Name_List</formula1>
    </dataValidation>
    <dataValidation type="list" allowBlank="1" showInputMessage="1" showErrorMessage="1" sqref="C11" xr:uid="{B0FA31D6-24D8-469E-AE20-9975AE9332B8}">
      <formula1>IF(OR(VLOOKUP(B1,Weapon_List,3,FALSE)=1,VLOOKUP(B1,Weapon_List,3,FALSE)=2),Weapon_Ascension_Low_Rarity,Weapon_Ascension_High_Rarity)</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B02C6-0CD5-4243-AA3B-FD6A47E1865E}">
  <sheetPr codeName="Sheet285">
    <tabColor rgb="FF8EA9DB"/>
  </sheetPr>
  <dimension ref="A1:H22"/>
  <sheetViews>
    <sheetView workbookViewId="0">
      <selection activeCell="E18" sqref="E18"/>
    </sheetView>
  </sheetViews>
  <sheetFormatPr defaultColWidth="11.42578125"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488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171" t="s">
        <v>149</v>
      </c>
      <c r="B9" s="231"/>
      <c r="C9" s="172"/>
      <c r="E9" s="234"/>
      <c r="F9" s="44" t="str">
        <f t="shared" si="0"/>
        <v>Golden Branch of a Distant Sea</v>
      </c>
      <c r="G9" s="59">
        <f t="shared" ca="1" si="0"/>
        <v>0</v>
      </c>
      <c r="H9" s="34" t="s">
        <v>202</v>
      </c>
    </row>
    <row r="10" spans="1:8" ht="15.75" thickBot="1" x14ac:dyDescent="0.3">
      <c r="A10" s="173" t="s">
        <v>206</v>
      </c>
      <c r="B10" s="202"/>
      <c r="C10" s="43">
        <v>6</v>
      </c>
      <c r="E10" s="184" t="s">
        <v>19</v>
      </c>
      <c r="F10" s="2" t="str">
        <f t="shared" si="0"/>
        <v>Old Nobushi</v>
      </c>
      <c r="G10" s="15">
        <f t="shared" ca="1" si="0"/>
        <v>0</v>
      </c>
      <c r="H10" s="34" t="s">
        <v>202</v>
      </c>
    </row>
    <row r="11" spans="1:8" ht="15.75" thickBot="1" x14ac:dyDescent="0.3">
      <c r="A11" s="173" t="s">
        <v>208</v>
      </c>
      <c r="B11" s="202"/>
      <c r="C11" s="43">
        <v>6</v>
      </c>
      <c r="E11" s="185"/>
      <c r="F11" s="1" t="str">
        <f t="shared" si="0"/>
        <v>Kageuchi Nobushi</v>
      </c>
      <c r="G11" s="17">
        <f t="shared" ca="1" si="0"/>
        <v>0</v>
      </c>
      <c r="H11" s="34" t="s">
        <v>202</v>
      </c>
    </row>
    <row r="12" spans="1:8" ht="15.75" thickBot="1" x14ac:dyDescent="0.3">
      <c r="A12" s="227"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84" t="s">
        <v>18</v>
      </c>
      <c r="F13" s="2" t="str">
        <f t="shared" si="0"/>
        <v>Chaos Gear</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85"/>
      <c r="F14" s="1" t="str">
        <f t="shared" si="0"/>
        <v>Chaos Axis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86"/>
      <c r="F15" s="9" t="str">
        <f t="shared" si="0"/>
        <v>Chaos Oculus</v>
      </c>
      <c r="G15" s="16">
        <f t="shared" ca="1" si="0"/>
        <v>0</v>
      </c>
      <c r="H15" s="35" t="s">
        <v>202</v>
      </c>
    </row>
    <row r="16" spans="1:8" x14ac:dyDescent="0.25">
      <c r="A16" s="184"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88" priority="1" operator="containsText" text="Done">
      <formula>NOT(ISERROR(SEARCH("Done",H4)))</formula>
    </cfRule>
    <cfRule type="containsText" dxfId="87" priority="2" operator="containsText" text="In Progress">
      <formula>NOT(ISERROR(SEARCH("In Progress",H4)))</formula>
    </cfRule>
  </conditionalFormatting>
  <dataValidations count="6">
    <dataValidation type="list" allowBlank="1" showInputMessage="1" showErrorMessage="1" sqref="H4:H15" xr:uid="{2F15091D-4320-A148-A59D-75C9E1582F0B}">
      <formula1>"In Progress, Done"</formula1>
    </dataValidation>
    <dataValidation type="list" allowBlank="1" showInputMessage="1" showErrorMessage="1" sqref="C10" xr:uid="{14BA76B9-B84F-9541-BE8C-9A7EB9BFF188}">
      <formula1>IF(OR(VLOOKUP(B1,Weapon_List,3,FALSE)=1,VLOOKUP(B1,Weapon_List,3,FALSE)=2),Weapon_Ascension_Low_Rarity,Weapon_Ascension_High_Rarity)</formula1>
    </dataValidation>
    <dataValidation type="list" operator="equal" allowBlank="1" showInputMessage="1" showErrorMessage="1" sqref="B4" xr:uid="{C3F1DDE8-B273-6946-BEF3-E20C61C8DAC4}">
      <formula1>IF(OR(VLOOKUP(B1,Weapon_List,3,FALSE)=1,VLOOKUP(B1,Weapon_List,3,FALSE)=2),Weapon_Levels_Low_Rarity,Weapon_Levels_High_Rarity)</formula1>
    </dataValidation>
    <dataValidation type="list" operator="equal" allowBlank="1" showInputMessage="1" showErrorMessage="1" sqref="B5" xr:uid="{B1331C1A-3C12-154C-8329-66473D74AA85}">
      <formula1>IF(OR(VLOOKUP(B1,Weapon_List,3,FALSE)=1,VLOOKUP(B1,Weapon_List,3,FALSE)=2),Weapon_Levels_Low_Rarity,Weapon_Levels_High_Rarity)</formula1>
    </dataValidation>
    <dataValidation type="list" allowBlank="1" showInputMessage="1" showErrorMessage="1" sqref="B1" xr:uid="{890AC12E-A25B-BA49-A977-E9432304EEE9}">
      <formula1>Weapon_Name_List</formula1>
    </dataValidation>
    <dataValidation type="list" allowBlank="1" showInputMessage="1" showErrorMessage="1" sqref="C11" xr:uid="{AC883360-067D-E84C-9555-B292DD59DC6F}">
      <formula1>IF(OR(VLOOKUP(B1,Weapon_List,3,FALSE)=1,VLOOKUP(B1,Weapon_List,3,FALSE)=2),Weapon_Ascension_Low_Rarity,Weapon_Ascension_High_Rarity)</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9DEF9-158E-254C-B948-4A05D0F5DC59}">
  <sheetPr codeName="Sheet286">
    <tabColor rgb="FF8EA9DB"/>
  </sheetPr>
  <dimension ref="A1:H22"/>
  <sheetViews>
    <sheetView workbookViewId="0">
      <selection activeCell="E23" sqref="E23"/>
    </sheetView>
  </sheetViews>
  <sheetFormatPr defaultColWidth="11.42578125"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489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171" t="s">
        <v>149</v>
      </c>
      <c r="B9" s="231"/>
      <c r="C9" s="172"/>
      <c r="E9" s="234"/>
      <c r="F9" s="44" t="str">
        <f t="shared" si="0"/>
        <v>Golden Talisman of the Forest Dew</v>
      </c>
      <c r="G9" s="59">
        <f t="shared" ca="1" si="0"/>
        <v>0</v>
      </c>
      <c r="H9" s="34" t="s">
        <v>202</v>
      </c>
    </row>
    <row r="10" spans="1:8" ht="15.75" thickBot="1" x14ac:dyDescent="0.3">
      <c r="A10" s="173" t="s">
        <v>206</v>
      </c>
      <c r="B10" s="202"/>
      <c r="C10" s="43">
        <v>6</v>
      </c>
      <c r="E10" s="184" t="s">
        <v>19</v>
      </c>
      <c r="F10" s="2" t="str">
        <f t="shared" si="0"/>
        <v>Spectral Husk</v>
      </c>
      <c r="G10" s="15">
        <f t="shared" ca="1" si="0"/>
        <v>0</v>
      </c>
      <c r="H10" s="34" t="s">
        <v>202</v>
      </c>
    </row>
    <row r="11" spans="1:8" ht="15.75" thickBot="1" x14ac:dyDescent="0.3">
      <c r="A11" s="173" t="s">
        <v>208</v>
      </c>
      <c r="B11" s="202"/>
      <c r="C11" s="43">
        <v>6</v>
      </c>
      <c r="E11" s="185"/>
      <c r="F11" s="1" t="str">
        <f t="shared" si="0"/>
        <v>Spectral Heart</v>
      </c>
      <c r="G11" s="17">
        <f t="shared" ca="1" si="0"/>
        <v>0</v>
      </c>
      <c r="H11" s="34" t="s">
        <v>202</v>
      </c>
    </row>
    <row r="12" spans="1:8" ht="15.75" thickBot="1" x14ac:dyDescent="0.3">
      <c r="A12" s="227"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84" t="s">
        <v>18</v>
      </c>
      <c r="F13" s="2" t="str">
        <f t="shared" si="0"/>
        <v>Feathery Fin</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85"/>
      <c r="F14" s="1" t="str">
        <f t="shared" si="0"/>
        <v>Lunar Fin</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86"/>
      <c r="F15" s="9" t="str">
        <f t="shared" si="0"/>
        <v>Chasmlight Fin</v>
      </c>
      <c r="G15" s="16">
        <f t="shared" ca="1" si="0"/>
        <v>0</v>
      </c>
      <c r="H15" s="35" t="s">
        <v>202</v>
      </c>
    </row>
    <row r="16" spans="1:8" x14ac:dyDescent="0.25">
      <c r="A16" s="184"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86" priority="1" operator="containsText" text="Done">
      <formula>NOT(ISERROR(SEARCH("Done",H4)))</formula>
    </cfRule>
    <cfRule type="containsText" dxfId="85" priority="2" operator="containsText" text="In Progress">
      <formula>NOT(ISERROR(SEARCH("In Progress",H4)))</formula>
    </cfRule>
  </conditionalFormatting>
  <dataValidations count="6">
    <dataValidation type="list" allowBlank="1" showInputMessage="1" showErrorMessage="1" sqref="H4:H15" xr:uid="{4DCAE7F7-B0B0-C845-B8A0-0703118CBAFD}">
      <formula1>"In Progress, Done"</formula1>
    </dataValidation>
    <dataValidation type="list" allowBlank="1" showInputMessage="1" showErrorMessage="1" sqref="C10" xr:uid="{2D0300CE-C228-4E40-8DAF-8EBCC0C25B7B}">
      <formula1>IF(OR(VLOOKUP(B1,Weapon_List,3,FALSE)=1,VLOOKUP(B1,Weapon_List,3,FALSE)=2),Weapon_Ascension_Low_Rarity,Weapon_Ascension_High_Rarity)</formula1>
    </dataValidation>
    <dataValidation type="list" operator="equal" allowBlank="1" showInputMessage="1" showErrorMessage="1" sqref="B4" xr:uid="{249987D7-2F2E-644E-8A17-BF76927EC16D}">
      <formula1>IF(OR(VLOOKUP(B1,Weapon_List,3,FALSE)=1,VLOOKUP(B1,Weapon_List,3,FALSE)=2),Weapon_Levels_Low_Rarity,Weapon_Levels_High_Rarity)</formula1>
    </dataValidation>
    <dataValidation type="list" operator="equal" allowBlank="1" showInputMessage="1" showErrorMessage="1" sqref="B5" xr:uid="{8BDC1BA3-C521-1B48-81CD-F16B8589941E}">
      <formula1>IF(OR(VLOOKUP(B1,Weapon_List,3,FALSE)=1,VLOOKUP(B1,Weapon_List,3,FALSE)=2),Weapon_Levels_Low_Rarity,Weapon_Levels_High_Rarity)</formula1>
    </dataValidation>
    <dataValidation type="list" allowBlank="1" showInputMessage="1" showErrorMessage="1" sqref="B1" xr:uid="{00B8BAA7-C924-BF41-99A5-E69BBFACBF59}">
      <formula1>Weapon_Name_List</formula1>
    </dataValidation>
    <dataValidation type="list" allowBlank="1" showInputMessage="1" showErrorMessage="1" sqref="C11" xr:uid="{D0671FC7-5D5F-AE42-9D07-A5E8DDF6B366}">
      <formula1>IF(OR(VLOOKUP(B1,Weapon_List,3,FALSE)=1,VLOOKUP(B1,Weapon_List,3,FALSE)=2),Weapon_Ascension_Low_Rarity,Weapon_Ascension_High_Rarity)</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1A2B3-2E3F-478E-A17F-09F7DC479EA4}">
  <sheetPr codeName="Sheet288">
    <tabColor rgb="FF8EA9DB"/>
  </sheetPr>
  <dimension ref="A1:H22"/>
  <sheetViews>
    <sheetView workbookViewId="0">
      <selection activeCell="N48" sqref="N48"/>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171" t="s">
        <v>149</v>
      </c>
      <c r="B9" s="231"/>
      <c r="C9" s="172"/>
      <c r="E9" s="234"/>
      <c r="F9" s="44" t="str">
        <f t="shared" si="0"/>
        <v>Golden Goblet of the Pristine Sea</v>
      </c>
      <c r="G9" s="59">
        <f t="shared" ca="1" si="0"/>
        <v>0</v>
      </c>
      <c r="H9" s="34" t="s">
        <v>202</v>
      </c>
    </row>
    <row r="10" spans="1:8" ht="15.75" thickBot="1" x14ac:dyDescent="0.3">
      <c r="A10" s="173" t="s">
        <v>206</v>
      </c>
      <c r="B10" s="202"/>
      <c r="C10" s="43">
        <v>6</v>
      </c>
      <c r="E10" s="184" t="s">
        <v>19</v>
      </c>
      <c r="F10" s="2" t="str">
        <f t="shared" si="0"/>
        <v>Clockwork Meka</v>
      </c>
      <c r="G10" s="15">
        <f t="shared" ca="1" si="0"/>
        <v>0</v>
      </c>
      <c r="H10" s="34" t="s">
        <v>202</v>
      </c>
    </row>
    <row r="11" spans="1:8" ht="15.75" thickBot="1" x14ac:dyDescent="0.3">
      <c r="A11" s="173" t="s">
        <v>208</v>
      </c>
      <c r="B11" s="202"/>
      <c r="C11" s="43">
        <v>6</v>
      </c>
      <c r="E11" s="185"/>
      <c r="F11" s="1" t="str">
        <f t="shared" si="0"/>
        <v>Mechanical Spur Gear</v>
      </c>
      <c r="G11" s="17">
        <f t="shared" ca="1" si="0"/>
        <v>0</v>
      </c>
      <c r="H11" s="34" t="s">
        <v>202</v>
      </c>
    </row>
    <row r="12" spans="1:8" ht="15.75" thickBot="1" x14ac:dyDescent="0.3">
      <c r="A12" s="227"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4" t="s">
        <v>18</v>
      </c>
      <c r="F13" s="2" t="str">
        <f t="shared" si="0"/>
        <v>Ruined Hilt</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5"/>
      <c r="F14" s="1" t="str">
        <f t="shared" si="0"/>
        <v>Splintered Hilt</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6"/>
      <c r="F15" s="9" t="str">
        <f t="shared" si="0"/>
        <v>Still-Smoldering Hilt</v>
      </c>
      <c r="G15" s="16">
        <f t="shared" ca="1" si="0"/>
        <v>0</v>
      </c>
      <c r="H15" s="35" t="s">
        <v>202</v>
      </c>
    </row>
    <row r="16" spans="1:8" x14ac:dyDescent="0.25">
      <c r="A16" s="184"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84" priority="1" operator="containsText" text="Done">
      <formula>NOT(ISERROR(SEARCH("Done",H4)))</formula>
    </cfRule>
    <cfRule type="containsText" dxfId="83" priority="2" operator="containsText" text="In Progress">
      <formula>NOT(ISERROR(SEARCH("In Progress",H4)))</formula>
    </cfRule>
  </conditionalFormatting>
  <dataValidations count="6">
    <dataValidation type="list" allowBlank="1" showInputMessage="1" showErrorMessage="1" sqref="H4:H15" xr:uid="{8916B2A7-7238-4AA0-B13F-85F5992448AC}">
      <formula1>"In Progress, Done"</formula1>
    </dataValidation>
    <dataValidation type="list" allowBlank="1" showInputMessage="1" showErrorMessage="1" sqref="C10" xr:uid="{DFB22D03-301D-4866-AED0-82C3DE65576A}">
      <formula1>IF(OR(VLOOKUP(B1,Weapon_List,3,FALSE)=1,VLOOKUP(B1,Weapon_List,3,FALSE)=2),Weapon_Ascension_Low_Rarity,Weapon_Ascension_High_Rarity)</formula1>
    </dataValidation>
    <dataValidation type="list" operator="equal" allowBlank="1" showInputMessage="1" showErrorMessage="1" sqref="B4" xr:uid="{D61F2527-C02D-42F7-BAD6-CB57F440F510}">
      <formula1>IF(OR(VLOOKUP(B1,Weapon_List,3,FALSE)=1,VLOOKUP(B1,Weapon_List,3,FALSE)=2),Weapon_Levels_Low_Rarity,Weapon_Levels_High_Rarity)</formula1>
    </dataValidation>
    <dataValidation type="list" operator="equal" allowBlank="1" showInputMessage="1" showErrorMessage="1" sqref="B5" xr:uid="{D206132A-6CF8-487C-9541-604D96F8E317}">
      <formula1>IF(OR(VLOOKUP(B1,Weapon_List,3,FALSE)=1,VLOOKUP(B1,Weapon_List,3,FALSE)=2),Weapon_Levels_Low_Rarity,Weapon_Levels_High_Rarity)</formula1>
    </dataValidation>
    <dataValidation type="list" allowBlank="1" showInputMessage="1" showErrorMessage="1" sqref="B1" xr:uid="{E55927AF-3BF9-41E4-9655-7C92554081B0}">
      <formula1>Weapon_Name_List</formula1>
    </dataValidation>
    <dataValidation type="list" allowBlank="1" showInputMessage="1" showErrorMessage="1" sqref="C11" xr:uid="{A42D29E4-9B4D-4C92-8702-F0ABF4A0535C}">
      <formula1>IF(OR(VLOOKUP(B1,Weapon_List,3,FALSE)=1,VLOOKUP(B1,Weapon_List,3,FALSE)=2),Weapon_Ascension_Low_Rarity,Weapon_Ascension_High_Rarity)</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9E711-98D3-4F41-9EDE-A0D6CB1F59E3}">
  <sheetPr codeName="Sheet294">
    <tabColor rgb="FF8EA9DB"/>
  </sheetPr>
  <dimension ref="A1:H22"/>
  <sheetViews>
    <sheetView workbookViewId="0">
      <selection activeCell="F22" sqref="F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171" t="s">
        <v>149</v>
      </c>
      <c r="B9" s="231"/>
      <c r="C9" s="172"/>
      <c r="E9" s="234"/>
      <c r="F9" s="44" t="str">
        <f t="shared" si="0"/>
        <v>Echo of an Ancient Chord</v>
      </c>
      <c r="G9" s="59">
        <f t="shared" ca="1" si="0"/>
        <v>0</v>
      </c>
      <c r="H9" s="34" t="s">
        <v>202</v>
      </c>
    </row>
    <row r="10" spans="1:8" ht="15.75" thickBot="1" x14ac:dyDescent="0.3">
      <c r="A10" s="173" t="s">
        <v>206</v>
      </c>
      <c r="B10" s="202"/>
      <c r="C10" s="43">
        <v>6</v>
      </c>
      <c r="E10" s="184" t="s">
        <v>19</v>
      </c>
      <c r="F10" s="2" t="str">
        <f t="shared" si="0"/>
        <v>Clockwork Meka</v>
      </c>
      <c r="G10" s="15">
        <f t="shared" ca="1" si="0"/>
        <v>0</v>
      </c>
      <c r="H10" s="34" t="s">
        <v>202</v>
      </c>
    </row>
    <row r="11" spans="1:8" ht="15.75" thickBot="1" x14ac:dyDescent="0.3">
      <c r="A11" s="173" t="s">
        <v>208</v>
      </c>
      <c r="B11" s="202"/>
      <c r="C11" s="43">
        <v>6</v>
      </c>
      <c r="E11" s="185"/>
      <c r="F11" s="1" t="str">
        <f t="shared" si="0"/>
        <v>Mechanical Spur Gear</v>
      </c>
      <c r="G11" s="17">
        <f t="shared" ca="1" si="0"/>
        <v>0</v>
      </c>
      <c r="H11" s="34" t="s">
        <v>202</v>
      </c>
    </row>
    <row r="12" spans="1:8" ht="15.75" thickBot="1" x14ac:dyDescent="0.3">
      <c r="A12" s="227"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4" t="s">
        <v>18</v>
      </c>
      <c r="F13" s="2" t="str">
        <f t="shared" si="0"/>
        <v>Old Operative's Pocket Watch</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5"/>
      <c r="F14" s="1" t="str">
        <f t="shared" si="0"/>
        <v>Operative's Standard Pocket Watch</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6"/>
      <c r="F15" s="9" t="str">
        <f t="shared" si="0"/>
        <v>Operative's Constancy</v>
      </c>
      <c r="G15" s="16">
        <f t="shared" ca="1" si="0"/>
        <v>0</v>
      </c>
      <c r="H15" s="35" t="s">
        <v>202</v>
      </c>
    </row>
    <row r="16" spans="1:8" x14ac:dyDescent="0.25">
      <c r="A16" s="184"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82" priority="1" operator="containsText" text="Done">
      <formula>NOT(ISERROR(SEARCH("Done",H4)))</formula>
    </cfRule>
    <cfRule type="containsText" dxfId="81" priority="2" operator="containsText" text="In Progress">
      <formula>NOT(ISERROR(SEARCH("In Progress",H4)))</formula>
    </cfRule>
  </conditionalFormatting>
  <dataValidations count="6">
    <dataValidation type="list" allowBlank="1" showInputMessage="1" showErrorMessage="1" sqref="H4:H15" xr:uid="{90E2441C-0712-4F38-AFD9-751B51ADB1A4}">
      <formula1>"In Progress, Done"</formula1>
    </dataValidation>
    <dataValidation type="list" allowBlank="1" showInputMessage="1" showErrorMessage="1" sqref="C10" xr:uid="{C1F27263-30AB-4D16-9516-E7DF0B370696}">
      <formula1>IF(OR(VLOOKUP(B1,Weapon_List,3,FALSE)=1,VLOOKUP(B1,Weapon_List,3,FALSE)=2),Weapon_Ascension_Low_Rarity,Weapon_Ascension_High_Rarity)</formula1>
    </dataValidation>
    <dataValidation type="list" operator="equal" allowBlank="1" showInputMessage="1" showErrorMessage="1" sqref="B4" xr:uid="{70FC1B64-7EAA-4205-90EF-C78DEA23B97E}">
      <formula1>IF(OR(VLOOKUP(B1,Weapon_List,3,FALSE)=1,VLOOKUP(B1,Weapon_List,3,FALSE)=2),Weapon_Levels_Low_Rarity,Weapon_Levels_High_Rarity)</formula1>
    </dataValidation>
    <dataValidation type="list" operator="equal" allowBlank="1" showInputMessage="1" showErrorMessage="1" sqref="B5" xr:uid="{3DA478FA-05B8-42E4-A509-36C672617CF0}">
      <formula1>IF(OR(VLOOKUP(B1,Weapon_List,3,FALSE)=1,VLOOKUP(B1,Weapon_List,3,FALSE)=2),Weapon_Levels_Low_Rarity,Weapon_Levels_High_Rarity)</formula1>
    </dataValidation>
    <dataValidation type="list" allowBlank="1" showInputMessage="1" showErrorMessage="1" sqref="B1" xr:uid="{52A4E249-B365-4EA1-B721-29567564C4FF}">
      <formula1>Weapon_Name_List</formula1>
    </dataValidation>
    <dataValidation type="list" allowBlank="1" showInputMessage="1" showErrorMessage="1" sqref="C11" xr:uid="{C8C875A1-D307-445F-ACAA-2EDE35376189}">
      <formula1>IF(OR(VLOOKUP(B1,Weapon_List,3,FALSE)=1,VLOOKUP(B1,Weapon_List,3,FALSE)=2),Weapon_Ascension_Low_Rarity,Weapon_Ascension_High_Rarity)</formula1>
    </dataValidation>
  </dataValidations>
  <pageMargins left="0.7" right="0.7" top="0.75" bottom="0.75" header="0.3" footer="0.3"/>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F3670-A80D-45C7-94F7-ADA18D3C12B0}">
  <sheetPr codeName="Sheet293">
    <tabColor rgb="FF8EA9DB"/>
  </sheetPr>
  <dimension ref="A1:H22"/>
  <sheetViews>
    <sheetView workbookViewId="0">
      <selection activeCell="E20" sqref="E2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171" t="s">
        <v>149</v>
      </c>
      <c r="B9" s="231"/>
      <c r="C9" s="172"/>
      <c r="E9" s="234"/>
      <c r="F9" s="44" t="str">
        <f t="shared" si="0"/>
        <v>Chunk of Aerosiderite</v>
      </c>
      <c r="G9" s="59">
        <f t="shared" ca="1" si="0"/>
        <v>0</v>
      </c>
      <c r="H9" s="34" t="s">
        <v>202</v>
      </c>
    </row>
    <row r="10" spans="1:8" ht="15.75" thickBot="1" x14ac:dyDescent="0.3">
      <c r="A10" s="173" t="s">
        <v>206</v>
      </c>
      <c r="B10" s="202"/>
      <c r="C10" s="43">
        <v>6</v>
      </c>
      <c r="E10" s="184" t="s">
        <v>19</v>
      </c>
      <c r="F10" s="2" t="str">
        <f t="shared" si="0"/>
        <v>Recruit's Insignia</v>
      </c>
      <c r="G10" s="15">
        <f t="shared" ca="1" si="0"/>
        <v>0</v>
      </c>
      <c r="H10" s="34" t="s">
        <v>202</v>
      </c>
    </row>
    <row r="11" spans="1:8" ht="15.75" thickBot="1" x14ac:dyDescent="0.3">
      <c r="A11" s="173" t="s">
        <v>208</v>
      </c>
      <c r="B11" s="202"/>
      <c r="C11" s="43">
        <v>6</v>
      </c>
      <c r="E11" s="185"/>
      <c r="F11" s="1" t="str">
        <f t="shared" si="0"/>
        <v>Sergeant's Insignia</v>
      </c>
      <c r="G11" s="17">
        <f t="shared" ca="1" si="0"/>
        <v>0</v>
      </c>
      <c r="H11" s="34" t="s">
        <v>202</v>
      </c>
    </row>
    <row r="12" spans="1:8" ht="15.75" thickBot="1" x14ac:dyDescent="0.3">
      <c r="A12" s="227"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84" t="s">
        <v>18</v>
      </c>
      <c r="F13" s="2" t="str">
        <f t="shared" si="0"/>
        <v>Ruined Hilt</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85"/>
      <c r="F14" s="1" t="str">
        <f t="shared" si="0"/>
        <v>Splintered Hilt</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86"/>
      <c r="F15" s="9" t="str">
        <f t="shared" si="0"/>
        <v>Still-Smoldering Hilt</v>
      </c>
      <c r="G15" s="16">
        <f t="shared" ca="1" si="0"/>
        <v>0</v>
      </c>
      <c r="H15" s="35" t="s">
        <v>202</v>
      </c>
    </row>
    <row r="16" spans="1:8" x14ac:dyDescent="0.25">
      <c r="A16" s="184"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80" priority="1" operator="containsText" text="Done">
      <formula>NOT(ISERROR(SEARCH("Done",H4)))</formula>
    </cfRule>
    <cfRule type="containsText" dxfId="79" priority="2" operator="containsText" text="In Progress">
      <formula>NOT(ISERROR(SEARCH("In Progress",H4)))</formula>
    </cfRule>
  </conditionalFormatting>
  <dataValidations count="6">
    <dataValidation type="list" allowBlank="1" showInputMessage="1" showErrorMessage="1" sqref="H4:H15" xr:uid="{6EC8E18A-9D83-4A85-9D5F-A449DF083B40}">
      <formula1>"In Progress, Done"</formula1>
    </dataValidation>
    <dataValidation type="list" allowBlank="1" showInputMessage="1" showErrorMessage="1" sqref="C10" xr:uid="{DFFB00D9-5159-495C-96AC-D0B704F152BE}">
      <formula1>IF(OR(VLOOKUP(B1,Weapon_List,3,FALSE)=1,VLOOKUP(B1,Weapon_List,3,FALSE)=2),Weapon_Ascension_Low_Rarity,Weapon_Ascension_High_Rarity)</formula1>
    </dataValidation>
    <dataValidation type="list" operator="equal" allowBlank="1" showInputMessage="1" showErrorMessage="1" sqref="B4" xr:uid="{D8FB2F82-6940-40CA-B79D-024DF26D0DD3}">
      <formula1>IF(OR(VLOOKUP(B1,Weapon_List,3,FALSE)=1,VLOOKUP(B1,Weapon_List,3,FALSE)=2),Weapon_Levels_Low_Rarity,Weapon_Levels_High_Rarity)</formula1>
    </dataValidation>
    <dataValidation type="list" operator="equal" allowBlank="1" showInputMessage="1" showErrorMessage="1" sqref="B5" xr:uid="{FF136774-1277-4144-BB6E-A8E22A9BADDA}">
      <formula1>IF(OR(VLOOKUP(B1,Weapon_List,3,FALSE)=1,VLOOKUP(B1,Weapon_List,3,FALSE)=2),Weapon_Levels_Low_Rarity,Weapon_Levels_High_Rarity)</formula1>
    </dataValidation>
    <dataValidation type="list" allowBlank="1" showInputMessage="1" showErrorMessage="1" sqref="B1" xr:uid="{2C4101CA-8C03-4F80-87AB-164CE98AD550}">
      <formula1>Weapon_Name_List</formula1>
    </dataValidation>
    <dataValidation type="list" allowBlank="1" showInputMessage="1" showErrorMessage="1" sqref="C11" xr:uid="{384DBF20-575C-4C76-B17F-C53CE096F4DB}">
      <formula1>IF(OR(VLOOKUP(B1,Weapon_List,3,FALSE)=1,VLOOKUP(B1,Weapon_List,3,FALSE)=2),Weapon_Ascension_Low_Rarity,Weapon_Ascension_High_Rarity)</formula1>
    </dataValidation>
  </dataValidations>
  <pageMargins left="0.7" right="0.7" top="0.75" bottom="0.75" header="0.3" footer="0.3"/>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43043-8B6F-40FB-8CDD-6823E5A904DD}">
  <sheetPr codeName="Sheet292">
    <tabColor rgb="FF8EA9DB"/>
  </sheetPr>
  <dimension ref="A1:H22"/>
  <sheetViews>
    <sheetView workbookViewId="0">
      <selection activeCell="F19" sqref="F19"/>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171" t="s">
        <v>149</v>
      </c>
      <c r="B9" s="231"/>
      <c r="C9" s="172"/>
      <c r="E9" s="234"/>
      <c r="F9" s="44" t="str">
        <f t="shared" si="0"/>
        <v>Essense of Pure Sacred Dewdrop</v>
      </c>
      <c r="G9" s="59">
        <f t="shared" ca="1" si="0"/>
        <v>0</v>
      </c>
      <c r="H9" s="34" t="s">
        <v>202</v>
      </c>
    </row>
    <row r="10" spans="1:8" ht="15.75" thickBot="1" x14ac:dyDescent="0.3">
      <c r="A10" s="173" t="s">
        <v>206</v>
      </c>
      <c r="B10" s="202"/>
      <c r="C10" s="43">
        <v>6</v>
      </c>
      <c r="E10" s="184" t="s">
        <v>19</v>
      </c>
      <c r="F10" s="2" t="str">
        <f t="shared" si="0"/>
        <v>Transoceanic Pearl</v>
      </c>
      <c r="G10" s="15">
        <f t="shared" ca="1" si="0"/>
        <v>0</v>
      </c>
      <c r="H10" s="34" t="s">
        <v>202</v>
      </c>
    </row>
    <row r="11" spans="1:8" ht="15.75" thickBot="1" x14ac:dyDescent="0.3">
      <c r="A11" s="173" t="s">
        <v>208</v>
      </c>
      <c r="B11" s="202"/>
      <c r="C11" s="43">
        <v>6</v>
      </c>
      <c r="E11" s="185"/>
      <c r="F11" s="1" t="str">
        <f t="shared" si="0"/>
        <v>Transoceanic Chunk</v>
      </c>
      <c r="G11" s="17">
        <f t="shared" ca="1" si="0"/>
        <v>0</v>
      </c>
      <c r="H11" s="34" t="s">
        <v>202</v>
      </c>
    </row>
    <row r="12" spans="1:8" ht="15.75" thickBot="1" x14ac:dyDescent="0.3">
      <c r="A12" s="227"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84" t="s">
        <v>18</v>
      </c>
      <c r="F13" s="2" t="str">
        <f t="shared" si="0"/>
        <v>Feathery Fin</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85"/>
      <c r="F14" s="1" t="str">
        <f t="shared" si="0"/>
        <v>Lunar Fin</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86"/>
      <c r="F15" s="9" t="str">
        <f t="shared" si="0"/>
        <v>Chasmlight Fin</v>
      </c>
      <c r="G15" s="16">
        <f t="shared" ca="1" si="0"/>
        <v>0</v>
      </c>
      <c r="H15" s="35" t="s">
        <v>202</v>
      </c>
    </row>
    <row r="16" spans="1:8" x14ac:dyDescent="0.25">
      <c r="A16" s="184"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78" priority="1" operator="containsText" text="Done">
      <formula>NOT(ISERROR(SEARCH("Done",H4)))</formula>
    </cfRule>
    <cfRule type="containsText" dxfId="77" priority="2" operator="containsText" text="In Progress">
      <formula>NOT(ISERROR(SEARCH("In Progress",H4)))</formula>
    </cfRule>
  </conditionalFormatting>
  <dataValidations count="6">
    <dataValidation type="list" allowBlank="1" showInputMessage="1" showErrorMessage="1" sqref="H4:H15" xr:uid="{78624650-A47A-4F2E-AF21-3D3C509E2556}">
      <formula1>"In Progress, Done"</formula1>
    </dataValidation>
    <dataValidation type="list" allowBlank="1" showInputMessage="1" showErrorMessage="1" sqref="C10" xr:uid="{388FE28B-D378-44A0-877E-78B9883BA6B7}">
      <formula1>IF(OR(VLOOKUP(B1,Weapon_List,3,FALSE)=1,VLOOKUP(B1,Weapon_List,3,FALSE)=2),Weapon_Ascension_Low_Rarity,Weapon_Ascension_High_Rarity)</formula1>
    </dataValidation>
    <dataValidation type="list" operator="equal" allowBlank="1" showInputMessage="1" showErrorMessage="1" sqref="B4" xr:uid="{F45804C4-9E29-470F-8F04-95394D345DDD}">
      <formula1>IF(OR(VLOOKUP(B1,Weapon_List,3,FALSE)=1,VLOOKUP(B1,Weapon_List,3,FALSE)=2),Weapon_Levels_Low_Rarity,Weapon_Levels_High_Rarity)</formula1>
    </dataValidation>
    <dataValidation type="list" operator="equal" allowBlank="1" showInputMessage="1" showErrorMessage="1" sqref="B5" xr:uid="{3A355A81-F92C-4124-9BCF-AAB2F41253B8}">
      <formula1>IF(OR(VLOOKUP(B1,Weapon_List,3,FALSE)=1,VLOOKUP(B1,Weapon_List,3,FALSE)=2),Weapon_Levels_Low_Rarity,Weapon_Levels_High_Rarity)</formula1>
    </dataValidation>
    <dataValidation type="list" allowBlank="1" showInputMessage="1" showErrorMessage="1" sqref="B1" xr:uid="{32B25F3D-34B9-46CA-9CCB-5FEBF66C9101}">
      <formula1>Weapon_Name_List</formula1>
    </dataValidation>
    <dataValidation type="list" allowBlank="1" showInputMessage="1" showErrorMessage="1" sqref="C11" xr:uid="{E364DAE3-D50C-4DD5-BBBD-945D98720A77}">
      <formula1>IF(OR(VLOOKUP(B1,Weapon_List,3,FALSE)=1,VLOOKUP(B1,Weapon_List,3,FALSE)=2),Weapon_Ascension_Low_Rarity,Weapon_Ascension_High_Rarity)</formula1>
    </dataValidation>
  </dataValidation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A8726-4F95-4396-89A1-31D2297A87B6}">
  <sheetPr codeName="Sheet296">
    <tabColor rgb="FF8EA9DB"/>
  </sheetPr>
  <dimension ref="A1:H22"/>
  <sheetViews>
    <sheetView workbookViewId="0">
      <selection activeCell="E16" sqref="E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171" t="s">
        <v>149</v>
      </c>
      <c r="B9" s="231"/>
      <c r="C9" s="172"/>
      <c r="E9" s="234"/>
      <c r="F9" s="44" t="str">
        <f t="shared" si="0"/>
        <v>Golden Goblet of the Pristine Sea</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84" t="s">
        <v>18</v>
      </c>
      <c r="F13" s="2" t="str">
        <f t="shared" si="0"/>
        <v>Ruined Hilt</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85"/>
      <c r="F14" s="1" t="str">
        <f t="shared" si="0"/>
        <v>Splintered Hilt</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86"/>
      <c r="F15" s="9" t="str">
        <f t="shared" si="0"/>
        <v>Still-Smoldering Hilt</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76" priority="1" operator="containsText" text="Done">
      <formula>NOT(ISERROR(SEARCH("Done",H4)))</formula>
    </cfRule>
    <cfRule type="containsText" dxfId="75" priority="2" operator="containsText" text="In Progress">
      <formula>NOT(ISERROR(SEARCH("In Progress",H4)))</formula>
    </cfRule>
  </conditionalFormatting>
  <dataValidations count="6">
    <dataValidation type="list" allowBlank="1" showInputMessage="1" showErrorMessage="1" sqref="H4:H15" xr:uid="{0A01564E-87B3-43BF-A671-B2E769E31D31}">
      <formula1>"In Progress, Done"</formula1>
    </dataValidation>
    <dataValidation type="list" allowBlank="1" showInputMessage="1" showErrorMessage="1" sqref="C10" xr:uid="{9CB09E88-BA09-4315-9DB3-C35293CFAFA6}">
      <formula1>IF(OR(VLOOKUP(B1,Weapon_List,3,FALSE)=1,VLOOKUP(B1,Weapon_List,3,FALSE)=2),Weapon_Ascension_Low_Rarity,Weapon_Ascension_High_Rarity)</formula1>
    </dataValidation>
    <dataValidation type="list" operator="equal" allowBlank="1" showInputMessage="1" showErrorMessage="1" sqref="B4" xr:uid="{04E7F538-9B0B-4BC8-B154-84F34F34BF2F}">
      <formula1>IF(OR(VLOOKUP(B1,Weapon_List,3,FALSE)=1,VLOOKUP(B1,Weapon_List,3,FALSE)=2),Weapon_Levels_Low_Rarity,Weapon_Levels_High_Rarity)</formula1>
    </dataValidation>
    <dataValidation type="list" operator="equal" allowBlank="1" showInputMessage="1" showErrorMessage="1" sqref="B5" xr:uid="{0A19BCAD-6407-49AD-8047-56AF562EB560}">
      <formula1>IF(OR(VLOOKUP(B1,Weapon_List,3,FALSE)=1,VLOOKUP(B1,Weapon_List,3,FALSE)=2),Weapon_Levels_Low_Rarity,Weapon_Levels_High_Rarity)</formula1>
    </dataValidation>
    <dataValidation type="list" allowBlank="1" showInputMessage="1" showErrorMessage="1" sqref="B1" xr:uid="{3FBED7DC-297B-48A5-91A6-63A318267976}">
      <formula1>Weapon_Name_List</formula1>
    </dataValidation>
    <dataValidation type="list" allowBlank="1" showInputMessage="1" showErrorMessage="1" sqref="C11" xr:uid="{FB7854B9-375D-458B-9B4A-B0F9E9F42599}">
      <formula1>IF(OR(VLOOKUP(B1,Weapon_List,3,FALSE)=1,VLOOKUP(B1,Weapon_List,3,FALSE)=2),Weapon_Ascension_Low_Rarity,Weapon_Ascension_High_Rarity)</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C06F-BE6C-4876-840E-B5D8A7DDC611}">
  <sheetPr codeName="Sheet300">
    <tabColor rgb="FF8EA9DB"/>
  </sheetPr>
  <dimension ref="A1:H22"/>
  <sheetViews>
    <sheetView workbookViewId="0">
      <selection activeCell="F18" sqref="F18"/>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171" t="s">
        <v>149</v>
      </c>
      <c r="B9" s="231"/>
      <c r="C9" s="172"/>
      <c r="E9" s="234"/>
      <c r="F9" s="44" t="str">
        <f t="shared" si="0"/>
        <v>Blazing Sacrificial Heart's Splendor</v>
      </c>
      <c r="G9" s="59">
        <f t="shared" ca="1" si="0"/>
        <v>0</v>
      </c>
      <c r="H9" s="34" t="s">
        <v>202</v>
      </c>
    </row>
    <row r="10" spans="1:8" ht="15.75" thickBot="1" x14ac:dyDescent="0.3">
      <c r="A10" s="173" t="s">
        <v>206</v>
      </c>
      <c r="B10" s="202"/>
      <c r="C10" s="43">
        <v>6</v>
      </c>
      <c r="E10" s="184" t="s">
        <v>19</v>
      </c>
      <c r="F10" s="2" t="str">
        <f t="shared" si="0"/>
        <v>Juvenile Fang</v>
      </c>
      <c r="G10" s="15">
        <f t="shared" ca="1" si="0"/>
        <v>0</v>
      </c>
      <c r="H10" s="34" t="s">
        <v>202</v>
      </c>
    </row>
    <row r="11" spans="1:8" ht="15.75" thickBot="1" x14ac:dyDescent="0.3">
      <c r="A11" s="173" t="s">
        <v>208</v>
      </c>
      <c r="B11" s="202"/>
      <c r="C11" s="43">
        <v>6</v>
      </c>
      <c r="E11" s="185"/>
      <c r="F11" s="1" t="str">
        <f t="shared" si="0"/>
        <v>Seasoned Fang</v>
      </c>
      <c r="G11" s="17">
        <f t="shared" ca="1" si="0"/>
        <v>0</v>
      </c>
      <c r="H11" s="34" t="s">
        <v>202</v>
      </c>
    </row>
    <row r="12" spans="1:8" ht="15.75" thickBot="1" x14ac:dyDescent="0.3">
      <c r="A12" s="227"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84" t="s">
        <v>18</v>
      </c>
      <c r="F13" s="2" t="str">
        <f t="shared" si="0"/>
        <v>Ruined Hilt</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85"/>
      <c r="F14" s="1" t="str">
        <f t="shared" si="0"/>
        <v>Splintered Hilt</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86"/>
      <c r="F15" s="9" t="str">
        <f t="shared" si="0"/>
        <v>Still-Smoldering Hilt</v>
      </c>
      <c r="G15" s="16">
        <f t="shared" ca="1" si="0"/>
        <v>0</v>
      </c>
      <c r="H15" s="35" t="s">
        <v>202</v>
      </c>
    </row>
    <row r="16" spans="1:8" x14ac:dyDescent="0.25">
      <c r="A16" s="184"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74" priority="1" operator="containsText" text="Done">
      <formula>NOT(ISERROR(SEARCH("Done",H4)))</formula>
    </cfRule>
    <cfRule type="containsText" dxfId="73" priority="2" operator="containsText" text="In Progress">
      <formula>NOT(ISERROR(SEARCH("In Progress",H4)))</formula>
    </cfRule>
  </conditionalFormatting>
  <dataValidations count="6">
    <dataValidation type="list" allowBlank="1" showInputMessage="1" showErrorMessage="1" sqref="H4:H15" xr:uid="{144A7C17-794D-4538-972D-1579C7BE10B7}">
      <formula1>"In Progress, Done"</formula1>
    </dataValidation>
    <dataValidation type="list" allowBlank="1" showInputMessage="1" showErrorMessage="1" sqref="C10" xr:uid="{FB00FBF1-169D-4F46-9A5C-D2B8BEA6EB73}">
      <formula1>IF(OR(VLOOKUP(B1,Weapon_List,3,FALSE)=1,VLOOKUP(B1,Weapon_List,3,FALSE)=2),Weapon_Ascension_Low_Rarity,Weapon_Ascension_High_Rarity)</formula1>
    </dataValidation>
    <dataValidation type="list" operator="equal" allowBlank="1" showInputMessage="1" showErrorMessage="1" sqref="B4" xr:uid="{404269F6-6E90-47C4-9AF9-B0E5ECA45753}">
      <formula1>IF(OR(VLOOKUP(B1,Weapon_List,3,FALSE)=1,VLOOKUP(B1,Weapon_List,3,FALSE)=2),Weapon_Levels_Low_Rarity,Weapon_Levels_High_Rarity)</formula1>
    </dataValidation>
    <dataValidation type="list" operator="equal" allowBlank="1" showInputMessage="1" showErrorMessage="1" sqref="B5" xr:uid="{B660C379-188C-4A38-BB10-C2D962416FFA}">
      <formula1>IF(OR(VLOOKUP(B1,Weapon_List,3,FALSE)=1,VLOOKUP(B1,Weapon_List,3,FALSE)=2),Weapon_Levels_Low_Rarity,Weapon_Levels_High_Rarity)</formula1>
    </dataValidation>
    <dataValidation type="list" allowBlank="1" showInputMessage="1" showErrorMessage="1" sqref="B1" xr:uid="{04D9FB75-27E4-45C5-89B1-48092473C8D8}">
      <formula1>Weapon_Name_List</formula1>
    </dataValidation>
    <dataValidation type="list" allowBlank="1" showInputMessage="1" showErrorMessage="1" sqref="C11" xr:uid="{35A0E429-54ED-4B4F-B336-9FB094CB85B4}">
      <formula1>IF(OR(VLOOKUP(B1,Weapon_List,3,FALSE)=1,VLOOKUP(B1,Weapon_List,3,FALSE)=2),Weapon_Ascension_Low_Rarity,Weapon_Ascension_High_Rarity)</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34980-63A8-4FFB-9842-DAB25E48F74E}">
  <sheetPr codeName="Sheet301">
    <tabColor rgb="FF8EA9DB"/>
  </sheetPr>
  <dimension ref="A1:H22"/>
  <sheetViews>
    <sheetView workbookViewId="0">
      <selection activeCell="F22" sqref="F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171" t="s">
        <v>149</v>
      </c>
      <c r="B9" s="231"/>
      <c r="C9" s="172"/>
      <c r="E9" s="234"/>
      <c r="F9" s="44" t="str">
        <f t="shared" si="0"/>
        <v>Blazing Sacrificial Heart's Splendor</v>
      </c>
      <c r="G9" s="59">
        <f t="shared" ca="1" si="0"/>
        <v>0</v>
      </c>
      <c r="H9" s="34" t="s">
        <v>202</v>
      </c>
    </row>
    <row r="10" spans="1:8" ht="15.75" thickBot="1" x14ac:dyDescent="0.3">
      <c r="A10" s="173" t="s">
        <v>206</v>
      </c>
      <c r="B10" s="202"/>
      <c r="C10" s="43">
        <v>6</v>
      </c>
      <c r="E10" s="184" t="s">
        <v>19</v>
      </c>
      <c r="F10" s="2" t="str">
        <f t="shared" si="0"/>
        <v>Sentry’s Wooden Whistle</v>
      </c>
      <c r="G10" s="15">
        <f t="shared" ca="1" si="0"/>
        <v>0</v>
      </c>
      <c r="H10" s="34" t="s">
        <v>202</v>
      </c>
    </row>
    <row r="11" spans="1:8" ht="15.75" thickBot="1" x14ac:dyDescent="0.3">
      <c r="A11" s="173" t="s">
        <v>208</v>
      </c>
      <c r="B11" s="202"/>
      <c r="C11" s="43">
        <v>6</v>
      </c>
      <c r="E11" s="185"/>
      <c r="F11" s="1" t="str">
        <f t="shared" si="0"/>
        <v>Warrior’s Metal Whistle</v>
      </c>
      <c r="G11" s="17">
        <f t="shared" ca="1" si="0"/>
        <v>0</v>
      </c>
      <c r="H11" s="34" t="s">
        <v>202</v>
      </c>
    </row>
    <row r="12" spans="1:8" ht="15.75" thickBot="1" x14ac:dyDescent="0.3">
      <c r="A12" s="227"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84" t="s">
        <v>18</v>
      </c>
      <c r="F13" s="2" t="str">
        <f t="shared" si="0"/>
        <v>Ignited Stone</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85"/>
      <c r="F14" s="1" t="str">
        <f t="shared" si="0"/>
        <v>Ignited Seed of Life</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86"/>
      <c r="F15" s="9" t="str">
        <f t="shared" si="0"/>
        <v>Ignited Seeing Eye</v>
      </c>
      <c r="G15" s="16">
        <f t="shared" ca="1" si="0"/>
        <v>0</v>
      </c>
      <c r="H15" s="35" t="s">
        <v>202</v>
      </c>
    </row>
    <row r="16" spans="1:8" x14ac:dyDescent="0.25">
      <c r="A16" s="184"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72" priority="1" operator="containsText" text="Done">
      <formula>NOT(ISERROR(SEARCH("Done",H4)))</formula>
    </cfRule>
    <cfRule type="containsText" dxfId="71" priority="2" operator="containsText" text="In Progress">
      <formula>NOT(ISERROR(SEARCH("In Progress",H4)))</formula>
    </cfRule>
  </conditionalFormatting>
  <dataValidations count="6">
    <dataValidation type="list" allowBlank="1" showInputMessage="1" showErrorMessage="1" sqref="H4:H15" xr:uid="{BB15D796-181C-4D92-A302-95A373F376A0}">
      <formula1>"In Progress, Done"</formula1>
    </dataValidation>
    <dataValidation type="list" allowBlank="1" showInputMessage="1" showErrorMessage="1" sqref="C10" xr:uid="{50B90524-F96B-49B7-8598-A09FD9157A27}">
      <formula1>IF(OR(VLOOKUP(B1,Weapon_List,3,FALSE)=1,VLOOKUP(B1,Weapon_List,3,FALSE)=2),Weapon_Ascension_Low_Rarity,Weapon_Ascension_High_Rarity)</formula1>
    </dataValidation>
    <dataValidation type="list" operator="equal" allowBlank="1" showInputMessage="1" showErrorMessage="1" sqref="B4" xr:uid="{1EAEF75B-90FF-4DA5-AD5E-C8C58B3E811A}">
      <formula1>IF(OR(VLOOKUP(B1,Weapon_List,3,FALSE)=1,VLOOKUP(B1,Weapon_List,3,FALSE)=2),Weapon_Levels_Low_Rarity,Weapon_Levels_High_Rarity)</formula1>
    </dataValidation>
    <dataValidation type="list" operator="equal" allowBlank="1" showInputMessage="1" showErrorMessage="1" sqref="B5" xr:uid="{FF65ABAA-6BF5-4E39-9072-0D9283AB9BED}">
      <formula1>IF(OR(VLOOKUP(B1,Weapon_List,3,FALSE)=1,VLOOKUP(B1,Weapon_List,3,FALSE)=2),Weapon_Levels_Low_Rarity,Weapon_Levels_High_Rarity)</formula1>
    </dataValidation>
    <dataValidation type="list" allowBlank="1" showInputMessage="1" showErrorMessage="1" sqref="B1" xr:uid="{9A4F1B5A-F26E-4D98-B2F4-E8A584ED85EA}">
      <formula1>Weapon_Name_List</formula1>
    </dataValidation>
    <dataValidation type="list" allowBlank="1" showInputMessage="1" showErrorMessage="1" sqref="C11" xr:uid="{74E6373C-6850-4A2C-B83C-A273344CAC7C}">
      <formula1>IF(OR(VLOOKUP(B1,Weapon_List,3,FALSE)=1,VLOOKUP(B1,Weapon_List,3,FALSE)=2),Weapon_Ascension_Low_Rarity,Weapon_Ascension_High_Rarity)</formula1>
    </dataValidation>
  </dataValidations>
  <pageMargins left="0.7" right="0.7" top="0.75" bottom="0.75" header="0.3" footer="0.3"/>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C7810-2997-4182-A273-515DFFDDC8C0}">
  <sheetPr codeName="Sheet302">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171" t="s">
        <v>149</v>
      </c>
      <c r="B9" s="231"/>
      <c r="C9" s="172"/>
      <c r="E9" s="234"/>
      <c r="F9" s="44" t="str">
        <f t="shared" si="0"/>
        <v>Delirious Divinity of the Sacred Lord</v>
      </c>
      <c r="G9" s="59">
        <f t="shared" ca="1" si="0"/>
        <v>0</v>
      </c>
      <c r="H9" s="34" t="s">
        <v>202</v>
      </c>
    </row>
    <row r="10" spans="1:8" ht="15.75" thickBot="1" x14ac:dyDescent="0.3">
      <c r="A10" s="173" t="s">
        <v>206</v>
      </c>
      <c r="B10" s="202"/>
      <c r="C10" s="43">
        <v>6</v>
      </c>
      <c r="E10" s="184" t="s">
        <v>19</v>
      </c>
      <c r="F10" s="2" t="str">
        <f t="shared" si="0"/>
        <v>Sentry’s Wooden Whistle</v>
      </c>
      <c r="G10" s="15">
        <f t="shared" ca="1" si="0"/>
        <v>0</v>
      </c>
      <c r="H10" s="34" t="s">
        <v>202</v>
      </c>
    </row>
    <row r="11" spans="1:8" ht="15.75" thickBot="1" x14ac:dyDescent="0.3">
      <c r="A11" s="173" t="s">
        <v>208</v>
      </c>
      <c r="B11" s="202"/>
      <c r="C11" s="43">
        <v>6</v>
      </c>
      <c r="E11" s="185"/>
      <c r="F11" s="1" t="str">
        <f t="shared" si="0"/>
        <v>Warrior’s Metal Whistle</v>
      </c>
      <c r="G11" s="17">
        <f t="shared" ca="1" si="0"/>
        <v>0</v>
      </c>
      <c r="H11" s="34" t="s">
        <v>202</v>
      </c>
    </row>
    <row r="12" spans="1:8" ht="15.75" thickBot="1" x14ac:dyDescent="0.3">
      <c r="A12" s="227"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84" t="s">
        <v>18</v>
      </c>
      <c r="F13" s="2" t="str">
        <f t="shared" si="0"/>
        <v>Axis of the Secret Source</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85"/>
      <c r="F14" s="1" t="str">
        <f t="shared" si="0"/>
        <v>Sheath of the Secret Source</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86"/>
      <c r="F15" s="9" t="str">
        <f t="shared" si="0"/>
        <v>Heart of the Secret Source</v>
      </c>
      <c r="G15" s="16">
        <f t="shared" ca="1" si="0"/>
        <v>0</v>
      </c>
      <c r="H15" s="35" t="s">
        <v>202</v>
      </c>
    </row>
    <row r="16" spans="1:8" x14ac:dyDescent="0.25">
      <c r="A16" s="184"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70" priority="1" operator="containsText" text="Done">
      <formula>NOT(ISERROR(SEARCH("Done",H4)))</formula>
    </cfRule>
    <cfRule type="containsText" dxfId="69" priority="2" operator="containsText" text="In Progress">
      <formula>NOT(ISERROR(SEARCH("In Progress",H4)))</formula>
    </cfRule>
  </conditionalFormatting>
  <dataValidations count="6">
    <dataValidation type="list" allowBlank="1" showInputMessage="1" showErrorMessage="1" sqref="H4:H15" xr:uid="{3CE1AC7A-C834-4415-A1DC-07F66BBFD233}">
      <formula1>"In Progress, Done"</formula1>
    </dataValidation>
    <dataValidation type="list" allowBlank="1" showInputMessage="1" showErrorMessage="1" sqref="C10" xr:uid="{DD28295A-A27B-4928-A7C1-69C8C90D9C61}">
      <formula1>IF(OR(VLOOKUP(B1,Weapon_List,3,FALSE)=1,VLOOKUP(B1,Weapon_List,3,FALSE)=2),Weapon_Ascension_Low_Rarity,Weapon_Ascension_High_Rarity)</formula1>
    </dataValidation>
    <dataValidation type="list" operator="equal" allowBlank="1" showInputMessage="1" showErrorMessage="1" sqref="B4" xr:uid="{ABC2E000-ADEE-4375-AB6E-CEF1D98C7FD0}">
      <formula1>IF(OR(VLOOKUP(B1,Weapon_List,3,FALSE)=1,VLOOKUP(B1,Weapon_List,3,FALSE)=2),Weapon_Levels_Low_Rarity,Weapon_Levels_High_Rarity)</formula1>
    </dataValidation>
    <dataValidation type="list" operator="equal" allowBlank="1" showInputMessage="1" showErrorMessage="1" sqref="B5" xr:uid="{0D9C7D77-97FF-4058-AE11-EE3FE6C9AEF0}">
      <formula1>IF(OR(VLOOKUP(B1,Weapon_List,3,FALSE)=1,VLOOKUP(B1,Weapon_List,3,FALSE)=2),Weapon_Levels_Low_Rarity,Weapon_Levels_High_Rarity)</formula1>
    </dataValidation>
    <dataValidation type="list" allowBlank="1" showInputMessage="1" showErrorMessage="1" sqref="B1" xr:uid="{9EF161DA-6299-454F-BD26-E972E08A1C04}">
      <formula1>Weapon_Name_List</formula1>
    </dataValidation>
    <dataValidation type="list" allowBlank="1" showInputMessage="1" showErrorMessage="1" sqref="C11" xr:uid="{EC2C1CA4-3DFA-4A49-8208-4F469911F3F7}">
      <formula1>IF(OR(VLOOKUP(B1,Weapon_List,3,FALSE)=1,VLOOKUP(B1,Weapon_List,3,FALSE)=2),Weapon_Ascension_Low_Rarity,Weapon_Ascension_High_Rarity)</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1414B-A8C3-4777-A399-E3A327F32DE2}">
  <sheetPr codeName="Sheet303">
    <tabColor rgb="FF8EA9DB"/>
  </sheetPr>
  <dimension ref="A1:H22"/>
  <sheetViews>
    <sheetView workbookViewId="0">
      <selection activeCell="E16" sqref="E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171" t="s">
        <v>149</v>
      </c>
      <c r="B9" s="231"/>
      <c r="C9" s="172"/>
      <c r="E9" s="234"/>
      <c r="F9" s="44" t="str">
        <f t="shared" si="0"/>
        <v>Delirious Divinity of the Sacred Lord</v>
      </c>
      <c r="G9" s="59">
        <f t="shared" ca="1" si="0"/>
        <v>0</v>
      </c>
      <c r="H9" s="34" t="s">
        <v>202</v>
      </c>
    </row>
    <row r="10" spans="1:8" ht="15.75" thickBot="1" x14ac:dyDescent="0.3">
      <c r="A10" s="173" t="s">
        <v>206</v>
      </c>
      <c r="B10" s="202"/>
      <c r="C10" s="43">
        <v>6</v>
      </c>
      <c r="E10" s="184" t="s">
        <v>19</v>
      </c>
      <c r="F10" s="2" t="str">
        <f t="shared" si="0"/>
        <v>Damaged Mask</v>
      </c>
      <c r="G10" s="15">
        <f t="shared" ca="1" si="0"/>
        <v>0</v>
      </c>
      <c r="H10" s="34" t="s">
        <v>202</v>
      </c>
    </row>
    <row r="11" spans="1:8" ht="15.75" thickBot="1" x14ac:dyDescent="0.3">
      <c r="A11" s="173" t="s">
        <v>208</v>
      </c>
      <c r="B11" s="202"/>
      <c r="C11" s="43">
        <v>6</v>
      </c>
      <c r="E11" s="185"/>
      <c r="F11" s="1" t="str">
        <f t="shared" si="0"/>
        <v>Stained Mask</v>
      </c>
      <c r="G11" s="17">
        <f t="shared" ca="1" si="0"/>
        <v>0</v>
      </c>
      <c r="H11" s="34" t="s">
        <v>202</v>
      </c>
    </row>
    <row r="12" spans="1:8" ht="15.75" thickBot="1" x14ac:dyDescent="0.3">
      <c r="A12" s="227"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84" t="s">
        <v>18</v>
      </c>
      <c r="F13" s="2" t="str">
        <f t="shared" si="0"/>
        <v>Shard of a Shattered Will</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85"/>
      <c r="F14" s="1" t="str">
        <f t="shared" si="0"/>
        <v>Locus of a Clear Will</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86"/>
      <c r="F15" s="9" t="str">
        <f t="shared" si="0"/>
        <v>Sigil of a Striding Will</v>
      </c>
      <c r="G15" s="16">
        <f t="shared" ca="1" si="0"/>
        <v>0</v>
      </c>
      <c r="H15" s="35" t="s">
        <v>202</v>
      </c>
    </row>
    <row r="16" spans="1:8" x14ac:dyDescent="0.25">
      <c r="A16" s="184"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68" priority="1" operator="containsText" text="Done">
      <formula>NOT(ISERROR(SEARCH("Done",H4)))</formula>
    </cfRule>
    <cfRule type="containsText" dxfId="67" priority="2" operator="containsText" text="In Progress">
      <formula>NOT(ISERROR(SEARCH("In Progress",H4)))</formula>
    </cfRule>
  </conditionalFormatting>
  <dataValidations count="6">
    <dataValidation type="list" allowBlank="1" showInputMessage="1" showErrorMessage="1" sqref="H4:H15" xr:uid="{A6341D30-A8D0-41A3-AC27-181B102DA742}">
      <formula1>"In Progress, Done"</formula1>
    </dataValidation>
    <dataValidation type="list" allowBlank="1" showInputMessage="1" showErrorMessage="1" sqref="C10" xr:uid="{12AF9E66-ABF4-4FA4-9AC9-27A0B4B2A216}">
      <formula1>IF(OR(VLOOKUP(B1,Weapon_List,3,FALSE)=1,VLOOKUP(B1,Weapon_List,3,FALSE)=2),Weapon_Ascension_Low_Rarity,Weapon_Ascension_High_Rarity)</formula1>
    </dataValidation>
    <dataValidation type="list" operator="equal" allowBlank="1" showInputMessage="1" showErrorMessage="1" sqref="B4" xr:uid="{30FB4C37-9680-4AC4-89EF-0B87A785CC38}">
      <formula1>IF(OR(VLOOKUP(B1,Weapon_List,3,FALSE)=1,VLOOKUP(B1,Weapon_List,3,FALSE)=2),Weapon_Levels_Low_Rarity,Weapon_Levels_High_Rarity)</formula1>
    </dataValidation>
    <dataValidation type="list" operator="equal" allowBlank="1" showInputMessage="1" showErrorMessage="1" sqref="B5" xr:uid="{CF351971-FE2C-4D7C-9FE6-07A5EA872F2F}">
      <formula1>IF(OR(VLOOKUP(B1,Weapon_List,3,FALSE)=1,VLOOKUP(B1,Weapon_List,3,FALSE)=2),Weapon_Levels_Low_Rarity,Weapon_Levels_High_Rarity)</formula1>
    </dataValidation>
    <dataValidation type="list" allowBlank="1" showInputMessage="1" showErrorMessage="1" sqref="B1" xr:uid="{1BEB0F43-454D-4AF8-8277-24DDF6680748}">
      <formula1>Weapon_Name_List</formula1>
    </dataValidation>
    <dataValidation type="list" allowBlank="1" showInputMessage="1" showErrorMessage="1" sqref="C11" xr:uid="{2D757740-263F-42B0-914A-773AE69B4C20}">
      <formula1>IF(OR(VLOOKUP(B1,Weapon_List,3,FALSE)=1,VLOOKUP(B1,Weapon_List,3,FALSE)=2),Weapon_Ascension_Low_Rarity,Weapon_Ascension_High_Rarity)</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23827-D358-41A2-9AE4-254C45801BD0}">
  <sheetPr codeName="Sheet304">
    <tabColor rgb="FF8EA9DB"/>
  </sheetPr>
  <dimension ref="A1:H22"/>
  <sheetViews>
    <sheetView workbookViewId="0">
      <selection activeCell="G20" sqref="G2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171" t="s">
        <v>149</v>
      </c>
      <c r="B9" s="231"/>
      <c r="C9" s="172"/>
      <c r="E9" s="234"/>
      <c r="F9" s="44" t="str">
        <f t="shared" si="0"/>
        <v>Night-Wind's Mystic Revelation</v>
      </c>
      <c r="G9" s="59">
        <f t="shared" ca="1" si="0"/>
        <v>0</v>
      </c>
      <c r="H9" s="34" t="s">
        <v>202</v>
      </c>
    </row>
    <row r="10" spans="1:8" ht="15.75" thickBot="1" x14ac:dyDescent="0.3">
      <c r="A10" s="173" t="s">
        <v>206</v>
      </c>
      <c r="B10" s="202"/>
      <c r="C10" s="43">
        <v>6</v>
      </c>
      <c r="E10" s="184" t="s">
        <v>19</v>
      </c>
      <c r="F10" s="2" t="str">
        <f t="shared" si="0"/>
        <v>Juvenile Fang</v>
      </c>
      <c r="G10" s="15">
        <f t="shared" ca="1" si="0"/>
        <v>0</v>
      </c>
      <c r="H10" s="34" t="s">
        <v>202</v>
      </c>
    </row>
    <row r="11" spans="1:8" ht="15.75" thickBot="1" x14ac:dyDescent="0.3">
      <c r="A11" s="173" t="s">
        <v>208</v>
      </c>
      <c r="B11" s="202"/>
      <c r="C11" s="43">
        <v>6</v>
      </c>
      <c r="E11" s="185"/>
      <c r="F11" s="1" t="str">
        <f t="shared" si="0"/>
        <v>Seasoned Fang</v>
      </c>
      <c r="G11" s="17">
        <f t="shared" ca="1" si="0"/>
        <v>0</v>
      </c>
      <c r="H11" s="34" t="s">
        <v>202</v>
      </c>
    </row>
    <row r="12" spans="1:8" ht="15.75" thickBot="1" x14ac:dyDescent="0.3">
      <c r="A12" s="227"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84" t="s">
        <v>18</v>
      </c>
      <c r="F13" s="2" t="str">
        <f t="shared" si="0"/>
        <v>Feathery Fin</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85"/>
      <c r="F14" s="1" t="str">
        <f t="shared" si="0"/>
        <v>Lunar Fin</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86"/>
      <c r="F15" s="9" t="str">
        <f t="shared" si="0"/>
        <v>Chasmlight Fin</v>
      </c>
      <c r="G15" s="16">
        <f t="shared" ca="1" si="0"/>
        <v>0</v>
      </c>
      <c r="H15" s="35" t="s">
        <v>202</v>
      </c>
    </row>
    <row r="16" spans="1:8" x14ac:dyDescent="0.25">
      <c r="A16" s="184"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66" priority="1" operator="containsText" text="Done">
      <formula>NOT(ISERROR(SEARCH("Done",H4)))</formula>
    </cfRule>
    <cfRule type="containsText" dxfId="65" priority="2" operator="containsText" text="In Progress">
      <formula>NOT(ISERROR(SEARCH("In Progress",H4)))</formula>
    </cfRule>
  </conditionalFormatting>
  <dataValidations count="6">
    <dataValidation type="list" allowBlank="1" showInputMessage="1" showErrorMessage="1" sqref="H4:H15" xr:uid="{012929EC-3CC2-4EAB-8735-BF6C2527A0B1}">
      <formula1>"In Progress, Done"</formula1>
    </dataValidation>
    <dataValidation type="list" allowBlank="1" showInputMessage="1" showErrorMessage="1" sqref="C10" xr:uid="{C8298909-AEAA-4CD1-96F4-10DDF0ABA693}">
      <formula1>IF(OR(VLOOKUP(B1,Weapon_List,3,FALSE)=1,VLOOKUP(B1,Weapon_List,3,FALSE)=2),Weapon_Ascension_Low_Rarity,Weapon_Ascension_High_Rarity)</formula1>
    </dataValidation>
    <dataValidation type="list" operator="equal" allowBlank="1" showInputMessage="1" showErrorMessage="1" sqref="B4" xr:uid="{A4067DDC-8A64-4CFB-B378-DAABE59B7B9E}">
      <formula1>IF(OR(VLOOKUP(B1,Weapon_List,3,FALSE)=1,VLOOKUP(B1,Weapon_List,3,FALSE)=2),Weapon_Levels_Low_Rarity,Weapon_Levels_High_Rarity)</formula1>
    </dataValidation>
    <dataValidation type="list" operator="equal" allowBlank="1" showInputMessage="1" showErrorMessage="1" sqref="B5" xr:uid="{E523AD65-743B-430E-AE71-6DF5684FA14A}">
      <formula1>IF(OR(VLOOKUP(B1,Weapon_List,3,FALSE)=1,VLOOKUP(B1,Weapon_List,3,FALSE)=2),Weapon_Levels_Low_Rarity,Weapon_Levels_High_Rarity)</formula1>
    </dataValidation>
    <dataValidation type="list" allowBlank="1" showInputMessage="1" showErrorMessage="1" sqref="B1" xr:uid="{52CB3207-68B6-4505-8C07-02F2D484D63B}">
      <formula1>Weapon_Name_List</formula1>
    </dataValidation>
    <dataValidation type="list" allowBlank="1" showInputMessage="1" showErrorMessage="1" sqref="C11" xr:uid="{5414FD89-DFA2-4666-B9C2-FCD15F09F247}">
      <formula1>IF(OR(VLOOKUP(B1,Weapon_List,3,FALSE)=1,VLOOKUP(B1,Weapon_List,3,FALSE)=2),Weapon_Ascension_Low_Rarity,Weapon_Ascension_High_Rarity)</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8974A-6A65-4148-9FC1-14920355318F}">
  <sheetPr codeName="Sheet305">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171" t="s">
        <v>149</v>
      </c>
      <c r="B9" s="231"/>
      <c r="C9" s="172"/>
      <c r="E9" s="234"/>
      <c r="F9" s="44" t="str">
        <f t="shared" si="0"/>
        <v>Blazing Sacrificial Heart's Splendor</v>
      </c>
      <c r="G9" s="59">
        <f t="shared" ca="1" si="0"/>
        <v>0</v>
      </c>
      <c r="H9" s="34" t="s">
        <v>202</v>
      </c>
    </row>
    <row r="10" spans="1:8" ht="15.75" thickBot="1" x14ac:dyDescent="0.3">
      <c r="A10" s="173" t="s">
        <v>206</v>
      </c>
      <c r="B10" s="202"/>
      <c r="C10" s="43">
        <v>6</v>
      </c>
      <c r="E10" s="184" t="s">
        <v>19</v>
      </c>
      <c r="F10" s="2" t="str">
        <f t="shared" si="0"/>
        <v>Juvenile Fang</v>
      </c>
      <c r="G10" s="15">
        <f t="shared" ca="1" si="0"/>
        <v>0</v>
      </c>
      <c r="H10" s="34" t="s">
        <v>202</v>
      </c>
    </row>
    <row r="11" spans="1:8" ht="15.75" thickBot="1" x14ac:dyDescent="0.3">
      <c r="A11" s="173" t="s">
        <v>208</v>
      </c>
      <c r="B11" s="202"/>
      <c r="C11" s="43">
        <v>6</v>
      </c>
      <c r="E11" s="185"/>
      <c r="F11" s="1" t="str">
        <f t="shared" si="0"/>
        <v>Seasoned Fang</v>
      </c>
      <c r="G11" s="17">
        <f t="shared" ca="1" si="0"/>
        <v>0</v>
      </c>
      <c r="H11" s="34" t="s">
        <v>202</v>
      </c>
    </row>
    <row r="12" spans="1:8" ht="15.75" thickBot="1" x14ac:dyDescent="0.3">
      <c r="A12" s="227"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84" t="s">
        <v>18</v>
      </c>
      <c r="F13" s="2" t="str">
        <f t="shared" si="0"/>
        <v>Shard of a Shattered Will</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85"/>
      <c r="F14" s="1" t="str">
        <f t="shared" si="0"/>
        <v>Locus of a Clear Will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86"/>
      <c r="F15" s="9" t="str">
        <f t="shared" si="0"/>
        <v>Sigil of a Striding Will</v>
      </c>
      <c r="G15" s="16">
        <f t="shared" ca="1" si="0"/>
        <v>0</v>
      </c>
      <c r="H15" s="35" t="s">
        <v>202</v>
      </c>
    </row>
    <row r="16" spans="1:8" x14ac:dyDescent="0.25">
      <c r="A16" s="184"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64" priority="1" operator="containsText" text="Done">
      <formula>NOT(ISERROR(SEARCH("Done",H4)))</formula>
    </cfRule>
    <cfRule type="containsText" dxfId="63" priority="2" operator="containsText" text="In Progress">
      <formula>NOT(ISERROR(SEARCH("In Progress",H4)))</formula>
    </cfRule>
  </conditionalFormatting>
  <dataValidations count="6">
    <dataValidation type="list" allowBlank="1" showInputMessage="1" showErrorMessage="1" sqref="H4:H15" xr:uid="{97DB039B-B11F-44F3-A20C-294E9E79890D}">
      <formula1>"In Progress, Done"</formula1>
    </dataValidation>
    <dataValidation type="list" allowBlank="1" showInputMessage="1" showErrorMessage="1" sqref="C10" xr:uid="{F32AE865-28BB-431C-B133-9630DA92BC8A}">
      <formula1>IF(OR(VLOOKUP(B1,Weapon_List,3,FALSE)=1,VLOOKUP(B1,Weapon_List,3,FALSE)=2),Weapon_Ascension_Low_Rarity,Weapon_Ascension_High_Rarity)</formula1>
    </dataValidation>
    <dataValidation type="list" operator="equal" allowBlank="1" showInputMessage="1" showErrorMessage="1" sqref="B4" xr:uid="{BF221CA4-0FFA-432C-891E-2F5836AEB44A}">
      <formula1>IF(OR(VLOOKUP(B1,Weapon_List,3,FALSE)=1,VLOOKUP(B1,Weapon_List,3,FALSE)=2),Weapon_Levels_Low_Rarity,Weapon_Levels_High_Rarity)</formula1>
    </dataValidation>
    <dataValidation type="list" operator="equal" allowBlank="1" showInputMessage="1" showErrorMessage="1" sqref="B5" xr:uid="{7F5A53D2-01B0-4CDB-B9B9-D90AFBCA6CD4}">
      <formula1>IF(OR(VLOOKUP(B1,Weapon_List,3,FALSE)=1,VLOOKUP(B1,Weapon_List,3,FALSE)=2),Weapon_Levels_Low_Rarity,Weapon_Levels_High_Rarity)</formula1>
    </dataValidation>
    <dataValidation type="list" allowBlank="1" showInputMessage="1" showErrorMessage="1" sqref="B1" xr:uid="{340DD6BC-43BA-4D48-A3AB-901C378DA197}">
      <formula1>Weapon_Name_List</formula1>
    </dataValidation>
    <dataValidation type="list" allowBlank="1" showInputMessage="1" showErrorMessage="1" sqref="C11" xr:uid="{55865CC1-5188-456F-AA8C-9EE6F7DB2FF3}">
      <formula1>IF(OR(VLOOKUP(B1,Weapon_List,3,FALSE)=1,VLOOKUP(B1,Weapon_List,3,FALSE)=2),Weapon_Ascension_Low_Rarity,Weapon_Ascension_High_Rarity)</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D54C9-F04D-4032-B5D4-237428AC3CA4}">
  <sheetPr codeName="Sheet306">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171" t="s">
        <v>149</v>
      </c>
      <c r="B9" s="231"/>
      <c r="C9" s="172"/>
      <c r="E9" s="234"/>
      <c r="F9" s="44" t="str">
        <f t="shared" si="0"/>
        <v>Delirious Divinity of the Sacred Lord</v>
      </c>
      <c r="G9" s="59">
        <f t="shared" ca="1" si="0"/>
        <v>0</v>
      </c>
      <c r="H9" s="34" t="s">
        <v>202</v>
      </c>
    </row>
    <row r="10" spans="1:8" ht="15.75" thickBot="1" x14ac:dyDescent="0.3">
      <c r="A10" s="173" t="s">
        <v>206</v>
      </c>
      <c r="B10" s="202"/>
      <c r="C10" s="43">
        <v>6</v>
      </c>
      <c r="E10" s="184" t="s">
        <v>19</v>
      </c>
      <c r="F10" s="2" t="str">
        <f t="shared" si="0"/>
        <v>Sentry’s Wooden Whistle</v>
      </c>
      <c r="G10" s="15">
        <f t="shared" ca="1" si="0"/>
        <v>0</v>
      </c>
      <c r="H10" s="34" t="s">
        <v>202</v>
      </c>
    </row>
    <row r="11" spans="1:8" ht="15.75" thickBot="1" x14ac:dyDescent="0.3">
      <c r="A11" s="173" t="s">
        <v>208</v>
      </c>
      <c r="B11" s="202"/>
      <c r="C11" s="43">
        <v>6</v>
      </c>
      <c r="E11" s="185"/>
      <c r="F11" s="1" t="str">
        <f t="shared" si="0"/>
        <v>Warrior’s Metal Whistle</v>
      </c>
      <c r="G11" s="17">
        <f t="shared" ca="1" si="0"/>
        <v>0</v>
      </c>
      <c r="H11" s="34" t="s">
        <v>202</v>
      </c>
    </row>
    <row r="12" spans="1:8" ht="15.75" thickBot="1" x14ac:dyDescent="0.3">
      <c r="A12" s="227"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84" t="s">
        <v>18</v>
      </c>
      <c r="F13" s="2" t="str">
        <f t="shared" si="0"/>
        <v>Ignited Stone</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85"/>
      <c r="F14" s="1" t="str">
        <f t="shared" si="0"/>
        <v>Ignited Seed of Life</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86"/>
      <c r="F15" s="9" t="str">
        <f t="shared" si="0"/>
        <v>Ignited Seeing Eye</v>
      </c>
      <c r="G15" s="16">
        <f t="shared" ca="1" si="0"/>
        <v>0</v>
      </c>
      <c r="H15" s="35" t="s">
        <v>202</v>
      </c>
    </row>
    <row r="16" spans="1:8" x14ac:dyDescent="0.25">
      <c r="A16" s="184"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62" priority="1" operator="containsText" text="Done">
      <formula>NOT(ISERROR(SEARCH("Done",H4)))</formula>
    </cfRule>
    <cfRule type="containsText" dxfId="61" priority="2" operator="containsText" text="In Progress">
      <formula>NOT(ISERROR(SEARCH("In Progress",H4)))</formula>
    </cfRule>
  </conditionalFormatting>
  <dataValidations count="6">
    <dataValidation type="list" allowBlank="1" showInputMessage="1" showErrorMessage="1" sqref="H4:H15" xr:uid="{7DD01D37-68E2-4A07-B6A7-C554F91C7CA3}">
      <formula1>"In Progress, Done"</formula1>
    </dataValidation>
    <dataValidation type="list" allowBlank="1" showInputMessage="1" showErrorMessage="1" sqref="C10" xr:uid="{08CDBE44-14C2-4F31-9E33-9AC2599B4B78}">
      <formula1>IF(OR(VLOOKUP(B1,Weapon_List,3,FALSE)=1,VLOOKUP(B1,Weapon_List,3,FALSE)=2),Weapon_Ascension_Low_Rarity,Weapon_Ascension_High_Rarity)</formula1>
    </dataValidation>
    <dataValidation type="list" operator="equal" allowBlank="1" showInputMessage="1" showErrorMessage="1" sqref="B4" xr:uid="{31F51B79-9E84-4C88-910B-81D849F8AF64}">
      <formula1>IF(OR(VLOOKUP(B1,Weapon_List,3,FALSE)=1,VLOOKUP(B1,Weapon_List,3,FALSE)=2),Weapon_Levels_Low_Rarity,Weapon_Levels_High_Rarity)</formula1>
    </dataValidation>
    <dataValidation type="list" operator="equal" allowBlank="1" showInputMessage="1" showErrorMessage="1" sqref="B5" xr:uid="{731C6D19-294F-4BBC-9D2F-10D8F6C14BED}">
      <formula1>IF(OR(VLOOKUP(B1,Weapon_List,3,FALSE)=1,VLOOKUP(B1,Weapon_List,3,FALSE)=2),Weapon_Levels_Low_Rarity,Weapon_Levels_High_Rarity)</formula1>
    </dataValidation>
    <dataValidation type="list" allowBlank="1" showInputMessage="1" showErrorMessage="1" sqref="B1" xr:uid="{1DB841D4-4268-4838-9BC5-CA1735275AA4}">
      <formula1>Weapon_Name_List</formula1>
    </dataValidation>
    <dataValidation type="list" allowBlank="1" showInputMessage="1" showErrorMessage="1" sqref="C11" xr:uid="{A9E06C51-0F8E-4F9C-8FA8-E20DA9092CD0}">
      <formula1>IF(OR(VLOOKUP(B1,Weapon_List,3,FALSE)=1,VLOOKUP(B1,Weapon_List,3,FALSE)=2),Weapon_Ascension_Low_Rarity,Weapon_Ascension_High_Rarity)</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DC29-C9E4-488B-AB71-437B3F8C209A}">
  <sheetPr codeName="Sheet307">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171" t="s">
        <v>149</v>
      </c>
      <c r="B9" s="231"/>
      <c r="C9" s="172"/>
      <c r="E9" s="234"/>
      <c r="F9" s="44" t="str">
        <f t="shared" si="0"/>
        <v>Night-Wind's Mystic Revelation</v>
      </c>
      <c r="G9" s="59">
        <f t="shared" ca="1" si="0"/>
        <v>0</v>
      </c>
      <c r="H9" s="34" t="s">
        <v>202</v>
      </c>
    </row>
    <row r="10" spans="1:8" ht="15.75" thickBot="1" x14ac:dyDescent="0.3">
      <c r="A10" s="173" t="s">
        <v>206</v>
      </c>
      <c r="B10" s="202"/>
      <c r="C10" s="43">
        <v>6</v>
      </c>
      <c r="E10" s="184" t="s">
        <v>19</v>
      </c>
      <c r="F10" s="2" t="str">
        <f t="shared" si="0"/>
        <v>Juvenile Fang</v>
      </c>
      <c r="G10" s="15">
        <f t="shared" ca="1" si="0"/>
        <v>0</v>
      </c>
      <c r="H10" s="34" t="s">
        <v>202</v>
      </c>
    </row>
    <row r="11" spans="1:8" ht="15.75" thickBot="1" x14ac:dyDescent="0.3">
      <c r="A11" s="173" t="s">
        <v>208</v>
      </c>
      <c r="B11" s="202"/>
      <c r="C11" s="43">
        <v>6</v>
      </c>
      <c r="E11" s="185"/>
      <c r="F11" s="1" t="str">
        <f t="shared" si="0"/>
        <v>Seasoned Fang</v>
      </c>
      <c r="G11" s="17">
        <f t="shared" ca="1" si="0"/>
        <v>0</v>
      </c>
      <c r="H11" s="34" t="s">
        <v>202</v>
      </c>
    </row>
    <row r="12" spans="1:8" ht="15.75" thickBot="1" x14ac:dyDescent="0.3">
      <c r="A12" s="227"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84" t="s">
        <v>18</v>
      </c>
      <c r="F13" s="2" t="str">
        <f t="shared" si="0"/>
        <v>Axis of the Secret Source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85"/>
      <c r="F14" s="1" t="str">
        <f t="shared" si="0"/>
        <v>Sheath of the Secret Source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86"/>
      <c r="F15" s="9" t="str">
        <f t="shared" si="0"/>
        <v>Heart of the Secret Source</v>
      </c>
      <c r="G15" s="16">
        <f t="shared" ca="1" si="0"/>
        <v>0</v>
      </c>
      <c r="H15" s="35" t="s">
        <v>202</v>
      </c>
    </row>
    <row r="16" spans="1:8" x14ac:dyDescent="0.25">
      <c r="A16" s="184"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60" priority="1" operator="containsText" text="Done">
      <formula>NOT(ISERROR(SEARCH("Done",H4)))</formula>
    </cfRule>
    <cfRule type="containsText" dxfId="59" priority="2" operator="containsText" text="In Progress">
      <formula>NOT(ISERROR(SEARCH("In Progress",H4)))</formula>
    </cfRule>
  </conditionalFormatting>
  <dataValidations count="6">
    <dataValidation type="list" allowBlank="1" showInputMessage="1" showErrorMessage="1" sqref="H4:H15" xr:uid="{436AD289-745B-4E0E-8825-30B6C5BB3AF3}">
      <formula1>"In Progress, Done"</formula1>
    </dataValidation>
    <dataValidation type="list" allowBlank="1" showInputMessage="1" showErrorMessage="1" sqref="C10" xr:uid="{47427F4E-EB26-4F21-867B-B398E478C8F5}">
      <formula1>IF(OR(VLOOKUP(B1,Weapon_List,3,FALSE)=1,VLOOKUP(B1,Weapon_List,3,FALSE)=2),Weapon_Ascension_Low_Rarity,Weapon_Ascension_High_Rarity)</formula1>
    </dataValidation>
    <dataValidation type="list" operator="equal" allowBlank="1" showInputMessage="1" showErrorMessage="1" sqref="B4" xr:uid="{58ED6DC4-4FF2-4E01-AABC-928458F1411E}">
      <formula1>IF(OR(VLOOKUP(B1,Weapon_List,3,FALSE)=1,VLOOKUP(B1,Weapon_List,3,FALSE)=2),Weapon_Levels_Low_Rarity,Weapon_Levels_High_Rarity)</formula1>
    </dataValidation>
    <dataValidation type="list" operator="equal" allowBlank="1" showInputMessage="1" showErrorMessage="1" sqref="B5" xr:uid="{CBFED13A-8D18-40FA-A778-2F2F388488A3}">
      <formula1>IF(OR(VLOOKUP(B1,Weapon_List,3,FALSE)=1,VLOOKUP(B1,Weapon_List,3,FALSE)=2),Weapon_Levels_Low_Rarity,Weapon_Levels_High_Rarity)</formula1>
    </dataValidation>
    <dataValidation type="list" allowBlank="1" showInputMessage="1" showErrorMessage="1" sqref="B1" xr:uid="{37BF61EE-FC49-4650-9CA4-D3B1BA9396A7}">
      <formula1>Weapon_Name_List</formula1>
    </dataValidation>
    <dataValidation type="list" allowBlank="1" showInputMessage="1" showErrorMessage="1" sqref="C11" xr:uid="{D9DE730E-D192-4C75-8110-791CB07BCB7C}">
      <formula1>IF(OR(VLOOKUP(B1,Weapon_List,3,FALSE)=1,VLOOKUP(B1,Weapon_List,3,FALSE)=2),Weapon_Ascension_Low_Rarity,Weapon_Ascension_High_Rarity)</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B2598-5CE7-4E22-9DCA-24B43375491B}">
  <sheetPr codeName="Sheet310">
    <tabColor rgb="FF8EA9DB"/>
  </sheetPr>
  <dimension ref="A1:H22"/>
  <sheetViews>
    <sheetView workbookViewId="0">
      <selection activeCell="H10" sqref="H1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503</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171" t="s">
        <v>149</v>
      </c>
      <c r="B9" s="231"/>
      <c r="C9" s="172"/>
      <c r="E9" s="234"/>
      <c r="F9" s="44" t="str">
        <f t="shared" si="0"/>
        <v>Blazing Sacrificial Heart's Splendor</v>
      </c>
      <c r="G9" s="59">
        <f t="shared" ca="1" si="0"/>
        <v>0</v>
      </c>
      <c r="H9" s="34" t="s">
        <v>202</v>
      </c>
    </row>
    <row r="10" spans="1:8" ht="15.75" thickBot="1" x14ac:dyDescent="0.3">
      <c r="A10" s="173" t="s">
        <v>206</v>
      </c>
      <c r="B10" s="202"/>
      <c r="C10" s="43">
        <v>6</v>
      </c>
      <c r="E10" s="184" t="s">
        <v>19</v>
      </c>
      <c r="F10" s="2" t="str">
        <f t="shared" si="0"/>
        <v>Sentry’s Wooden Whistle</v>
      </c>
      <c r="G10" s="15">
        <f t="shared" ca="1" si="0"/>
        <v>0</v>
      </c>
      <c r="H10" s="34" t="s">
        <v>202</v>
      </c>
    </row>
    <row r="11" spans="1:8" ht="15.75" thickBot="1" x14ac:dyDescent="0.3">
      <c r="A11" s="173" t="s">
        <v>208</v>
      </c>
      <c r="B11" s="202"/>
      <c r="C11" s="43">
        <v>6</v>
      </c>
      <c r="E11" s="185"/>
      <c r="F11" s="1" t="str">
        <f t="shared" si="0"/>
        <v>Warrior’s Metal Whistle</v>
      </c>
      <c r="G11" s="17">
        <f t="shared" ca="1" si="0"/>
        <v>0</v>
      </c>
      <c r="H11" s="34" t="s">
        <v>202</v>
      </c>
    </row>
    <row r="12" spans="1:8" ht="15.75" thickBot="1" x14ac:dyDescent="0.3">
      <c r="A12" s="227"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84" t="s">
        <v>18</v>
      </c>
      <c r="F13" s="2" t="str">
        <f t="shared" si="0"/>
        <v>Shard of a Shattered Will</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85"/>
      <c r="F14" s="1" t="str">
        <f t="shared" si="0"/>
        <v>Locus of a Clear Will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86"/>
      <c r="F15" s="9" t="str">
        <f t="shared" si="0"/>
        <v>Sigil of a Striding Will</v>
      </c>
      <c r="G15" s="16">
        <f t="shared" ca="1" si="0"/>
        <v>0</v>
      </c>
      <c r="H15" s="35" t="s">
        <v>202</v>
      </c>
    </row>
    <row r="16" spans="1:8" x14ac:dyDescent="0.25">
      <c r="A16" s="184"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58" priority="1" operator="containsText" text="Done">
      <formula>NOT(ISERROR(SEARCH("Done",H4)))</formula>
    </cfRule>
    <cfRule type="containsText" dxfId="57" priority="2" operator="containsText" text="In Progress">
      <formula>NOT(ISERROR(SEARCH("In Progress",H4)))</formula>
    </cfRule>
  </conditionalFormatting>
  <dataValidations count="6">
    <dataValidation type="list" allowBlank="1" showInputMessage="1" showErrorMessage="1" sqref="H4:H15" xr:uid="{AC0A2D75-2107-46B2-B56D-4D6FA1F5713E}">
      <formula1>"In Progress, Done"</formula1>
    </dataValidation>
    <dataValidation type="list" allowBlank="1" showInputMessage="1" showErrorMessage="1" sqref="C10" xr:uid="{EF066117-F027-4CEC-BDFE-F90A04C0B126}">
      <formula1>IF(OR(VLOOKUP(B1,Weapon_List,3,FALSE)=1,VLOOKUP(B1,Weapon_List,3,FALSE)=2),Weapon_Ascension_Low_Rarity,Weapon_Ascension_High_Rarity)</formula1>
    </dataValidation>
    <dataValidation type="list" operator="equal" allowBlank="1" showInputMessage="1" showErrorMessage="1" sqref="B4" xr:uid="{9E20CCE6-2FA6-46BA-95ED-5341EDC93A4F}">
      <formula1>IF(OR(VLOOKUP(B1,Weapon_List,3,FALSE)=1,VLOOKUP(B1,Weapon_List,3,FALSE)=2),Weapon_Levels_Low_Rarity,Weapon_Levels_High_Rarity)</formula1>
    </dataValidation>
    <dataValidation type="list" operator="equal" allowBlank="1" showInputMessage="1" showErrorMessage="1" sqref="B5" xr:uid="{56B02F0F-CC3C-4F45-B6A8-C5F6A68204DF}">
      <formula1>IF(OR(VLOOKUP(B1,Weapon_List,3,FALSE)=1,VLOOKUP(B1,Weapon_List,3,FALSE)=2),Weapon_Levels_Low_Rarity,Weapon_Levels_High_Rarity)</formula1>
    </dataValidation>
    <dataValidation type="list" allowBlank="1" showInputMessage="1" showErrorMessage="1" sqref="B1" xr:uid="{D2F106E7-BD3D-4603-B238-32AA60FF3488}">
      <formula1>Weapon_Name_List</formula1>
    </dataValidation>
    <dataValidation type="list" allowBlank="1" showInputMessage="1" showErrorMessage="1" sqref="C11" xr:uid="{80C10B66-9E8A-47A1-BFA7-E9C52817C591}">
      <formula1>IF(OR(VLOOKUP(B1,Weapon_List,3,FALSE)=1,VLOOKUP(B1,Weapon_List,3,FALSE)=2),Weapon_Ascension_Low_Rarity,Weapon_Ascension_High_Rarity)</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40DF-EFAE-4BC5-B325-39996D3FA54E}">
  <sheetPr codeName="Sheet311">
    <tabColor rgb="FF8EA9DB"/>
  </sheetPr>
  <dimension ref="A1:H22"/>
  <sheetViews>
    <sheetView workbookViewId="0">
      <selection activeCell="F20" sqref="F2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171" t="s">
        <v>149</v>
      </c>
      <c r="B9" s="231"/>
      <c r="C9" s="172"/>
      <c r="E9" s="234"/>
      <c r="F9" s="44" t="str">
        <f t="shared" si="0"/>
        <v>Night-Wind's Mystic Revelation</v>
      </c>
      <c r="G9" s="59">
        <f t="shared" ca="1" si="0"/>
        <v>0</v>
      </c>
      <c r="H9" s="34" t="s">
        <v>202</v>
      </c>
    </row>
    <row r="10" spans="1:8" ht="15.75" thickBot="1" x14ac:dyDescent="0.3">
      <c r="A10" s="173" t="s">
        <v>206</v>
      </c>
      <c r="B10" s="202"/>
      <c r="C10" s="43">
        <v>6</v>
      </c>
      <c r="E10" s="184" t="s">
        <v>19</v>
      </c>
      <c r="F10" s="2" t="str">
        <f t="shared" si="0"/>
        <v>Juvenile Fang</v>
      </c>
      <c r="G10" s="15">
        <f t="shared" ca="1" si="0"/>
        <v>0</v>
      </c>
      <c r="H10" s="34" t="s">
        <v>202</v>
      </c>
    </row>
    <row r="11" spans="1:8" ht="15.75" thickBot="1" x14ac:dyDescent="0.3">
      <c r="A11" s="173" t="s">
        <v>208</v>
      </c>
      <c r="B11" s="202"/>
      <c r="C11" s="43">
        <v>6</v>
      </c>
      <c r="E11" s="185"/>
      <c r="F11" s="1" t="str">
        <f t="shared" si="0"/>
        <v>Seasoned Fang</v>
      </c>
      <c r="G11" s="17">
        <f t="shared" ca="1" si="0"/>
        <v>0</v>
      </c>
      <c r="H11" s="34" t="s">
        <v>202</v>
      </c>
    </row>
    <row r="12" spans="1:8" ht="15.75" thickBot="1" x14ac:dyDescent="0.3">
      <c r="A12" s="227"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84" t="s">
        <v>18</v>
      </c>
      <c r="F13" s="2" t="str">
        <f t="shared" si="0"/>
        <v>Axis of the Secret Source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85"/>
      <c r="F14" s="1" t="str">
        <f t="shared" si="0"/>
        <v>Sheath of the Secret Source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86"/>
      <c r="F15" s="9" t="str">
        <f t="shared" si="0"/>
        <v>Heart of the Secret Source</v>
      </c>
      <c r="G15" s="16">
        <f t="shared" ca="1" si="0"/>
        <v>0</v>
      </c>
      <c r="H15" s="35" t="s">
        <v>202</v>
      </c>
    </row>
    <row r="16" spans="1:8" x14ac:dyDescent="0.25">
      <c r="A16" s="184"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56" priority="1" operator="containsText" text="Done">
      <formula>NOT(ISERROR(SEARCH("Done",H4)))</formula>
    </cfRule>
    <cfRule type="containsText" dxfId="55" priority="2" operator="containsText" text="In Progress">
      <formula>NOT(ISERROR(SEARCH("In Progress",H4)))</formula>
    </cfRule>
  </conditionalFormatting>
  <dataValidations count="6">
    <dataValidation type="list" allowBlank="1" showInputMessage="1" showErrorMessage="1" sqref="H4:H15" xr:uid="{4E13BADF-E305-4416-91AA-09BD47E70F37}">
      <formula1>"In Progress, Done"</formula1>
    </dataValidation>
    <dataValidation type="list" allowBlank="1" showInputMessage="1" showErrorMessage="1" sqref="C10" xr:uid="{360A2699-D60C-4A7F-B38C-FBA2CC6ED2A8}">
      <formula1>IF(OR(VLOOKUP(B1,Weapon_List,3,FALSE)=1,VLOOKUP(B1,Weapon_List,3,FALSE)=2),Weapon_Ascension_Low_Rarity,Weapon_Ascension_High_Rarity)</formula1>
    </dataValidation>
    <dataValidation type="list" operator="equal" allowBlank="1" showInputMessage="1" showErrorMessage="1" sqref="B4" xr:uid="{1620BE4B-C2C8-43C3-93BD-F20D56862882}">
      <formula1>IF(OR(VLOOKUP(B1,Weapon_List,3,FALSE)=1,VLOOKUP(B1,Weapon_List,3,FALSE)=2),Weapon_Levels_Low_Rarity,Weapon_Levels_High_Rarity)</formula1>
    </dataValidation>
    <dataValidation type="list" operator="equal" allowBlank="1" showInputMessage="1" showErrorMessage="1" sqref="B5" xr:uid="{D59C50B6-BBDE-482A-8FF2-E3B5EBEB366C}">
      <formula1>IF(OR(VLOOKUP(B1,Weapon_List,3,FALSE)=1,VLOOKUP(B1,Weapon_List,3,FALSE)=2),Weapon_Levels_Low_Rarity,Weapon_Levels_High_Rarity)</formula1>
    </dataValidation>
    <dataValidation type="list" allowBlank="1" showInputMessage="1" showErrorMessage="1" sqref="B1" xr:uid="{174033E1-3AA9-4432-9DC4-C3F30C4BEAFE}">
      <formula1>Weapon_Name_List</formula1>
    </dataValidation>
    <dataValidation type="list" allowBlank="1" showInputMessage="1" showErrorMessage="1" sqref="C11" xr:uid="{90284416-6F95-42B4-8451-634B172D1A5B}">
      <formula1>IF(OR(VLOOKUP(B1,Weapon_List,3,FALSE)=1,VLOOKUP(B1,Weapon_List,3,FALSE)=2),Weapon_Ascension_Low_Rarity,Weapon_Ascension_High_Rarity)</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A0557-2601-46C8-80A5-15F8B38B76EA}">
  <sheetPr codeName="Sheet313">
    <tabColor rgb="FF8EA9DB"/>
  </sheetPr>
  <dimension ref="A1:H22"/>
  <sheetViews>
    <sheetView workbookViewId="0">
      <selection activeCell="F23" sqref="F23"/>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505</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171" t="s">
        <v>149</v>
      </c>
      <c r="B9" s="231"/>
      <c r="C9" s="172"/>
      <c r="E9" s="234"/>
      <c r="F9" s="44" t="str">
        <f t="shared" si="0"/>
        <v>Delirious Divinity of the Sacred Lord</v>
      </c>
      <c r="G9" s="59">
        <f t="shared" ca="1" si="0"/>
        <v>0</v>
      </c>
      <c r="H9" s="34" t="s">
        <v>202</v>
      </c>
    </row>
    <row r="10" spans="1:8" ht="15.75" thickBot="1" x14ac:dyDescent="0.3">
      <c r="A10" s="173" t="s">
        <v>206</v>
      </c>
      <c r="B10" s="202"/>
      <c r="C10" s="43">
        <v>6</v>
      </c>
      <c r="E10" s="184" t="s">
        <v>19</v>
      </c>
      <c r="F10" s="2" t="str">
        <f t="shared" si="0"/>
        <v>Whopperflower</v>
      </c>
      <c r="G10" s="15">
        <f t="shared" ca="1" si="0"/>
        <v>0</v>
      </c>
      <c r="H10" s="34" t="s">
        <v>202</v>
      </c>
    </row>
    <row r="11" spans="1:8" ht="15.75" thickBot="1" x14ac:dyDescent="0.3">
      <c r="A11" s="173" t="s">
        <v>208</v>
      </c>
      <c r="B11" s="202"/>
      <c r="C11" s="43">
        <v>6</v>
      </c>
      <c r="E11" s="185"/>
      <c r="F11" s="1" t="str">
        <f t="shared" si="0"/>
        <v>Shimmering Nectar</v>
      </c>
      <c r="G11" s="17">
        <f t="shared" ca="1" si="0"/>
        <v>0</v>
      </c>
      <c r="H11" s="34" t="s">
        <v>202</v>
      </c>
    </row>
    <row r="12" spans="1:8" ht="15.75" thickBot="1" x14ac:dyDescent="0.3">
      <c r="A12" s="227"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84" t="s">
        <v>18</v>
      </c>
      <c r="F13" s="2" t="str">
        <f t="shared" si="0"/>
        <v>Ignited Stone</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85"/>
      <c r="F14" s="1" t="str">
        <f t="shared" si="0"/>
        <v>Ignited Seed of Life</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86"/>
      <c r="F15" s="9" t="str">
        <f t="shared" si="0"/>
        <v>Ignited Seeing Eye</v>
      </c>
      <c r="G15" s="16">
        <f t="shared" ca="1" si="0"/>
        <v>0</v>
      </c>
      <c r="H15" s="35" t="s">
        <v>202</v>
      </c>
    </row>
    <row r="16" spans="1:8" x14ac:dyDescent="0.25">
      <c r="A16" s="184"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54" priority="1" operator="containsText" text="Done">
      <formula>NOT(ISERROR(SEARCH("Done",H4)))</formula>
    </cfRule>
    <cfRule type="containsText" dxfId="53" priority="2" operator="containsText" text="In Progress">
      <formula>NOT(ISERROR(SEARCH("In Progress",H4)))</formula>
    </cfRule>
  </conditionalFormatting>
  <dataValidations count="6">
    <dataValidation type="list" allowBlank="1" showInputMessage="1" showErrorMessage="1" sqref="H4:H15" xr:uid="{CFD9FDD2-A36A-4343-B90E-EED295F8CD81}">
      <formula1>"In Progress, Done"</formula1>
    </dataValidation>
    <dataValidation type="list" allowBlank="1" showInputMessage="1" showErrorMessage="1" sqref="C10" xr:uid="{276DD35C-1BEA-4FD6-B200-EF08D41BB03E}">
      <formula1>IF(OR(VLOOKUP(B1,Weapon_List,3,FALSE)=1,VLOOKUP(B1,Weapon_List,3,FALSE)=2),Weapon_Ascension_Low_Rarity,Weapon_Ascension_High_Rarity)</formula1>
    </dataValidation>
    <dataValidation type="list" operator="equal" allowBlank="1" showInputMessage="1" showErrorMessage="1" sqref="B4" xr:uid="{DA2E8CFE-27B9-4F88-98F7-57E1421708FC}">
      <formula1>IF(OR(VLOOKUP(B1,Weapon_List,3,FALSE)=1,VLOOKUP(B1,Weapon_List,3,FALSE)=2),Weapon_Levels_Low_Rarity,Weapon_Levels_High_Rarity)</formula1>
    </dataValidation>
    <dataValidation type="list" operator="equal" allowBlank="1" showInputMessage="1" showErrorMessage="1" sqref="B5" xr:uid="{512A3E26-FC5A-4DCE-99A0-6E3C149E9BF5}">
      <formula1>IF(OR(VLOOKUP(B1,Weapon_List,3,FALSE)=1,VLOOKUP(B1,Weapon_List,3,FALSE)=2),Weapon_Levels_Low_Rarity,Weapon_Levels_High_Rarity)</formula1>
    </dataValidation>
    <dataValidation type="list" allowBlank="1" showInputMessage="1" showErrorMessage="1" sqref="B1" xr:uid="{DD3FE38D-8322-4320-817D-F0508981F041}">
      <formula1>Weapon_Name_List</formula1>
    </dataValidation>
    <dataValidation type="list" allowBlank="1" showInputMessage="1" showErrorMessage="1" sqref="C11" xr:uid="{E9FAE9F1-CB3B-4853-9895-21D4C47E7598}">
      <formula1>IF(OR(VLOOKUP(B1,Weapon_List,3,FALSE)=1,VLOOKUP(B1,Weapon_List,3,FALSE)=2),Weapon_Ascension_Low_Rarity,Weapon_Ascension_High_Rarity)</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88679-ADFB-4D41-8067-0C3735FE3078}">
  <sheetPr codeName="Sheet312">
    <tabColor rgb="FF8EA9DB"/>
  </sheetPr>
  <dimension ref="A1:H22"/>
  <sheetViews>
    <sheetView workbookViewId="0">
      <selection activeCell="E19" sqref="E19"/>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171" t="s">
        <v>149</v>
      </c>
      <c r="B9" s="231"/>
      <c r="C9" s="172"/>
      <c r="E9" s="234"/>
      <c r="F9" s="44" t="str">
        <f t="shared" si="0"/>
        <v>Night-Wind's Mystic Revelation</v>
      </c>
      <c r="G9" s="59">
        <f t="shared" ca="1" si="0"/>
        <v>0</v>
      </c>
      <c r="H9" s="34" t="s">
        <v>202</v>
      </c>
    </row>
    <row r="10" spans="1:8" ht="15.75" thickBot="1" x14ac:dyDescent="0.3">
      <c r="A10" s="173" t="s">
        <v>206</v>
      </c>
      <c r="B10" s="202"/>
      <c r="C10" s="43">
        <v>6</v>
      </c>
      <c r="E10" s="184" t="s">
        <v>19</v>
      </c>
      <c r="F10" s="2" t="str">
        <f t="shared" si="0"/>
        <v>Juvenile Fang</v>
      </c>
      <c r="G10" s="15">
        <f t="shared" ca="1" si="0"/>
        <v>0</v>
      </c>
      <c r="H10" s="34" t="s">
        <v>202</v>
      </c>
    </row>
    <row r="11" spans="1:8" ht="15.75" thickBot="1" x14ac:dyDescent="0.3">
      <c r="A11" s="173" t="s">
        <v>208</v>
      </c>
      <c r="B11" s="202"/>
      <c r="C11" s="43">
        <v>6</v>
      </c>
      <c r="E11" s="185"/>
      <c r="F11" s="1" t="str">
        <f t="shared" si="0"/>
        <v>Seasoned Fang</v>
      </c>
      <c r="G11" s="17">
        <f t="shared" ca="1" si="0"/>
        <v>0</v>
      </c>
      <c r="H11" s="34" t="s">
        <v>202</v>
      </c>
    </row>
    <row r="12" spans="1:8" ht="15.75" thickBot="1" x14ac:dyDescent="0.3">
      <c r="A12" s="227"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84" t="s">
        <v>18</v>
      </c>
      <c r="F13" s="2" t="str">
        <f t="shared" si="0"/>
        <v>Axis of the Secret Source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85"/>
      <c r="F14" s="1" t="str">
        <f t="shared" si="0"/>
        <v>Sheath of the Secret Source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86"/>
      <c r="F15" s="9" t="str">
        <f t="shared" si="0"/>
        <v>Heart of the Secret Source</v>
      </c>
      <c r="G15" s="16">
        <f t="shared" ca="1" si="0"/>
        <v>0</v>
      </c>
      <c r="H15" s="35" t="s">
        <v>202</v>
      </c>
    </row>
    <row r="16" spans="1:8" x14ac:dyDescent="0.25">
      <c r="A16" s="184"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52" priority="1" operator="containsText" text="Done">
      <formula>NOT(ISERROR(SEARCH("Done",H4)))</formula>
    </cfRule>
    <cfRule type="containsText" dxfId="51" priority="2" operator="containsText" text="In Progress">
      <formula>NOT(ISERROR(SEARCH("In Progress",H4)))</formula>
    </cfRule>
  </conditionalFormatting>
  <dataValidations count="6">
    <dataValidation type="list" allowBlank="1" showInputMessage="1" showErrorMessage="1" sqref="H4:H15" xr:uid="{FF969435-691F-41C1-828A-B753878B6EE7}">
      <formula1>"In Progress, Done"</formula1>
    </dataValidation>
    <dataValidation type="list" allowBlank="1" showInputMessage="1" showErrorMessage="1" sqref="C10" xr:uid="{337C379F-716B-4021-BC88-C7A8F674B50E}">
      <formula1>IF(OR(VLOOKUP(B1,Weapon_List,3,FALSE)=1,VLOOKUP(B1,Weapon_List,3,FALSE)=2),Weapon_Ascension_Low_Rarity,Weapon_Ascension_High_Rarity)</formula1>
    </dataValidation>
    <dataValidation type="list" operator="equal" allowBlank="1" showInputMessage="1" showErrorMessage="1" sqref="B4" xr:uid="{4A30003C-854F-44F4-88C3-1F90E7C96439}">
      <formula1>IF(OR(VLOOKUP(B1,Weapon_List,3,FALSE)=1,VLOOKUP(B1,Weapon_List,3,FALSE)=2),Weapon_Levels_Low_Rarity,Weapon_Levels_High_Rarity)</formula1>
    </dataValidation>
    <dataValidation type="list" operator="equal" allowBlank="1" showInputMessage="1" showErrorMessage="1" sqref="B5" xr:uid="{4718F32B-D4F5-45AE-B771-10E47740F651}">
      <formula1>IF(OR(VLOOKUP(B1,Weapon_List,3,FALSE)=1,VLOOKUP(B1,Weapon_List,3,FALSE)=2),Weapon_Levels_Low_Rarity,Weapon_Levels_High_Rarity)</formula1>
    </dataValidation>
    <dataValidation type="list" allowBlank="1" showInputMessage="1" showErrorMessage="1" sqref="B1" xr:uid="{B68DB831-907F-4369-BC6F-91CB3A4D5965}">
      <formula1>Weapon_Name_List</formula1>
    </dataValidation>
    <dataValidation type="list" allowBlank="1" showInputMessage="1" showErrorMessage="1" sqref="C11" xr:uid="{94515B75-E069-41C2-8359-127472B89C37}">
      <formula1>IF(OR(VLOOKUP(B1,Weapon_List,3,FALSE)=1,VLOOKUP(B1,Weapon_List,3,FALSE)=2),Weapon_Ascension_Low_Rarity,Weapon_Ascension_High_Rarity)</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F4239-B2BD-4795-B104-B957B6FC57E2}">
  <sheetPr codeName="Sheet317">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507</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171" t="s">
        <v>149</v>
      </c>
      <c r="B9" s="231"/>
      <c r="C9" s="172"/>
      <c r="E9" s="234"/>
      <c r="F9" s="44" t="str">
        <f t="shared" si="0"/>
        <v>Night-Wind's Mystic Revelation</v>
      </c>
      <c r="G9" s="59">
        <f t="shared" ca="1" si="0"/>
        <v>0</v>
      </c>
      <c r="H9" s="34" t="s">
        <v>202</v>
      </c>
    </row>
    <row r="10" spans="1:8" ht="15.75" thickBot="1" x14ac:dyDescent="0.3">
      <c r="A10" s="173" t="s">
        <v>206</v>
      </c>
      <c r="B10" s="202"/>
      <c r="C10" s="43">
        <v>6</v>
      </c>
      <c r="E10" s="184" t="s">
        <v>19</v>
      </c>
      <c r="F10" s="2" t="str">
        <f t="shared" si="0"/>
        <v>Sentry’s Wooden Whistle</v>
      </c>
      <c r="G10" s="15">
        <f t="shared" ca="1" si="0"/>
        <v>0</v>
      </c>
      <c r="H10" s="34" t="s">
        <v>202</v>
      </c>
    </row>
    <row r="11" spans="1:8" ht="15.75" thickBot="1" x14ac:dyDescent="0.3">
      <c r="A11" s="173" t="s">
        <v>208</v>
      </c>
      <c r="B11" s="202"/>
      <c r="C11" s="43">
        <v>6</v>
      </c>
      <c r="E11" s="185"/>
      <c r="F11" s="1" t="str">
        <f t="shared" si="0"/>
        <v>Warrior’s Metal Whistle</v>
      </c>
      <c r="G11" s="17">
        <f t="shared" ca="1" si="0"/>
        <v>0</v>
      </c>
      <c r="H11" s="34" t="s">
        <v>202</v>
      </c>
    </row>
    <row r="12" spans="1:8" ht="15.75" thickBot="1" x14ac:dyDescent="0.3">
      <c r="A12" s="227"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84" t="s">
        <v>18</v>
      </c>
      <c r="F13" s="2" t="str">
        <f t="shared" si="0"/>
        <v>Refractive Bud</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85"/>
      <c r="F14" s="1" t="str">
        <f t="shared" si="0"/>
        <v>Bewildering Broadleaf</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86"/>
      <c r="F15" s="9" t="str">
        <f t="shared" si="0"/>
        <v>Illusory Leafcoil</v>
      </c>
      <c r="G15" s="16">
        <f t="shared" ca="1" si="0"/>
        <v>0</v>
      </c>
      <c r="H15" s="35" t="s">
        <v>202</v>
      </c>
    </row>
    <row r="16" spans="1:8" x14ac:dyDescent="0.25">
      <c r="A16" s="184"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50" priority="1" operator="containsText" text="Done">
      <formula>NOT(ISERROR(SEARCH("Done",H4)))</formula>
    </cfRule>
    <cfRule type="containsText" dxfId="49" priority="2" operator="containsText" text="In Progress">
      <formula>NOT(ISERROR(SEARCH("In Progress",H4)))</formula>
    </cfRule>
  </conditionalFormatting>
  <dataValidations count="6">
    <dataValidation type="list" allowBlank="1" showInputMessage="1" showErrorMessage="1" sqref="H4:H15" xr:uid="{DE205052-42DC-499F-BA1F-8FCA3A2B0E10}">
      <formula1>"In Progress, Done"</formula1>
    </dataValidation>
    <dataValidation type="list" allowBlank="1" showInputMessage="1" showErrorMessage="1" sqref="C10" xr:uid="{88403C1D-65AA-4895-A580-7D34832983F8}">
      <formula1>IF(OR(VLOOKUP(B1,Weapon_List,3,FALSE)=1,VLOOKUP(B1,Weapon_List,3,FALSE)=2),Weapon_Ascension_Low_Rarity,Weapon_Ascension_High_Rarity)</formula1>
    </dataValidation>
    <dataValidation type="list" operator="equal" allowBlank="1" showInputMessage="1" showErrorMessage="1" sqref="B4" xr:uid="{C29239F5-16B7-41C6-8E03-624043217E16}">
      <formula1>IF(OR(VLOOKUP(B1,Weapon_List,3,FALSE)=1,VLOOKUP(B1,Weapon_List,3,FALSE)=2),Weapon_Levels_Low_Rarity,Weapon_Levels_High_Rarity)</formula1>
    </dataValidation>
    <dataValidation type="list" operator="equal" allowBlank="1" showInputMessage="1" showErrorMessage="1" sqref="B5" xr:uid="{880464E0-BBE0-4C08-94D9-3244E829B228}">
      <formula1>IF(OR(VLOOKUP(B1,Weapon_List,3,FALSE)=1,VLOOKUP(B1,Weapon_List,3,FALSE)=2),Weapon_Levels_Low_Rarity,Weapon_Levels_High_Rarity)</formula1>
    </dataValidation>
    <dataValidation type="list" allowBlank="1" showInputMessage="1" showErrorMessage="1" sqref="B1" xr:uid="{4C873BD1-6C51-4452-BFEB-D273889FF23D}">
      <formula1>Weapon_Name_List</formula1>
    </dataValidation>
    <dataValidation type="list" allowBlank="1" showInputMessage="1" showErrorMessage="1" sqref="C11" xr:uid="{C8B65801-C783-4E6E-A1BC-48630388D7F7}">
      <formula1>IF(OR(VLOOKUP(B1,Weapon_List,3,FALSE)=1,VLOOKUP(B1,Weapon_List,3,FALSE)=2),Weapon_Ascension_Low_Rarity,Weapon_Ascension_High_Rarity)</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07EEC-55EA-4BF6-A1F2-5E89545D154A}">
  <sheetPr codeName="Sheet319">
    <tabColor rgb="FF8EA9DB"/>
  </sheetPr>
  <dimension ref="A1:H22"/>
  <sheetViews>
    <sheetView workbookViewId="0">
      <selection activeCell="B1" sqref="B1"/>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508</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171" t="s">
        <v>149</v>
      </c>
      <c r="B9" s="231"/>
      <c r="C9" s="172"/>
      <c r="E9" s="234"/>
      <c r="F9" s="44" t="str">
        <f t="shared" si="0"/>
        <v>Delirious Divinity of the Sacred Lord</v>
      </c>
      <c r="G9" s="59">
        <f t="shared" ca="1" si="0"/>
        <v>0</v>
      </c>
      <c r="H9" s="34" t="s">
        <v>202</v>
      </c>
    </row>
    <row r="10" spans="1:8" ht="15.75" thickBot="1" x14ac:dyDescent="0.3">
      <c r="A10" s="173" t="s">
        <v>206</v>
      </c>
      <c r="B10" s="202"/>
      <c r="C10" s="43">
        <v>6</v>
      </c>
      <c r="E10" s="184" t="s">
        <v>19</v>
      </c>
      <c r="F10" s="2" t="str">
        <f t="shared" si="0"/>
        <v>Sentry’s Wooden Whistle</v>
      </c>
      <c r="G10" s="15">
        <f t="shared" ca="1" si="0"/>
        <v>0</v>
      </c>
      <c r="H10" s="34" t="s">
        <v>202</v>
      </c>
    </row>
    <row r="11" spans="1:8" ht="15.75" thickBot="1" x14ac:dyDescent="0.3">
      <c r="A11" s="173" t="s">
        <v>208</v>
      </c>
      <c r="B11" s="202"/>
      <c r="C11" s="43">
        <v>6</v>
      </c>
      <c r="E11" s="185"/>
      <c r="F11" s="1" t="str">
        <f t="shared" si="0"/>
        <v>Warrior’s Metal Whistle</v>
      </c>
      <c r="G11" s="17">
        <f t="shared" ca="1" si="0"/>
        <v>0</v>
      </c>
      <c r="H11" s="34" t="s">
        <v>202</v>
      </c>
    </row>
    <row r="12" spans="1:8" ht="15.75" thickBot="1" x14ac:dyDescent="0.3">
      <c r="A12" s="227"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84" t="s">
        <v>18</v>
      </c>
      <c r="F13" s="2" t="str">
        <f t="shared" si="0"/>
        <v>Refractive Bud</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85"/>
      <c r="F14" s="1" t="str">
        <f t="shared" si="0"/>
        <v>Bewildering Broadleaf</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86"/>
      <c r="F15" s="9" t="str">
        <f t="shared" si="0"/>
        <v>Illusory Leafcoil</v>
      </c>
      <c r="G15" s="16">
        <f t="shared" ca="1" si="0"/>
        <v>0</v>
      </c>
      <c r="H15" s="35" t="s">
        <v>202</v>
      </c>
    </row>
    <row r="16" spans="1:8" x14ac:dyDescent="0.25">
      <c r="A16" s="184"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8" priority="1" operator="containsText" text="Done">
      <formula>NOT(ISERROR(SEARCH("Done",H4)))</formula>
    </cfRule>
    <cfRule type="containsText" dxfId="47" priority="2" operator="containsText" text="In Progress">
      <formula>NOT(ISERROR(SEARCH("In Progress",H4)))</formula>
    </cfRule>
  </conditionalFormatting>
  <dataValidations count="6">
    <dataValidation type="list" allowBlank="1" showInputMessage="1" showErrorMessage="1" sqref="H4:H15" xr:uid="{70D62A4E-D0C4-4113-AAA6-7BA12B9A8C64}">
      <formula1>"In Progress, Done"</formula1>
    </dataValidation>
    <dataValidation type="list" allowBlank="1" showInputMessage="1" showErrorMessage="1" sqref="C10" xr:uid="{3AC54888-54EE-4323-9FC9-D4775D8C3194}">
      <formula1>IF(OR(VLOOKUP(B1,Weapon_List,3,FALSE)=1,VLOOKUP(B1,Weapon_List,3,FALSE)=2),Weapon_Ascension_Low_Rarity,Weapon_Ascension_High_Rarity)</formula1>
    </dataValidation>
    <dataValidation type="list" operator="equal" allowBlank="1" showInputMessage="1" showErrorMessage="1" sqref="B4" xr:uid="{837C9C41-655F-4F7E-8E7A-0B9EBE4D51D2}">
      <formula1>IF(OR(VLOOKUP(B1,Weapon_List,3,FALSE)=1,VLOOKUP(B1,Weapon_List,3,FALSE)=2),Weapon_Levels_Low_Rarity,Weapon_Levels_High_Rarity)</formula1>
    </dataValidation>
    <dataValidation type="list" operator="equal" allowBlank="1" showInputMessage="1" showErrorMessage="1" sqref="B5" xr:uid="{F4568965-D403-4EB9-8097-5D8C1BBD821C}">
      <formula1>IF(OR(VLOOKUP(B1,Weapon_List,3,FALSE)=1,VLOOKUP(B1,Weapon_List,3,FALSE)=2),Weapon_Levels_Low_Rarity,Weapon_Levels_High_Rarity)</formula1>
    </dataValidation>
    <dataValidation type="list" allowBlank="1" showInputMessage="1" showErrorMessage="1" sqref="B1" xr:uid="{FC5C7794-7357-45F7-9B4D-C9F588C2AE9B}">
      <formula1>Weapon_Name_List</formula1>
    </dataValidation>
    <dataValidation type="list" allowBlank="1" showInputMessage="1" showErrorMessage="1" sqref="C11" xr:uid="{2627584E-28E3-4188-87B5-1680113D588E}">
      <formula1>IF(OR(VLOOKUP(B1,Weapon_List,3,FALSE)=1,VLOOKUP(B1,Weapon_List,3,FALSE)=2),Weapon_Ascension_Low_Rarity,Weapon_Ascension_High_Rarity)</formula1>
    </dataValidation>
  </dataValidations>
  <pageMargins left="0.7" right="0.7" top="0.75" bottom="0.75" header="0.3" footer="0.3"/>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C3EB4-5B2A-4830-84AF-2F164FF5DB33}">
  <sheetPr codeName="Sheet320">
    <tabColor rgb="FF8EA9DB"/>
  </sheetPr>
  <dimension ref="A1:H22"/>
  <sheetViews>
    <sheetView workbookViewId="0">
      <selection activeCell="F23" sqref="F23"/>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509</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171" t="s">
        <v>149</v>
      </c>
      <c r="B9" s="231"/>
      <c r="C9" s="172"/>
      <c r="E9" s="234"/>
      <c r="F9" s="44" t="str">
        <f t="shared" si="0"/>
        <v>Blazing Sacrificial Heart's Splendor</v>
      </c>
      <c r="G9" s="59">
        <f t="shared" ca="1" si="0"/>
        <v>0</v>
      </c>
      <c r="H9" s="34" t="s">
        <v>202</v>
      </c>
    </row>
    <row r="10" spans="1:8" ht="15.75" thickBot="1" x14ac:dyDescent="0.3">
      <c r="A10" s="173" t="s">
        <v>206</v>
      </c>
      <c r="B10" s="202"/>
      <c r="C10" s="43">
        <v>6</v>
      </c>
      <c r="E10" s="184" t="s">
        <v>19</v>
      </c>
      <c r="F10" s="2" t="str">
        <f t="shared" si="0"/>
        <v>Juvenile Fang</v>
      </c>
      <c r="G10" s="15">
        <f t="shared" ca="1" si="0"/>
        <v>0</v>
      </c>
      <c r="H10" s="34" t="s">
        <v>202</v>
      </c>
    </row>
    <row r="11" spans="1:8" ht="15.75" thickBot="1" x14ac:dyDescent="0.3">
      <c r="A11" s="173" t="s">
        <v>208</v>
      </c>
      <c r="B11" s="202"/>
      <c r="C11" s="43">
        <v>6</v>
      </c>
      <c r="E11" s="185"/>
      <c r="F11" s="1" t="str">
        <f t="shared" si="0"/>
        <v>Seasoned Fang</v>
      </c>
      <c r="G11" s="17">
        <f t="shared" ca="1" si="0"/>
        <v>0</v>
      </c>
      <c r="H11" s="34" t="s">
        <v>202</v>
      </c>
    </row>
    <row r="12" spans="1:8" ht="15.75" thickBot="1" x14ac:dyDescent="0.3">
      <c r="A12" s="227"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84" t="s">
        <v>18</v>
      </c>
      <c r="F13" s="2" t="str">
        <f t="shared" si="0"/>
        <v>Shard of a Shattered Will</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85"/>
      <c r="F14" s="1" t="str">
        <f t="shared" si="0"/>
        <v>Locus of a Clear Will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86"/>
      <c r="F15" s="9" t="str">
        <f t="shared" si="0"/>
        <v>Sigil of a Striding Will</v>
      </c>
      <c r="G15" s="16">
        <f t="shared" ca="1" si="0"/>
        <v>0</v>
      </c>
      <c r="H15" s="35" t="s">
        <v>202</v>
      </c>
    </row>
    <row r="16" spans="1:8" x14ac:dyDescent="0.25">
      <c r="A16" s="184"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6" priority="1" operator="containsText" text="Done">
      <formula>NOT(ISERROR(SEARCH("Done",H4)))</formula>
    </cfRule>
    <cfRule type="containsText" dxfId="45" priority="2" operator="containsText" text="In Progress">
      <formula>NOT(ISERROR(SEARCH("In Progress",H4)))</formula>
    </cfRule>
  </conditionalFormatting>
  <dataValidations count="6">
    <dataValidation type="list" allowBlank="1" showInputMessage="1" showErrorMessage="1" sqref="H4:H15" xr:uid="{9A42D561-3EAF-4C57-88BD-2E30DF56FBB6}">
      <formula1>"In Progress, Done"</formula1>
    </dataValidation>
    <dataValidation type="list" allowBlank="1" showInputMessage="1" showErrorMessage="1" sqref="C10" xr:uid="{61D34A21-902A-4C45-A5A3-730F05D20ED8}">
      <formula1>IF(OR(VLOOKUP(B1,Weapon_List,3,FALSE)=1,VLOOKUP(B1,Weapon_List,3,FALSE)=2),Weapon_Ascension_Low_Rarity,Weapon_Ascension_High_Rarity)</formula1>
    </dataValidation>
    <dataValidation type="list" operator="equal" allowBlank="1" showInputMessage="1" showErrorMessage="1" sqref="B4" xr:uid="{6BE077E5-6296-49FD-B584-41C37CAD546E}">
      <formula1>IF(OR(VLOOKUP(B1,Weapon_List,3,FALSE)=1,VLOOKUP(B1,Weapon_List,3,FALSE)=2),Weapon_Levels_Low_Rarity,Weapon_Levels_High_Rarity)</formula1>
    </dataValidation>
    <dataValidation type="list" operator="equal" allowBlank="1" showInputMessage="1" showErrorMessage="1" sqref="B5" xr:uid="{242981A0-0EE8-4FBB-810B-146B769C8C0D}">
      <formula1>IF(OR(VLOOKUP(B1,Weapon_List,3,FALSE)=1,VLOOKUP(B1,Weapon_List,3,FALSE)=2),Weapon_Levels_Low_Rarity,Weapon_Levels_High_Rarity)</formula1>
    </dataValidation>
    <dataValidation type="list" allowBlank="1" showInputMessage="1" showErrorMessage="1" sqref="B1" xr:uid="{29B4A014-A4E2-43C4-B19E-AEFBCC0EC92A}">
      <formula1>Weapon_Name_List</formula1>
    </dataValidation>
    <dataValidation type="list" allowBlank="1" showInputMessage="1" showErrorMessage="1" sqref="C11" xr:uid="{7318B44B-06EC-4EF3-A0B1-C6F918591F54}">
      <formula1>IF(OR(VLOOKUP(B1,Weapon_List,3,FALSE)=1,VLOOKUP(B1,Weapon_List,3,FALSE)=2),Weapon_Ascension_Low_Rarity,Weapon_Ascension_High_Rarity)</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CD3DF-A476-41CD-AC77-B09853C0A5B1}">
  <sheetPr codeName="Sheet321">
    <tabColor rgb="FF8EA9DB"/>
  </sheetPr>
  <dimension ref="A1:H22"/>
  <sheetViews>
    <sheetView workbookViewId="0">
      <selection activeCell="H22" sqref="H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510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171" t="s">
        <v>149</v>
      </c>
      <c r="B9" s="231"/>
      <c r="C9" s="172"/>
      <c r="E9" s="234"/>
      <c r="F9" s="44" t="str">
        <f t="shared" si="0"/>
        <v>Night-Wind's Mystic Revelation</v>
      </c>
      <c r="G9" s="59">
        <f t="shared" ca="1" si="0"/>
        <v>0</v>
      </c>
      <c r="H9" s="34" t="s">
        <v>202</v>
      </c>
    </row>
    <row r="10" spans="1:8" ht="15.75" thickBot="1" x14ac:dyDescent="0.3">
      <c r="A10" s="173" t="s">
        <v>206</v>
      </c>
      <c r="B10" s="202"/>
      <c r="C10" s="43">
        <v>6</v>
      </c>
      <c r="E10" s="184" t="s">
        <v>19</v>
      </c>
      <c r="F10" s="2" t="str">
        <f t="shared" si="0"/>
        <v>Sentry’s Wooden Whistle</v>
      </c>
      <c r="G10" s="15">
        <f t="shared" ca="1" si="0"/>
        <v>0</v>
      </c>
      <c r="H10" s="34" t="s">
        <v>202</v>
      </c>
    </row>
    <row r="11" spans="1:8" ht="15.75" thickBot="1" x14ac:dyDescent="0.3">
      <c r="A11" s="173" t="s">
        <v>208</v>
      </c>
      <c r="B11" s="202"/>
      <c r="C11" s="43">
        <v>6</v>
      </c>
      <c r="E11" s="185"/>
      <c r="F11" s="1" t="str">
        <f t="shared" si="0"/>
        <v>Warrior’s Metal Whistle</v>
      </c>
      <c r="G11" s="17">
        <f t="shared" ca="1" si="0"/>
        <v>0</v>
      </c>
      <c r="H11" s="34" t="s">
        <v>202</v>
      </c>
    </row>
    <row r="12" spans="1:8" ht="15.75" thickBot="1" x14ac:dyDescent="0.3">
      <c r="A12" s="227"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84" t="s">
        <v>18</v>
      </c>
      <c r="F13" s="2" t="str">
        <f t="shared" si="0"/>
        <v>Ignited Stone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85"/>
      <c r="F14" s="1" t="str">
        <f t="shared" si="0"/>
        <v>Ignited Seed of Life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86"/>
      <c r="F15" s="9" t="str">
        <f t="shared" si="0"/>
        <v>Ignited Seeing Eye</v>
      </c>
      <c r="G15" s="16">
        <f t="shared" ca="1" si="0"/>
        <v>0</v>
      </c>
      <c r="H15" s="35" t="s">
        <v>202</v>
      </c>
    </row>
    <row r="16" spans="1:8" x14ac:dyDescent="0.25">
      <c r="A16" s="184"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4" priority="1" operator="containsText" text="Done">
      <formula>NOT(ISERROR(SEARCH("Done",H4)))</formula>
    </cfRule>
    <cfRule type="containsText" dxfId="43" priority="2" operator="containsText" text="In Progress">
      <formula>NOT(ISERROR(SEARCH("In Progress",H4)))</formula>
    </cfRule>
  </conditionalFormatting>
  <dataValidations count="6">
    <dataValidation type="list" allowBlank="1" showInputMessage="1" showErrorMessage="1" sqref="H4:H15" xr:uid="{73832DBC-EF09-4B75-8A1B-EC77B5242996}">
      <formula1>"In Progress, Done"</formula1>
    </dataValidation>
    <dataValidation type="list" allowBlank="1" showInputMessage="1" showErrorMessage="1" sqref="C10" xr:uid="{E2B2D11D-0CB3-4E45-B319-95A019E0D0D0}">
      <formula1>IF(OR(VLOOKUP(B1,Weapon_List,3,FALSE)=1,VLOOKUP(B1,Weapon_List,3,FALSE)=2),Weapon_Ascension_Low_Rarity,Weapon_Ascension_High_Rarity)</formula1>
    </dataValidation>
    <dataValidation type="list" operator="equal" allowBlank="1" showInputMessage="1" showErrorMessage="1" sqref="B4" xr:uid="{D7B539A8-19FC-477C-8942-4D7884A8F0A9}">
      <formula1>IF(OR(VLOOKUP(B1,Weapon_List,3,FALSE)=1,VLOOKUP(B1,Weapon_List,3,FALSE)=2),Weapon_Levels_Low_Rarity,Weapon_Levels_High_Rarity)</formula1>
    </dataValidation>
    <dataValidation type="list" operator="equal" allowBlank="1" showInputMessage="1" showErrorMessage="1" sqref="B5" xr:uid="{01CDB5E4-C651-454B-B162-4B8E0D386981}">
      <formula1>IF(OR(VLOOKUP(B1,Weapon_List,3,FALSE)=1,VLOOKUP(B1,Weapon_List,3,FALSE)=2),Weapon_Levels_Low_Rarity,Weapon_Levels_High_Rarity)</formula1>
    </dataValidation>
    <dataValidation type="list" allowBlank="1" showInputMessage="1" showErrorMessage="1" sqref="B1" xr:uid="{3E5EA9BF-4A82-4074-8A9F-CAA6B4D2A07F}">
      <formula1>Weapon_Name_List</formula1>
    </dataValidation>
    <dataValidation type="list" allowBlank="1" showInputMessage="1" showErrorMessage="1" sqref="C11" xr:uid="{3BB0A3E0-14D4-4610-A3CA-C9640CAA879B}">
      <formula1>IF(OR(VLOOKUP(B1,Weapon_List,3,FALSE)=1,VLOOKUP(B1,Weapon_List,3,FALSE)=2),Weapon_Ascension_Low_Rarity,Weapon_Ascension_High_Rarity)</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063BD-6626-4956-BC01-5A26527C7257}">
  <sheetPr codeName="Sheet323">
    <tabColor rgb="FF8EA9DB"/>
  </sheetPr>
  <dimension ref="A1:H22"/>
  <sheetViews>
    <sheetView workbookViewId="0">
      <selection activeCell="G25" sqref="G25"/>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511</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171" t="s">
        <v>149</v>
      </c>
      <c r="B9" s="231"/>
      <c r="C9" s="172"/>
      <c r="E9" s="234"/>
      <c r="F9" s="44" t="str">
        <f t="shared" si="0"/>
        <v>Blazing Sacrificial Heart's Splendor</v>
      </c>
      <c r="G9" s="59">
        <f t="shared" ca="1" si="0"/>
        <v>0</v>
      </c>
      <c r="H9" s="34" t="s">
        <v>202</v>
      </c>
    </row>
    <row r="10" spans="1:8" ht="15.75" thickBot="1" x14ac:dyDescent="0.3">
      <c r="A10" s="173" t="s">
        <v>206</v>
      </c>
      <c r="B10" s="202"/>
      <c r="C10" s="43">
        <v>6</v>
      </c>
      <c r="E10" s="184" t="s">
        <v>19</v>
      </c>
      <c r="F10" s="2" t="str">
        <f t="shared" si="0"/>
        <v>Juvenile Fang</v>
      </c>
      <c r="G10" s="15">
        <f t="shared" ca="1" si="0"/>
        <v>0</v>
      </c>
      <c r="H10" s="34" t="s">
        <v>202</v>
      </c>
    </row>
    <row r="11" spans="1:8" ht="15.75" thickBot="1" x14ac:dyDescent="0.3">
      <c r="A11" s="173" t="s">
        <v>208</v>
      </c>
      <c r="B11" s="202"/>
      <c r="C11" s="43">
        <v>6</v>
      </c>
      <c r="E11" s="185"/>
      <c r="F11" s="1" t="str">
        <f t="shared" si="0"/>
        <v>Seasoned Fang</v>
      </c>
      <c r="G11" s="17">
        <f t="shared" ca="1" si="0"/>
        <v>0</v>
      </c>
      <c r="H11" s="34" t="s">
        <v>202</v>
      </c>
    </row>
    <row r="12" spans="1:8" ht="15.75" thickBot="1" x14ac:dyDescent="0.3">
      <c r="A12" s="227"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84" t="s">
        <v>18</v>
      </c>
      <c r="F13" s="2" t="str">
        <f t="shared" si="0"/>
        <v>Axis of the Secret Source</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85"/>
      <c r="F14" s="1" t="str">
        <f t="shared" si="0"/>
        <v>Sheath of the Secret Source</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86"/>
      <c r="F15" s="9" t="str">
        <f t="shared" si="0"/>
        <v>Heart of the Secret Source</v>
      </c>
      <c r="G15" s="16">
        <f t="shared" ca="1" si="0"/>
        <v>0</v>
      </c>
      <c r="H15" s="35" t="s">
        <v>202</v>
      </c>
    </row>
    <row r="16" spans="1:8" x14ac:dyDescent="0.25">
      <c r="A16" s="184"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2" priority="1" operator="containsText" text="Done">
      <formula>NOT(ISERROR(SEARCH("Done",H4)))</formula>
    </cfRule>
    <cfRule type="containsText" dxfId="41" priority="2" operator="containsText" text="In Progress">
      <formula>NOT(ISERROR(SEARCH("In Progress",H4)))</formula>
    </cfRule>
  </conditionalFormatting>
  <dataValidations count="6">
    <dataValidation type="list" allowBlank="1" showInputMessage="1" showErrorMessage="1" sqref="H4:H15" xr:uid="{70685D95-221F-4986-A0F9-3A4A9DB6FDBD}">
      <formula1>"In Progress, Done"</formula1>
    </dataValidation>
    <dataValidation type="list" allowBlank="1" showInputMessage="1" showErrorMessage="1" sqref="C10" xr:uid="{46B8683E-AB89-4EE7-9B93-1FB2C6C64B5C}">
      <formula1>IF(OR(VLOOKUP(B1,Weapon_List,3,FALSE)=1,VLOOKUP(B1,Weapon_List,3,FALSE)=2),Weapon_Ascension_Low_Rarity,Weapon_Ascension_High_Rarity)</formula1>
    </dataValidation>
    <dataValidation type="list" operator="equal" allowBlank="1" showInputMessage="1" showErrorMessage="1" sqref="B4" xr:uid="{181CCA1B-B45B-4467-B2C8-1956AE0847E2}">
      <formula1>IF(OR(VLOOKUP(B1,Weapon_List,3,FALSE)=1,VLOOKUP(B1,Weapon_List,3,FALSE)=2),Weapon_Levels_Low_Rarity,Weapon_Levels_High_Rarity)</formula1>
    </dataValidation>
    <dataValidation type="list" operator="equal" allowBlank="1" showInputMessage="1" showErrorMessage="1" sqref="B5" xr:uid="{FDF5F9FB-2CC2-4A13-A86E-59765B8449F9}">
      <formula1>IF(OR(VLOOKUP(B1,Weapon_List,3,FALSE)=1,VLOOKUP(B1,Weapon_List,3,FALSE)=2),Weapon_Levels_Low_Rarity,Weapon_Levels_High_Rarity)</formula1>
    </dataValidation>
    <dataValidation type="list" allowBlank="1" showInputMessage="1" showErrorMessage="1" sqref="B1" xr:uid="{C0F3149F-0928-46BC-88D6-6021C3F6C0D7}">
      <formula1>Weapon_Name_List</formula1>
    </dataValidation>
    <dataValidation type="list" allowBlank="1" showInputMessage="1" showErrorMessage="1" sqref="C11" xr:uid="{27270313-15BB-4634-BFC1-9F4FF4778C8E}">
      <formula1>IF(OR(VLOOKUP(B1,Weapon_List,3,FALSE)=1,VLOOKUP(B1,Weapon_List,3,FALSE)=2),Weapon_Ascension_Low_Rarity,Weapon_Ascension_High_Rarity)</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CC7EE-9B3B-4F58-A5C9-B5668E33EAAA}">
  <sheetPr codeName="Sheet324">
    <tabColor rgb="FF8EA9DB"/>
  </sheetPr>
  <dimension ref="A1:H22"/>
  <sheetViews>
    <sheetView workbookViewId="0">
      <selection activeCell="E16" sqref="E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512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171" t="s">
        <v>149</v>
      </c>
      <c r="B9" s="231"/>
      <c r="C9" s="172"/>
      <c r="E9" s="234"/>
      <c r="F9" s="44" t="str">
        <f t="shared" si="0"/>
        <v>Delirious Divinity of the Sacred Lord</v>
      </c>
      <c r="G9" s="59">
        <f t="shared" ca="1" si="0"/>
        <v>0</v>
      </c>
      <c r="H9" s="34" t="s">
        <v>202</v>
      </c>
    </row>
    <row r="10" spans="1:8" ht="15.75" thickBot="1" x14ac:dyDescent="0.3">
      <c r="A10" s="173" t="s">
        <v>206</v>
      </c>
      <c r="B10" s="202"/>
      <c r="C10" s="43">
        <v>6</v>
      </c>
      <c r="E10" s="184" t="s">
        <v>19</v>
      </c>
      <c r="F10" s="2" t="str">
        <f t="shared" si="0"/>
        <v>Sentry’s Wooden Whistle</v>
      </c>
      <c r="G10" s="15">
        <f t="shared" ca="1" si="0"/>
        <v>0</v>
      </c>
      <c r="H10" s="34" t="s">
        <v>202</v>
      </c>
    </row>
    <row r="11" spans="1:8" ht="15.75" thickBot="1" x14ac:dyDescent="0.3">
      <c r="A11" s="173" t="s">
        <v>208</v>
      </c>
      <c r="B11" s="202"/>
      <c r="C11" s="43">
        <v>6</v>
      </c>
      <c r="E11" s="185"/>
      <c r="F11" s="1" t="str">
        <f t="shared" si="0"/>
        <v>Warrior’s Metal Whistle</v>
      </c>
      <c r="G11" s="17">
        <f t="shared" ca="1" si="0"/>
        <v>0</v>
      </c>
      <c r="H11" s="34" t="s">
        <v>202</v>
      </c>
    </row>
    <row r="12" spans="1:8" ht="15.75" thickBot="1" x14ac:dyDescent="0.3">
      <c r="A12" s="227"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84" t="s">
        <v>18</v>
      </c>
      <c r="F13" s="2" t="str">
        <f t="shared" si="0"/>
        <v>Shard of a Shattered Will</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85"/>
      <c r="F14" s="1" t="str">
        <f t="shared" si="0"/>
        <v>Locus of a Clear Will</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86"/>
      <c r="F15" s="9" t="str">
        <f t="shared" si="0"/>
        <v>Sigil of a Striding Will</v>
      </c>
      <c r="G15" s="16">
        <f t="shared" ca="1" si="0"/>
        <v>0</v>
      </c>
      <c r="H15" s="35" t="s">
        <v>202</v>
      </c>
    </row>
    <row r="16" spans="1:8" x14ac:dyDescent="0.25">
      <c r="A16" s="184"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0" priority="1" operator="containsText" text="Done">
      <formula>NOT(ISERROR(SEARCH("Done",H4)))</formula>
    </cfRule>
    <cfRule type="containsText" dxfId="39" priority="2" operator="containsText" text="In Progress">
      <formula>NOT(ISERROR(SEARCH("In Progress",H4)))</formula>
    </cfRule>
  </conditionalFormatting>
  <dataValidations count="6">
    <dataValidation type="list" allowBlank="1" showInputMessage="1" showErrorMessage="1" sqref="H4:H15" xr:uid="{7D0FBA93-E348-4369-9944-4BB0F5E51CEB}">
      <formula1>"In Progress, Done"</formula1>
    </dataValidation>
    <dataValidation type="list" allowBlank="1" showInputMessage="1" showErrorMessage="1" sqref="C10" xr:uid="{FFD23B7D-5CEE-4852-86FA-CB4EC4414A52}">
      <formula1>IF(OR(VLOOKUP(B1,Weapon_List,3,FALSE)=1,VLOOKUP(B1,Weapon_List,3,FALSE)=2),Weapon_Ascension_Low_Rarity,Weapon_Ascension_High_Rarity)</formula1>
    </dataValidation>
    <dataValidation type="list" operator="equal" allowBlank="1" showInputMessage="1" showErrorMessage="1" sqref="B4" xr:uid="{0BCD1CF3-1AD2-46C7-8B7D-53297973553C}">
      <formula1>IF(OR(VLOOKUP(B1,Weapon_List,3,FALSE)=1,VLOOKUP(B1,Weapon_List,3,FALSE)=2),Weapon_Levels_Low_Rarity,Weapon_Levels_High_Rarity)</formula1>
    </dataValidation>
    <dataValidation type="list" operator="equal" allowBlank="1" showInputMessage="1" showErrorMessage="1" sqref="B5" xr:uid="{0367F24C-A836-4AE2-B0E1-D4CD3E11C7A2}">
      <formula1>IF(OR(VLOOKUP(B1,Weapon_List,3,FALSE)=1,VLOOKUP(B1,Weapon_List,3,FALSE)=2),Weapon_Levels_Low_Rarity,Weapon_Levels_High_Rarity)</formula1>
    </dataValidation>
    <dataValidation type="list" allowBlank="1" showInputMessage="1" showErrorMessage="1" sqref="B1" xr:uid="{FAE1E967-163E-456D-BAF6-D0FDC5B1BEEF}">
      <formula1>Weapon_Name_List</formula1>
    </dataValidation>
    <dataValidation type="list" allowBlank="1" showInputMessage="1" showErrorMessage="1" sqref="C11" xr:uid="{CEFFF86D-6DA3-4069-8464-DF6ABB1F2DB1}">
      <formula1>IF(OR(VLOOKUP(B1,Weapon_List,3,FALSE)=1,VLOOKUP(B1,Weapon_List,3,FALSE)=2),Weapon_Ascension_Low_Rarity,Weapon_Ascension_High_Rarity)</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FFC61-950F-4D18-B190-6EFB5B6C818B}">
  <sheetPr codeName="Sheet326">
    <tabColor rgb="FF8EA9DB"/>
  </sheetPr>
  <dimension ref="A1:H22"/>
  <sheetViews>
    <sheetView workbookViewId="0">
      <selection activeCell="E17" sqref="E17"/>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894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171" t="s">
        <v>149</v>
      </c>
      <c r="B9" s="231"/>
      <c r="C9" s="172"/>
      <c r="E9" s="234"/>
      <c r="F9" s="44" t="str">
        <f t="shared" si="0"/>
        <v>Narukami's Valor</v>
      </c>
      <c r="G9" s="59">
        <f t="shared" ca="1" si="0"/>
        <v>0</v>
      </c>
      <c r="H9" s="34" t="s">
        <v>202</v>
      </c>
    </row>
    <row r="10" spans="1:8" ht="15.75" thickBot="1" x14ac:dyDescent="0.3">
      <c r="A10" s="173" t="s">
        <v>206</v>
      </c>
      <c r="B10" s="202"/>
      <c r="C10" s="43">
        <v>6</v>
      </c>
      <c r="E10" s="184" t="s">
        <v>19</v>
      </c>
      <c r="F10" s="2" t="str">
        <f t="shared" si="0"/>
        <v>Spectral Husk</v>
      </c>
      <c r="G10" s="15">
        <f t="shared" ca="1" si="0"/>
        <v>0</v>
      </c>
      <c r="H10" s="34" t="s">
        <v>202</v>
      </c>
    </row>
    <row r="11" spans="1:8" ht="15.75" thickBot="1" x14ac:dyDescent="0.3">
      <c r="A11" s="173" t="s">
        <v>208</v>
      </c>
      <c r="B11" s="202"/>
      <c r="C11" s="43">
        <v>6</v>
      </c>
      <c r="E11" s="185"/>
      <c r="F11" s="1" t="str">
        <f t="shared" si="0"/>
        <v>Spectral Heart</v>
      </c>
      <c r="G11" s="17">
        <f t="shared" ca="1" si="0"/>
        <v>0</v>
      </c>
      <c r="H11" s="34" t="s">
        <v>202</v>
      </c>
    </row>
    <row r="12" spans="1:8" ht="15.75" thickBot="1" x14ac:dyDescent="0.3">
      <c r="A12" s="227"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84" t="s">
        <v>18</v>
      </c>
      <c r="F13" s="2" t="str">
        <f t="shared" si="0"/>
        <v>Ignited Stone</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85"/>
      <c r="F14" s="1" t="str">
        <f t="shared" si="0"/>
        <v>Ignited Seed of Life</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86"/>
      <c r="F15" s="9" t="str">
        <f t="shared" si="0"/>
        <v>Ignited Seeing Eye</v>
      </c>
      <c r="G15" s="16">
        <f t="shared" ca="1" si="0"/>
        <v>0</v>
      </c>
      <c r="H15" s="35" t="s">
        <v>202</v>
      </c>
    </row>
    <row r="16" spans="1:8" x14ac:dyDescent="0.25">
      <c r="A16" s="184"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 priority="1" operator="containsText" text="Done">
      <formula>NOT(ISERROR(SEARCH("Done",H4)))</formula>
    </cfRule>
    <cfRule type="containsText" dxfId="37" priority="2" operator="containsText" text="In Progress">
      <formula>NOT(ISERROR(SEARCH("In Progress",H4)))</formula>
    </cfRule>
  </conditionalFormatting>
  <dataValidations count="6">
    <dataValidation type="list" allowBlank="1" showInputMessage="1" showErrorMessage="1" sqref="H4:H15" xr:uid="{35789A0F-B4BB-4704-B5B7-2E099E1F48F2}">
      <formula1>"In Progress, Done"</formula1>
    </dataValidation>
    <dataValidation type="list" allowBlank="1" showInputMessage="1" showErrorMessage="1" sqref="C10" xr:uid="{D084DA4D-6F26-4497-B267-5E08152F3EC4}">
      <formula1>IF(OR(VLOOKUP(B1,Weapon_List,3,FALSE)=1,VLOOKUP(B1,Weapon_List,3,FALSE)=2),Weapon_Ascension_Low_Rarity,Weapon_Ascension_High_Rarity)</formula1>
    </dataValidation>
    <dataValidation type="list" operator="equal" allowBlank="1" showInputMessage="1" showErrorMessage="1" sqref="B4" xr:uid="{2A737D78-4C27-4E2A-9A61-D933424C0277}">
      <formula1>IF(OR(VLOOKUP(B1,Weapon_List,3,FALSE)=1,VLOOKUP(B1,Weapon_List,3,FALSE)=2),Weapon_Levels_Low_Rarity,Weapon_Levels_High_Rarity)</formula1>
    </dataValidation>
    <dataValidation type="list" operator="equal" allowBlank="1" showInputMessage="1" showErrorMessage="1" sqref="B5" xr:uid="{B855FE07-DFF1-4CC9-8089-E36301B5E013}">
      <formula1>IF(OR(VLOOKUP(B1,Weapon_List,3,FALSE)=1,VLOOKUP(B1,Weapon_List,3,FALSE)=2),Weapon_Levels_Low_Rarity,Weapon_Levels_High_Rarity)</formula1>
    </dataValidation>
    <dataValidation type="list" allowBlank="1" showInputMessage="1" showErrorMessage="1" sqref="B1" xr:uid="{6FE61323-8E14-4460-AA59-566023F61A3D}">
      <formula1>Weapon_Name_List</formula1>
    </dataValidation>
    <dataValidation type="list" allowBlank="1" showInputMessage="1" showErrorMessage="1" sqref="C11" xr:uid="{69E1DC72-127F-4B76-B6EA-BF6B109E555D}">
      <formula1>IF(OR(VLOOKUP(B1,Weapon_List,3,FALSE)=1,VLOOKUP(B1,Weapon_List,3,FALSE)=2),Weapon_Ascension_Low_Rarity,Weapon_Ascension_High_Rarity)</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856C7-1BC9-4BCB-AB15-20A86BDF125C}">
  <sheetPr codeName="Sheet327">
    <tabColor rgb="FF8EA9DB"/>
  </sheetPr>
  <dimension ref="A1:H22"/>
  <sheetViews>
    <sheetView workbookViewId="0">
      <selection activeCell="F17" sqref="F17"/>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904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171" t="s">
        <v>149</v>
      </c>
      <c r="B9" s="231"/>
      <c r="C9" s="172"/>
      <c r="E9" s="234"/>
      <c r="F9" s="44" t="str">
        <f t="shared" si="0"/>
        <v>Mask of the Kijin</v>
      </c>
      <c r="G9" s="59">
        <f t="shared" ca="1" si="0"/>
        <v>0</v>
      </c>
      <c r="H9" s="34" t="s">
        <v>202</v>
      </c>
    </row>
    <row r="10" spans="1:8" ht="15.75" thickBot="1" x14ac:dyDescent="0.3">
      <c r="A10" s="173" t="s">
        <v>206</v>
      </c>
      <c r="B10" s="202"/>
      <c r="C10" s="43">
        <v>6</v>
      </c>
      <c r="E10" s="184" t="s">
        <v>19</v>
      </c>
      <c r="F10" s="2" t="str">
        <f t="shared" si="0"/>
        <v>Old Nobushi</v>
      </c>
      <c r="G10" s="15">
        <f t="shared" ca="1" si="0"/>
        <v>0</v>
      </c>
      <c r="H10" s="34" t="s">
        <v>202</v>
      </c>
    </row>
    <row r="11" spans="1:8" ht="15.75" thickBot="1" x14ac:dyDescent="0.3">
      <c r="A11" s="173" t="s">
        <v>208</v>
      </c>
      <c r="B11" s="202"/>
      <c r="C11" s="43">
        <v>6</v>
      </c>
      <c r="E11" s="185"/>
      <c r="F11" s="1" t="str">
        <f t="shared" si="0"/>
        <v>Kageuchi Nobushi</v>
      </c>
      <c r="G11" s="17">
        <f t="shared" ca="1" si="0"/>
        <v>0</v>
      </c>
      <c r="H11" s="34" t="s">
        <v>202</v>
      </c>
    </row>
    <row r="12" spans="1:8" ht="15.75" thickBot="1" x14ac:dyDescent="0.3">
      <c r="A12" s="227"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84" t="s">
        <v>18</v>
      </c>
      <c r="F13" s="2" t="str">
        <f t="shared" si="0"/>
        <v>Refractive Bud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85"/>
      <c r="F14" s="1" t="str">
        <f t="shared" si="0"/>
        <v>Bewildering Broadleaf</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86"/>
      <c r="F15" s="9" t="str">
        <f t="shared" si="0"/>
        <v>Illusory Leafcoil</v>
      </c>
      <c r="G15" s="16">
        <f t="shared" ca="1" si="0"/>
        <v>0</v>
      </c>
      <c r="H15" s="35" t="s">
        <v>202</v>
      </c>
    </row>
    <row r="16" spans="1:8" x14ac:dyDescent="0.25">
      <c r="A16" s="184"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 priority="1" operator="containsText" text="Done">
      <formula>NOT(ISERROR(SEARCH("Done",H4)))</formula>
    </cfRule>
    <cfRule type="containsText" dxfId="35" priority="2" operator="containsText" text="In Progress">
      <formula>NOT(ISERROR(SEARCH("In Progress",H4)))</formula>
    </cfRule>
  </conditionalFormatting>
  <dataValidations count="6">
    <dataValidation type="list" allowBlank="1" showInputMessage="1" showErrorMessage="1" sqref="H4:H15" xr:uid="{33232407-252E-4D63-9C77-3C9CEFC3D1F3}">
      <formula1>"In Progress, Done"</formula1>
    </dataValidation>
    <dataValidation type="list" allowBlank="1" showInputMessage="1" showErrorMessage="1" sqref="C10" xr:uid="{0F20204D-9C25-4C3C-B2BA-6048026636F3}">
      <formula1>IF(OR(VLOOKUP(B1,Weapon_List,3,FALSE)=1,VLOOKUP(B1,Weapon_List,3,FALSE)=2),Weapon_Ascension_Low_Rarity,Weapon_Ascension_High_Rarity)</formula1>
    </dataValidation>
    <dataValidation type="list" operator="equal" allowBlank="1" showInputMessage="1" showErrorMessage="1" sqref="B4" xr:uid="{A0C65030-AA52-4115-93E9-AE5FF1B73F19}">
      <formula1>IF(OR(VLOOKUP(B1,Weapon_List,3,FALSE)=1,VLOOKUP(B1,Weapon_List,3,FALSE)=2),Weapon_Levels_Low_Rarity,Weapon_Levels_High_Rarity)</formula1>
    </dataValidation>
    <dataValidation type="list" operator="equal" allowBlank="1" showInputMessage="1" showErrorMessage="1" sqref="B5" xr:uid="{7367B565-EA13-4A38-83CA-FCC2B5F4141E}">
      <formula1>IF(OR(VLOOKUP(B1,Weapon_List,3,FALSE)=1,VLOOKUP(B1,Weapon_List,3,FALSE)=2),Weapon_Levels_Low_Rarity,Weapon_Levels_High_Rarity)</formula1>
    </dataValidation>
    <dataValidation type="list" allowBlank="1" showInputMessage="1" showErrorMessage="1" sqref="B1" xr:uid="{7DF1F3E9-0F66-4630-B224-BABD3D365073}">
      <formula1>Weapon_Name_List</formula1>
    </dataValidation>
    <dataValidation type="list" allowBlank="1" showInputMessage="1" showErrorMessage="1" sqref="C11" xr:uid="{88D6F4A7-2CD4-4374-92BF-EFAD4BAE7CCB}">
      <formula1>IF(OR(VLOOKUP(B1,Weapon_List,3,FALSE)=1,VLOOKUP(B1,Weapon_List,3,FALSE)=2),Weapon_Ascension_Low_Rarity,Weapon_Ascension_High_Rarity)</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A4662-B351-471F-9FCA-DBD6232924DF}">
  <sheetPr codeName="Sheet330">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900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171" t="s">
        <v>149</v>
      </c>
      <c r="B9" s="231"/>
      <c r="C9" s="172"/>
      <c r="E9" s="234"/>
      <c r="F9" s="44" t="str">
        <f t="shared" si="0"/>
        <v>Delirious Divinity of the Sacred Lord</v>
      </c>
      <c r="G9" s="59">
        <f t="shared" ca="1" si="0"/>
        <v>0</v>
      </c>
      <c r="H9" s="34" t="s">
        <v>202</v>
      </c>
    </row>
    <row r="10" spans="1:8" ht="15.75" thickBot="1" x14ac:dyDescent="0.3">
      <c r="A10" s="173" t="s">
        <v>206</v>
      </c>
      <c r="B10" s="202"/>
      <c r="C10" s="43">
        <v>6</v>
      </c>
      <c r="E10" s="184" t="s">
        <v>19</v>
      </c>
      <c r="F10" s="2" t="str">
        <f t="shared" si="0"/>
        <v>Juvenile Fang</v>
      </c>
      <c r="G10" s="15">
        <f t="shared" ca="1" si="0"/>
        <v>0</v>
      </c>
      <c r="H10" s="34" t="s">
        <v>202</v>
      </c>
    </row>
    <row r="11" spans="1:8" ht="15.75" thickBot="1" x14ac:dyDescent="0.3">
      <c r="A11" s="173" t="s">
        <v>208</v>
      </c>
      <c r="B11" s="202"/>
      <c r="C11" s="43">
        <v>6</v>
      </c>
      <c r="E11" s="185"/>
      <c r="F11" s="1" t="str">
        <f t="shared" si="0"/>
        <v>Seasoned Fang</v>
      </c>
      <c r="G11" s="17">
        <f t="shared" ca="1" si="0"/>
        <v>0</v>
      </c>
      <c r="H11" s="34" t="s">
        <v>202</v>
      </c>
    </row>
    <row r="12" spans="1:8" ht="15.75" thickBot="1" x14ac:dyDescent="0.3">
      <c r="A12" s="227"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84" t="s">
        <v>18</v>
      </c>
      <c r="F13" s="2" t="str">
        <f t="shared" si="0"/>
        <v>Cold-Cracked Shellshard</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85"/>
      <c r="F14" s="1" t="str">
        <f t="shared" si="0"/>
        <v>Warm Back-Shell</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86"/>
      <c r="F15" s="9" t="str">
        <f t="shared" si="0"/>
        <v>Blazing Prismshell</v>
      </c>
      <c r="G15" s="16">
        <f t="shared" ca="1" si="0"/>
        <v>0</v>
      </c>
      <c r="H15" s="35" t="s">
        <v>202</v>
      </c>
    </row>
    <row r="16" spans="1:8" x14ac:dyDescent="0.25">
      <c r="A16" s="184"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 priority="1" operator="containsText" text="Done">
      <formula>NOT(ISERROR(SEARCH("Done",H4)))</formula>
    </cfRule>
    <cfRule type="containsText" dxfId="33" priority="2" operator="containsText" text="In Progress">
      <formula>NOT(ISERROR(SEARCH("In Progress",H4)))</formula>
    </cfRule>
  </conditionalFormatting>
  <dataValidations count="6">
    <dataValidation type="list" allowBlank="1" showInputMessage="1" showErrorMessage="1" sqref="H4:H15" xr:uid="{5BD80BA9-C729-4DCB-B9A7-1BAD5956DB36}">
      <formula1>"In Progress, Done"</formula1>
    </dataValidation>
    <dataValidation type="list" allowBlank="1" showInputMessage="1" showErrorMessage="1" sqref="C10" xr:uid="{1719AAEA-295D-4AB2-AD00-652D01C26EC0}">
      <formula1>IF(OR(VLOOKUP(B1,Weapon_List,3,FALSE)=1,VLOOKUP(B1,Weapon_List,3,FALSE)=2),Weapon_Ascension_Low_Rarity,Weapon_Ascension_High_Rarity)</formula1>
    </dataValidation>
    <dataValidation type="list" operator="equal" allowBlank="1" showInputMessage="1" showErrorMessage="1" sqref="B4" xr:uid="{0D0A7BAF-1DE2-46BB-87FD-A21F5E5A8870}">
      <formula1>IF(OR(VLOOKUP(B1,Weapon_List,3,FALSE)=1,VLOOKUP(B1,Weapon_List,3,FALSE)=2),Weapon_Levels_Low_Rarity,Weapon_Levels_High_Rarity)</formula1>
    </dataValidation>
    <dataValidation type="list" operator="equal" allowBlank="1" showInputMessage="1" showErrorMessage="1" sqref="B5" xr:uid="{85D56DA5-B21C-4E75-BB1A-D7DB12AC84A5}">
      <formula1>IF(OR(VLOOKUP(B1,Weapon_List,3,FALSE)=1,VLOOKUP(B1,Weapon_List,3,FALSE)=2),Weapon_Levels_Low_Rarity,Weapon_Levels_High_Rarity)</formula1>
    </dataValidation>
    <dataValidation type="list" allowBlank="1" showInputMessage="1" showErrorMessage="1" sqref="B1" xr:uid="{08D069BC-1D46-4854-A190-085FE1F3943C}">
      <formula1>Weapon_Name_List</formula1>
    </dataValidation>
    <dataValidation type="list" allowBlank="1" showInputMessage="1" showErrorMessage="1" sqref="C11" xr:uid="{5A49A0D2-9D81-4881-8FBC-47FDD90EC11E}">
      <formula1>IF(OR(VLOOKUP(B1,Weapon_List,3,FALSE)=1,VLOOKUP(B1,Weapon_List,3,FALSE)=2),Weapon_Ascension_Low_Rarity,Weapon_Ascension_High_Rarity)</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8141F-F05B-4035-A6E8-8AD61741F912}">
  <sheetPr codeName="Sheet333">
    <tabColor rgb="FF8EA9DB"/>
  </sheetPr>
  <dimension ref="A1:H22"/>
  <sheetViews>
    <sheetView workbookViewId="0">
      <selection activeCell="J9" sqref="J9"/>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910</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171" t="s">
        <v>149</v>
      </c>
      <c r="B9" s="231"/>
      <c r="C9" s="172"/>
      <c r="E9" s="234"/>
      <c r="F9" s="44" t="str">
        <f t="shared" si="0"/>
        <v>Essense of Pure Sacred Dewdrop</v>
      </c>
      <c r="G9" s="59">
        <f t="shared" ca="1" si="0"/>
        <v>0</v>
      </c>
      <c r="H9" s="34" t="s">
        <v>202</v>
      </c>
    </row>
    <row r="10" spans="1:8" ht="15.75" thickBot="1" x14ac:dyDescent="0.3">
      <c r="A10" s="173" t="s">
        <v>206</v>
      </c>
      <c r="B10" s="202"/>
      <c r="C10" s="43">
        <v>6</v>
      </c>
      <c r="E10" s="184" t="s">
        <v>19</v>
      </c>
      <c r="F10" s="2" t="str">
        <f t="shared" si="0"/>
        <v>Transoceanic Pearl</v>
      </c>
      <c r="G10" s="15">
        <f t="shared" ca="1" si="0"/>
        <v>0</v>
      </c>
      <c r="H10" s="34" t="s">
        <v>202</v>
      </c>
    </row>
    <row r="11" spans="1:8" ht="15.75" thickBot="1" x14ac:dyDescent="0.3">
      <c r="A11" s="173" t="s">
        <v>208</v>
      </c>
      <c r="B11" s="202"/>
      <c r="C11" s="43">
        <v>6</v>
      </c>
      <c r="E11" s="185"/>
      <c r="F11" s="1" t="str">
        <f t="shared" si="0"/>
        <v>Transoceanic Chunk</v>
      </c>
      <c r="G11" s="17">
        <f t="shared" ca="1" si="0"/>
        <v>0</v>
      </c>
      <c r="H11" s="34" t="s">
        <v>202</v>
      </c>
    </row>
    <row r="12" spans="1:8" ht="15.75" thickBot="1" x14ac:dyDescent="0.3">
      <c r="A12" s="227"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84" t="s">
        <v>18</v>
      </c>
      <c r="F13" s="2" t="str">
        <f t="shared" si="0"/>
        <v>Drop of Tainted Water</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85"/>
      <c r="F14" s="1" t="str">
        <f t="shared" si="0"/>
        <v>Scoop of Tainted Water</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86"/>
      <c r="F15" s="9" t="str">
        <f t="shared" si="0"/>
        <v>Newborn Tainted Hydro Eidolon</v>
      </c>
      <c r="G15" s="16">
        <f t="shared" ca="1" si="0"/>
        <v>0</v>
      </c>
      <c r="H15" s="35" t="s">
        <v>202</v>
      </c>
    </row>
    <row r="16" spans="1:8" x14ac:dyDescent="0.25">
      <c r="A16" s="184"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 priority="1" operator="containsText" text="Done">
      <formula>NOT(ISERROR(SEARCH("Done",H4)))</formula>
    </cfRule>
    <cfRule type="containsText" dxfId="31" priority="2" operator="containsText" text="In Progress">
      <formula>NOT(ISERROR(SEARCH("In Progress",H4)))</formula>
    </cfRule>
  </conditionalFormatting>
  <dataValidations count="6">
    <dataValidation type="list" allowBlank="1" showInputMessage="1" showErrorMessage="1" sqref="H4:H15" xr:uid="{98221928-99C1-462F-88B7-8B2117F63C84}">
      <formula1>"In Progress, Done"</formula1>
    </dataValidation>
    <dataValidation type="list" allowBlank="1" showInputMessage="1" showErrorMessage="1" sqref="C10" xr:uid="{366FD67A-3431-4C63-B6F8-9A104937A61B}">
      <formula1>IF(OR(VLOOKUP(B1,Weapon_List,3,FALSE)=1,VLOOKUP(B1,Weapon_List,3,FALSE)=2),Weapon_Ascension_Low_Rarity,Weapon_Ascension_High_Rarity)</formula1>
    </dataValidation>
    <dataValidation type="list" operator="equal" allowBlank="1" showInputMessage="1" showErrorMessage="1" sqref="B4" xr:uid="{AE9EA4BC-409E-4372-8E45-8692B952D9C3}">
      <formula1>IF(OR(VLOOKUP(B1,Weapon_List,3,FALSE)=1,VLOOKUP(B1,Weapon_List,3,FALSE)=2),Weapon_Levels_Low_Rarity,Weapon_Levels_High_Rarity)</formula1>
    </dataValidation>
    <dataValidation type="list" operator="equal" allowBlank="1" showInputMessage="1" showErrorMessage="1" sqref="B5" xr:uid="{F51BEF64-4776-4BBC-85F5-F8634AC67EA0}">
      <formula1>IF(OR(VLOOKUP(B1,Weapon_List,3,FALSE)=1,VLOOKUP(B1,Weapon_List,3,FALSE)=2),Weapon_Levels_Low_Rarity,Weapon_Levels_High_Rarity)</formula1>
    </dataValidation>
    <dataValidation type="list" allowBlank="1" showInputMessage="1" showErrorMessage="1" sqref="B1" xr:uid="{60107783-6C1A-46F4-90C7-2619F0ACE322}">
      <formula1>Weapon_Name_List</formula1>
    </dataValidation>
    <dataValidation type="list" allowBlank="1" showInputMessage="1" showErrorMessage="1" sqref="C11" xr:uid="{FE6D795D-E709-4AC6-B171-037332BBFCF4}">
      <formula1>IF(OR(VLOOKUP(B1,Weapon_List,3,FALSE)=1,VLOOKUP(B1,Weapon_List,3,FALSE)=2),Weapon_Ascension_Low_Rarity,Weapon_Ascension_High_Rarity)</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C4D3C-B6BB-452B-A253-FB68CB579117}">
  <sheetPr codeName="Sheet334">
    <tabColor rgb="FF8EA9DB"/>
  </sheetPr>
  <dimension ref="A1:H22"/>
  <sheetViews>
    <sheetView workbookViewId="0">
      <selection activeCell="F21" sqref="F21"/>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912</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171" t="s">
        <v>149</v>
      </c>
      <c r="B9" s="231"/>
      <c r="C9" s="172"/>
      <c r="E9" s="234"/>
      <c r="F9" s="44" t="str">
        <f t="shared" si="0"/>
        <v>Echo of an Ancient Chord</v>
      </c>
      <c r="G9" s="59">
        <f t="shared" ca="1" si="0"/>
        <v>0</v>
      </c>
      <c r="H9" s="34" t="s">
        <v>202</v>
      </c>
    </row>
    <row r="10" spans="1:8" ht="15.75" thickBot="1" x14ac:dyDescent="0.3">
      <c r="A10" s="173" t="s">
        <v>206</v>
      </c>
      <c r="B10" s="202"/>
      <c r="C10" s="43">
        <v>6</v>
      </c>
      <c r="E10" s="184" t="s">
        <v>19</v>
      </c>
      <c r="F10" s="2" t="str">
        <f t="shared" si="0"/>
        <v>Clockwork Meka</v>
      </c>
      <c r="G10" s="15">
        <f t="shared" ca="1" si="0"/>
        <v>0</v>
      </c>
      <c r="H10" s="34" t="s">
        <v>202</v>
      </c>
    </row>
    <row r="11" spans="1:8" ht="15.75" thickBot="1" x14ac:dyDescent="0.3">
      <c r="A11" s="173" t="s">
        <v>208</v>
      </c>
      <c r="B11" s="202"/>
      <c r="C11" s="43">
        <v>6</v>
      </c>
      <c r="E11" s="185"/>
      <c r="F11" s="1" t="str">
        <f t="shared" si="0"/>
        <v>Mechanical Spur Gear</v>
      </c>
      <c r="G11" s="17">
        <f t="shared" ca="1" si="0"/>
        <v>0</v>
      </c>
      <c r="H11" s="34" t="s">
        <v>202</v>
      </c>
    </row>
    <row r="12" spans="1:8" ht="15.75" thickBot="1" x14ac:dyDescent="0.3">
      <c r="A12" s="227"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84" t="s">
        <v>18</v>
      </c>
      <c r="F13" s="2" t="str">
        <f t="shared" si="0"/>
        <v>Cold-Cracked Shellshard</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85"/>
      <c r="F14" s="1" t="str">
        <f t="shared" si="0"/>
        <v>Warm Back-Shell</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86"/>
      <c r="F15" s="9" t="str">
        <f t="shared" si="0"/>
        <v>Blazing Prismshell</v>
      </c>
      <c r="G15" s="16">
        <f t="shared" ca="1" si="0"/>
        <v>0</v>
      </c>
      <c r="H15" s="35" t="s">
        <v>202</v>
      </c>
    </row>
    <row r="16" spans="1:8" x14ac:dyDescent="0.25">
      <c r="A16" s="184"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 priority="1" operator="containsText" text="Done">
      <formula>NOT(ISERROR(SEARCH("Done",H4)))</formula>
    </cfRule>
    <cfRule type="containsText" dxfId="29" priority="2" operator="containsText" text="In Progress">
      <formula>NOT(ISERROR(SEARCH("In Progress",H4)))</formula>
    </cfRule>
  </conditionalFormatting>
  <dataValidations count="6">
    <dataValidation type="list" allowBlank="1" showInputMessage="1" showErrorMessage="1" sqref="H4:H15" xr:uid="{B97F4B0D-FB79-4F2E-A855-F5C2C5488BE8}">
      <formula1>"In Progress, Done"</formula1>
    </dataValidation>
    <dataValidation type="list" allowBlank="1" showInputMessage="1" showErrorMessage="1" sqref="C10" xr:uid="{99B5AF04-4434-48FD-80DE-083B9E1A25D7}">
      <formula1>IF(OR(VLOOKUP(B1,Weapon_List,3,FALSE)=1,VLOOKUP(B1,Weapon_List,3,FALSE)=2),Weapon_Ascension_Low_Rarity,Weapon_Ascension_High_Rarity)</formula1>
    </dataValidation>
    <dataValidation type="list" operator="equal" allowBlank="1" showInputMessage="1" showErrorMessage="1" sqref="B4" xr:uid="{FAADE940-3B75-4F4D-A834-FCA28ACBFDB1}">
      <formula1>IF(OR(VLOOKUP(B1,Weapon_List,3,FALSE)=1,VLOOKUP(B1,Weapon_List,3,FALSE)=2),Weapon_Levels_Low_Rarity,Weapon_Levels_High_Rarity)</formula1>
    </dataValidation>
    <dataValidation type="list" operator="equal" allowBlank="1" showInputMessage="1" showErrorMessage="1" sqref="B5" xr:uid="{91C434CF-34EA-4ED2-B6B8-B73A87DC2D2D}">
      <formula1>IF(OR(VLOOKUP(B1,Weapon_List,3,FALSE)=1,VLOOKUP(B1,Weapon_List,3,FALSE)=2),Weapon_Levels_Low_Rarity,Weapon_Levels_High_Rarity)</formula1>
    </dataValidation>
    <dataValidation type="list" allowBlank="1" showInputMessage="1" showErrorMessage="1" sqref="B1" xr:uid="{D357D5CC-E6B8-4CFC-ACBE-70B49900B014}">
      <formula1>Weapon_Name_List</formula1>
    </dataValidation>
    <dataValidation type="list" allowBlank="1" showInputMessage="1" showErrorMessage="1" sqref="C11" xr:uid="{533A83C9-1FBF-4CA8-8314-1F9B6647471D}">
      <formula1>IF(OR(VLOOKUP(B1,Weapon_List,3,FALSE)=1,VLOOKUP(B1,Weapon_List,3,FALSE)=2),Weapon_Ascension_Low_Rarity,Weapon_Ascension_High_Rarity)</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C13F5-3947-49E9-AB38-F0B2199E891F}">
  <sheetPr codeName="Sheet337">
    <tabColor rgb="FF8EA9DB"/>
  </sheetPr>
  <dimension ref="A1:H22"/>
  <sheetViews>
    <sheetView workbookViewId="0">
      <selection activeCell="E13" sqref="E13:E15"/>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916</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171" t="s">
        <v>149</v>
      </c>
      <c r="B9" s="231"/>
      <c r="C9" s="172"/>
      <c r="E9" s="234"/>
      <c r="F9" s="44" t="str">
        <f t="shared" si="0"/>
        <v>Night-Wind's Mystic Revelation</v>
      </c>
      <c r="G9" s="59">
        <f t="shared" ca="1" si="0"/>
        <v>0</v>
      </c>
      <c r="H9" s="34" t="s">
        <v>202</v>
      </c>
    </row>
    <row r="10" spans="1:8" ht="15.75" thickBot="1" x14ac:dyDescent="0.3">
      <c r="A10" s="173" t="s">
        <v>206</v>
      </c>
      <c r="B10" s="202"/>
      <c r="C10" s="43">
        <v>6</v>
      </c>
      <c r="E10" s="184" t="s">
        <v>19</v>
      </c>
      <c r="F10" s="2" t="str">
        <f t="shared" si="0"/>
        <v>Sentry’s Wooden Whistle</v>
      </c>
      <c r="G10" s="15">
        <f t="shared" ca="1" si="0"/>
        <v>0</v>
      </c>
      <c r="H10" s="34" t="s">
        <v>202</v>
      </c>
    </row>
    <row r="11" spans="1:8" ht="15.75" thickBot="1" x14ac:dyDescent="0.3">
      <c r="A11" s="173" t="s">
        <v>208</v>
      </c>
      <c r="B11" s="202"/>
      <c r="C11" s="43">
        <v>6</v>
      </c>
      <c r="E11" s="185"/>
      <c r="F11" s="1" t="str">
        <f t="shared" si="0"/>
        <v>Warrior’s Metal Whistle</v>
      </c>
      <c r="G11" s="17">
        <f t="shared" ca="1" si="0"/>
        <v>0</v>
      </c>
      <c r="H11" s="34" t="s">
        <v>202</v>
      </c>
    </row>
    <row r="12" spans="1:8" ht="15.75" thickBot="1" x14ac:dyDescent="0.3">
      <c r="A12" s="227"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84" t="s">
        <v>18</v>
      </c>
      <c r="F13" s="2" t="str">
        <f t="shared" si="0"/>
        <v>Refractive Bud</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85"/>
      <c r="F14" s="1" t="str">
        <f t="shared" si="0"/>
        <v>Bewildering Broadleaf</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86"/>
      <c r="F15" s="9" t="str">
        <f t="shared" si="0"/>
        <v>Illusory Leafcoil</v>
      </c>
      <c r="G15" s="16">
        <f t="shared" ca="1" si="0"/>
        <v>0</v>
      </c>
      <c r="H15" s="35" t="s">
        <v>202</v>
      </c>
    </row>
    <row r="16" spans="1:8" x14ac:dyDescent="0.25">
      <c r="A16" s="184"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8" priority="1" operator="containsText" text="Done">
      <formula>NOT(ISERROR(SEARCH("Done",H4)))</formula>
    </cfRule>
    <cfRule type="containsText" dxfId="27" priority="2" operator="containsText" text="In Progress">
      <formula>NOT(ISERROR(SEARCH("In Progress",H4)))</formula>
    </cfRule>
  </conditionalFormatting>
  <dataValidations count="6">
    <dataValidation type="list" allowBlank="1" showInputMessage="1" showErrorMessage="1" sqref="H4:H15" xr:uid="{C9923AFB-5666-40FB-95E8-AE32A2802CF5}">
      <formula1>"In Progress, Done"</formula1>
    </dataValidation>
    <dataValidation type="list" allowBlank="1" showInputMessage="1" showErrorMessage="1" sqref="C10" xr:uid="{166E76B6-60AD-4C5A-9A41-934A52D468CC}">
      <formula1>IF(OR(VLOOKUP(B1,Weapon_List,3,FALSE)=1,VLOOKUP(B1,Weapon_List,3,FALSE)=2),Weapon_Ascension_Low_Rarity,Weapon_Ascension_High_Rarity)</formula1>
    </dataValidation>
    <dataValidation type="list" operator="equal" allowBlank="1" showInputMessage="1" showErrorMessage="1" sqref="B4" xr:uid="{1E4202E4-180F-46B7-A4D8-A7A9CE24B264}">
      <formula1>IF(OR(VLOOKUP(B1,Weapon_List,3,FALSE)=1,VLOOKUP(B1,Weapon_List,3,FALSE)=2),Weapon_Levels_Low_Rarity,Weapon_Levels_High_Rarity)</formula1>
    </dataValidation>
    <dataValidation type="list" operator="equal" allowBlank="1" showInputMessage="1" showErrorMessage="1" sqref="B5" xr:uid="{3E0206F2-F3C2-4F58-9358-2D27836E0AC1}">
      <formula1>IF(OR(VLOOKUP(B1,Weapon_List,3,FALSE)=1,VLOOKUP(B1,Weapon_List,3,FALSE)=2),Weapon_Levels_Low_Rarity,Weapon_Levels_High_Rarity)</formula1>
    </dataValidation>
    <dataValidation type="list" allowBlank="1" showInputMessage="1" showErrorMessage="1" sqref="B1" xr:uid="{81D58C7A-90E0-4682-9F65-3504CF35F947}">
      <formula1>Weapon_Name_List</formula1>
    </dataValidation>
    <dataValidation type="list" allowBlank="1" showInputMessage="1" showErrorMessage="1" sqref="C11" xr:uid="{E0DB805C-F462-4841-9449-6529BE18E7C0}">
      <formula1>IF(OR(VLOOKUP(B1,Weapon_List,3,FALSE)=1,VLOOKUP(B1,Weapon_List,3,FALSE)=2),Weapon_Ascension_Low_Rarity,Weapon_Ascension_High_Rarity)</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7B4B3-4053-4E80-9D45-80E55415CAB4}">
  <sheetPr codeName="Sheet339">
    <tabColor rgb="FF8EA9DB"/>
  </sheetPr>
  <dimension ref="A1:H22"/>
  <sheetViews>
    <sheetView workbookViewId="0">
      <selection activeCell="E21" sqref="E21"/>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924</v>
      </c>
    </row>
    <row r="2" spans="1:8" ht="15.75" thickBot="1" x14ac:dyDescent="0.3"/>
    <row r="3" spans="1:8" ht="15.75" thickBot="1" x14ac:dyDescent="0.3">
      <c r="A3" s="171" t="s">
        <v>197</v>
      </c>
      <c r="B3" s="172"/>
      <c r="E3" s="171" t="s">
        <v>198</v>
      </c>
      <c r="F3" s="231"/>
      <c r="G3" s="172"/>
      <c r="H3" s="58" t="s">
        <v>199</v>
      </c>
    </row>
    <row r="4" spans="1:8" x14ac:dyDescent="0.25">
      <c r="A4" s="12" t="s">
        <v>200</v>
      </c>
      <c r="B4" s="25">
        <v>90</v>
      </c>
      <c r="E4" s="222" t="s">
        <v>201</v>
      </c>
      <c r="F4" s="22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7"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171" t="s">
        <v>149</v>
      </c>
      <c r="B9" s="231"/>
      <c r="C9" s="172"/>
      <c r="E9" s="234"/>
      <c r="F9" s="44" t="str">
        <f t="shared" si="0"/>
        <v>Blazing Sacrificial Heart's Splendor</v>
      </c>
      <c r="G9" s="59">
        <f t="shared" ca="1" si="0"/>
        <v>0</v>
      </c>
      <c r="H9" s="34" t="s">
        <v>202</v>
      </c>
    </row>
    <row r="10" spans="1:8" ht="15.75" thickBot="1" x14ac:dyDescent="0.3">
      <c r="A10" s="173" t="s">
        <v>206</v>
      </c>
      <c r="B10" s="202"/>
      <c r="C10" s="43">
        <v>6</v>
      </c>
      <c r="E10" s="184" t="s">
        <v>19</v>
      </c>
      <c r="F10" s="2" t="str">
        <f t="shared" si="0"/>
        <v>Juvenile Fang</v>
      </c>
      <c r="G10" s="15">
        <f t="shared" ca="1" si="0"/>
        <v>0</v>
      </c>
      <c r="H10" s="34" t="s">
        <v>202</v>
      </c>
    </row>
    <row r="11" spans="1:8" ht="15.75" thickBot="1" x14ac:dyDescent="0.3">
      <c r="A11" s="173" t="s">
        <v>208</v>
      </c>
      <c r="B11" s="202"/>
      <c r="C11" s="43">
        <v>6</v>
      </c>
      <c r="E11" s="185"/>
      <c r="F11" s="1" t="str">
        <f t="shared" si="0"/>
        <v>Seasoned Fang</v>
      </c>
      <c r="G11" s="17">
        <f t="shared" ca="1" si="0"/>
        <v>0</v>
      </c>
      <c r="H11" s="34" t="s">
        <v>202</v>
      </c>
    </row>
    <row r="12" spans="1:8" ht="15.75" thickBot="1" x14ac:dyDescent="0.3">
      <c r="A12" s="227"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84" t="s">
        <v>18</v>
      </c>
      <c r="F13" s="2" t="str">
        <f t="shared" si="0"/>
        <v>Cold-Cracked Shellshard</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85"/>
      <c r="F14" s="1" t="str">
        <f t="shared" si="0"/>
        <v>Warm Back-Shell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86"/>
      <c r="F15" s="9" t="str">
        <f t="shared" si="0"/>
        <v>Blazing Prismshell</v>
      </c>
      <c r="G15" s="16">
        <f t="shared" ca="1" si="0"/>
        <v>0</v>
      </c>
      <c r="H15" s="35" t="s">
        <v>202</v>
      </c>
    </row>
    <row r="16" spans="1:8" x14ac:dyDescent="0.25">
      <c r="A16" s="184"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85"/>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86"/>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84"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0</v>
      </c>
    </row>
    <row r="20" spans="1:3" x14ac:dyDescent="0.25">
      <c r="A20" s="185"/>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0</v>
      </c>
    </row>
    <row r="21" spans="1:3" ht="15.75" thickBot="1" x14ac:dyDescent="0.3">
      <c r="A21" s="186"/>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13:H15 H4:H9">
    <cfRule type="containsText" dxfId="26" priority="3" operator="containsText" text="Done">
      <formula>NOT(ISERROR(SEARCH("Done",H4)))</formula>
    </cfRule>
    <cfRule type="containsText" dxfId="25" priority="4" operator="containsText" text="In Progress">
      <formula>NOT(ISERROR(SEARCH("In Progress",H4)))</formula>
    </cfRule>
  </conditionalFormatting>
  <conditionalFormatting sqref="H10:H12">
    <cfRule type="containsText" dxfId="24" priority="1" operator="containsText" text="Done">
      <formula>NOT(ISERROR(SEARCH("Done",H10)))</formula>
    </cfRule>
    <cfRule type="containsText" dxfId="23" priority="2" operator="containsText" text="In Progress">
      <formula>NOT(ISERROR(SEARCH("In Progress",H10)))</formula>
    </cfRule>
  </conditionalFormatting>
  <dataValidations count="6">
    <dataValidation type="list" allowBlank="1" showInputMessage="1" showErrorMessage="1" sqref="H4:H15" xr:uid="{B7EF9705-28C2-410E-9C3B-F4F03A421AFD}">
      <formula1>"In Progress, Done"</formula1>
    </dataValidation>
    <dataValidation type="list" allowBlank="1" showInputMessage="1" showErrorMessage="1" sqref="C10" xr:uid="{25F5679D-6F89-485A-8784-92E5D71C0FC6}">
      <formula1>IF(OR(VLOOKUP(B1,Weapon_List,3,FALSE)=1,VLOOKUP(B1,Weapon_List,3,FALSE)=2),Weapon_Ascension_Low_Rarity,Weapon_Ascension_High_Rarity)</formula1>
    </dataValidation>
    <dataValidation type="list" operator="equal" allowBlank="1" showInputMessage="1" showErrorMessage="1" sqref="B4" xr:uid="{DB04FAE8-A0A4-4F89-ACC2-5C4A1C863791}">
      <formula1>IF(OR(VLOOKUP(B1,Weapon_List,3,FALSE)=1,VLOOKUP(B1,Weapon_List,3,FALSE)=2),Weapon_Levels_Low_Rarity,Weapon_Levels_High_Rarity)</formula1>
    </dataValidation>
    <dataValidation type="list" operator="equal" allowBlank="1" showInputMessage="1" showErrorMessage="1" sqref="B5" xr:uid="{541E2B89-478E-47DA-902E-9CD9A219EC59}">
      <formula1>IF(OR(VLOOKUP(B1,Weapon_List,3,FALSE)=1,VLOOKUP(B1,Weapon_List,3,FALSE)=2),Weapon_Levels_Low_Rarity,Weapon_Levels_High_Rarity)</formula1>
    </dataValidation>
    <dataValidation type="list" allowBlank="1" showInputMessage="1" showErrorMessage="1" sqref="B1" xr:uid="{9EC4DBE3-3099-45EC-A0A6-E8BD1F1F3D8D}">
      <formula1>Weapon_Name_List</formula1>
    </dataValidation>
    <dataValidation type="list" allowBlank="1" showInputMessage="1" showErrorMessage="1" sqref="C11" xr:uid="{B8D51F4A-291E-44CE-8A17-89D85B2B1A1D}">
      <formula1>IF(OR(VLOOKUP(B1,Weapon_List,3,FALSE)=1,VLOOKUP(B1,Weapon_List,3,FALSE)=2),Weapon_Ascension_Low_Rarity,Weapon_Ascension_High_Rarity)</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53FA-E32C-4150-B30E-AFF3F05F1834}">
  <sheetPr codeName="Sheet340">
    <tabColor rgb="FF8EA9DB"/>
  </sheetPr>
  <dimension ref="A1:H22"/>
  <sheetViews>
    <sheetView workbookViewId="0">
      <selection activeCell="K36" sqref="K3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925</v>
      </c>
    </row>
    <row r="2" spans="1:8" ht="15.75" thickBot="1" x14ac:dyDescent="0.3"/>
    <row r="3" spans="1:8" ht="15.75" thickBot="1" x14ac:dyDescent="0.3">
      <c r="A3" s="171" t="s">
        <v>197</v>
      </c>
      <c r="B3" s="172"/>
      <c r="E3" s="171" t="s">
        <v>198</v>
      </c>
      <c r="F3" s="231"/>
      <c r="G3" s="172"/>
      <c r="H3" s="58" t="s">
        <v>199</v>
      </c>
    </row>
    <row r="4" spans="1:8" x14ac:dyDescent="0.25">
      <c r="A4" s="12" t="s">
        <v>200</v>
      </c>
      <c r="B4" s="25">
        <v>1</v>
      </c>
      <c r="E4" s="222" t="s">
        <v>201</v>
      </c>
      <c r="F4" s="223"/>
      <c r="G4" s="15">
        <f ca="1">B6</f>
        <v>6042650</v>
      </c>
      <c r="H4" s="33" t="s">
        <v>202</v>
      </c>
    </row>
    <row r="5" spans="1:8" ht="15.75" thickBot="1" x14ac:dyDescent="0.3">
      <c r="A5" s="13" t="s">
        <v>203</v>
      </c>
      <c r="B5" s="26">
        <v>90</v>
      </c>
      <c r="E5" s="232" t="s">
        <v>204</v>
      </c>
      <c r="F5" s="233"/>
      <c r="G5" s="16">
        <f ca="1">SUM(B7,C22)</f>
        <v>709320</v>
      </c>
      <c r="H5" s="34" t="s">
        <v>202</v>
      </c>
    </row>
    <row r="6" spans="1:8" x14ac:dyDescent="0.25">
      <c r="A6" s="12" t="s">
        <v>201</v>
      </c>
      <c r="B6" s="15">
        <f ca="1">VLOOKUP(B5,INDIRECT(_xlfn.CONCAT("Weapon_",VLOOKUP(B1,Weapon_List,3,FALSE),"_star_expmora")),3,FALSE)-VLOOKUP(B4,INDIRECT(_xlfn.CONCAT("Weapon_",VLOOKUP(B1,Weapon_List,3,FALSE),"_star_expmora")),3,FALSE)</f>
        <v>6042650</v>
      </c>
      <c r="E6" s="227" t="s">
        <v>17</v>
      </c>
      <c r="F6" s="2" t="str">
        <f t="shared" ref="F6:G15" si="0">B12</f>
        <v>Delirious Decadence of the Sacred Lord</v>
      </c>
      <c r="G6" s="15">
        <f t="shared" ca="1" si="0"/>
        <v>3</v>
      </c>
      <c r="H6" s="34" t="s">
        <v>202</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Delirious Desolation of the Sacred Lord</v>
      </c>
      <c r="G7" s="17">
        <f t="shared" ca="1" si="0"/>
        <v>9</v>
      </c>
      <c r="H7" s="34" t="s">
        <v>202</v>
      </c>
    </row>
    <row r="8" spans="1:8" ht="15.75" thickBot="1" x14ac:dyDescent="0.3">
      <c r="E8" s="234"/>
      <c r="F8" s="1" t="str">
        <f t="shared" si="0"/>
        <v>Delirious Demeanor of the Sacred Lord</v>
      </c>
      <c r="G8" s="17">
        <f t="shared" ca="1" si="0"/>
        <v>9</v>
      </c>
      <c r="H8" s="34" t="s">
        <v>202</v>
      </c>
    </row>
    <row r="9" spans="1:8" ht="15.75" thickBot="1" x14ac:dyDescent="0.3">
      <c r="A9" s="171" t="s">
        <v>149</v>
      </c>
      <c r="B9" s="231"/>
      <c r="C9" s="172"/>
      <c r="E9" s="234"/>
      <c r="F9" s="44" t="str">
        <f t="shared" si="0"/>
        <v>Delirious Divinity of the Sacred Lord</v>
      </c>
      <c r="G9" s="59">
        <f t="shared" ca="1" si="0"/>
        <v>4</v>
      </c>
      <c r="H9" s="34" t="s">
        <v>202</v>
      </c>
    </row>
    <row r="10" spans="1:8" ht="15.75" thickBot="1" x14ac:dyDescent="0.3">
      <c r="A10" s="173" t="s">
        <v>206</v>
      </c>
      <c r="B10" s="202"/>
      <c r="C10" s="43">
        <v>0</v>
      </c>
      <c r="E10" s="184" t="s">
        <v>19</v>
      </c>
      <c r="F10" s="2" t="str">
        <f t="shared" si="0"/>
        <v>Transoceanic Pearl</v>
      </c>
      <c r="G10" s="15">
        <f t="shared" ca="1" si="0"/>
        <v>10</v>
      </c>
      <c r="H10" s="34" t="s">
        <v>202</v>
      </c>
    </row>
    <row r="11" spans="1:8" ht="15.75" thickBot="1" x14ac:dyDescent="0.3">
      <c r="A11" s="173" t="s">
        <v>208</v>
      </c>
      <c r="B11" s="202"/>
      <c r="C11" s="43">
        <v>6</v>
      </c>
      <c r="E11" s="185"/>
      <c r="F11" s="1" t="str">
        <f t="shared" si="0"/>
        <v>Transoceanic Chunk</v>
      </c>
      <c r="G11" s="17">
        <f t="shared" ca="1" si="0"/>
        <v>15</v>
      </c>
      <c r="H11" s="34" t="s">
        <v>202</v>
      </c>
    </row>
    <row r="12" spans="1:8" ht="15.75" thickBot="1" x14ac:dyDescent="0.3">
      <c r="A12" s="227"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3</v>
      </c>
      <c r="E12" s="235"/>
      <c r="F12" s="44" t="str">
        <f t="shared" si="0"/>
        <v>Xenochromatic Crystal</v>
      </c>
      <c r="G12" s="59">
        <f t="shared" ca="1" si="0"/>
        <v>18</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9</v>
      </c>
      <c r="E13" s="184" t="s">
        <v>18</v>
      </c>
      <c r="F13" s="2" t="str">
        <f t="shared" si="0"/>
        <v>Cold-Cracked Shellshard</v>
      </c>
      <c r="G13" s="15">
        <f t="shared" ca="1" si="0"/>
        <v>15</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9</v>
      </c>
      <c r="E14" s="185"/>
      <c r="F14" s="1" t="str">
        <f t="shared" si="0"/>
        <v>Warm Back-Shell</v>
      </c>
      <c r="G14" s="17">
        <f t="shared" ca="1" si="0"/>
        <v>18</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4</v>
      </c>
      <c r="E15" s="186"/>
      <c r="F15" s="9" t="str">
        <f t="shared" si="0"/>
        <v>Blazing Prismshell</v>
      </c>
      <c r="G15" s="16">
        <f t="shared" ca="1" si="0"/>
        <v>27</v>
      </c>
      <c r="H15" s="35" t="s">
        <v>202</v>
      </c>
    </row>
    <row r="16" spans="1:8" x14ac:dyDescent="0.25">
      <c r="A16" s="184"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10</v>
      </c>
    </row>
    <row r="17" spans="1:3" x14ac:dyDescent="0.25">
      <c r="A17" s="185"/>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15</v>
      </c>
    </row>
    <row r="18" spans="1:3" ht="15.75" thickBot="1" x14ac:dyDescent="0.3">
      <c r="A18" s="186"/>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18</v>
      </c>
    </row>
    <row r="19" spans="1:3" x14ac:dyDescent="0.25">
      <c r="A19" s="184"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15</v>
      </c>
    </row>
    <row r="20" spans="1:3" x14ac:dyDescent="0.25">
      <c r="A20" s="185"/>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18</v>
      </c>
    </row>
    <row r="21" spans="1:3" ht="15.75" thickBot="1" x14ac:dyDescent="0.3">
      <c r="A21" s="186"/>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2" priority="1" operator="containsText" text="Done">
      <formula>NOT(ISERROR(SEARCH("Done",H4)))</formula>
    </cfRule>
    <cfRule type="containsText" dxfId="21" priority="2" operator="containsText" text="In Progress">
      <formula>NOT(ISERROR(SEARCH("In Progress",H4)))</formula>
    </cfRule>
  </conditionalFormatting>
  <dataValidations count="6">
    <dataValidation type="list" allowBlank="1" showInputMessage="1" showErrorMessage="1" sqref="H4:H15" xr:uid="{63CE53FE-C453-49D5-AA78-CE1D51044F82}">
      <formula1>"In Progress, Done"</formula1>
    </dataValidation>
    <dataValidation type="list" allowBlank="1" showInputMessage="1" showErrorMessage="1" sqref="C10" xr:uid="{6FC17712-31BB-4D7D-A1C0-173357FB4CF4}">
      <formula1>IF(OR(VLOOKUP(B1,Weapon_List,3,FALSE)=1,VLOOKUP(B1,Weapon_List,3,FALSE)=2),Weapon_Ascension_Low_Rarity,Weapon_Ascension_High_Rarity)</formula1>
    </dataValidation>
    <dataValidation type="list" operator="equal" allowBlank="1" showInputMessage="1" showErrorMessage="1" sqref="B4" xr:uid="{ACC4CE39-3538-4525-BB3F-75AC3F3523BF}">
      <formula1>IF(OR(VLOOKUP(B1,Weapon_List,3,FALSE)=1,VLOOKUP(B1,Weapon_List,3,FALSE)=2),Weapon_Levels_Low_Rarity,Weapon_Levels_High_Rarity)</formula1>
    </dataValidation>
    <dataValidation type="list" operator="equal" allowBlank="1" showInputMessage="1" showErrorMessage="1" sqref="B5" xr:uid="{2B4AD276-67D5-469A-AB70-4F4F3BF6A9F5}">
      <formula1>IF(OR(VLOOKUP(B1,Weapon_List,3,FALSE)=1,VLOOKUP(B1,Weapon_List,3,FALSE)=2),Weapon_Levels_Low_Rarity,Weapon_Levels_High_Rarity)</formula1>
    </dataValidation>
    <dataValidation type="list" allowBlank="1" showInputMessage="1" showErrorMessage="1" sqref="B1" xr:uid="{AD193E49-D118-4A57-B8F5-C85DF3AE2E16}">
      <formula1>Weapon_Name_List</formula1>
    </dataValidation>
    <dataValidation type="list" allowBlank="1" showInputMessage="1" showErrorMessage="1" sqref="C11" xr:uid="{13CD1A08-2FBA-4DB3-98F9-6CDE8925C809}">
      <formula1>IF(OR(VLOOKUP(B1,Weapon_List,3,FALSE)=1,VLOOKUP(B1,Weapon_List,3,FALSE)=2),Weapon_Ascension_Low_Rarity,Weapon_Ascension_High_Rarity)</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8C612-186D-4827-A5E1-B349989369F1}">
  <sheetPr codeName="Sheet344">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942</v>
      </c>
    </row>
    <row r="2" spans="1:8" ht="15.75" thickBot="1" x14ac:dyDescent="0.3"/>
    <row r="3" spans="1:8" ht="15.75" thickBot="1" x14ac:dyDescent="0.3">
      <c r="A3" s="171" t="s">
        <v>197</v>
      </c>
      <c r="B3" s="172"/>
      <c r="E3" s="171" t="s">
        <v>198</v>
      </c>
      <c r="F3" s="231"/>
      <c r="G3" s="172"/>
      <c r="H3" s="58" t="s">
        <v>199</v>
      </c>
    </row>
    <row r="4" spans="1:8" x14ac:dyDescent="0.25">
      <c r="A4" s="12" t="s">
        <v>200</v>
      </c>
      <c r="B4" s="25">
        <v>1</v>
      </c>
      <c r="E4" s="222" t="s">
        <v>201</v>
      </c>
      <c r="F4" s="22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7" t="s">
        <v>17</v>
      </c>
      <c r="F6" s="2" t="str">
        <f t="shared" ref="F6:G15" si="0">B12</f>
        <v>Mysterious Instrument Fragment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Mysterious Instrument Replica</v>
      </c>
      <c r="G7" s="17">
        <f t="shared" ca="1" si="0"/>
        <v>9</v>
      </c>
      <c r="H7" s="34" t="s">
        <v>214</v>
      </c>
    </row>
    <row r="8" spans="1:8" ht="15.75" thickBot="1" x14ac:dyDescent="0.3">
      <c r="E8" s="234"/>
      <c r="F8" s="1" t="str">
        <f t="shared" si="0"/>
        <v xml:space="preserve">Inheritance of the Tricky Instrument	</v>
      </c>
      <c r="G8" s="17">
        <f t="shared" ca="1" si="0"/>
        <v>9</v>
      </c>
      <c r="H8" s="34" t="s">
        <v>214</v>
      </c>
    </row>
    <row r="9" spans="1:8" ht="15.75" thickBot="1" x14ac:dyDescent="0.3">
      <c r="A9" s="171" t="s">
        <v>149</v>
      </c>
      <c r="B9" s="231"/>
      <c r="C9" s="172"/>
      <c r="E9" s="234"/>
      <c r="F9" s="44" t="str">
        <f t="shared" si="0"/>
        <v>Whimsical Instrument's Trusty Wish</v>
      </c>
      <c r="G9" s="59">
        <f t="shared" ca="1" si="0"/>
        <v>4</v>
      </c>
      <c r="H9" s="34" t="s">
        <v>214</v>
      </c>
    </row>
    <row r="10" spans="1:8" ht="15.75" thickBot="1" x14ac:dyDescent="0.3">
      <c r="A10" s="173" t="s">
        <v>206</v>
      </c>
      <c r="B10" s="202"/>
      <c r="C10" s="43">
        <v>0</v>
      </c>
      <c r="E10" s="184" t="s">
        <v>19</v>
      </c>
      <c r="F10" s="2" t="e">
        <f t="shared" si="0"/>
        <v>#N/A</v>
      </c>
      <c r="G10" s="15">
        <f t="shared" ca="1" si="0"/>
        <v>10</v>
      </c>
      <c r="H10" s="34" t="s">
        <v>214</v>
      </c>
    </row>
    <row r="11" spans="1:8" ht="15.75" thickBot="1" x14ac:dyDescent="0.3">
      <c r="A11" s="173" t="s">
        <v>208</v>
      </c>
      <c r="B11" s="202"/>
      <c r="C11" s="43">
        <v>6</v>
      </c>
      <c r="E11" s="185"/>
      <c r="F11" s="1" t="e">
        <f t="shared" si="0"/>
        <v>#N/A</v>
      </c>
      <c r="G11" s="17">
        <f t="shared" ca="1" si="0"/>
        <v>15</v>
      </c>
      <c r="H11" s="34" t="s">
        <v>214</v>
      </c>
    </row>
    <row r="12" spans="1:8" ht="15.75" thickBot="1" x14ac:dyDescent="0.3">
      <c r="A12" s="227" t="s">
        <v>17</v>
      </c>
      <c r="B12" s="2" t="str">
        <f>VLOOKUP(VLOOKUP(B1,Weapon_List,4,FALSE),Weapon_Ascension_Materials,2,FALSE)</f>
        <v>Mysterious Instrument Fragment</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Mysterious Instrument Replica</v>
      </c>
      <c r="C13" s="17">
        <f ca="1">VLOOKUP(C11,INDIRECT(_xlfn.CONCAT("Weapon_",VLOOKUP(B1,Weapon_List,3,FALSE),"_star_requirements")),3,FALSE)-VLOOKUP(C10,INDIRECT(_xlfn.CONCAT("Weapon_",VLOOKUP(B1,Weapon_List,3,FALSE),"_star_requirements")),3,FALSE)</f>
        <v>9</v>
      </c>
      <c r="E13" s="184" t="s">
        <v>18</v>
      </c>
      <c r="F13" s="2" t="e">
        <f t="shared" si="0"/>
        <v>#N/A</v>
      </c>
      <c r="G13" s="15">
        <f t="shared" ca="1" si="0"/>
        <v>15</v>
      </c>
      <c r="H13" s="34" t="s">
        <v>214</v>
      </c>
    </row>
    <row r="14" spans="1:8" x14ac:dyDescent="0.25">
      <c r="A14" s="234"/>
      <c r="B14" s="1" t="str">
        <f>VLOOKUP(VLOOKUP(B1,Weapon_List,4,FALSE),Weapon_Ascension_Materials,4,FALSE)</f>
        <v xml:space="preserve">Inheritance of the Tricky Instrument	</v>
      </c>
      <c r="C14" s="17">
        <f ca="1">VLOOKUP(C11,INDIRECT(_xlfn.CONCAT("Weapon_",VLOOKUP(B1,Weapon_List,3,FALSE),"_star_requirements")),4,FALSE)-VLOOKUP(C10,INDIRECT(_xlfn.CONCAT("Weapon_",VLOOKUP(B1,Weapon_List,3,FALSE),"_star_requirements")),4,FALSE)</f>
        <v>9</v>
      </c>
      <c r="E14" s="185"/>
      <c r="F14" s="1" t="e">
        <f t="shared" si="0"/>
        <v>#N/A</v>
      </c>
      <c r="G14" s="17">
        <f t="shared" ca="1" si="0"/>
        <v>18</v>
      </c>
      <c r="H14" s="34" t="s">
        <v>214</v>
      </c>
    </row>
    <row r="15" spans="1:8" ht="15.75" thickBot="1" x14ac:dyDescent="0.3">
      <c r="A15" s="234"/>
      <c r="B15" s="1" t="str">
        <f>VLOOKUP(VLOOKUP(B1,Weapon_List,4,FALSE),Weapon_Ascension_Materials,5,FALSE)</f>
        <v>Whimsical Instrument's Trusty Wish</v>
      </c>
      <c r="C15" s="17">
        <f ca="1">VLOOKUP(C11,INDIRECT(_xlfn.CONCAT("Weapon_",VLOOKUP(B1,Weapon_List,3,FALSE),"_star_requirements")),5,FALSE)-VLOOKUP(C10,INDIRECT(_xlfn.CONCAT("Weapon_",VLOOKUP(B1,Weapon_List,3,FALSE),"_star_requirements")),5,FALSE)</f>
        <v>4</v>
      </c>
      <c r="E15" s="186"/>
      <c r="F15" s="9" t="e">
        <f t="shared" si="0"/>
        <v>#N/A</v>
      </c>
      <c r="G15" s="16">
        <f t="shared" ca="1" si="0"/>
        <v>27</v>
      </c>
      <c r="H15" s="35" t="s">
        <v>214</v>
      </c>
    </row>
    <row r="16" spans="1:8" x14ac:dyDescent="0.25">
      <c r="A16" s="184"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85"/>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86"/>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84"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85"/>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86"/>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0" priority="1" operator="containsText" text="Done">
      <formula>NOT(ISERROR(SEARCH("Done",H4)))</formula>
    </cfRule>
    <cfRule type="containsText" dxfId="19" priority="2" operator="containsText" text="In Progress">
      <formula>NOT(ISERROR(SEARCH("In Progress",H4)))</formula>
    </cfRule>
  </conditionalFormatting>
  <dataValidations count="6">
    <dataValidation type="list" allowBlank="1" showInputMessage="1" showErrorMessage="1" sqref="H4:H15" xr:uid="{5799434F-962A-4808-88C2-13C802B30713}">
      <formula1>"In Progress, Done"</formula1>
    </dataValidation>
    <dataValidation type="list" allowBlank="1" showInputMessage="1" showErrorMessage="1" sqref="C10" xr:uid="{56CC5AC6-5098-4C60-9020-1DF81657A337}">
      <formula1>IF(OR(VLOOKUP(B1,Weapon_List,3,FALSE)=1,VLOOKUP(B1,Weapon_List,3,FALSE)=2),Weapon_Ascension_Low_Rarity,Weapon_Ascension_High_Rarity)</formula1>
    </dataValidation>
    <dataValidation type="list" operator="equal" allowBlank="1" showInputMessage="1" showErrorMessage="1" sqref="B4" xr:uid="{3F932F5A-0469-483B-8DF6-8B03F1A9A204}">
      <formula1>IF(OR(VLOOKUP(B1,Weapon_List,3,FALSE)=1,VLOOKUP(B1,Weapon_List,3,FALSE)=2),Weapon_Levels_Low_Rarity,Weapon_Levels_High_Rarity)</formula1>
    </dataValidation>
    <dataValidation type="list" operator="equal" allowBlank="1" showInputMessage="1" showErrorMessage="1" sqref="B5" xr:uid="{0E048BD8-CAFA-4766-A270-9938615BF813}">
      <formula1>IF(OR(VLOOKUP(B1,Weapon_List,3,FALSE)=1,VLOOKUP(B1,Weapon_List,3,FALSE)=2),Weapon_Levels_Low_Rarity,Weapon_Levels_High_Rarity)</formula1>
    </dataValidation>
    <dataValidation type="list" allowBlank="1" showInputMessage="1" showErrorMessage="1" sqref="B1" xr:uid="{0AA5B076-3F49-44FD-BEFE-323BF9092E54}">
      <formula1>Weapon_Name_List</formula1>
    </dataValidation>
    <dataValidation type="list" allowBlank="1" showInputMessage="1" showErrorMessage="1" sqref="C11" xr:uid="{E2EA142A-A4F5-44D2-82DC-9A46A83FA5C4}">
      <formula1>IF(OR(VLOOKUP(B1,Weapon_List,3,FALSE)=1,VLOOKUP(B1,Weapon_List,3,FALSE)=2),Weapon_Ascension_Low_Rarity,Weapon_Ascension_High_Rarity)</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C0A7C-54B8-420E-A7E0-B2D3C6DCBBD9}">
  <sheetPr codeName="Sheet345">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943</v>
      </c>
    </row>
    <row r="2" spans="1:8" ht="15.75" thickBot="1" x14ac:dyDescent="0.3"/>
    <row r="3" spans="1:8" ht="15.75" thickBot="1" x14ac:dyDescent="0.3">
      <c r="A3" s="171" t="s">
        <v>197</v>
      </c>
      <c r="B3" s="172"/>
      <c r="E3" s="171" t="s">
        <v>198</v>
      </c>
      <c r="F3" s="231"/>
      <c r="G3" s="172"/>
      <c r="H3" s="58" t="s">
        <v>199</v>
      </c>
    </row>
    <row r="4" spans="1:8" x14ac:dyDescent="0.25">
      <c r="A4" s="12" t="s">
        <v>200</v>
      </c>
      <c r="B4" s="25">
        <v>1</v>
      </c>
      <c r="E4" s="222" t="s">
        <v>201</v>
      </c>
      <c r="F4" s="22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7" t="s">
        <v>17</v>
      </c>
      <c r="F6" s="2" t="str">
        <f t="shared" ref="F6:G15" si="0">B12</f>
        <v>Lost Glory of Far North Scion</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迷顽 of Far North Scion</v>
      </c>
      <c r="G7" s="17">
        <f t="shared" ca="1" si="0"/>
        <v>9</v>
      </c>
      <c r="H7" s="34" t="s">
        <v>214</v>
      </c>
    </row>
    <row r="8" spans="1:8" ht="15.75" thickBot="1" x14ac:dyDescent="0.3">
      <c r="E8" s="234"/>
      <c r="F8" s="1" t="str">
        <f t="shared" si="0"/>
        <v>祷献 of Far North Scion</v>
      </c>
      <c r="G8" s="17">
        <f t="shared" ca="1" si="0"/>
        <v>9</v>
      </c>
      <c r="H8" s="34" t="s">
        <v>214</v>
      </c>
    </row>
    <row r="9" spans="1:8" ht="15.75" thickBot="1" x14ac:dyDescent="0.3">
      <c r="A9" s="171" t="s">
        <v>149</v>
      </c>
      <c r="B9" s="231"/>
      <c r="C9" s="172"/>
      <c r="E9" s="234"/>
      <c r="F9" s="44" t="str">
        <f t="shared" si="0"/>
        <v>煌熠 of Far North Scion</v>
      </c>
      <c r="G9" s="59">
        <f t="shared" ca="1" si="0"/>
        <v>4</v>
      </c>
      <c r="H9" s="34" t="s">
        <v>214</v>
      </c>
    </row>
    <row r="10" spans="1:8" ht="15.75" thickBot="1" x14ac:dyDescent="0.3">
      <c r="A10" s="173" t="s">
        <v>206</v>
      </c>
      <c r="B10" s="202"/>
      <c r="C10" s="43">
        <v>0</v>
      </c>
      <c r="E10" s="184" t="s">
        <v>19</v>
      </c>
      <c r="F10" s="2" t="e">
        <f t="shared" si="0"/>
        <v>#N/A</v>
      </c>
      <c r="G10" s="15">
        <f t="shared" ca="1" si="0"/>
        <v>10</v>
      </c>
      <c r="H10" s="34" t="s">
        <v>214</v>
      </c>
    </row>
    <row r="11" spans="1:8" ht="15.75" thickBot="1" x14ac:dyDescent="0.3">
      <c r="A11" s="173" t="s">
        <v>208</v>
      </c>
      <c r="B11" s="202"/>
      <c r="C11" s="43">
        <v>6</v>
      </c>
      <c r="E11" s="185"/>
      <c r="F11" s="1" t="e">
        <f t="shared" si="0"/>
        <v>#N/A</v>
      </c>
      <c r="G11" s="17">
        <f t="shared" ca="1" si="0"/>
        <v>15</v>
      </c>
      <c r="H11" s="34" t="s">
        <v>214</v>
      </c>
    </row>
    <row r="12" spans="1:8" ht="15.75" thickBot="1" x14ac:dyDescent="0.3">
      <c r="A12" s="227" t="s">
        <v>17</v>
      </c>
      <c r="B12" s="2" t="str">
        <f>VLOOKUP(VLOOKUP(B1,Weapon_List,4,FALSE),Weapon_Ascension_Materials,2,FALSE)</f>
        <v>Lost Glory of Far North Scion</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迷顽 of Far North Scion</v>
      </c>
      <c r="C13" s="17">
        <f ca="1">VLOOKUP(C11,INDIRECT(_xlfn.CONCAT("Weapon_",VLOOKUP(B1,Weapon_List,3,FALSE),"_star_requirements")),3,FALSE)-VLOOKUP(C10,INDIRECT(_xlfn.CONCAT("Weapon_",VLOOKUP(B1,Weapon_List,3,FALSE),"_star_requirements")),3,FALSE)</f>
        <v>9</v>
      </c>
      <c r="E13" s="184" t="s">
        <v>18</v>
      </c>
      <c r="F13" s="2" t="e">
        <f t="shared" si="0"/>
        <v>#N/A</v>
      </c>
      <c r="G13" s="15">
        <f t="shared" ca="1" si="0"/>
        <v>15</v>
      </c>
      <c r="H13" s="34" t="s">
        <v>214</v>
      </c>
    </row>
    <row r="14" spans="1:8" x14ac:dyDescent="0.25">
      <c r="A14" s="234"/>
      <c r="B14" s="1" t="str">
        <f>VLOOKUP(VLOOKUP(B1,Weapon_List,4,FALSE),Weapon_Ascension_Materials,4,FALSE)</f>
        <v>祷献 of Far North Scion</v>
      </c>
      <c r="C14" s="17">
        <f ca="1">VLOOKUP(C11,INDIRECT(_xlfn.CONCAT("Weapon_",VLOOKUP(B1,Weapon_List,3,FALSE),"_star_requirements")),4,FALSE)-VLOOKUP(C10,INDIRECT(_xlfn.CONCAT("Weapon_",VLOOKUP(B1,Weapon_List,3,FALSE),"_star_requirements")),4,FALSE)</f>
        <v>9</v>
      </c>
      <c r="E14" s="185"/>
      <c r="F14" s="1" t="e">
        <f t="shared" si="0"/>
        <v>#N/A</v>
      </c>
      <c r="G14" s="17">
        <f t="shared" ca="1" si="0"/>
        <v>18</v>
      </c>
      <c r="H14" s="34" t="s">
        <v>214</v>
      </c>
    </row>
    <row r="15" spans="1:8" ht="15.75" thickBot="1" x14ac:dyDescent="0.3">
      <c r="A15" s="234"/>
      <c r="B15" s="1" t="str">
        <f>VLOOKUP(VLOOKUP(B1,Weapon_List,4,FALSE),Weapon_Ascension_Materials,5,FALSE)</f>
        <v>煌熠 of Far North Scion</v>
      </c>
      <c r="C15" s="17">
        <f ca="1">VLOOKUP(C11,INDIRECT(_xlfn.CONCAT("Weapon_",VLOOKUP(B1,Weapon_List,3,FALSE),"_star_requirements")),5,FALSE)-VLOOKUP(C10,INDIRECT(_xlfn.CONCAT("Weapon_",VLOOKUP(B1,Weapon_List,3,FALSE),"_star_requirements")),5,FALSE)</f>
        <v>4</v>
      </c>
      <c r="E15" s="186"/>
      <c r="F15" s="9" t="e">
        <f t="shared" si="0"/>
        <v>#N/A</v>
      </c>
      <c r="G15" s="16">
        <f t="shared" ca="1" si="0"/>
        <v>27</v>
      </c>
      <c r="H15" s="35" t="s">
        <v>214</v>
      </c>
    </row>
    <row r="16" spans="1:8" x14ac:dyDescent="0.25">
      <c r="A16" s="184"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85"/>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86"/>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84"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85"/>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86"/>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8" priority="1" operator="containsText" text="Done">
      <formula>NOT(ISERROR(SEARCH("Done",H4)))</formula>
    </cfRule>
    <cfRule type="containsText" dxfId="17" priority="2" operator="containsText" text="In Progress">
      <formula>NOT(ISERROR(SEARCH("In Progress",H4)))</formula>
    </cfRule>
  </conditionalFormatting>
  <dataValidations count="6">
    <dataValidation type="list" allowBlank="1" showInputMessage="1" showErrorMessage="1" sqref="H4:H15" xr:uid="{D81CF54E-4DDE-4C17-873A-E01A88048E49}">
      <formula1>"In Progress, Done"</formula1>
    </dataValidation>
    <dataValidation type="list" allowBlank="1" showInputMessage="1" showErrorMessage="1" sqref="C10" xr:uid="{1DA5AD24-B811-464D-A85F-55DB0857E88E}">
      <formula1>IF(OR(VLOOKUP(B1,Weapon_List,3,FALSE)=1,VLOOKUP(B1,Weapon_List,3,FALSE)=2),Weapon_Ascension_Low_Rarity,Weapon_Ascension_High_Rarity)</formula1>
    </dataValidation>
    <dataValidation type="list" operator="equal" allowBlank="1" showInputMessage="1" showErrorMessage="1" sqref="B4" xr:uid="{EA78243C-41D8-446A-8A4E-8DEE365BFD7F}">
      <formula1>IF(OR(VLOOKUP(B1,Weapon_List,3,FALSE)=1,VLOOKUP(B1,Weapon_List,3,FALSE)=2),Weapon_Levels_Low_Rarity,Weapon_Levels_High_Rarity)</formula1>
    </dataValidation>
    <dataValidation type="list" operator="equal" allowBlank="1" showInputMessage="1" showErrorMessage="1" sqref="B5" xr:uid="{8418B649-1478-402E-96E0-A47F7834A1E0}">
      <formula1>IF(OR(VLOOKUP(B1,Weapon_List,3,FALSE)=1,VLOOKUP(B1,Weapon_List,3,FALSE)=2),Weapon_Levels_Low_Rarity,Weapon_Levels_High_Rarity)</formula1>
    </dataValidation>
    <dataValidation type="list" allowBlank="1" showInputMessage="1" showErrorMessage="1" sqref="B1" xr:uid="{271E3C1D-228A-4B1A-964A-896D260C3B88}">
      <formula1>Weapon_Name_List</formula1>
    </dataValidation>
    <dataValidation type="list" allowBlank="1" showInputMessage="1" showErrorMessage="1" sqref="C11" xr:uid="{E0446C74-8832-446B-B940-41D1EB3C12A4}">
      <formula1>IF(OR(VLOOKUP(B1,Weapon_List,3,FALSE)=1,VLOOKUP(B1,Weapon_List,3,FALSE)=2),Weapon_Ascension_Low_Rarity,Weapon_Ascension_High_Rarity)</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741C7-D288-444D-B62B-433DE8D2AD67}">
  <sheetPr codeName="Sheet346">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944</v>
      </c>
    </row>
    <row r="2" spans="1:8" ht="15.75" thickBot="1" x14ac:dyDescent="0.3"/>
    <row r="3" spans="1:8" ht="15.75" thickBot="1" x14ac:dyDescent="0.3">
      <c r="A3" s="171" t="s">
        <v>197</v>
      </c>
      <c r="B3" s="172"/>
      <c r="E3" s="171" t="s">
        <v>198</v>
      </c>
      <c r="F3" s="231"/>
      <c r="G3" s="172"/>
      <c r="H3" s="58" t="s">
        <v>199</v>
      </c>
    </row>
    <row r="4" spans="1:8" x14ac:dyDescent="0.25">
      <c r="A4" s="12" t="s">
        <v>200</v>
      </c>
      <c r="B4" s="25">
        <v>1</v>
      </c>
      <c r="E4" s="222" t="s">
        <v>201</v>
      </c>
      <c r="F4" s="22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7" t="s">
        <v>17</v>
      </c>
      <c r="F6" s="2" t="str">
        <f t="shared" ref="F6:G15" si="0">B12</f>
        <v>Ember of Long Night Flint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Afterglow of Long Night Flint</v>
      </c>
      <c r="G7" s="17">
        <f t="shared" ca="1" si="0"/>
        <v>9</v>
      </c>
      <c r="H7" s="34" t="s">
        <v>214</v>
      </c>
    </row>
    <row r="8" spans="1:8" ht="15.75" thickBot="1" x14ac:dyDescent="0.3">
      <c r="E8" s="234"/>
      <c r="F8" s="1" t="str">
        <f t="shared" si="0"/>
        <v>Flare of Long Night Flint</v>
      </c>
      <c r="G8" s="17">
        <f t="shared" ca="1" si="0"/>
        <v>9</v>
      </c>
      <c r="H8" s="34" t="s">
        <v>214</v>
      </c>
    </row>
    <row r="9" spans="1:8" ht="15.75" thickBot="1" x14ac:dyDescent="0.3">
      <c r="A9" s="171" t="s">
        <v>149</v>
      </c>
      <c r="B9" s="231"/>
      <c r="C9" s="172"/>
      <c r="E9" s="234"/>
      <c r="F9" s="44" t="str">
        <f t="shared" si="0"/>
        <v>Blaze of Long Night Flint</v>
      </c>
      <c r="G9" s="59">
        <f t="shared" ca="1" si="0"/>
        <v>4</v>
      </c>
      <c r="H9" s="34" t="s">
        <v>214</v>
      </c>
    </row>
    <row r="10" spans="1:8" ht="15.75" thickBot="1" x14ac:dyDescent="0.3">
      <c r="A10" s="173" t="s">
        <v>206</v>
      </c>
      <c r="B10" s="202"/>
      <c r="C10" s="43">
        <v>0</v>
      </c>
      <c r="E10" s="184" t="s">
        <v>19</v>
      </c>
      <c r="F10" s="2" t="e">
        <f t="shared" si="0"/>
        <v>#N/A</v>
      </c>
      <c r="G10" s="15">
        <f t="shared" ca="1" si="0"/>
        <v>10</v>
      </c>
      <c r="H10" s="34" t="s">
        <v>214</v>
      </c>
    </row>
    <row r="11" spans="1:8" ht="15.75" thickBot="1" x14ac:dyDescent="0.3">
      <c r="A11" s="173" t="s">
        <v>208</v>
      </c>
      <c r="B11" s="202"/>
      <c r="C11" s="43">
        <v>6</v>
      </c>
      <c r="E11" s="185"/>
      <c r="F11" s="1" t="e">
        <f t="shared" si="0"/>
        <v>#N/A</v>
      </c>
      <c r="G11" s="17">
        <f t="shared" ca="1" si="0"/>
        <v>15</v>
      </c>
      <c r="H11" s="34" t="s">
        <v>214</v>
      </c>
    </row>
    <row r="12" spans="1:8" ht="15.75" thickBot="1" x14ac:dyDescent="0.3">
      <c r="A12" s="227" t="s">
        <v>17</v>
      </c>
      <c r="B12" s="2" t="str">
        <f>VLOOKUP(VLOOKUP(B1,Weapon_List,4,FALSE),Weapon_Ascension_Materials,2,FALSE)</f>
        <v>Ember of Long Night Flint</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Afterglow of Long Night Flint</v>
      </c>
      <c r="C13" s="17">
        <f ca="1">VLOOKUP(C11,INDIRECT(_xlfn.CONCAT("Weapon_",VLOOKUP(B1,Weapon_List,3,FALSE),"_star_requirements")),3,FALSE)-VLOOKUP(C10,INDIRECT(_xlfn.CONCAT("Weapon_",VLOOKUP(B1,Weapon_List,3,FALSE),"_star_requirements")),3,FALSE)</f>
        <v>9</v>
      </c>
      <c r="E13" s="184" t="s">
        <v>18</v>
      </c>
      <c r="F13" s="2" t="e">
        <f t="shared" si="0"/>
        <v>#N/A</v>
      </c>
      <c r="G13" s="15">
        <f t="shared" ca="1" si="0"/>
        <v>15</v>
      </c>
      <c r="H13" s="34" t="s">
        <v>214</v>
      </c>
    </row>
    <row r="14" spans="1:8" x14ac:dyDescent="0.25">
      <c r="A14" s="234"/>
      <c r="B14" s="1" t="str">
        <f>VLOOKUP(VLOOKUP(B1,Weapon_List,4,FALSE),Weapon_Ascension_Materials,4,FALSE)</f>
        <v>Flare of Long Night Flint</v>
      </c>
      <c r="C14" s="17">
        <f ca="1">VLOOKUP(C11,INDIRECT(_xlfn.CONCAT("Weapon_",VLOOKUP(B1,Weapon_List,3,FALSE),"_star_requirements")),4,FALSE)-VLOOKUP(C10,INDIRECT(_xlfn.CONCAT("Weapon_",VLOOKUP(B1,Weapon_List,3,FALSE),"_star_requirements")),4,FALSE)</f>
        <v>9</v>
      </c>
      <c r="E14" s="185"/>
      <c r="F14" s="1" t="e">
        <f t="shared" si="0"/>
        <v>#N/A</v>
      </c>
      <c r="G14" s="17">
        <f t="shared" ca="1" si="0"/>
        <v>18</v>
      </c>
      <c r="H14" s="34" t="s">
        <v>214</v>
      </c>
    </row>
    <row r="15" spans="1:8" ht="15.75" thickBot="1" x14ac:dyDescent="0.3">
      <c r="A15" s="234"/>
      <c r="B15" s="1" t="str">
        <f>VLOOKUP(VLOOKUP(B1,Weapon_List,4,FALSE),Weapon_Ascension_Materials,5,FALSE)</f>
        <v>Blaze of Long Night Flint</v>
      </c>
      <c r="C15" s="17">
        <f ca="1">VLOOKUP(C11,INDIRECT(_xlfn.CONCAT("Weapon_",VLOOKUP(B1,Weapon_List,3,FALSE),"_star_requirements")),5,FALSE)-VLOOKUP(C10,INDIRECT(_xlfn.CONCAT("Weapon_",VLOOKUP(B1,Weapon_List,3,FALSE),"_star_requirements")),5,FALSE)</f>
        <v>4</v>
      </c>
      <c r="E15" s="186"/>
      <c r="F15" s="9" t="e">
        <f t="shared" si="0"/>
        <v>#N/A</v>
      </c>
      <c r="G15" s="16">
        <f t="shared" ca="1" si="0"/>
        <v>27</v>
      </c>
      <c r="H15" s="35" t="s">
        <v>214</v>
      </c>
    </row>
    <row r="16" spans="1:8" x14ac:dyDescent="0.25">
      <c r="A16" s="184"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85"/>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86"/>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84"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85"/>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86"/>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6" priority="1" operator="containsText" text="Done">
      <formula>NOT(ISERROR(SEARCH("Done",H4)))</formula>
    </cfRule>
    <cfRule type="containsText" dxfId="15" priority="2" operator="containsText" text="In Progress">
      <formula>NOT(ISERROR(SEARCH("In Progress",H4)))</formula>
    </cfRule>
  </conditionalFormatting>
  <dataValidations count="6">
    <dataValidation type="list" allowBlank="1" showInputMessage="1" showErrorMessage="1" sqref="H4:H15" xr:uid="{263D25FA-B9FA-49F6-9E5E-436A2320413F}">
      <formula1>"In Progress, Done"</formula1>
    </dataValidation>
    <dataValidation type="list" allowBlank="1" showInputMessage="1" showErrorMessage="1" sqref="C10" xr:uid="{0A31C735-B485-4F81-9740-5A86B60FDA7E}">
      <formula1>IF(OR(VLOOKUP(B1,Weapon_List,3,FALSE)=1,VLOOKUP(B1,Weapon_List,3,FALSE)=2),Weapon_Ascension_Low_Rarity,Weapon_Ascension_High_Rarity)</formula1>
    </dataValidation>
    <dataValidation type="list" operator="equal" allowBlank="1" showInputMessage="1" showErrorMessage="1" sqref="B4" xr:uid="{BA98EBD7-AB11-4345-B31E-5C72FB447AAF}">
      <formula1>IF(OR(VLOOKUP(B1,Weapon_List,3,FALSE)=1,VLOOKUP(B1,Weapon_List,3,FALSE)=2),Weapon_Levels_Low_Rarity,Weapon_Levels_High_Rarity)</formula1>
    </dataValidation>
    <dataValidation type="list" operator="equal" allowBlank="1" showInputMessage="1" showErrorMessage="1" sqref="B5" xr:uid="{07B46D06-D64C-4B28-A040-508110CDF5F3}">
      <formula1>IF(OR(VLOOKUP(B1,Weapon_List,3,FALSE)=1,VLOOKUP(B1,Weapon_List,3,FALSE)=2),Weapon_Levels_Low_Rarity,Weapon_Levels_High_Rarity)</formula1>
    </dataValidation>
    <dataValidation type="list" allowBlank="1" showInputMessage="1" showErrorMessage="1" sqref="B1" xr:uid="{AF474D5B-36DB-4BF3-B466-E9E0E06116D5}">
      <formula1>Weapon_Name_List</formula1>
    </dataValidation>
    <dataValidation type="list" allowBlank="1" showInputMessage="1" showErrorMessage="1" sqref="C11" xr:uid="{E040808B-896E-42F5-B6F4-B9A766D69850}">
      <formula1>IF(OR(VLOOKUP(B1,Weapon_List,3,FALSE)=1,VLOOKUP(B1,Weapon_List,3,FALSE)=2),Weapon_Ascension_Low_Rarity,Weapon_Ascension_High_Rarity)</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B2025-8B95-4FA1-8BE6-0F030F3E6BD1}">
  <sheetPr codeName="Sheet347">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945</v>
      </c>
    </row>
    <row r="2" spans="1:8" ht="15.75" thickBot="1" x14ac:dyDescent="0.3"/>
    <row r="3" spans="1:8" ht="15.75" thickBot="1" x14ac:dyDescent="0.3">
      <c r="A3" s="171" t="s">
        <v>197</v>
      </c>
      <c r="B3" s="172"/>
      <c r="E3" s="171" t="s">
        <v>198</v>
      </c>
      <c r="F3" s="231"/>
      <c r="G3" s="172"/>
      <c r="H3" s="58" t="s">
        <v>199</v>
      </c>
    </row>
    <row r="4" spans="1:8" x14ac:dyDescent="0.25">
      <c r="A4" s="12" t="s">
        <v>200</v>
      </c>
      <c r="B4" s="25">
        <v>1</v>
      </c>
      <c r="E4" s="222" t="s">
        <v>201</v>
      </c>
      <c r="F4" s="22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7" t="s">
        <v>17</v>
      </c>
      <c r="F6" s="2" t="str">
        <f t="shared" ref="F6:G15" si="0">B12</f>
        <v>Mysterious Instrument Fragment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Mysterious Instrument Replica</v>
      </c>
      <c r="G7" s="17">
        <f t="shared" ca="1" si="0"/>
        <v>9</v>
      </c>
      <c r="H7" s="34" t="s">
        <v>214</v>
      </c>
    </row>
    <row r="8" spans="1:8" ht="15.75" thickBot="1" x14ac:dyDescent="0.3">
      <c r="E8" s="234"/>
      <c r="F8" s="1" t="str">
        <f t="shared" si="0"/>
        <v xml:space="preserve">Inheritance of the Tricky Instrument	</v>
      </c>
      <c r="G8" s="17">
        <f t="shared" ca="1" si="0"/>
        <v>9</v>
      </c>
      <c r="H8" s="34" t="s">
        <v>214</v>
      </c>
    </row>
    <row r="9" spans="1:8" ht="15.75" thickBot="1" x14ac:dyDescent="0.3">
      <c r="A9" s="171" t="s">
        <v>149</v>
      </c>
      <c r="B9" s="231"/>
      <c r="C9" s="172"/>
      <c r="E9" s="234"/>
      <c r="F9" s="44" t="str">
        <f t="shared" si="0"/>
        <v>Whimsical Instrument's Trusty Wish</v>
      </c>
      <c r="G9" s="59">
        <f t="shared" ca="1" si="0"/>
        <v>4</v>
      </c>
      <c r="H9" s="34" t="s">
        <v>214</v>
      </c>
    </row>
    <row r="10" spans="1:8" ht="15.75" thickBot="1" x14ac:dyDescent="0.3">
      <c r="A10" s="173" t="s">
        <v>206</v>
      </c>
      <c r="B10" s="202"/>
      <c r="C10" s="43">
        <v>0</v>
      </c>
      <c r="E10" s="184" t="s">
        <v>19</v>
      </c>
      <c r="F10" s="2" t="e">
        <f t="shared" si="0"/>
        <v>#N/A</v>
      </c>
      <c r="G10" s="15">
        <f t="shared" ca="1" si="0"/>
        <v>10</v>
      </c>
      <c r="H10" s="34" t="s">
        <v>214</v>
      </c>
    </row>
    <row r="11" spans="1:8" ht="15.75" thickBot="1" x14ac:dyDescent="0.3">
      <c r="A11" s="173" t="s">
        <v>208</v>
      </c>
      <c r="B11" s="202"/>
      <c r="C11" s="43">
        <v>6</v>
      </c>
      <c r="E11" s="185"/>
      <c r="F11" s="1" t="e">
        <f t="shared" si="0"/>
        <v>#N/A</v>
      </c>
      <c r="G11" s="17">
        <f t="shared" ca="1" si="0"/>
        <v>15</v>
      </c>
      <c r="H11" s="34" t="s">
        <v>214</v>
      </c>
    </row>
    <row r="12" spans="1:8" ht="15.75" thickBot="1" x14ac:dyDescent="0.3">
      <c r="A12" s="227" t="s">
        <v>17</v>
      </c>
      <c r="B12" s="2" t="str">
        <f>VLOOKUP(VLOOKUP(B1,Weapon_List,4,FALSE),Weapon_Ascension_Materials,2,FALSE)</f>
        <v>Mysterious Instrument Fragment</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Mysterious Instrument Replica</v>
      </c>
      <c r="C13" s="17">
        <f ca="1">VLOOKUP(C11,INDIRECT(_xlfn.CONCAT("Weapon_",VLOOKUP(B1,Weapon_List,3,FALSE),"_star_requirements")),3,FALSE)-VLOOKUP(C10,INDIRECT(_xlfn.CONCAT("Weapon_",VLOOKUP(B1,Weapon_List,3,FALSE),"_star_requirements")),3,FALSE)</f>
        <v>9</v>
      </c>
      <c r="E13" s="184" t="s">
        <v>18</v>
      </c>
      <c r="F13" s="2" t="e">
        <f t="shared" si="0"/>
        <v>#N/A</v>
      </c>
      <c r="G13" s="15">
        <f t="shared" ca="1" si="0"/>
        <v>15</v>
      </c>
      <c r="H13" s="34" t="s">
        <v>214</v>
      </c>
    </row>
    <row r="14" spans="1:8" x14ac:dyDescent="0.25">
      <c r="A14" s="234"/>
      <c r="B14" s="1" t="str">
        <f>VLOOKUP(VLOOKUP(B1,Weapon_List,4,FALSE),Weapon_Ascension_Materials,4,FALSE)</f>
        <v xml:space="preserve">Inheritance of the Tricky Instrument	</v>
      </c>
      <c r="C14" s="17">
        <f ca="1">VLOOKUP(C11,INDIRECT(_xlfn.CONCAT("Weapon_",VLOOKUP(B1,Weapon_List,3,FALSE),"_star_requirements")),4,FALSE)-VLOOKUP(C10,INDIRECT(_xlfn.CONCAT("Weapon_",VLOOKUP(B1,Weapon_List,3,FALSE),"_star_requirements")),4,FALSE)</f>
        <v>9</v>
      </c>
      <c r="E14" s="185"/>
      <c r="F14" s="1" t="e">
        <f t="shared" si="0"/>
        <v>#N/A</v>
      </c>
      <c r="G14" s="17">
        <f t="shared" ca="1" si="0"/>
        <v>18</v>
      </c>
      <c r="H14" s="34" t="s">
        <v>214</v>
      </c>
    </row>
    <row r="15" spans="1:8" ht="15.75" thickBot="1" x14ac:dyDescent="0.3">
      <c r="A15" s="234"/>
      <c r="B15" s="1" t="str">
        <f>VLOOKUP(VLOOKUP(B1,Weapon_List,4,FALSE),Weapon_Ascension_Materials,5,FALSE)</f>
        <v>Whimsical Instrument's Trusty Wish</v>
      </c>
      <c r="C15" s="17">
        <f ca="1">VLOOKUP(C11,INDIRECT(_xlfn.CONCAT("Weapon_",VLOOKUP(B1,Weapon_List,3,FALSE),"_star_requirements")),5,FALSE)-VLOOKUP(C10,INDIRECT(_xlfn.CONCAT("Weapon_",VLOOKUP(B1,Weapon_List,3,FALSE),"_star_requirements")),5,FALSE)</f>
        <v>4</v>
      </c>
      <c r="E15" s="186"/>
      <c r="F15" s="9" t="e">
        <f t="shared" si="0"/>
        <v>#N/A</v>
      </c>
      <c r="G15" s="16">
        <f t="shared" ca="1" si="0"/>
        <v>27</v>
      </c>
      <c r="H15" s="35" t="s">
        <v>214</v>
      </c>
    </row>
    <row r="16" spans="1:8" x14ac:dyDescent="0.25">
      <c r="A16" s="184"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85"/>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86"/>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84"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85"/>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86"/>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 priority="1" operator="containsText" text="Done">
      <formula>NOT(ISERROR(SEARCH("Done",H4)))</formula>
    </cfRule>
    <cfRule type="containsText" dxfId="13" priority="2" operator="containsText" text="In Progress">
      <formula>NOT(ISERROR(SEARCH("In Progress",H4)))</formula>
    </cfRule>
  </conditionalFormatting>
  <dataValidations count="6">
    <dataValidation type="list" allowBlank="1" showInputMessage="1" showErrorMessage="1" sqref="H4:H15" xr:uid="{E2D5E295-0112-4B03-A9F8-06A62FAEB88B}">
      <formula1>"In Progress, Done"</formula1>
    </dataValidation>
    <dataValidation type="list" allowBlank="1" showInputMessage="1" showErrorMessage="1" sqref="C10" xr:uid="{5AFE9693-9FA5-4611-9C8F-1A400CC9F603}">
      <formula1>IF(OR(VLOOKUP(B1,Weapon_List,3,FALSE)=1,VLOOKUP(B1,Weapon_List,3,FALSE)=2),Weapon_Ascension_Low_Rarity,Weapon_Ascension_High_Rarity)</formula1>
    </dataValidation>
    <dataValidation type="list" operator="equal" allowBlank="1" showInputMessage="1" showErrorMessage="1" sqref="B4" xr:uid="{107EBD20-F3C8-4ECB-8DBA-B0F3569DAED0}">
      <formula1>IF(OR(VLOOKUP(B1,Weapon_List,3,FALSE)=1,VLOOKUP(B1,Weapon_List,3,FALSE)=2),Weapon_Levels_Low_Rarity,Weapon_Levels_High_Rarity)</formula1>
    </dataValidation>
    <dataValidation type="list" operator="equal" allowBlank="1" showInputMessage="1" showErrorMessage="1" sqref="B5" xr:uid="{0DBEDA3F-548F-40AC-9283-4F69B0ED0A98}">
      <formula1>IF(OR(VLOOKUP(B1,Weapon_List,3,FALSE)=1,VLOOKUP(B1,Weapon_List,3,FALSE)=2),Weapon_Levels_Low_Rarity,Weapon_Levels_High_Rarity)</formula1>
    </dataValidation>
    <dataValidation type="list" allowBlank="1" showInputMessage="1" showErrorMessage="1" sqref="B1" xr:uid="{72581F89-50FB-493C-B6F7-52F9EDCC2B56}">
      <formula1>Weapon_Name_List</formula1>
    </dataValidation>
    <dataValidation type="list" allowBlank="1" showInputMessage="1" showErrorMessage="1" sqref="C11" xr:uid="{B1AEAE76-5EA1-4DDC-8C1F-426AC52CD4E7}">
      <formula1>IF(OR(VLOOKUP(B1,Weapon_List,3,FALSE)=1,VLOOKUP(B1,Weapon_List,3,FALSE)=2),Weapon_Ascension_Low_Rarity,Weapon_Ascension_High_Rarity)</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31899-6715-4B3A-96F4-C41D6BFC3DBF}">
  <sheetPr codeName="Sheet348">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946</v>
      </c>
    </row>
    <row r="2" spans="1:8" ht="15.75" thickBot="1" x14ac:dyDescent="0.3"/>
    <row r="3" spans="1:8" ht="15.75" thickBot="1" x14ac:dyDescent="0.3">
      <c r="A3" s="171" t="s">
        <v>197</v>
      </c>
      <c r="B3" s="172"/>
      <c r="E3" s="171" t="s">
        <v>198</v>
      </c>
      <c r="F3" s="231"/>
      <c r="G3" s="172"/>
      <c r="H3" s="58" t="s">
        <v>199</v>
      </c>
    </row>
    <row r="4" spans="1:8" x14ac:dyDescent="0.25">
      <c r="A4" s="12" t="s">
        <v>200</v>
      </c>
      <c r="B4" s="25">
        <v>1</v>
      </c>
      <c r="E4" s="222" t="s">
        <v>201</v>
      </c>
      <c r="F4" s="22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7" t="s">
        <v>17</v>
      </c>
      <c r="F6" s="2" t="str">
        <f t="shared" ref="F6:G15" si="0">B12</f>
        <v>Ember of Long Night Flint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Afterglow of Long Night Flint</v>
      </c>
      <c r="G7" s="17">
        <f t="shared" ca="1" si="0"/>
        <v>9</v>
      </c>
      <c r="H7" s="34" t="s">
        <v>214</v>
      </c>
    </row>
    <row r="8" spans="1:8" ht="15.75" thickBot="1" x14ac:dyDescent="0.3">
      <c r="E8" s="234"/>
      <c r="F8" s="1" t="str">
        <f t="shared" si="0"/>
        <v>Flare of Long Night Flint</v>
      </c>
      <c r="G8" s="17">
        <f t="shared" ca="1" si="0"/>
        <v>9</v>
      </c>
      <c r="H8" s="34" t="s">
        <v>214</v>
      </c>
    </row>
    <row r="9" spans="1:8" ht="15.75" thickBot="1" x14ac:dyDescent="0.3">
      <c r="A9" s="171" t="s">
        <v>149</v>
      </c>
      <c r="B9" s="231"/>
      <c r="C9" s="172"/>
      <c r="E9" s="234"/>
      <c r="F9" s="44" t="str">
        <f t="shared" si="0"/>
        <v>Blaze of Long Night Flint</v>
      </c>
      <c r="G9" s="59">
        <f t="shared" ca="1" si="0"/>
        <v>4</v>
      </c>
      <c r="H9" s="34" t="s">
        <v>214</v>
      </c>
    </row>
    <row r="10" spans="1:8" ht="15.75" thickBot="1" x14ac:dyDescent="0.3">
      <c r="A10" s="173" t="s">
        <v>206</v>
      </c>
      <c r="B10" s="202"/>
      <c r="C10" s="43">
        <v>0</v>
      </c>
      <c r="E10" s="184" t="s">
        <v>19</v>
      </c>
      <c r="F10" s="2" t="str">
        <f t="shared" si="0"/>
        <v>Firm Arrowhead</v>
      </c>
      <c r="G10" s="15">
        <f t="shared" ca="1" si="0"/>
        <v>10</v>
      </c>
      <c r="H10" s="34" t="s">
        <v>214</v>
      </c>
    </row>
    <row r="11" spans="1:8" ht="15.75" thickBot="1" x14ac:dyDescent="0.3">
      <c r="A11" s="173" t="s">
        <v>208</v>
      </c>
      <c r="B11" s="202"/>
      <c r="C11" s="43">
        <v>6</v>
      </c>
      <c r="E11" s="185"/>
      <c r="F11" s="1" t="str">
        <f t="shared" si="0"/>
        <v>Sharp Arrowhead</v>
      </c>
      <c r="G11" s="17">
        <f t="shared" ca="1" si="0"/>
        <v>15</v>
      </c>
      <c r="H11" s="34" t="s">
        <v>214</v>
      </c>
    </row>
    <row r="12" spans="1:8" ht="15.75" thickBot="1" x14ac:dyDescent="0.3">
      <c r="A12" s="227" t="s">
        <v>17</v>
      </c>
      <c r="B12" s="2" t="str">
        <f>VLOOKUP(VLOOKUP(B1,Weapon_List,4,FALSE),Weapon_Ascension_Materials,2,FALSE)</f>
        <v>Ember of Long Night Flint</v>
      </c>
      <c r="C12" s="15">
        <f ca="1">VLOOKUP(C11,INDIRECT(_xlfn.CONCAT("Weapon_",VLOOKUP(B1,Weapon_List,3,FALSE),"_star_requirements")),2,FALSE)-VLOOKUP(C10,INDIRECT(_xlfn.CONCAT("Weapon_",VLOOKUP(B1,Weapon_List,3,FALSE),"_star_requirements")),2,FALSE)</f>
        <v>3</v>
      </c>
      <c r="E12" s="235"/>
      <c r="F12" s="44" t="str">
        <f t="shared" si="0"/>
        <v>Weathered Arrowhead</v>
      </c>
      <c r="G12" s="59">
        <f t="shared" ca="1" si="0"/>
        <v>18</v>
      </c>
      <c r="H12" s="34" t="s">
        <v>214</v>
      </c>
    </row>
    <row r="13" spans="1:8" x14ac:dyDescent="0.25">
      <c r="A13" s="234"/>
      <c r="B13" s="1" t="str">
        <f>VLOOKUP(VLOOKUP(B1,Weapon_List,4,FALSE),Weapon_Ascension_Materials,3,FALSE)</f>
        <v>Afterglow of Long Night Flint</v>
      </c>
      <c r="C13" s="17">
        <f ca="1">VLOOKUP(C11,INDIRECT(_xlfn.CONCAT("Weapon_",VLOOKUP(B1,Weapon_List,3,FALSE),"_star_requirements")),3,FALSE)-VLOOKUP(C10,INDIRECT(_xlfn.CONCAT("Weapon_",VLOOKUP(B1,Weapon_List,3,FALSE),"_star_requirements")),3,FALSE)</f>
        <v>9</v>
      </c>
      <c r="E13" s="184" t="s">
        <v>18</v>
      </c>
      <c r="F13" s="2" t="e">
        <f t="shared" si="0"/>
        <v>#N/A</v>
      </c>
      <c r="G13" s="15">
        <f t="shared" ca="1" si="0"/>
        <v>15</v>
      </c>
      <c r="H13" s="34" t="s">
        <v>214</v>
      </c>
    </row>
    <row r="14" spans="1:8" x14ac:dyDescent="0.25">
      <c r="A14" s="234"/>
      <c r="B14" s="1" t="str">
        <f>VLOOKUP(VLOOKUP(B1,Weapon_List,4,FALSE),Weapon_Ascension_Materials,4,FALSE)</f>
        <v>Flare of Long Night Flint</v>
      </c>
      <c r="C14" s="17">
        <f ca="1">VLOOKUP(C11,INDIRECT(_xlfn.CONCAT("Weapon_",VLOOKUP(B1,Weapon_List,3,FALSE),"_star_requirements")),4,FALSE)-VLOOKUP(C10,INDIRECT(_xlfn.CONCAT("Weapon_",VLOOKUP(B1,Weapon_List,3,FALSE),"_star_requirements")),4,FALSE)</f>
        <v>9</v>
      </c>
      <c r="E14" s="185"/>
      <c r="F14" s="1" t="e">
        <f t="shared" si="0"/>
        <v>#N/A</v>
      </c>
      <c r="G14" s="17">
        <f t="shared" ca="1" si="0"/>
        <v>18</v>
      </c>
      <c r="H14" s="34" t="s">
        <v>214</v>
      </c>
    </row>
    <row r="15" spans="1:8" ht="15.75" thickBot="1" x14ac:dyDescent="0.3">
      <c r="A15" s="234"/>
      <c r="B15" s="1" t="str">
        <f>VLOOKUP(VLOOKUP(B1,Weapon_List,4,FALSE),Weapon_Ascension_Materials,5,FALSE)</f>
        <v>Blaze of Long Night Flint</v>
      </c>
      <c r="C15" s="17">
        <f ca="1">VLOOKUP(C11,INDIRECT(_xlfn.CONCAT("Weapon_",VLOOKUP(B1,Weapon_List,3,FALSE),"_star_requirements")),5,FALSE)-VLOOKUP(C10,INDIRECT(_xlfn.CONCAT("Weapon_",VLOOKUP(B1,Weapon_List,3,FALSE),"_star_requirements")),5,FALSE)</f>
        <v>4</v>
      </c>
      <c r="E15" s="186"/>
      <c r="F15" s="9" t="e">
        <f t="shared" si="0"/>
        <v>#N/A</v>
      </c>
      <c r="G15" s="16">
        <f t="shared" ca="1" si="0"/>
        <v>27</v>
      </c>
      <c r="H15" s="35" t="s">
        <v>214</v>
      </c>
    </row>
    <row r="16" spans="1:8" x14ac:dyDescent="0.25">
      <c r="A16" s="184"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10</v>
      </c>
    </row>
    <row r="17" spans="1:3" x14ac:dyDescent="0.25">
      <c r="A17" s="185"/>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15</v>
      </c>
    </row>
    <row r="18" spans="1:3" ht="15.75" thickBot="1" x14ac:dyDescent="0.3">
      <c r="A18" s="186"/>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18</v>
      </c>
    </row>
    <row r="19" spans="1:3" x14ac:dyDescent="0.25">
      <c r="A19" s="184"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85"/>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86"/>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2" priority="1" operator="containsText" text="Done">
      <formula>NOT(ISERROR(SEARCH("Done",H4)))</formula>
    </cfRule>
    <cfRule type="containsText" dxfId="11" priority="2" operator="containsText" text="In Progress">
      <formula>NOT(ISERROR(SEARCH("In Progress",H4)))</formula>
    </cfRule>
  </conditionalFormatting>
  <dataValidations count="6">
    <dataValidation type="list" allowBlank="1" showInputMessage="1" showErrorMessage="1" sqref="H4:H15" xr:uid="{9A64989F-A5F6-435B-8E86-31730F8FE167}">
      <formula1>"In Progress, Done"</formula1>
    </dataValidation>
    <dataValidation type="list" allowBlank="1" showInputMessage="1" showErrorMessage="1" sqref="C10" xr:uid="{636BA43A-57C5-4D42-815A-BA2400B482E7}">
      <formula1>IF(OR(VLOOKUP(B1,Weapon_List,3,FALSE)=1,VLOOKUP(B1,Weapon_List,3,FALSE)=2),Weapon_Ascension_Low_Rarity,Weapon_Ascension_High_Rarity)</formula1>
    </dataValidation>
    <dataValidation type="list" operator="equal" allowBlank="1" showInputMessage="1" showErrorMessage="1" sqref="B4" xr:uid="{0CA00235-D647-44FD-AF4B-C9FFF9222A34}">
      <formula1>IF(OR(VLOOKUP(B1,Weapon_List,3,FALSE)=1,VLOOKUP(B1,Weapon_List,3,FALSE)=2),Weapon_Levels_Low_Rarity,Weapon_Levels_High_Rarity)</formula1>
    </dataValidation>
    <dataValidation type="list" operator="equal" allowBlank="1" showInputMessage="1" showErrorMessage="1" sqref="B5" xr:uid="{F577FE84-3065-4822-9E96-9AED9DB49AFD}">
      <formula1>IF(OR(VLOOKUP(B1,Weapon_List,3,FALSE)=1,VLOOKUP(B1,Weapon_List,3,FALSE)=2),Weapon_Levels_Low_Rarity,Weapon_Levels_High_Rarity)</formula1>
    </dataValidation>
    <dataValidation type="list" allowBlank="1" showInputMessage="1" showErrorMessage="1" sqref="B1" xr:uid="{A81ED8D7-8986-4BA8-8241-AC9B044CC6AF}">
      <formula1>Weapon_Name_List</formula1>
    </dataValidation>
    <dataValidation type="list" allowBlank="1" showInputMessage="1" showErrorMessage="1" sqref="C11" xr:uid="{7B21EC93-B681-45EC-9245-F2090B2A6DE5}">
      <formula1>IF(OR(VLOOKUP(B1,Weapon_List,3,FALSE)=1,VLOOKUP(B1,Weapon_List,3,FALSE)=2),Weapon_Ascension_Low_Rarity,Weapon_Ascension_High_Rarity)</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FC45B-0D10-45FB-8F14-3DD4B18D287B}">
  <sheetPr codeName="Sheet349">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949</v>
      </c>
    </row>
    <row r="2" spans="1:8" ht="15.75" thickBot="1" x14ac:dyDescent="0.3"/>
    <row r="3" spans="1:8" ht="15.75" thickBot="1" x14ac:dyDescent="0.3">
      <c r="A3" s="171" t="s">
        <v>197</v>
      </c>
      <c r="B3" s="172"/>
      <c r="E3" s="171" t="s">
        <v>198</v>
      </c>
      <c r="F3" s="231"/>
      <c r="G3" s="172"/>
      <c r="H3" s="58" t="s">
        <v>199</v>
      </c>
    </row>
    <row r="4" spans="1:8" x14ac:dyDescent="0.25">
      <c r="A4" s="12" t="s">
        <v>200</v>
      </c>
      <c r="B4" s="25">
        <v>1</v>
      </c>
      <c r="E4" s="222" t="s">
        <v>201</v>
      </c>
      <c r="F4" s="22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7" t="s">
        <v>17</v>
      </c>
      <c r="F6" s="2" t="str">
        <f t="shared" ref="F6:G15" si="0">B12</f>
        <v>Lost Glory of Far North Scion</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迷顽 of Far North Scion</v>
      </c>
      <c r="G7" s="17">
        <f t="shared" ca="1" si="0"/>
        <v>9</v>
      </c>
      <c r="H7" s="34" t="s">
        <v>214</v>
      </c>
    </row>
    <row r="8" spans="1:8" ht="15.75" thickBot="1" x14ac:dyDescent="0.3">
      <c r="E8" s="234"/>
      <c r="F8" s="1" t="str">
        <f t="shared" si="0"/>
        <v>祷献 of Far North Scion</v>
      </c>
      <c r="G8" s="17">
        <f t="shared" ca="1" si="0"/>
        <v>9</v>
      </c>
      <c r="H8" s="34" t="s">
        <v>214</v>
      </c>
    </row>
    <row r="9" spans="1:8" ht="15.75" thickBot="1" x14ac:dyDescent="0.3">
      <c r="A9" s="171" t="s">
        <v>149</v>
      </c>
      <c r="B9" s="231"/>
      <c r="C9" s="172"/>
      <c r="E9" s="234"/>
      <c r="F9" s="44" t="str">
        <f t="shared" si="0"/>
        <v>煌熠 of Far North Scion</v>
      </c>
      <c r="G9" s="59">
        <f t="shared" ca="1" si="0"/>
        <v>4</v>
      </c>
      <c r="H9" s="34" t="s">
        <v>214</v>
      </c>
    </row>
    <row r="10" spans="1:8" ht="15.75" thickBot="1" x14ac:dyDescent="0.3">
      <c r="A10" s="173" t="s">
        <v>206</v>
      </c>
      <c r="B10" s="202"/>
      <c r="C10" s="43">
        <v>0</v>
      </c>
      <c r="E10" s="184" t="s">
        <v>19</v>
      </c>
      <c r="F10" s="2" t="e">
        <f t="shared" si="0"/>
        <v>#N/A</v>
      </c>
      <c r="G10" s="15">
        <f t="shared" ca="1" si="0"/>
        <v>10</v>
      </c>
      <c r="H10" s="34" t="s">
        <v>214</v>
      </c>
    </row>
    <row r="11" spans="1:8" ht="15.75" thickBot="1" x14ac:dyDescent="0.3">
      <c r="A11" s="173" t="s">
        <v>208</v>
      </c>
      <c r="B11" s="202"/>
      <c r="C11" s="43">
        <v>6</v>
      </c>
      <c r="E11" s="185"/>
      <c r="F11" s="1" t="e">
        <f t="shared" si="0"/>
        <v>#N/A</v>
      </c>
      <c r="G11" s="17">
        <f t="shared" ca="1" si="0"/>
        <v>15</v>
      </c>
      <c r="H11" s="34" t="s">
        <v>214</v>
      </c>
    </row>
    <row r="12" spans="1:8" ht="15.75" thickBot="1" x14ac:dyDescent="0.3">
      <c r="A12" s="227" t="s">
        <v>17</v>
      </c>
      <c r="B12" s="2" t="str">
        <f>VLOOKUP(VLOOKUP(B1,Weapon_List,4,FALSE),Weapon_Ascension_Materials,2,FALSE)</f>
        <v>Lost Glory of Far North Scion</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迷顽 of Far North Scion</v>
      </c>
      <c r="C13" s="17">
        <f ca="1">VLOOKUP(C11,INDIRECT(_xlfn.CONCAT("Weapon_",VLOOKUP(B1,Weapon_List,3,FALSE),"_star_requirements")),3,FALSE)-VLOOKUP(C10,INDIRECT(_xlfn.CONCAT("Weapon_",VLOOKUP(B1,Weapon_List,3,FALSE),"_star_requirements")),3,FALSE)</f>
        <v>9</v>
      </c>
      <c r="E13" s="184" t="s">
        <v>18</v>
      </c>
      <c r="F13" s="2" t="e">
        <f t="shared" si="0"/>
        <v>#N/A</v>
      </c>
      <c r="G13" s="15">
        <f t="shared" ca="1" si="0"/>
        <v>15</v>
      </c>
      <c r="H13" s="34" t="s">
        <v>214</v>
      </c>
    </row>
    <row r="14" spans="1:8" x14ac:dyDescent="0.25">
      <c r="A14" s="234"/>
      <c r="B14" s="1" t="str">
        <f>VLOOKUP(VLOOKUP(B1,Weapon_List,4,FALSE),Weapon_Ascension_Materials,4,FALSE)</f>
        <v>祷献 of Far North Scion</v>
      </c>
      <c r="C14" s="17">
        <f ca="1">VLOOKUP(C11,INDIRECT(_xlfn.CONCAT("Weapon_",VLOOKUP(B1,Weapon_List,3,FALSE),"_star_requirements")),4,FALSE)-VLOOKUP(C10,INDIRECT(_xlfn.CONCAT("Weapon_",VLOOKUP(B1,Weapon_List,3,FALSE),"_star_requirements")),4,FALSE)</f>
        <v>9</v>
      </c>
      <c r="E14" s="185"/>
      <c r="F14" s="1" t="e">
        <f t="shared" si="0"/>
        <v>#N/A</v>
      </c>
      <c r="G14" s="17">
        <f t="shared" ca="1" si="0"/>
        <v>18</v>
      </c>
      <c r="H14" s="34" t="s">
        <v>214</v>
      </c>
    </row>
    <row r="15" spans="1:8" ht="15.75" thickBot="1" x14ac:dyDescent="0.3">
      <c r="A15" s="234"/>
      <c r="B15" s="1" t="str">
        <f>VLOOKUP(VLOOKUP(B1,Weapon_List,4,FALSE),Weapon_Ascension_Materials,5,FALSE)</f>
        <v>煌熠 of Far North Scion</v>
      </c>
      <c r="C15" s="17">
        <f ca="1">VLOOKUP(C11,INDIRECT(_xlfn.CONCAT("Weapon_",VLOOKUP(B1,Weapon_List,3,FALSE),"_star_requirements")),5,FALSE)-VLOOKUP(C10,INDIRECT(_xlfn.CONCAT("Weapon_",VLOOKUP(B1,Weapon_List,3,FALSE),"_star_requirements")),5,FALSE)</f>
        <v>4</v>
      </c>
      <c r="E15" s="186"/>
      <c r="F15" s="9" t="e">
        <f t="shared" si="0"/>
        <v>#N/A</v>
      </c>
      <c r="G15" s="16">
        <f t="shared" ca="1" si="0"/>
        <v>27</v>
      </c>
      <c r="H15" s="35" t="s">
        <v>214</v>
      </c>
    </row>
    <row r="16" spans="1:8" x14ac:dyDescent="0.25">
      <c r="A16" s="184"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85"/>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86"/>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84"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85"/>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86"/>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 priority="1" operator="containsText" text="Done">
      <formula>NOT(ISERROR(SEARCH("Done",H4)))</formula>
    </cfRule>
    <cfRule type="containsText" dxfId="9" priority="2" operator="containsText" text="In Progress">
      <formula>NOT(ISERROR(SEARCH("In Progress",H4)))</formula>
    </cfRule>
  </conditionalFormatting>
  <dataValidations count="6">
    <dataValidation type="list" allowBlank="1" showInputMessage="1" showErrorMessage="1" sqref="H4:H15" xr:uid="{CF5834EE-6121-4300-A302-31944666BB34}">
      <formula1>"In Progress, Done"</formula1>
    </dataValidation>
    <dataValidation type="list" allowBlank="1" showInputMessage="1" showErrorMessage="1" sqref="C10" xr:uid="{02CA55A6-D76B-4659-86A4-D4DAF58AB7D9}">
      <formula1>IF(OR(VLOOKUP(B1,Weapon_List,3,FALSE)=1,VLOOKUP(B1,Weapon_List,3,FALSE)=2),Weapon_Ascension_Low_Rarity,Weapon_Ascension_High_Rarity)</formula1>
    </dataValidation>
    <dataValidation type="list" operator="equal" allowBlank="1" showInputMessage="1" showErrorMessage="1" sqref="B4" xr:uid="{B3AF9ED8-06A5-4E04-A29F-84E65C826518}">
      <formula1>IF(OR(VLOOKUP(B1,Weapon_List,3,FALSE)=1,VLOOKUP(B1,Weapon_List,3,FALSE)=2),Weapon_Levels_Low_Rarity,Weapon_Levels_High_Rarity)</formula1>
    </dataValidation>
    <dataValidation type="list" operator="equal" allowBlank="1" showInputMessage="1" showErrorMessage="1" sqref="B5" xr:uid="{8F40CFD7-23B7-4BB2-9A72-A23F1EC8EB71}">
      <formula1>IF(OR(VLOOKUP(B1,Weapon_List,3,FALSE)=1,VLOOKUP(B1,Weapon_List,3,FALSE)=2),Weapon_Levels_Low_Rarity,Weapon_Levels_High_Rarity)</formula1>
    </dataValidation>
    <dataValidation type="list" allowBlank="1" showInputMessage="1" showErrorMessage="1" sqref="B1" xr:uid="{9C6C15EA-593D-4D5B-ACD4-965DCE902B2A}">
      <formula1>Weapon_Name_List</formula1>
    </dataValidation>
    <dataValidation type="list" allowBlank="1" showInputMessage="1" showErrorMessage="1" sqref="C11" xr:uid="{3EB34FC4-EC57-4373-AB0F-D13E0E6E5C97}">
      <formula1>IF(OR(VLOOKUP(B1,Weapon_List,3,FALSE)=1,VLOOKUP(B1,Weapon_List,3,FALSE)=2),Weapon_Ascension_Low_Rarity,Weapon_Ascension_High_Rarity)</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E1C83-ECE7-4F33-B0F5-47DF44D66994}">
  <sheetPr codeName="Sheet350">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947</v>
      </c>
    </row>
    <row r="2" spans="1:8" ht="15.75" thickBot="1" x14ac:dyDescent="0.3"/>
    <row r="3" spans="1:8" ht="15.75" thickBot="1" x14ac:dyDescent="0.3">
      <c r="A3" s="171" t="s">
        <v>197</v>
      </c>
      <c r="B3" s="172"/>
      <c r="E3" s="171" t="s">
        <v>198</v>
      </c>
      <c r="F3" s="231"/>
      <c r="G3" s="172"/>
      <c r="H3" s="58" t="s">
        <v>199</v>
      </c>
    </row>
    <row r="4" spans="1:8" x14ac:dyDescent="0.25">
      <c r="A4" s="12" t="s">
        <v>200</v>
      </c>
      <c r="B4" s="25">
        <v>1</v>
      </c>
      <c r="E4" s="222" t="s">
        <v>201</v>
      </c>
      <c r="F4" s="223"/>
      <c r="G4" s="15">
        <f ca="1">B6</f>
        <v>9064450</v>
      </c>
      <c r="H4" s="33" t="s">
        <v>214</v>
      </c>
    </row>
    <row r="5" spans="1:8" ht="15.75" thickBot="1" x14ac:dyDescent="0.3">
      <c r="A5" s="13" t="s">
        <v>203</v>
      </c>
      <c r="B5" s="26">
        <v>90</v>
      </c>
      <c r="E5" s="232" t="s">
        <v>204</v>
      </c>
      <c r="F5" s="233"/>
      <c r="G5" s="16">
        <f ca="1">SUM(B7,C22)</f>
        <v>1011480</v>
      </c>
      <c r="H5" s="34" t="s">
        <v>214</v>
      </c>
    </row>
    <row r="6" spans="1:8" x14ac:dyDescent="0.25">
      <c r="A6" s="12" t="s">
        <v>201</v>
      </c>
      <c r="B6" s="15">
        <f ca="1">VLOOKUP(B5,INDIRECT(_xlfn.CONCAT("Weapon_",VLOOKUP(B1,Weapon_List,3,FALSE),"_star_expmora")),3,FALSE)-VLOOKUP(B4,INDIRECT(_xlfn.CONCAT("Weapon_",VLOOKUP(B1,Weapon_List,3,FALSE),"_star_expmora")),3,FALSE)</f>
        <v>9064450</v>
      </c>
      <c r="E6" s="227" t="s">
        <v>17</v>
      </c>
      <c r="F6" s="2" t="str">
        <f t="shared" ref="F6:G15" si="0">B12</f>
        <v>Ember of Long Night Flint</v>
      </c>
      <c r="G6" s="15">
        <f t="shared" ca="1" si="0"/>
        <v>5</v>
      </c>
      <c r="H6" s="34" t="s">
        <v>214</v>
      </c>
    </row>
    <row r="7" spans="1:8" ht="15.75" thickBot="1" x14ac:dyDescent="0.3">
      <c r="A7" s="13" t="s">
        <v>204</v>
      </c>
      <c r="B7" s="16">
        <f ca="1">VLOOKUP(B5,INDIRECT(_xlfn.CONCAT("Weapon_",VLOOKUP(B1,Weapon_List,3,FALSE),"_star_expmora")),5,FALSE)-VLOOKUP(B4,INDIRECT(_xlfn.CONCAT("Weapon_",VLOOKUP(B1,Weapon_List,3,FALSE),"_star_expmora")),5,FALSE)</f>
        <v>906480</v>
      </c>
      <c r="E7" s="234"/>
      <c r="F7" s="1" t="str">
        <f t="shared" si="0"/>
        <v>Afterglow of Long Night Flint</v>
      </c>
      <c r="G7" s="17">
        <f t="shared" ca="1" si="0"/>
        <v>14</v>
      </c>
      <c r="H7" s="34" t="s">
        <v>214</v>
      </c>
    </row>
    <row r="8" spans="1:8" ht="15.75" thickBot="1" x14ac:dyDescent="0.3">
      <c r="E8" s="234"/>
      <c r="F8" s="1" t="str">
        <f t="shared" si="0"/>
        <v>Flare of Long Night Flint</v>
      </c>
      <c r="G8" s="17">
        <f t="shared" ca="1" si="0"/>
        <v>14</v>
      </c>
      <c r="H8" s="34" t="s">
        <v>214</v>
      </c>
    </row>
    <row r="9" spans="1:8" ht="15.75" thickBot="1" x14ac:dyDescent="0.3">
      <c r="A9" s="171" t="s">
        <v>149</v>
      </c>
      <c r="B9" s="231"/>
      <c r="C9" s="172"/>
      <c r="E9" s="234"/>
      <c r="F9" s="44" t="str">
        <f t="shared" si="0"/>
        <v>Blaze of Long Night Flint</v>
      </c>
      <c r="G9" s="59">
        <f t="shared" ca="1" si="0"/>
        <v>6</v>
      </c>
      <c r="H9" s="34" t="s">
        <v>214</v>
      </c>
    </row>
    <row r="10" spans="1:8" ht="15.75" thickBot="1" x14ac:dyDescent="0.3">
      <c r="A10" s="173" t="s">
        <v>206</v>
      </c>
      <c r="B10" s="202"/>
      <c r="C10" s="43">
        <v>0</v>
      </c>
      <c r="E10" s="184" t="s">
        <v>19</v>
      </c>
      <c r="F10" s="2" t="e">
        <f t="shared" si="0"/>
        <v>#N/A</v>
      </c>
      <c r="G10" s="15">
        <f t="shared" ca="1" si="0"/>
        <v>15</v>
      </c>
      <c r="H10" s="34" t="s">
        <v>214</v>
      </c>
    </row>
    <row r="11" spans="1:8" ht="15.75" thickBot="1" x14ac:dyDescent="0.3">
      <c r="A11" s="173" t="s">
        <v>208</v>
      </c>
      <c r="B11" s="202"/>
      <c r="C11" s="43">
        <v>6</v>
      </c>
      <c r="E11" s="185"/>
      <c r="F11" s="1" t="e">
        <f t="shared" si="0"/>
        <v>#N/A</v>
      </c>
      <c r="G11" s="17">
        <f t="shared" ca="1" si="0"/>
        <v>23</v>
      </c>
      <c r="H11" s="34" t="s">
        <v>214</v>
      </c>
    </row>
    <row r="12" spans="1:8" ht="15.75" thickBot="1" x14ac:dyDescent="0.3">
      <c r="A12" s="227" t="s">
        <v>17</v>
      </c>
      <c r="B12" s="2" t="str">
        <f>VLOOKUP(VLOOKUP(B1,Weapon_List,4,FALSE),Weapon_Ascension_Materials,2,FALSE)</f>
        <v>Ember of Long Night Flint</v>
      </c>
      <c r="C12" s="15">
        <f ca="1">VLOOKUP(C11,INDIRECT(_xlfn.CONCAT("Weapon_",VLOOKUP(B1,Weapon_List,3,FALSE),"_star_requirements")),2,FALSE)-VLOOKUP(C10,INDIRECT(_xlfn.CONCAT("Weapon_",VLOOKUP(B1,Weapon_List,3,FALSE),"_star_requirements")),2,FALSE)</f>
        <v>5</v>
      </c>
      <c r="E12" s="235"/>
      <c r="F12" s="44" t="e">
        <f t="shared" si="0"/>
        <v>#N/A</v>
      </c>
      <c r="G12" s="59">
        <f t="shared" ca="1" si="0"/>
        <v>27</v>
      </c>
      <c r="H12" s="34" t="s">
        <v>214</v>
      </c>
    </row>
    <row r="13" spans="1:8" x14ac:dyDescent="0.25">
      <c r="A13" s="234"/>
      <c r="B13" s="1" t="str">
        <f>VLOOKUP(VLOOKUP(B1,Weapon_List,4,FALSE),Weapon_Ascension_Materials,3,FALSE)</f>
        <v>Afterglow of Long Night Flint</v>
      </c>
      <c r="C13" s="17">
        <f ca="1">VLOOKUP(C11,INDIRECT(_xlfn.CONCAT("Weapon_",VLOOKUP(B1,Weapon_List,3,FALSE),"_star_requirements")),3,FALSE)-VLOOKUP(C10,INDIRECT(_xlfn.CONCAT("Weapon_",VLOOKUP(B1,Weapon_List,3,FALSE),"_star_requirements")),3,FALSE)</f>
        <v>14</v>
      </c>
      <c r="E13" s="184" t="s">
        <v>18</v>
      </c>
      <c r="F13" s="2" t="e">
        <f t="shared" si="0"/>
        <v>#N/A</v>
      </c>
      <c r="G13" s="15">
        <f t="shared" ca="1" si="0"/>
        <v>23</v>
      </c>
      <c r="H13" s="34" t="s">
        <v>214</v>
      </c>
    </row>
    <row r="14" spans="1:8" x14ac:dyDescent="0.25">
      <c r="A14" s="234"/>
      <c r="B14" s="1" t="str">
        <f>VLOOKUP(VLOOKUP(B1,Weapon_List,4,FALSE),Weapon_Ascension_Materials,4,FALSE)</f>
        <v>Flare of Long Night Flint</v>
      </c>
      <c r="C14" s="17">
        <f ca="1">VLOOKUP(C11,INDIRECT(_xlfn.CONCAT("Weapon_",VLOOKUP(B1,Weapon_List,3,FALSE),"_star_requirements")),4,FALSE)-VLOOKUP(C10,INDIRECT(_xlfn.CONCAT("Weapon_",VLOOKUP(B1,Weapon_List,3,FALSE),"_star_requirements")),4,FALSE)</f>
        <v>14</v>
      </c>
      <c r="E14" s="185"/>
      <c r="F14" s="1" t="e">
        <f t="shared" si="0"/>
        <v>#N/A</v>
      </c>
      <c r="G14" s="17">
        <f t="shared" ca="1" si="0"/>
        <v>27</v>
      </c>
      <c r="H14" s="34" t="s">
        <v>214</v>
      </c>
    </row>
    <row r="15" spans="1:8" ht="15.75" thickBot="1" x14ac:dyDescent="0.3">
      <c r="A15" s="234"/>
      <c r="B15" s="1" t="str">
        <f>VLOOKUP(VLOOKUP(B1,Weapon_List,4,FALSE),Weapon_Ascension_Materials,5,FALSE)</f>
        <v>Blaze of Long Night Flint</v>
      </c>
      <c r="C15" s="17">
        <f ca="1">VLOOKUP(C11,INDIRECT(_xlfn.CONCAT("Weapon_",VLOOKUP(B1,Weapon_List,3,FALSE),"_star_requirements")),5,FALSE)-VLOOKUP(C10,INDIRECT(_xlfn.CONCAT("Weapon_",VLOOKUP(B1,Weapon_List,3,FALSE),"_star_requirements")),5,FALSE)</f>
        <v>6</v>
      </c>
      <c r="E15" s="186"/>
      <c r="F15" s="9" t="e">
        <f t="shared" si="0"/>
        <v>#N/A</v>
      </c>
      <c r="G15" s="16">
        <f t="shared" ca="1" si="0"/>
        <v>41</v>
      </c>
      <c r="H15" s="35" t="s">
        <v>214</v>
      </c>
    </row>
    <row r="16" spans="1:8" x14ac:dyDescent="0.25">
      <c r="A16" s="184"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15</v>
      </c>
    </row>
    <row r="17" spans="1:3" x14ac:dyDescent="0.25">
      <c r="A17" s="185"/>
      <c r="B17" s="1" t="e">
        <f>VLOOKUP(VLOOKUP(B1,Weapon_List,5,FALSE),Common_Mob_Drops,3,FALSE)</f>
        <v>#N/A</v>
      </c>
      <c r="C17" s="17">
        <f ca="1">VLOOKUP(C11,INDIRECT(_xlfn.CONCAT("Weapon_",VLOOKUP(B1,Weapon_List,3,FALSE),"_star_requirements")),7,FALSE)-VLOOKUP(C10,INDIRECT(_xlfn.CONCAT("Weapon_",VLOOKUP(B1,Weapon_List,3,FALSE),"_star_requirements")),7,FALSE)</f>
        <v>23</v>
      </c>
    </row>
    <row r="18" spans="1:3" ht="15.75" thickBot="1" x14ac:dyDescent="0.3">
      <c r="A18" s="186"/>
      <c r="B18" s="9" t="e">
        <f>VLOOKUP(VLOOKUP(B1,Weapon_List,5,FALSE),Common_Mob_Drops,4,FALSE)</f>
        <v>#N/A</v>
      </c>
      <c r="C18" s="16">
        <f ca="1">VLOOKUP(C11,INDIRECT(_xlfn.CONCAT("Weapon_",VLOOKUP(B1,Weapon_List,3,FALSE),"_star_requirements")),8,FALSE)-VLOOKUP(C10,INDIRECT(_xlfn.CONCAT("Weapon_",VLOOKUP(B1,Weapon_List,3,FALSE),"_star_requirements")),8,FALSE)</f>
        <v>27</v>
      </c>
    </row>
    <row r="19" spans="1:3" x14ac:dyDescent="0.25">
      <c r="A19" s="184" t="s">
        <v>18</v>
      </c>
      <c r="B19" s="2" t="e">
        <f>VLOOKUP(VLOOKUP(B1,Weapon_List,6,FALSE),Elite_Mob_Drops,2,FALSE)</f>
        <v>#N/A</v>
      </c>
      <c r="C19" s="15">
        <f ca="1">VLOOKUP(C11,INDIRECT(_xlfn.CONCAT("Weapon_",VLOOKUP(B1,Weapon_List,3,FALSE),"_star_requirements")),9,FALSE)-VLOOKUP(C10,INDIRECT(_xlfn.CONCAT("Weapon_",VLOOKUP(B1,Weapon_List,3,FALSE),"_star_requirements")),9,FALSE)</f>
        <v>23</v>
      </c>
    </row>
    <row r="20" spans="1:3" x14ac:dyDescent="0.25">
      <c r="A20" s="185"/>
      <c r="B20" s="1" t="e">
        <f>VLOOKUP(VLOOKUP(B1,Weapon_List,6,FALSE),Elite_Mob_Drops,3,FALSE)</f>
        <v>#N/A</v>
      </c>
      <c r="C20" s="17">
        <f ca="1">VLOOKUP(C11,INDIRECT(_xlfn.CONCAT("Weapon_",VLOOKUP(B1,Weapon_List,3,FALSE),"_star_requirements")),10,FALSE)-VLOOKUP(C10,INDIRECT(_xlfn.CONCAT("Weapon_",VLOOKUP(B1,Weapon_List,3,FALSE),"_star_requirements")),10,FALSE)</f>
        <v>27</v>
      </c>
    </row>
    <row r="21" spans="1:3" ht="15.75" thickBot="1" x14ac:dyDescent="0.3">
      <c r="A21" s="186"/>
      <c r="B21" s="9" t="e">
        <f>VLOOKUP(VLOOKUP(B1,Weapon_List,6,FALSE),Elite_Mob_Drops,4,FALSE)</f>
        <v>#N/A</v>
      </c>
      <c r="C21" s="16">
        <f ca="1">VLOOKUP(C11,INDIRECT(_xlfn.CONCAT("Weapon_",VLOOKUP(B1,Weapon_List,3,FALSE),"_star_requirements")),11,FALSE)-VLOOKUP(C10,INDIRECT(_xlfn.CONCAT("Weapon_",VLOOKUP(B1,Weapon_List,3,FALSE),"_star_requirements")),11,FALSE)</f>
        <v>41</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8" priority="1" operator="containsText" text="Done">
      <formula>NOT(ISERROR(SEARCH("Done",H4)))</formula>
    </cfRule>
    <cfRule type="containsText" dxfId="7" priority="2" operator="containsText" text="In Progress">
      <formula>NOT(ISERROR(SEARCH("In Progress",H4)))</formula>
    </cfRule>
  </conditionalFormatting>
  <dataValidations count="6">
    <dataValidation type="list" allowBlank="1" showInputMessage="1" showErrorMessage="1" sqref="H4:H15" xr:uid="{A3D6821C-BDB4-4B74-BAF8-FCA79A9A24FA}">
      <formula1>"In Progress, Done"</formula1>
    </dataValidation>
    <dataValidation type="list" allowBlank="1" showInputMessage="1" showErrorMessage="1" sqref="C10" xr:uid="{B6E81D6A-F7A0-43F1-ABD6-8A2075322E65}">
      <formula1>IF(OR(VLOOKUP(B1,Weapon_List,3,FALSE)=1,VLOOKUP(B1,Weapon_List,3,FALSE)=2),Weapon_Ascension_Low_Rarity,Weapon_Ascension_High_Rarity)</formula1>
    </dataValidation>
    <dataValidation type="list" operator="equal" allowBlank="1" showInputMessage="1" showErrorMessage="1" sqref="B4" xr:uid="{47684994-6656-4C97-8C49-158E30BFAB43}">
      <formula1>IF(OR(VLOOKUP(B1,Weapon_List,3,FALSE)=1,VLOOKUP(B1,Weapon_List,3,FALSE)=2),Weapon_Levels_Low_Rarity,Weapon_Levels_High_Rarity)</formula1>
    </dataValidation>
    <dataValidation type="list" operator="equal" allowBlank="1" showInputMessage="1" showErrorMessage="1" sqref="B5" xr:uid="{8BA4225E-8F45-4B90-A807-462590A546D9}">
      <formula1>IF(OR(VLOOKUP(B1,Weapon_List,3,FALSE)=1,VLOOKUP(B1,Weapon_List,3,FALSE)=2),Weapon_Levels_Low_Rarity,Weapon_Levels_High_Rarity)</formula1>
    </dataValidation>
    <dataValidation type="list" allowBlank="1" showInputMessage="1" showErrorMessage="1" sqref="B1" xr:uid="{FA974542-C6D1-4C46-88EE-91383A015454}">
      <formula1>Weapon_Name_List</formula1>
    </dataValidation>
    <dataValidation type="list" allowBlank="1" showInputMessage="1" showErrorMessage="1" sqref="C11" xr:uid="{7F35AAC7-20BC-4C0C-AD91-B0A7FE061F03}">
      <formula1>IF(OR(VLOOKUP(B1,Weapon_List,3,FALSE)=1,VLOOKUP(B1,Weapon_List,3,FALSE)=2),Weapon_Ascension_Low_Rarity,Weapon_Ascension_High_Rarity)</formula1>
    </dataValidation>
  </dataValidations>
  <pageMargins left="0.7" right="0.7" top="0.75" bottom="0.75" header="0.3" footer="0.3"/>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1230A-FEC2-4289-93E4-FD0C880E253D}">
  <sheetPr codeName="Sheet351">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948</v>
      </c>
    </row>
    <row r="2" spans="1:8" ht="15.75" thickBot="1" x14ac:dyDescent="0.3"/>
    <row r="3" spans="1:8" ht="15.75" thickBot="1" x14ac:dyDescent="0.3">
      <c r="A3" s="171" t="s">
        <v>197</v>
      </c>
      <c r="B3" s="172"/>
      <c r="E3" s="171" t="s">
        <v>198</v>
      </c>
      <c r="F3" s="231"/>
      <c r="G3" s="172"/>
      <c r="H3" s="58" t="s">
        <v>199</v>
      </c>
    </row>
    <row r="4" spans="1:8" x14ac:dyDescent="0.25">
      <c r="A4" s="12" t="s">
        <v>200</v>
      </c>
      <c r="B4" s="25">
        <v>1</v>
      </c>
      <c r="E4" s="222" t="s">
        <v>201</v>
      </c>
      <c r="F4" s="223"/>
      <c r="G4" s="15">
        <f ca="1">B6</f>
        <v>9064450</v>
      </c>
      <c r="H4" s="33" t="s">
        <v>214</v>
      </c>
    </row>
    <row r="5" spans="1:8" ht="15.75" thickBot="1" x14ac:dyDescent="0.3">
      <c r="A5" s="13" t="s">
        <v>203</v>
      </c>
      <c r="B5" s="26">
        <v>90</v>
      </c>
      <c r="E5" s="232" t="s">
        <v>204</v>
      </c>
      <c r="F5" s="233"/>
      <c r="G5" s="16">
        <f ca="1">SUM(B7,C22)</f>
        <v>1011480</v>
      </c>
      <c r="H5" s="34" t="s">
        <v>214</v>
      </c>
    </row>
    <row r="6" spans="1:8" x14ac:dyDescent="0.25">
      <c r="A6" s="12" t="s">
        <v>201</v>
      </c>
      <c r="B6" s="15">
        <f ca="1">VLOOKUP(B5,INDIRECT(_xlfn.CONCAT("Weapon_",VLOOKUP(B1,Weapon_List,3,FALSE),"_star_expmora")),3,FALSE)-VLOOKUP(B4,INDIRECT(_xlfn.CONCAT("Weapon_",VLOOKUP(B1,Weapon_List,3,FALSE),"_star_expmora")),3,FALSE)</f>
        <v>9064450</v>
      </c>
      <c r="E6" s="227" t="s">
        <v>17</v>
      </c>
      <c r="F6" s="2" t="str">
        <f t="shared" ref="F6:G15" si="0">B12</f>
        <v>Mysterious Instrument Fragment</v>
      </c>
      <c r="G6" s="15">
        <f t="shared" ca="1" si="0"/>
        <v>5</v>
      </c>
      <c r="H6" s="34" t="s">
        <v>214</v>
      </c>
    </row>
    <row r="7" spans="1:8" ht="15.75" thickBot="1" x14ac:dyDescent="0.3">
      <c r="A7" s="13" t="s">
        <v>204</v>
      </c>
      <c r="B7" s="16">
        <f ca="1">VLOOKUP(B5,INDIRECT(_xlfn.CONCAT("Weapon_",VLOOKUP(B1,Weapon_List,3,FALSE),"_star_expmora")),5,FALSE)-VLOOKUP(B4,INDIRECT(_xlfn.CONCAT("Weapon_",VLOOKUP(B1,Weapon_List,3,FALSE),"_star_expmora")),5,FALSE)</f>
        <v>906480</v>
      </c>
      <c r="E7" s="234"/>
      <c r="F7" s="1" t="str">
        <f t="shared" si="0"/>
        <v>Mysterious Instrument Replica</v>
      </c>
      <c r="G7" s="17">
        <f t="shared" ca="1" si="0"/>
        <v>14</v>
      </c>
      <c r="H7" s="34" t="s">
        <v>214</v>
      </c>
    </row>
    <row r="8" spans="1:8" ht="15.75" thickBot="1" x14ac:dyDescent="0.3">
      <c r="E8" s="234"/>
      <c r="F8" s="1" t="str">
        <f t="shared" si="0"/>
        <v xml:space="preserve">Inheritance of the Tricky Instrument	</v>
      </c>
      <c r="G8" s="17">
        <f t="shared" ca="1" si="0"/>
        <v>14</v>
      </c>
      <c r="H8" s="34" t="s">
        <v>214</v>
      </c>
    </row>
    <row r="9" spans="1:8" ht="15.75" thickBot="1" x14ac:dyDescent="0.3">
      <c r="A9" s="171" t="s">
        <v>149</v>
      </c>
      <c r="B9" s="231"/>
      <c r="C9" s="172"/>
      <c r="E9" s="234"/>
      <c r="F9" s="44" t="str">
        <f t="shared" si="0"/>
        <v>Whimsical Instrument's Trusty Wish</v>
      </c>
      <c r="G9" s="59">
        <f t="shared" ca="1" si="0"/>
        <v>6</v>
      </c>
      <c r="H9" s="34" t="s">
        <v>214</v>
      </c>
    </row>
    <row r="10" spans="1:8" ht="15.75" thickBot="1" x14ac:dyDescent="0.3">
      <c r="A10" s="173" t="s">
        <v>206</v>
      </c>
      <c r="B10" s="202"/>
      <c r="C10" s="43">
        <v>0</v>
      </c>
      <c r="E10" s="184" t="s">
        <v>19</v>
      </c>
      <c r="F10" s="2" t="e">
        <f t="shared" si="0"/>
        <v>#N/A</v>
      </c>
      <c r="G10" s="15">
        <f t="shared" ca="1" si="0"/>
        <v>15</v>
      </c>
      <c r="H10" s="34" t="s">
        <v>214</v>
      </c>
    </row>
    <row r="11" spans="1:8" ht="15.75" thickBot="1" x14ac:dyDescent="0.3">
      <c r="A11" s="173" t="s">
        <v>208</v>
      </c>
      <c r="B11" s="202"/>
      <c r="C11" s="43">
        <v>6</v>
      </c>
      <c r="E11" s="185"/>
      <c r="F11" s="1" t="e">
        <f t="shared" si="0"/>
        <v>#N/A</v>
      </c>
      <c r="G11" s="17">
        <f t="shared" ca="1" si="0"/>
        <v>23</v>
      </c>
      <c r="H11" s="34" t="s">
        <v>214</v>
      </c>
    </row>
    <row r="12" spans="1:8" ht="15.75" thickBot="1" x14ac:dyDescent="0.3">
      <c r="A12" s="227" t="s">
        <v>17</v>
      </c>
      <c r="B12" s="2" t="str">
        <f>VLOOKUP(VLOOKUP(B1,Weapon_List,4,FALSE),Weapon_Ascension_Materials,2,FALSE)</f>
        <v>Mysterious Instrument Fragment</v>
      </c>
      <c r="C12" s="15">
        <f ca="1">VLOOKUP(C11,INDIRECT(_xlfn.CONCAT("Weapon_",VLOOKUP(B1,Weapon_List,3,FALSE),"_star_requirements")),2,FALSE)-VLOOKUP(C10,INDIRECT(_xlfn.CONCAT("Weapon_",VLOOKUP(B1,Weapon_List,3,FALSE),"_star_requirements")),2,FALSE)</f>
        <v>5</v>
      </c>
      <c r="E12" s="235"/>
      <c r="F12" s="44" t="e">
        <f t="shared" si="0"/>
        <v>#N/A</v>
      </c>
      <c r="G12" s="59">
        <f t="shared" ca="1" si="0"/>
        <v>27</v>
      </c>
      <c r="H12" s="34" t="s">
        <v>214</v>
      </c>
    </row>
    <row r="13" spans="1:8" x14ac:dyDescent="0.25">
      <c r="A13" s="234"/>
      <c r="B13" s="1" t="str">
        <f>VLOOKUP(VLOOKUP(B1,Weapon_List,4,FALSE),Weapon_Ascension_Materials,3,FALSE)</f>
        <v>Mysterious Instrument Replica</v>
      </c>
      <c r="C13" s="17">
        <f ca="1">VLOOKUP(C11,INDIRECT(_xlfn.CONCAT("Weapon_",VLOOKUP(B1,Weapon_List,3,FALSE),"_star_requirements")),3,FALSE)-VLOOKUP(C10,INDIRECT(_xlfn.CONCAT("Weapon_",VLOOKUP(B1,Weapon_List,3,FALSE),"_star_requirements")),3,FALSE)</f>
        <v>14</v>
      </c>
      <c r="E13" s="184" t="s">
        <v>18</v>
      </c>
      <c r="F13" s="2" t="e">
        <f t="shared" si="0"/>
        <v>#N/A</v>
      </c>
      <c r="G13" s="15">
        <f t="shared" ca="1" si="0"/>
        <v>23</v>
      </c>
      <c r="H13" s="34" t="s">
        <v>214</v>
      </c>
    </row>
    <row r="14" spans="1:8" x14ac:dyDescent="0.25">
      <c r="A14" s="234"/>
      <c r="B14" s="1" t="str">
        <f>VLOOKUP(VLOOKUP(B1,Weapon_List,4,FALSE),Weapon_Ascension_Materials,4,FALSE)</f>
        <v xml:space="preserve">Inheritance of the Tricky Instrument	</v>
      </c>
      <c r="C14" s="17">
        <f ca="1">VLOOKUP(C11,INDIRECT(_xlfn.CONCAT("Weapon_",VLOOKUP(B1,Weapon_List,3,FALSE),"_star_requirements")),4,FALSE)-VLOOKUP(C10,INDIRECT(_xlfn.CONCAT("Weapon_",VLOOKUP(B1,Weapon_List,3,FALSE),"_star_requirements")),4,FALSE)</f>
        <v>14</v>
      </c>
      <c r="E14" s="185"/>
      <c r="F14" s="1" t="e">
        <f t="shared" si="0"/>
        <v>#N/A</v>
      </c>
      <c r="G14" s="17">
        <f t="shared" ca="1" si="0"/>
        <v>27</v>
      </c>
      <c r="H14" s="34" t="s">
        <v>214</v>
      </c>
    </row>
    <row r="15" spans="1:8" ht="15.75" thickBot="1" x14ac:dyDescent="0.3">
      <c r="A15" s="234"/>
      <c r="B15" s="1" t="str">
        <f>VLOOKUP(VLOOKUP(B1,Weapon_List,4,FALSE),Weapon_Ascension_Materials,5,FALSE)</f>
        <v>Whimsical Instrument's Trusty Wish</v>
      </c>
      <c r="C15" s="17">
        <f ca="1">VLOOKUP(C11,INDIRECT(_xlfn.CONCAT("Weapon_",VLOOKUP(B1,Weapon_List,3,FALSE),"_star_requirements")),5,FALSE)-VLOOKUP(C10,INDIRECT(_xlfn.CONCAT("Weapon_",VLOOKUP(B1,Weapon_List,3,FALSE),"_star_requirements")),5,FALSE)</f>
        <v>6</v>
      </c>
      <c r="E15" s="186"/>
      <c r="F15" s="9" t="e">
        <f t="shared" si="0"/>
        <v>#N/A</v>
      </c>
      <c r="G15" s="16">
        <f t="shared" ca="1" si="0"/>
        <v>41</v>
      </c>
      <c r="H15" s="35" t="s">
        <v>214</v>
      </c>
    </row>
    <row r="16" spans="1:8" x14ac:dyDescent="0.25">
      <c r="A16" s="184"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15</v>
      </c>
    </row>
    <row r="17" spans="1:3" x14ac:dyDescent="0.25">
      <c r="A17" s="185"/>
      <c r="B17" s="1" t="e">
        <f>VLOOKUP(VLOOKUP(B1,Weapon_List,5,FALSE),Common_Mob_Drops,3,FALSE)</f>
        <v>#N/A</v>
      </c>
      <c r="C17" s="17">
        <f ca="1">VLOOKUP(C11,INDIRECT(_xlfn.CONCAT("Weapon_",VLOOKUP(B1,Weapon_List,3,FALSE),"_star_requirements")),7,FALSE)-VLOOKUP(C10,INDIRECT(_xlfn.CONCAT("Weapon_",VLOOKUP(B1,Weapon_List,3,FALSE),"_star_requirements")),7,FALSE)</f>
        <v>23</v>
      </c>
    </row>
    <row r="18" spans="1:3" ht="15.75" thickBot="1" x14ac:dyDescent="0.3">
      <c r="A18" s="186"/>
      <c r="B18" s="9" t="e">
        <f>VLOOKUP(VLOOKUP(B1,Weapon_List,5,FALSE),Common_Mob_Drops,4,FALSE)</f>
        <v>#N/A</v>
      </c>
      <c r="C18" s="16">
        <f ca="1">VLOOKUP(C11,INDIRECT(_xlfn.CONCAT("Weapon_",VLOOKUP(B1,Weapon_List,3,FALSE),"_star_requirements")),8,FALSE)-VLOOKUP(C10,INDIRECT(_xlfn.CONCAT("Weapon_",VLOOKUP(B1,Weapon_List,3,FALSE),"_star_requirements")),8,FALSE)</f>
        <v>27</v>
      </c>
    </row>
    <row r="19" spans="1:3" x14ac:dyDescent="0.25">
      <c r="A19" s="184" t="s">
        <v>18</v>
      </c>
      <c r="B19" s="2" t="e">
        <f>VLOOKUP(VLOOKUP(B1,Weapon_List,6,FALSE),Elite_Mob_Drops,2,FALSE)</f>
        <v>#N/A</v>
      </c>
      <c r="C19" s="15">
        <f ca="1">VLOOKUP(C11,INDIRECT(_xlfn.CONCAT("Weapon_",VLOOKUP(B1,Weapon_List,3,FALSE),"_star_requirements")),9,FALSE)-VLOOKUP(C10,INDIRECT(_xlfn.CONCAT("Weapon_",VLOOKUP(B1,Weapon_List,3,FALSE),"_star_requirements")),9,FALSE)</f>
        <v>23</v>
      </c>
    </row>
    <row r="20" spans="1:3" x14ac:dyDescent="0.25">
      <c r="A20" s="185"/>
      <c r="B20" s="1" t="e">
        <f>VLOOKUP(VLOOKUP(B1,Weapon_List,6,FALSE),Elite_Mob_Drops,3,FALSE)</f>
        <v>#N/A</v>
      </c>
      <c r="C20" s="17">
        <f ca="1">VLOOKUP(C11,INDIRECT(_xlfn.CONCAT("Weapon_",VLOOKUP(B1,Weapon_List,3,FALSE),"_star_requirements")),10,FALSE)-VLOOKUP(C10,INDIRECT(_xlfn.CONCAT("Weapon_",VLOOKUP(B1,Weapon_List,3,FALSE),"_star_requirements")),10,FALSE)</f>
        <v>27</v>
      </c>
    </row>
    <row r="21" spans="1:3" ht="15.75" thickBot="1" x14ac:dyDescent="0.3">
      <c r="A21" s="186"/>
      <c r="B21" s="9" t="e">
        <f>VLOOKUP(VLOOKUP(B1,Weapon_List,6,FALSE),Elite_Mob_Drops,4,FALSE)</f>
        <v>#N/A</v>
      </c>
      <c r="C21" s="16">
        <f ca="1">VLOOKUP(C11,INDIRECT(_xlfn.CONCAT("Weapon_",VLOOKUP(B1,Weapon_List,3,FALSE),"_star_requirements")),11,FALSE)-VLOOKUP(C10,INDIRECT(_xlfn.CONCAT("Weapon_",VLOOKUP(B1,Weapon_List,3,FALSE),"_star_requirements")),11,FALSE)</f>
        <v>41</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6" priority="1" operator="containsText" text="Done">
      <formula>NOT(ISERROR(SEARCH("Done",H4)))</formula>
    </cfRule>
    <cfRule type="containsText" dxfId="5" priority="2" operator="containsText" text="In Progress">
      <formula>NOT(ISERROR(SEARCH("In Progress",H4)))</formula>
    </cfRule>
  </conditionalFormatting>
  <dataValidations count="6">
    <dataValidation type="list" allowBlank="1" showInputMessage="1" showErrorMessage="1" sqref="H4:H15" xr:uid="{53E95427-ABE4-48EC-BB35-A4C58399F607}">
      <formula1>"In Progress, Done"</formula1>
    </dataValidation>
    <dataValidation type="list" allowBlank="1" showInputMessage="1" showErrorMessage="1" sqref="C10" xr:uid="{8C5B66AD-5B32-4B9C-8145-8D7D65367795}">
      <formula1>IF(OR(VLOOKUP(B1,Weapon_List,3,FALSE)=1,VLOOKUP(B1,Weapon_List,3,FALSE)=2),Weapon_Ascension_Low_Rarity,Weapon_Ascension_High_Rarity)</formula1>
    </dataValidation>
    <dataValidation type="list" operator="equal" allowBlank="1" showInputMessage="1" showErrorMessage="1" sqref="B4" xr:uid="{EC087DE5-D7B6-407D-9A0B-6D3129CF7545}">
      <formula1>IF(OR(VLOOKUP(B1,Weapon_List,3,FALSE)=1,VLOOKUP(B1,Weapon_List,3,FALSE)=2),Weapon_Levels_Low_Rarity,Weapon_Levels_High_Rarity)</formula1>
    </dataValidation>
    <dataValidation type="list" operator="equal" allowBlank="1" showInputMessage="1" showErrorMessage="1" sqref="B5" xr:uid="{35ECB3E6-0566-4F84-A1F5-7D39232C79DF}">
      <formula1>IF(OR(VLOOKUP(B1,Weapon_List,3,FALSE)=1,VLOOKUP(B1,Weapon_List,3,FALSE)=2),Weapon_Levels_Low_Rarity,Weapon_Levels_High_Rarity)</formula1>
    </dataValidation>
    <dataValidation type="list" allowBlank="1" showInputMessage="1" showErrorMessage="1" sqref="B1" xr:uid="{54A3EA56-25D8-4A88-A6FD-D877E97B7917}">
      <formula1>Weapon_Name_List</formula1>
    </dataValidation>
    <dataValidation type="list" allowBlank="1" showInputMessage="1" showErrorMessage="1" sqref="C11" xr:uid="{33467F52-09A0-4719-BB29-D327E1E6DAEE}">
      <formula1>IF(OR(VLOOKUP(B1,Weapon_List,3,FALSE)=1,VLOOKUP(B1,Weapon_List,3,FALSE)=2),Weapon_Ascension_Low_Rarity,Weapon_Ascension_High_Rarity)</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5E49-6780-49B6-9FBD-8E4A37343664}">
  <sheetPr codeName="Sheet352">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950</v>
      </c>
    </row>
    <row r="2" spans="1:8" ht="15.75" thickBot="1" x14ac:dyDescent="0.3"/>
    <row r="3" spans="1:8" ht="15.75" thickBot="1" x14ac:dyDescent="0.3">
      <c r="A3" s="171" t="s">
        <v>197</v>
      </c>
      <c r="B3" s="172"/>
      <c r="E3" s="171" t="s">
        <v>198</v>
      </c>
      <c r="F3" s="231"/>
      <c r="G3" s="172"/>
      <c r="H3" s="58" t="s">
        <v>199</v>
      </c>
    </row>
    <row r="4" spans="1:8" x14ac:dyDescent="0.25">
      <c r="A4" s="12" t="s">
        <v>200</v>
      </c>
      <c r="B4" s="25">
        <v>1</v>
      </c>
      <c r="E4" s="222" t="s">
        <v>201</v>
      </c>
      <c r="F4" s="22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7" t="s">
        <v>17</v>
      </c>
      <c r="F6" s="2" t="str">
        <f t="shared" ref="F6:G15" si="0">B12</f>
        <v>Lost Glory of Far North Scion</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迷顽 of Far North Scion</v>
      </c>
      <c r="G7" s="17">
        <f t="shared" ca="1" si="0"/>
        <v>9</v>
      </c>
      <c r="H7" s="34" t="s">
        <v>214</v>
      </c>
    </row>
    <row r="8" spans="1:8" ht="15.75" thickBot="1" x14ac:dyDescent="0.3">
      <c r="E8" s="234"/>
      <c r="F8" s="1" t="str">
        <f t="shared" si="0"/>
        <v>祷献 of Far North Scion</v>
      </c>
      <c r="G8" s="17">
        <f t="shared" ca="1" si="0"/>
        <v>9</v>
      </c>
      <c r="H8" s="34" t="s">
        <v>214</v>
      </c>
    </row>
    <row r="9" spans="1:8" ht="15.75" thickBot="1" x14ac:dyDescent="0.3">
      <c r="A9" s="171" t="s">
        <v>149</v>
      </c>
      <c r="B9" s="231"/>
      <c r="C9" s="172"/>
      <c r="E9" s="234"/>
      <c r="F9" s="44" t="str">
        <f t="shared" si="0"/>
        <v>煌熠 of Far North Scion</v>
      </c>
      <c r="G9" s="59">
        <f t="shared" ca="1" si="0"/>
        <v>4</v>
      </c>
      <c r="H9" s="34" t="s">
        <v>214</v>
      </c>
    </row>
    <row r="10" spans="1:8" ht="15.75" thickBot="1" x14ac:dyDescent="0.3">
      <c r="A10" s="173" t="s">
        <v>206</v>
      </c>
      <c r="B10" s="202"/>
      <c r="C10" s="43">
        <v>0</v>
      </c>
      <c r="E10" s="184" t="s">
        <v>19</v>
      </c>
      <c r="F10" s="2" t="e">
        <f t="shared" si="0"/>
        <v>#N/A</v>
      </c>
      <c r="G10" s="15">
        <f t="shared" ca="1" si="0"/>
        <v>10</v>
      </c>
      <c r="H10" s="34" t="s">
        <v>214</v>
      </c>
    </row>
    <row r="11" spans="1:8" ht="15.75" thickBot="1" x14ac:dyDescent="0.3">
      <c r="A11" s="173" t="s">
        <v>208</v>
      </c>
      <c r="B11" s="202"/>
      <c r="C11" s="43">
        <v>6</v>
      </c>
      <c r="E11" s="185"/>
      <c r="F11" s="1" t="e">
        <f t="shared" si="0"/>
        <v>#N/A</v>
      </c>
      <c r="G11" s="17">
        <f t="shared" ca="1" si="0"/>
        <v>15</v>
      </c>
      <c r="H11" s="34" t="s">
        <v>214</v>
      </c>
    </row>
    <row r="12" spans="1:8" ht="15.75" thickBot="1" x14ac:dyDescent="0.3">
      <c r="A12" s="227" t="s">
        <v>17</v>
      </c>
      <c r="B12" s="2" t="str">
        <f>VLOOKUP(VLOOKUP(B1,Weapon_List,4,FALSE),Weapon_Ascension_Materials,2,FALSE)</f>
        <v>Lost Glory of Far North Scion</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迷顽 of Far North Scion</v>
      </c>
      <c r="C13" s="17">
        <f ca="1">VLOOKUP(C11,INDIRECT(_xlfn.CONCAT("Weapon_",VLOOKUP(B1,Weapon_List,3,FALSE),"_star_requirements")),3,FALSE)-VLOOKUP(C10,INDIRECT(_xlfn.CONCAT("Weapon_",VLOOKUP(B1,Weapon_List,3,FALSE),"_star_requirements")),3,FALSE)</f>
        <v>9</v>
      </c>
      <c r="E13" s="184" t="s">
        <v>18</v>
      </c>
      <c r="F13" s="2" t="e">
        <f t="shared" si="0"/>
        <v>#N/A</v>
      </c>
      <c r="G13" s="15">
        <f t="shared" ca="1" si="0"/>
        <v>15</v>
      </c>
      <c r="H13" s="34" t="s">
        <v>214</v>
      </c>
    </row>
    <row r="14" spans="1:8" x14ac:dyDescent="0.25">
      <c r="A14" s="234"/>
      <c r="B14" s="1" t="str">
        <f>VLOOKUP(VLOOKUP(B1,Weapon_List,4,FALSE),Weapon_Ascension_Materials,4,FALSE)</f>
        <v>祷献 of Far North Scion</v>
      </c>
      <c r="C14" s="17">
        <f ca="1">VLOOKUP(C11,INDIRECT(_xlfn.CONCAT("Weapon_",VLOOKUP(B1,Weapon_List,3,FALSE),"_star_requirements")),4,FALSE)-VLOOKUP(C10,INDIRECT(_xlfn.CONCAT("Weapon_",VLOOKUP(B1,Weapon_List,3,FALSE),"_star_requirements")),4,FALSE)</f>
        <v>9</v>
      </c>
      <c r="E14" s="185"/>
      <c r="F14" s="1" t="e">
        <f t="shared" si="0"/>
        <v>#N/A</v>
      </c>
      <c r="G14" s="17">
        <f t="shared" ca="1" si="0"/>
        <v>18</v>
      </c>
      <c r="H14" s="34" t="s">
        <v>214</v>
      </c>
    </row>
    <row r="15" spans="1:8" ht="15.75" thickBot="1" x14ac:dyDescent="0.3">
      <c r="A15" s="234"/>
      <c r="B15" s="1" t="str">
        <f>VLOOKUP(VLOOKUP(B1,Weapon_List,4,FALSE),Weapon_Ascension_Materials,5,FALSE)</f>
        <v>煌熠 of Far North Scion</v>
      </c>
      <c r="C15" s="17">
        <f ca="1">VLOOKUP(C11,INDIRECT(_xlfn.CONCAT("Weapon_",VLOOKUP(B1,Weapon_List,3,FALSE),"_star_requirements")),5,FALSE)-VLOOKUP(C10,INDIRECT(_xlfn.CONCAT("Weapon_",VLOOKUP(B1,Weapon_List,3,FALSE),"_star_requirements")),5,FALSE)</f>
        <v>4</v>
      </c>
      <c r="E15" s="186"/>
      <c r="F15" s="9" t="e">
        <f t="shared" si="0"/>
        <v>#N/A</v>
      </c>
      <c r="G15" s="16">
        <f t="shared" ca="1" si="0"/>
        <v>27</v>
      </c>
      <c r="H15" s="35" t="s">
        <v>214</v>
      </c>
    </row>
    <row r="16" spans="1:8" x14ac:dyDescent="0.25">
      <c r="A16" s="184"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85"/>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86"/>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84"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85"/>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86"/>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 priority="1" operator="containsText" text="Done">
      <formula>NOT(ISERROR(SEARCH("Done",H4)))</formula>
    </cfRule>
    <cfRule type="containsText" dxfId="3" priority="2" operator="containsText" text="In Progress">
      <formula>NOT(ISERROR(SEARCH("In Progress",H4)))</formula>
    </cfRule>
  </conditionalFormatting>
  <dataValidations count="6">
    <dataValidation type="list" allowBlank="1" showInputMessage="1" showErrorMessage="1" sqref="H4:H15" xr:uid="{A66F0C30-0210-4022-952B-20F26F03B5EF}">
      <formula1>"In Progress, Done"</formula1>
    </dataValidation>
    <dataValidation type="list" allowBlank="1" showInputMessage="1" showErrorMessage="1" sqref="C10" xr:uid="{462CBB43-714A-431A-96BF-1A48DC560131}">
      <formula1>IF(OR(VLOOKUP(B1,Weapon_List,3,FALSE)=1,VLOOKUP(B1,Weapon_List,3,FALSE)=2),Weapon_Ascension_Low_Rarity,Weapon_Ascension_High_Rarity)</formula1>
    </dataValidation>
    <dataValidation type="list" operator="equal" allowBlank="1" showInputMessage="1" showErrorMessage="1" sqref="B4" xr:uid="{66228DE1-D3C7-491B-B847-F22156C12EF8}">
      <formula1>IF(OR(VLOOKUP(B1,Weapon_List,3,FALSE)=1,VLOOKUP(B1,Weapon_List,3,FALSE)=2),Weapon_Levels_Low_Rarity,Weapon_Levels_High_Rarity)</formula1>
    </dataValidation>
    <dataValidation type="list" operator="equal" allowBlank="1" showInputMessage="1" showErrorMessage="1" sqref="B5" xr:uid="{EA4AE19D-2B0E-467B-B13B-CD66C77137AD}">
      <formula1>IF(OR(VLOOKUP(B1,Weapon_List,3,FALSE)=1,VLOOKUP(B1,Weapon_List,3,FALSE)=2),Weapon_Levels_Low_Rarity,Weapon_Levels_High_Rarity)</formula1>
    </dataValidation>
    <dataValidation type="list" allowBlank="1" showInputMessage="1" showErrorMessage="1" sqref="B1" xr:uid="{91FA5F78-732C-4649-90E1-D2601A5594B3}">
      <formula1>Weapon_Name_List</formula1>
    </dataValidation>
    <dataValidation type="list" allowBlank="1" showInputMessage="1" showErrorMessage="1" sqref="C11" xr:uid="{2B08D9DC-5FB1-404B-9017-B36E361A0280}">
      <formula1>IF(OR(VLOOKUP(B1,Weapon_List,3,FALSE)=1,VLOOKUP(B1,Weapon_List,3,FALSE)=2),Weapon_Ascension_Low_Rarity,Weapon_Ascension_High_Rarity)</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0848F-4E3B-4B02-AC91-557CFC749E57}">
  <sheetPr codeName="Sheet86">
    <tabColor theme="0" tint="-0.249977111117893"/>
  </sheetPr>
  <dimension ref="A1:I119"/>
  <sheetViews>
    <sheetView zoomScaleNormal="100" workbookViewId="0">
      <pane ySplit="2" topLeftCell="A72" activePane="bottomLeft" state="frozen"/>
      <selection activeCell="F79" sqref="F79"/>
      <selection pane="bottomLeft" activeCell="H72" sqref="H72"/>
    </sheetView>
  </sheetViews>
  <sheetFormatPr defaultColWidth="8.85546875" defaultRowHeight="15" x14ac:dyDescent="0.25"/>
  <cols>
    <col min="1" max="1" width="4" bestFit="1" customWidth="1"/>
    <col min="2" max="2" width="20.28515625" bestFit="1" customWidth="1"/>
    <col min="3" max="3" width="10.7109375" bestFit="1" customWidth="1"/>
    <col min="4" max="4" width="17" bestFit="1" customWidth="1"/>
    <col min="5" max="5" width="44" bestFit="1" customWidth="1"/>
    <col min="6" max="6" width="23.42578125" bestFit="1" customWidth="1"/>
    <col min="7" max="7" width="25.7109375" bestFit="1" customWidth="1"/>
    <col min="8" max="8" width="12" bestFit="1" customWidth="1"/>
    <col min="9" max="9" width="22.42578125" bestFit="1" customWidth="1"/>
  </cols>
  <sheetData>
    <row r="1" spans="1:9" ht="15.75" thickBot="1" x14ac:dyDescent="0.3">
      <c r="A1" s="173" t="s">
        <v>513</v>
      </c>
      <c r="B1" s="174"/>
      <c r="C1" s="174"/>
      <c r="D1" s="174"/>
      <c r="E1" s="174"/>
      <c r="F1" s="174"/>
      <c r="G1" s="174"/>
      <c r="H1" s="174"/>
      <c r="I1" s="175"/>
    </row>
    <row r="2" spans="1:9" ht="15.75" thickBot="1" x14ac:dyDescent="0.3">
      <c r="A2" s="11"/>
      <c r="B2" s="7" t="s">
        <v>47</v>
      </c>
      <c r="C2" s="7" t="s">
        <v>145</v>
      </c>
      <c r="D2" s="7" t="s">
        <v>514</v>
      </c>
      <c r="E2" s="7" t="s">
        <v>515</v>
      </c>
      <c r="F2" s="7" t="s">
        <v>516</v>
      </c>
      <c r="G2" s="7" t="s">
        <v>209</v>
      </c>
      <c r="H2" s="7" t="s">
        <v>171</v>
      </c>
      <c r="I2" s="8" t="s">
        <v>517</v>
      </c>
    </row>
    <row r="3" spans="1:9" x14ac:dyDescent="0.25">
      <c r="A3" s="12" cm="1">
        <f t="array" ref="A3:A106">_xlfn.SEQUENCE(COUNTA(Character_Name_List))</f>
        <v>1</v>
      </c>
      <c r="B3" s="167" t="s">
        <v>217</v>
      </c>
      <c r="C3" s="2" t="s">
        <v>518</v>
      </c>
      <c r="D3" s="2" t="str" cm="1">
        <f t="array" ref="D3:D107">_xlfn.XLOOKUP(C3:C107,INDEX(Boss_Mob_Drops,,1),INDEX(Boss_Mob_Drops,,2))</f>
        <v>Agnidus Agate</v>
      </c>
      <c r="E3" s="2" t="s">
        <v>53</v>
      </c>
      <c r="F3" s="2" t="s">
        <v>68</v>
      </c>
      <c r="G3" s="2" t="s">
        <v>519</v>
      </c>
      <c r="H3" s="2" t="s">
        <v>31</v>
      </c>
      <c r="I3" s="3" t="s">
        <v>156</v>
      </c>
    </row>
    <row r="4" spans="1:9" x14ac:dyDescent="0.25">
      <c r="A4" s="14">
        <v>2</v>
      </c>
      <c r="B4" s="168" t="s">
        <v>218</v>
      </c>
      <c r="C4" s="1" t="s">
        <v>160</v>
      </c>
      <c r="D4" s="5" t="str">
        <v>Vajrada Amethyst</v>
      </c>
      <c r="E4" s="1" t="s">
        <v>44</v>
      </c>
      <c r="F4" s="1" t="s">
        <v>33</v>
      </c>
      <c r="G4" s="1" t="s">
        <v>520</v>
      </c>
      <c r="H4" s="1" t="s">
        <v>57</v>
      </c>
      <c r="I4" s="4" t="s">
        <v>521</v>
      </c>
    </row>
    <row r="5" spans="1:9" x14ac:dyDescent="0.25">
      <c r="A5" s="14">
        <v>3</v>
      </c>
      <c r="B5" s="168" t="s">
        <v>219</v>
      </c>
      <c r="C5" s="1" t="s">
        <v>160</v>
      </c>
      <c r="D5" s="5" t="str">
        <v>Vajrada Amethyst</v>
      </c>
      <c r="E5" s="1" t="s">
        <v>44</v>
      </c>
      <c r="F5" s="1" t="s">
        <v>50</v>
      </c>
      <c r="G5" s="1" t="s">
        <v>522</v>
      </c>
      <c r="H5" s="1" t="s">
        <v>48</v>
      </c>
      <c r="I5" s="4" t="s">
        <v>521</v>
      </c>
    </row>
    <row r="6" spans="1:9" x14ac:dyDescent="0.25">
      <c r="A6" s="14">
        <v>4</v>
      </c>
      <c r="B6" s="44" t="s">
        <v>220</v>
      </c>
      <c r="C6" s="1" t="s">
        <v>518</v>
      </c>
      <c r="D6" s="1" t="str">
        <v>Agnidus Agate</v>
      </c>
      <c r="E6" s="1" t="s">
        <v>53</v>
      </c>
      <c r="F6" s="1" t="s">
        <v>33</v>
      </c>
      <c r="G6" s="1" t="s">
        <v>523</v>
      </c>
      <c r="H6" s="1" t="s">
        <v>73</v>
      </c>
      <c r="I6" s="4" t="s">
        <v>521</v>
      </c>
    </row>
    <row r="7" spans="1:9" x14ac:dyDescent="0.25">
      <c r="A7" s="14">
        <v>5</v>
      </c>
      <c r="B7" s="168" t="s">
        <v>221</v>
      </c>
      <c r="C7" s="1" t="s">
        <v>160</v>
      </c>
      <c r="D7" s="1" t="str">
        <v>Vajrada Amethyst</v>
      </c>
      <c r="E7" s="1" t="s">
        <v>44</v>
      </c>
      <c r="F7" s="1" t="s">
        <v>84</v>
      </c>
      <c r="G7" s="1" t="s">
        <v>524</v>
      </c>
      <c r="H7" s="1" t="s">
        <v>82</v>
      </c>
      <c r="I7" s="4" t="s">
        <v>156</v>
      </c>
    </row>
    <row r="8" spans="1:9" x14ac:dyDescent="0.25">
      <c r="A8" s="14">
        <v>6</v>
      </c>
      <c r="B8" s="44" t="s">
        <v>222</v>
      </c>
      <c r="C8" s="1" t="s">
        <v>518</v>
      </c>
      <c r="D8" s="1" t="str">
        <v>Agnidus Agate</v>
      </c>
      <c r="E8" s="1" t="s">
        <v>53</v>
      </c>
      <c r="F8" s="1" t="s">
        <v>84</v>
      </c>
      <c r="G8" s="1" t="s">
        <v>211</v>
      </c>
      <c r="H8" s="1" t="s">
        <v>48</v>
      </c>
      <c r="I8" s="4" t="s">
        <v>525</v>
      </c>
    </row>
    <row r="9" spans="1:9" x14ac:dyDescent="0.25">
      <c r="A9" s="14">
        <v>7</v>
      </c>
      <c r="B9" s="44" t="s">
        <v>223</v>
      </c>
      <c r="C9" s="1" t="s">
        <v>157</v>
      </c>
      <c r="D9" s="1" t="str">
        <v>Prithiva Topaz</v>
      </c>
      <c r="E9" s="1" t="s">
        <v>46</v>
      </c>
      <c r="F9" s="1" t="s">
        <v>50</v>
      </c>
      <c r="G9" s="1" t="s">
        <v>520</v>
      </c>
      <c r="H9" s="1" t="s">
        <v>48</v>
      </c>
      <c r="I9" s="4" t="s">
        <v>521</v>
      </c>
    </row>
    <row r="10" spans="1:9" x14ac:dyDescent="0.25">
      <c r="A10" s="14">
        <v>8</v>
      </c>
      <c r="B10" s="168" t="s">
        <v>224</v>
      </c>
      <c r="C10" s="1" t="s">
        <v>526</v>
      </c>
      <c r="D10" s="1" t="str">
        <v>Shivada Jade</v>
      </c>
      <c r="E10" s="1" t="s">
        <v>51</v>
      </c>
      <c r="F10" s="1" t="s">
        <v>50</v>
      </c>
      <c r="G10" s="1" t="s">
        <v>527</v>
      </c>
      <c r="H10" s="1" t="s">
        <v>73</v>
      </c>
      <c r="I10" s="4" t="s">
        <v>156</v>
      </c>
    </row>
    <row r="11" spans="1:9" x14ac:dyDescent="0.25">
      <c r="A11" s="14">
        <v>9</v>
      </c>
      <c r="B11" s="44" t="s">
        <v>225</v>
      </c>
      <c r="C11" s="1" t="s">
        <v>154</v>
      </c>
      <c r="D11" s="1" t="str">
        <v>Vayuda Turquoise</v>
      </c>
      <c r="E11" s="1" t="s">
        <v>34</v>
      </c>
      <c r="F11" s="1" t="s">
        <v>50</v>
      </c>
      <c r="G11" s="1" t="s">
        <v>528</v>
      </c>
      <c r="H11" s="1" t="s">
        <v>48</v>
      </c>
      <c r="I11" s="4" t="s">
        <v>525</v>
      </c>
    </row>
    <row r="12" spans="1:9" x14ac:dyDescent="0.25">
      <c r="A12" s="14">
        <v>10</v>
      </c>
      <c r="B12" s="168" t="s">
        <v>226</v>
      </c>
      <c r="C12" s="1" t="s">
        <v>518</v>
      </c>
      <c r="D12" s="1" t="str">
        <v>Agnidus Agate</v>
      </c>
      <c r="E12" s="1" t="s">
        <v>53</v>
      </c>
      <c r="F12" s="1" t="s">
        <v>75</v>
      </c>
      <c r="G12" s="1" t="s">
        <v>519</v>
      </c>
      <c r="H12" s="1" t="s">
        <v>48</v>
      </c>
      <c r="I12" s="4" t="s">
        <v>525</v>
      </c>
    </row>
    <row r="13" spans="1:9" x14ac:dyDescent="0.25">
      <c r="A13" s="14">
        <v>11</v>
      </c>
      <c r="B13" s="168" t="s">
        <v>227</v>
      </c>
      <c r="C13" s="1" t="s">
        <v>526</v>
      </c>
      <c r="D13" s="1" t="str">
        <v>Shivada Jade</v>
      </c>
      <c r="E13" s="1" t="s">
        <v>51</v>
      </c>
      <c r="F13" s="1" t="s">
        <v>84</v>
      </c>
      <c r="G13" s="1" t="s">
        <v>529</v>
      </c>
      <c r="H13" s="1" t="s">
        <v>57</v>
      </c>
      <c r="I13" s="4" t="s">
        <v>530</v>
      </c>
    </row>
    <row r="14" spans="1:9" x14ac:dyDescent="0.25">
      <c r="A14" s="14">
        <v>12</v>
      </c>
      <c r="B14" s="44" t="s">
        <v>228</v>
      </c>
      <c r="C14" s="1" t="s">
        <v>166</v>
      </c>
      <c r="D14" s="1" t="str">
        <v>Varunada Lazurite</v>
      </c>
      <c r="E14" s="1" t="s">
        <v>55</v>
      </c>
      <c r="F14" s="1" t="s">
        <v>59</v>
      </c>
      <c r="G14" s="1" t="s">
        <v>531</v>
      </c>
      <c r="H14" s="1" t="s">
        <v>31</v>
      </c>
      <c r="I14" s="4" t="s">
        <v>532</v>
      </c>
    </row>
    <row r="15" spans="1:9" x14ac:dyDescent="0.25">
      <c r="A15" s="14">
        <v>13</v>
      </c>
      <c r="B15" s="44" t="s">
        <v>229</v>
      </c>
      <c r="C15" s="1" t="s">
        <v>166</v>
      </c>
      <c r="D15" s="1" t="str">
        <v>Varunada Lazurite</v>
      </c>
      <c r="E15" s="1" t="s">
        <v>55</v>
      </c>
      <c r="F15" s="1" t="s">
        <v>50</v>
      </c>
      <c r="G15" s="1" t="s">
        <v>533</v>
      </c>
      <c r="H15" s="1" t="s">
        <v>82</v>
      </c>
      <c r="I15" s="4" t="s">
        <v>534</v>
      </c>
    </row>
    <row r="16" spans="1:9" x14ac:dyDescent="0.25">
      <c r="A16" s="14">
        <v>14</v>
      </c>
      <c r="B16" s="44" t="s">
        <v>230</v>
      </c>
      <c r="C16" s="1" t="s">
        <v>157</v>
      </c>
      <c r="D16" s="1" t="str">
        <v>Prithiva Topaz</v>
      </c>
      <c r="E16" s="1" t="s">
        <v>46</v>
      </c>
      <c r="F16" s="1" t="s">
        <v>75</v>
      </c>
      <c r="G16" s="1" t="s">
        <v>535</v>
      </c>
      <c r="H16" s="1" t="s">
        <v>66</v>
      </c>
      <c r="I16" s="4" t="s">
        <v>530</v>
      </c>
    </row>
    <row r="17" spans="1:9" x14ac:dyDescent="0.25">
      <c r="A17" s="14">
        <v>15</v>
      </c>
      <c r="B17" s="44" t="s">
        <v>231</v>
      </c>
      <c r="C17" s="1" t="s">
        <v>160</v>
      </c>
      <c r="D17" s="1" t="str">
        <v>Vajrada Amethyst</v>
      </c>
      <c r="E17" s="1" t="s">
        <v>44</v>
      </c>
      <c r="F17" s="1" t="s">
        <v>68</v>
      </c>
      <c r="G17" s="1" t="s">
        <v>519</v>
      </c>
      <c r="H17" s="1" t="s">
        <v>57</v>
      </c>
      <c r="I17" s="4" t="s">
        <v>530</v>
      </c>
    </row>
    <row r="18" spans="1:9" x14ac:dyDescent="0.25">
      <c r="A18" s="14">
        <v>16</v>
      </c>
      <c r="B18" s="44" t="s">
        <v>232</v>
      </c>
      <c r="C18" s="1" t="s">
        <v>154</v>
      </c>
      <c r="D18" s="1" t="str">
        <v>Vayuda Turquoise</v>
      </c>
      <c r="E18" s="1" t="s">
        <v>34</v>
      </c>
      <c r="F18" s="1" t="s">
        <v>91</v>
      </c>
      <c r="G18" s="1" t="s">
        <v>211</v>
      </c>
      <c r="H18" s="1" t="s">
        <v>31</v>
      </c>
      <c r="I18" s="4" t="s">
        <v>530</v>
      </c>
    </row>
    <row r="19" spans="1:9" x14ac:dyDescent="0.25">
      <c r="A19" s="14">
        <v>17</v>
      </c>
      <c r="B19" s="168" t="s">
        <v>233</v>
      </c>
      <c r="C19" s="1" t="s">
        <v>526</v>
      </c>
      <c r="D19" s="1" t="str">
        <v>Shivada Jade</v>
      </c>
      <c r="E19" s="1" t="s">
        <v>51</v>
      </c>
      <c r="F19" s="1" t="s">
        <v>59</v>
      </c>
      <c r="G19" s="1" t="s">
        <v>536</v>
      </c>
      <c r="H19" s="1" t="s">
        <v>66</v>
      </c>
      <c r="I19" s="4" t="s">
        <v>534</v>
      </c>
    </row>
    <row r="20" spans="1:9" x14ac:dyDescent="0.25">
      <c r="A20" s="14">
        <v>18</v>
      </c>
      <c r="B20" s="168" t="s">
        <v>234</v>
      </c>
      <c r="C20" s="1" t="s">
        <v>166</v>
      </c>
      <c r="D20" s="1" t="str">
        <v>Varunada Lazurite</v>
      </c>
      <c r="E20" s="1" t="s">
        <v>55</v>
      </c>
      <c r="F20" s="1" t="s">
        <v>91</v>
      </c>
      <c r="G20" s="1" t="s">
        <v>531</v>
      </c>
      <c r="H20" s="1" t="s">
        <v>48</v>
      </c>
      <c r="I20" s="4" t="s">
        <v>532</v>
      </c>
    </row>
    <row r="21" spans="1:9" x14ac:dyDescent="0.25">
      <c r="A21" s="14">
        <v>19</v>
      </c>
      <c r="B21" s="44" t="s">
        <v>235</v>
      </c>
      <c r="C21" s="1" t="s">
        <v>160</v>
      </c>
      <c r="D21" s="1" t="str">
        <v>Vajrada Amethyst</v>
      </c>
      <c r="E21" s="1" t="s">
        <v>44</v>
      </c>
      <c r="F21" s="1" t="s">
        <v>91</v>
      </c>
      <c r="G21" s="1" t="s">
        <v>527</v>
      </c>
      <c r="H21" s="1" t="s">
        <v>66</v>
      </c>
      <c r="I21" s="4" t="s">
        <v>532</v>
      </c>
    </row>
    <row r="22" spans="1:9" x14ac:dyDescent="0.25">
      <c r="A22" s="14">
        <v>20</v>
      </c>
      <c r="B22" s="44" t="s">
        <v>236</v>
      </c>
      <c r="C22" s="1" t="s">
        <v>154</v>
      </c>
      <c r="D22" s="1" t="str">
        <v>Vayuda Turquoise</v>
      </c>
      <c r="E22" s="1" t="s">
        <v>34</v>
      </c>
      <c r="F22" s="1" t="s">
        <v>33</v>
      </c>
      <c r="G22" s="1" t="s">
        <v>537</v>
      </c>
      <c r="H22" s="1" t="s">
        <v>57</v>
      </c>
      <c r="I22" s="4" t="s">
        <v>534</v>
      </c>
    </row>
    <row r="23" spans="1:9" x14ac:dyDescent="0.25">
      <c r="A23" s="14">
        <v>21</v>
      </c>
      <c r="B23" s="44" t="s">
        <v>237</v>
      </c>
      <c r="C23" s="1" t="s">
        <v>518</v>
      </c>
      <c r="D23" s="1" t="str">
        <v>Agnidus Agate</v>
      </c>
      <c r="E23" s="1" t="s">
        <v>53</v>
      </c>
      <c r="F23" s="1" t="s">
        <v>59</v>
      </c>
      <c r="G23" s="1" t="s">
        <v>531</v>
      </c>
      <c r="H23" s="1" t="s">
        <v>31</v>
      </c>
      <c r="I23" s="4" t="s">
        <v>532</v>
      </c>
    </row>
    <row r="24" spans="1:9" x14ac:dyDescent="0.25">
      <c r="A24" s="14">
        <v>22</v>
      </c>
      <c r="B24" s="44" t="s">
        <v>238</v>
      </c>
      <c r="C24" s="1" t="s">
        <v>526</v>
      </c>
      <c r="D24" s="1" t="str">
        <v>Shivada Jade</v>
      </c>
      <c r="E24" s="1" t="s">
        <v>51</v>
      </c>
      <c r="F24" s="1" t="s">
        <v>68</v>
      </c>
      <c r="G24" s="1" t="s">
        <v>529</v>
      </c>
      <c r="H24" s="1" t="s">
        <v>31</v>
      </c>
      <c r="I24" s="4" t="s">
        <v>538</v>
      </c>
    </row>
    <row r="25" spans="1:9" x14ac:dyDescent="0.25">
      <c r="A25" s="14">
        <v>23</v>
      </c>
      <c r="B25" s="168" t="s">
        <v>239</v>
      </c>
      <c r="C25" s="1" t="s">
        <v>166</v>
      </c>
      <c r="D25" s="1" t="str">
        <v>Varunada Lazurite</v>
      </c>
      <c r="E25" s="1" t="s">
        <v>55</v>
      </c>
      <c r="F25" s="1" t="s">
        <v>75</v>
      </c>
      <c r="G25" s="1" t="s">
        <v>539</v>
      </c>
      <c r="H25" s="1" t="s">
        <v>31</v>
      </c>
      <c r="I25" s="4" t="s">
        <v>538</v>
      </c>
    </row>
    <row r="26" spans="1:9" x14ac:dyDescent="0.25">
      <c r="A26" s="14">
        <v>24</v>
      </c>
      <c r="B26" s="168" t="s">
        <v>240</v>
      </c>
      <c r="C26" s="1" t="s">
        <v>518</v>
      </c>
      <c r="D26" s="1" t="str">
        <v>Agnidus Agate</v>
      </c>
      <c r="E26" s="1" t="s">
        <v>53</v>
      </c>
      <c r="F26" s="1" t="s">
        <v>84</v>
      </c>
      <c r="G26" s="1" t="s">
        <v>536</v>
      </c>
      <c r="H26" s="1" t="s">
        <v>82</v>
      </c>
      <c r="I26" s="4" t="s">
        <v>540</v>
      </c>
    </row>
    <row r="27" spans="1:9" x14ac:dyDescent="0.25">
      <c r="A27" s="14">
        <v>25</v>
      </c>
      <c r="B27" s="44" t="s">
        <v>241</v>
      </c>
      <c r="C27" s="1" t="s">
        <v>157</v>
      </c>
      <c r="D27" s="1" t="str">
        <v>Prithiva Topaz</v>
      </c>
      <c r="E27" s="1" t="s">
        <v>46</v>
      </c>
      <c r="F27" s="1" t="s">
        <v>33</v>
      </c>
      <c r="G27" s="1" t="s">
        <v>527</v>
      </c>
      <c r="H27" s="1" t="s">
        <v>82</v>
      </c>
      <c r="I27" s="4" t="s">
        <v>540</v>
      </c>
    </row>
    <row r="28" spans="1:9" x14ac:dyDescent="0.25">
      <c r="A28" s="14">
        <v>26</v>
      </c>
      <c r="B28" s="44" t="s">
        <v>242</v>
      </c>
      <c r="C28" s="1" t="s">
        <v>157</v>
      </c>
      <c r="D28" s="1" t="str">
        <v>Prithiva Topaz</v>
      </c>
      <c r="E28" s="1" t="s">
        <v>46</v>
      </c>
      <c r="F28" s="1" t="s">
        <v>59</v>
      </c>
      <c r="G28" s="1" t="s">
        <v>537</v>
      </c>
      <c r="H28" s="1" t="s">
        <v>57</v>
      </c>
      <c r="I28" s="4" t="s">
        <v>540</v>
      </c>
    </row>
    <row r="29" spans="1:9" x14ac:dyDescent="0.25">
      <c r="A29" s="14">
        <v>27</v>
      </c>
      <c r="B29" s="44" t="s">
        <v>243</v>
      </c>
      <c r="C29" s="1" t="s">
        <v>526</v>
      </c>
      <c r="D29" s="1" t="str">
        <v>Shivada Jade</v>
      </c>
      <c r="E29" s="1" t="s">
        <v>51</v>
      </c>
      <c r="F29" s="1" t="s">
        <v>91</v>
      </c>
      <c r="G29" s="1" t="s">
        <v>541</v>
      </c>
      <c r="H29" s="1" t="s">
        <v>73</v>
      </c>
      <c r="I29" s="4" t="s">
        <v>542</v>
      </c>
    </row>
    <row r="30" spans="1:9" x14ac:dyDescent="0.25">
      <c r="A30" s="14">
        <v>28</v>
      </c>
      <c r="B30" s="44" t="s">
        <v>244</v>
      </c>
      <c r="C30" s="1" t="s">
        <v>154</v>
      </c>
      <c r="D30" s="1" t="str">
        <v>Vayuda Turquoise</v>
      </c>
      <c r="E30" s="1" t="s">
        <v>60</v>
      </c>
      <c r="F30" s="1" t="s">
        <v>33</v>
      </c>
      <c r="G30" s="1" t="s">
        <v>541</v>
      </c>
      <c r="H30" s="1" t="s">
        <v>66</v>
      </c>
      <c r="I30" s="4" t="s">
        <v>542</v>
      </c>
    </row>
    <row r="31" spans="1:9" x14ac:dyDescent="0.25">
      <c r="A31" s="14">
        <v>29</v>
      </c>
      <c r="B31" s="44" t="s">
        <v>245</v>
      </c>
      <c r="C31" s="1" t="s">
        <v>518</v>
      </c>
      <c r="D31" s="1" t="str">
        <v>Agnidus Agate</v>
      </c>
      <c r="E31" s="1" t="s">
        <v>60</v>
      </c>
      <c r="F31" s="1" t="s">
        <v>91</v>
      </c>
      <c r="G31" s="1" t="s">
        <v>533</v>
      </c>
      <c r="H31" s="1" t="s">
        <v>73</v>
      </c>
      <c r="I31" s="4" t="s">
        <v>538</v>
      </c>
    </row>
    <row r="32" spans="1:9" x14ac:dyDescent="0.25">
      <c r="A32" s="14">
        <v>30</v>
      </c>
      <c r="B32" s="168" t="s">
        <v>246</v>
      </c>
      <c r="C32" s="1" t="s">
        <v>526</v>
      </c>
      <c r="D32" s="1" t="str">
        <v>Shivada Jade</v>
      </c>
      <c r="E32" s="1" t="s">
        <v>51</v>
      </c>
      <c r="F32" s="1" t="s">
        <v>75</v>
      </c>
      <c r="G32" s="1" t="s">
        <v>520</v>
      </c>
      <c r="H32" s="1" t="s">
        <v>57</v>
      </c>
      <c r="I32" s="4" t="s">
        <v>542</v>
      </c>
    </row>
    <row r="33" spans="1:9" x14ac:dyDescent="0.25">
      <c r="A33" s="14">
        <v>31</v>
      </c>
      <c r="B33" s="168" t="s">
        <v>247</v>
      </c>
      <c r="C33" s="1" t="s">
        <v>518</v>
      </c>
      <c r="D33" s="1" t="str">
        <v>Agnidus Agate</v>
      </c>
      <c r="E33" s="1" t="s">
        <v>60</v>
      </c>
      <c r="F33" s="1" t="s">
        <v>84</v>
      </c>
      <c r="G33" s="1" t="s">
        <v>524</v>
      </c>
      <c r="H33" s="1" t="s">
        <v>82</v>
      </c>
      <c r="I33" s="4" t="s">
        <v>543</v>
      </c>
    </row>
    <row r="34" spans="1:9" x14ac:dyDescent="0.25">
      <c r="A34" s="14">
        <v>32</v>
      </c>
      <c r="B34" s="44" t="s">
        <v>248</v>
      </c>
      <c r="C34" s="1" t="s">
        <v>526</v>
      </c>
      <c r="D34" s="1" t="str">
        <v>Shivada Jade</v>
      </c>
      <c r="E34" s="1" t="s">
        <v>62</v>
      </c>
      <c r="F34" s="1" t="s">
        <v>50</v>
      </c>
      <c r="G34" s="1" t="s">
        <v>528</v>
      </c>
      <c r="H34" s="1" t="s">
        <v>48</v>
      </c>
      <c r="I34" s="4" t="s">
        <v>162</v>
      </c>
    </row>
    <row r="35" spans="1:9" x14ac:dyDescent="0.25">
      <c r="A35" s="14">
        <v>33</v>
      </c>
      <c r="B35" s="44" t="s">
        <v>249</v>
      </c>
      <c r="C35" s="1" t="s">
        <v>154</v>
      </c>
      <c r="D35" s="1" t="str">
        <v>Vayuda Turquoise</v>
      </c>
      <c r="E35" s="1" t="s">
        <v>64</v>
      </c>
      <c r="F35" s="1" t="s">
        <v>84</v>
      </c>
      <c r="G35" s="1" t="s">
        <v>544</v>
      </c>
      <c r="H35" s="1" t="s">
        <v>73</v>
      </c>
      <c r="I35" s="4" t="s">
        <v>545</v>
      </c>
    </row>
    <row r="36" spans="1:9" x14ac:dyDescent="0.25">
      <c r="A36" s="14">
        <v>34</v>
      </c>
      <c r="B36" s="44" t="s">
        <v>250</v>
      </c>
      <c r="C36" s="1" t="s">
        <v>526</v>
      </c>
      <c r="D36" s="1" t="str">
        <v>Shivada Jade</v>
      </c>
      <c r="E36" s="1" t="s">
        <v>69</v>
      </c>
      <c r="F36" s="1" t="s">
        <v>97</v>
      </c>
      <c r="G36" s="1" t="s">
        <v>546</v>
      </c>
      <c r="H36" s="1" t="s">
        <v>95</v>
      </c>
      <c r="I36" s="4" t="s">
        <v>543</v>
      </c>
    </row>
    <row r="37" spans="1:9" x14ac:dyDescent="0.25">
      <c r="A37" s="14">
        <v>35</v>
      </c>
      <c r="B37" s="44" t="s">
        <v>251</v>
      </c>
      <c r="C37" s="1" t="s">
        <v>518</v>
      </c>
      <c r="D37" s="1" t="str">
        <v>Agnidus Agate</v>
      </c>
      <c r="E37" s="1" t="s">
        <v>70</v>
      </c>
      <c r="F37" s="1" t="s">
        <v>59</v>
      </c>
      <c r="G37" s="1" t="s">
        <v>547</v>
      </c>
      <c r="H37" s="1" t="s">
        <v>89</v>
      </c>
      <c r="I37" s="4" t="s">
        <v>162</v>
      </c>
    </row>
    <row r="38" spans="1:9" x14ac:dyDescent="0.25">
      <c r="A38" s="14">
        <v>36</v>
      </c>
      <c r="B38" s="168" t="s">
        <v>252</v>
      </c>
      <c r="C38" s="1" t="s">
        <v>154</v>
      </c>
      <c r="D38" s="1" t="str">
        <v>Vayuda Turquoise</v>
      </c>
      <c r="E38" s="1" t="s">
        <v>64</v>
      </c>
      <c r="F38" s="1" t="s">
        <v>91</v>
      </c>
      <c r="G38" s="1" t="s">
        <v>548</v>
      </c>
      <c r="H38" s="1" t="s">
        <v>101</v>
      </c>
      <c r="I38" s="4" t="s">
        <v>545</v>
      </c>
    </row>
    <row r="39" spans="1:9" x14ac:dyDescent="0.25">
      <c r="A39" s="14">
        <v>37</v>
      </c>
      <c r="B39" s="44" t="s">
        <v>253</v>
      </c>
      <c r="C39" s="1" t="s">
        <v>160</v>
      </c>
      <c r="D39" s="1" t="str">
        <v>Vajrada Amethyst</v>
      </c>
      <c r="E39" s="1" t="s">
        <v>76</v>
      </c>
      <c r="F39" s="1" t="s">
        <v>97</v>
      </c>
      <c r="G39" s="1" t="s">
        <v>549</v>
      </c>
      <c r="H39" s="1" t="s">
        <v>101</v>
      </c>
      <c r="I39" s="4" t="s">
        <v>550</v>
      </c>
    </row>
    <row r="40" spans="1:9" x14ac:dyDescent="0.25">
      <c r="A40" s="14">
        <v>38</v>
      </c>
      <c r="B40" s="168" t="s">
        <v>254</v>
      </c>
      <c r="C40" s="1" t="s">
        <v>160</v>
      </c>
      <c r="D40" s="1" t="str">
        <v>Vajrada Amethyst</v>
      </c>
      <c r="E40" s="1" t="s">
        <v>76</v>
      </c>
      <c r="F40" s="1" t="s">
        <v>50</v>
      </c>
      <c r="G40" s="1" t="s">
        <v>551</v>
      </c>
      <c r="H40" s="1" t="s">
        <v>95</v>
      </c>
      <c r="I40" s="4" t="s">
        <v>552</v>
      </c>
    </row>
    <row r="41" spans="1:9" x14ac:dyDescent="0.25">
      <c r="A41" s="14">
        <v>39</v>
      </c>
      <c r="B41" s="44" t="s">
        <v>255</v>
      </c>
      <c r="C41" s="1" t="s">
        <v>166</v>
      </c>
      <c r="D41" s="1" t="str">
        <v>Varunada Lazurite</v>
      </c>
      <c r="E41" s="1" t="s">
        <v>72</v>
      </c>
      <c r="F41" s="1" t="s">
        <v>103</v>
      </c>
      <c r="G41" s="1" t="s">
        <v>553</v>
      </c>
      <c r="H41" s="1" t="s">
        <v>89</v>
      </c>
      <c r="I41" s="4" t="s">
        <v>554</v>
      </c>
    </row>
    <row r="42" spans="1:9" x14ac:dyDescent="0.25">
      <c r="A42" s="14">
        <v>40</v>
      </c>
      <c r="B42" s="44" t="s">
        <v>257</v>
      </c>
      <c r="C42" s="1" t="s">
        <v>526</v>
      </c>
      <c r="D42" s="1" t="str">
        <v>Shivada Jade</v>
      </c>
      <c r="E42" s="1" t="s">
        <v>62</v>
      </c>
      <c r="F42" s="1" t="s">
        <v>103</v>
      </c>
      <c r="G42" s="1" t="s">
        <v>548</v>
      </c>
      <c r="H42" s="1" t="s">
        <v>31</v>
      </c>
      <c r="I42" s="4" t="s">
        <v>550</v>
      </c>
    </row>
    <row r="43" spans="1:9" x14ac:dyDescent="0.25">
      <c r="A43" s="14">
        <v>41</v>
      </c>
      <c r="B43" s="168" t="s">
        <v>256</v>
      </c>
      <c r="C43" s="1" t="s">
        <v>518</v>
      </c>
      <c r="D43" s="1" t="str">
        <v>Agnidus Agate</v>
      </c>
      <c r="E43" s="1" t="s">
        <v>70</v>
      </c>
      <c r="F43" s="1" t="s">
        <v>84</v>
      </c>
      <c r="G43" s="1" t="s">
        <v>555</v>
      </c>
      <c r="H43" s="1" t="s">
        <v>89</v>
      </c>
      <c r="I43" s="4" t="s">
        <v>554</v>
      </c>
    </row>
    <row r="44" spans="1:9" x14ac:dyDescent="0.25">
      <c r="A44" s="14">
        <v>42</v>
      </c>
      <c r="B44" s="44" t="s">
        <v>258</v>
      </c>
      <c r="C44" s="1" t="s">
        <v>157</v>
      </c>
      <c r="D44" s="1" t="str">
        <v>Prithiva Topaz</v>
      </c>
      <c r="E44" s="1" t="s">
        <v>78</v>
      </c>
      <c r="F44" s="1" t="s">
        <v>33</v>
      </c>
      <c r="G44" s="1" t="s">
        <v>556</v>
      </c>
      <c r="H44" s="1" t="s">
        <v>95</v>
      </c>
      <c r="I44" s="4" t="s">
        <v>552</v>
      </c>
    </row>
    <row r="45" spans="1:9" x14ac:dyDescent="0.25">
      <c r="A45" s="14">
        <v>43</v>
      </c>
      <c r="B45" s="44" t="s">
        <v>259</v>
      </c>
      <c r="C45" s="1" t="s">
        <v>157</v>
      </c>
      <c r="D45" s="1" t="str">
        <v>Prithiva Topaz</v>
      </c>
      <c r="E45" s="1" t="s">
        <v>69</v>
      </c>
      <c r="F45" s="1" t="s">
        <v>103</v>
      </c>
      <c r="G45" s="1" t="s">
        <v>553</v>
      </c>
      <c r="H45" s="1" t="s">
        <v>101</v>
      </c>
      <c r="I45" s="4" t="s">
        <v>550</v>
      </c>
    </row>
    <row r="46" spans="1:9" x14ac:dyDescent="0.25">
      <c r="A46" s="14">
        <v>44</v>
      </c>
      <c r="B46" s="44" t="s">
        <v>260</v>
      </c>
      <c r="C46" s="1" t="s">
        <v>526</v>
      </c>
      <c r="D46" s="1" t="str">
        <v>Shivada Jade</v>
      </c>
      <c r="E46" s="1" t="s">
        <v>80</v>
      </c>
      <c r="F46" s="1" t="s">
        <v>91</v>
      </c>
      <c r="G46" s="1" t="s">
        <v>541</v>
      </c>
      <c r="H46" s="1" t="s">
        <v>66</v>
      </c>
      <c r="I46" s="4" t="s">
        <v>554</v>
      </c>
    </row>
    <row r="47" spans="1:9" x14ac:dyDescent="0.25">
      <c r="A47" s="14">
        <v>45</v>
      </c>
      <c r="B47" s="44" t="s">
        <v>261</v>
      </c>
      <c r="C47" s="1" t="s">
        <v>157</v>
      </c>
      <c r="D47" s="1" t="str">
        <v>Prithiva Topaz</v>
      </c>
      <c r="E47" s="1" t="s">
        <v>78</v>
      </c>
      <c r="F47" s="1" t="s">
        <v>50</v>
      </c>
      <c r="G47" s="1" t="s">
        <v>535</v>
      </c>
      <c r="H47" s="1" t="s">
        <v>73</v>
      </c>
      <c r="I47" s="4" t="s">
        <v>552</v>
      </c>
    </row>
    <row r="48" spans="1:9" x14ac:dyDescent="0.25">
      <c r="A48" s="14">
        <v>46</v>
      </c>
      <c r="B48" s="44" t="s">
        <v>262</v>
      </c>
      <c r="C48" s="1" t="s">
        <v>160</v>
      </c>
      <c r="D48" s="1" t="str">
        <v>Vajrada Amethyst</v>
      </c>
      <c r="E48" s="1" t="s">
        <v>80</v>
      </c>
      <c r="F48" s="1" t="s">
        <v>97</v>
      </c>
      <c r="G48" s="1" t="s">
        <v>544</v>
      </c>
      <c r="H48" s="1" t="s">
        <v>101</v>
      </c>
      <c r="I48" s="4" t="s">
        <v>557</v>
      </c>
    </row>
    <row r="49" spans="1:9" x14ac:dyDescent="0.25">
      <c r="A49" s="14">
        <v>47</v>
      </c>
      <c r="B49" s="44" t="s">
        <v>263</v>
      </c>
      <c r="C49" s="1" t="s">
        <v>166</v>
      </c>
      <c r="D49" s="1" t="str">
        <v>Varunada Lazurite</v>
      </c>
      <c r="E49" s="1" t="s">
        <v>72</v>
      </c>
      <c r="F49" s="1" t="s">
        <v>97</v>
      </c>
      <c r="G49" s="1" t="s">
        <v>546</v>
      </c>
      <c r="H49" s="1" t="s">
        <v>95</v>
      </c>
      <c r="I49" s="4" t="s">
        <v>165</v>
      </c>
    </row>
    <row r="50" spans="1:9" x14ac:dyDescent="0.25">
      <c r="A50" s="14">
        <v>48</v>
      </c>
      <c r="B50" s="44" t="s">
        <v>264</v>
      </c>
      <c r="C50" s="44" t="s">
        <v>166</v>
      </c>
      <c r="D50" s="1" t="str">
        <v>Varunada Lazurite</v>
      </c>
      <c r="E50" s="44" t="s">
        <v>85</v>
      </c>
      <c r="F50" s="44" t="s">
        <v>75</v>
      </c>
      <c r="G50" s="44" t="s">
        <v>539</v>
      </c>
      <c r="H50" s="44" t="s">
        <v>66</v>
      </c>
      <c r="I50" s="45" t="s">
        <v>545</v>
      </c>
    </row>
    <row r="51" spans="1:9" x14ac:dyDescent="0.25">
      <c r="A51" s="14">
        <v>49</v>
      </c>
      <c r="B51" s="44" t="s">
        <v>265</v>
      </c>
      <c r="C51" s="44" t="s">
        <v>160</v>
      </c>
      <c r="D51" s="1" t="str">
        <v>Vajrada Amethyst</v>
      </c>
      <c r="E51" s="44" t="s">
        <v>85</v>
      </c>
      <c r="F51" s="44" t="s">
        <v>103</v>
      </c>
      <c r="G51" s="44" t="s">
        <v>547</v>
      </c>
      <c r="H51" s="44" t="s">
        <v>95</v>
      </c>
      <c r="I51" s="45" t="s">
        <v>558</v>
      </c>
    </row>
    <row r="52" spans="1:9" x14ac:dyDescent="0.25">
      <c r="A52" s="14">
        <v>50</v>
      </c>
      <c r="B52" s="168" t="s">
        <v>266</v>
      </c>
      <c r="C52" s="1" t="s">
        <v>154</v>
      </c>
      <c r="D52" s="1" t="str">
        <v>Vayuda Turquoise</v>
      </c>
      <c r="E52" s="1" t="s">
        <v>85</v>
      </c>
      <c r="F52" s="1" t="s">
        <v>84</v>
      </c>
      <c r="G52" s="1" t="s">
        <v>556</v>
      </c>
      <c r="H52" s="1" t="s">
        <v>89</v>
      </c>
      <c r="I52" s="4" t="s">
        <v>557</v>
      </c>
    </row>
    <row r="53" spans="1:9" x14ac:dyDescent="0.25">
      <c r="A53" s="14">
        <v>51</v>
      </c>
      <c r="B53" s="44" t="s">
        <v>267</v>
      </c>
      <c r="C53" s="44" t="s">
        <v>163</v>
      </c>
      <c r="D53" s="1" t="str">
        <v>Nagadus Emerald</v>
      </c>
      <c r="E53" s="44" t="s">
        <v>87</v>
      </c>
      <c r="F53" s="44" t="s">
        <v>109</v>
      </c>
      <c r="G53" s="44" t="s">
        <v>559</v>
      </c>
      <c r="H53" s="44" t="s">
        <v>107</v>
      </c>
      <c r="I53" s="45" t="s">
        <v>557</v>
      </c>
    </row>
    <row r="54" spans="1:9" x14ac:dyDescent="0.25">
      <c r="A54" s="14">
        <v>52</v>
      </c>
      <c r="B54" s="44" t="s">
        <v>268</v>
      </c>
      <c r="C54" s="44" t="s">
        <v>163</v>
      </c>
      <c r="D54" s="1" t="str">
        <v>Nagadus Emerald</v>
      </c>
      <c r="E54" s="44" t="s">
        <v>87</v>
      </c>
      <c r="F54" s="44" t="s">
        <v>68</v>
      </c>
      <c r="G54" s="44" t="s">
        <v>560</v>
      </c>
      <c r="H54" s="44" t="s">
        <v>119</v>
      </c>
      <c r="I54" s="45" t="s">
        <v>558</v>
      </c>
    </row>
    <row r="55" spans="1:9" x14ac:dyDescent="0.25">
      <c r="A55" s="14">
        <v>53</v>
      </c>
      <c r="B55" s="137" t="s">
        <v>269</v>
      </c>
      <c r="C55" s="1" t="s">
        <v>160</v>
      </c>
      <c r="D55" s="1" t="str">
        <v>Vajrada Amethyst</v>
      </c>
      <c r="E55" s="44" t="s">
        <v>88</v>
      </c>
      <c r="F55" s="44" t="s">
        <v>115</v>
      </c>
      <c r="G55" s="44" t="s">
        <v>561</v>
      </c>
      <c r="H55" s="44" t="s">
        <v>113</v>
      </c>
      <c r="I55" s="45" t="s">
        <v>543</v>
      </c>
    </row>
    <row r="56" spans="1:9" x14ac:dyDescent="0.25">
      <c r="A56" s="14">
        <v>54</v>
      </c>
      <c r="B56" s="44" t="s">
        <v>270</v>
      </c>
      <c r="C56" s="44" t="s">
        <v>160</v>
      </c>
      <c r="D56" s="1" t="str">
        <v>Vajrada Amethyst</v>
      </c>
      <c r="E56" s="44" t="s">
        <v>88</v>
      </c>
      <c r="F56" s="44" t="s">
        <v>59</v>
      </c>
      <c r="G56" s="44" t="s">
        <v>562</v>
      </c>
      <c r="H56" s="44" t="s">
        <v>107</v>
      </c>
      <c r="I56" s="4" t="s">
        <v>165</v>
      </c>
    </row>
    <row r="57" spans="1:9" x14ac:dyDescent="0.25">
      <c r="A57" s="14">
        <v>55</v>
      </c>
      <c r="B57" s="137" t="s">
        <v>271</v>
      </c>
      <c r="C57" s="44" t="s">
        <v>166</v>
      </c>
      <c r="D57" s="1" t="str">
        <v>Varunada Lazurite</v>
      </c>
      <c r="E57" s="44" t="s">
        <v>93</v>
      </c>
      <c r="F57" s="44" t="s">
        <v>115</v>
      </c>
      <c r="G57" s="44" t="s">
        <v>563</v>
      </c>
      <c r="H57" s="44" t="s">
        <v>107</v>
      </c>
      <c r="I57" s="45" t="s">
        <v>558</v>
      </c>
    </row>
    <row r="58" spans="1:9" x14ac:dyDescent="0.25">
      <c r="A58" s="14">
        <v>56</v>
      </c>
      <c r="B58" s="44" t="s">
        <v>272</v>
      </c>
      <c r="C58" s="44" t="s">
        <v>166</v>
      </c>
      <c r="D58" s="1" t="str">
        <v>Varunada Lazurite</v>
      </c>
      <c r="E58" s="44" t="s">
        <v>92</v>
      </c>
      <c r="F58" s="44" t="s">
        <v>109</v>
      </c>
      <c r="G58" s="44" t="s">
        <v>564</v>
      </c>
      <c r="H58" s="44" t="s">
        <v>119</v>
      </c>
      <c r="I58" s="45" t="s">
        <v>558</v>
      </c>
    </row>
    <row r="59" spans="1:9" x14ac:dyDescent="0.25">
      <c r="A59" s="14">
        <v>57</v>
      </c>
      <c r="B59" s="44" t="s">
        <v>273</v>
      </c>
      <c r="C59" s="44" t="s">
        <v>163</v>
      </c>
      <c r="D59" s="1" t="str">
        <v>Nagadus Emerald</v>
      </c>
      <c r="E59" s="44" t="s">
        <v>94</v>
      </c>
      <c r="F59" s="44" t="s">
        <v>109</v>
      </c>
      <c r="G59" s="44" t="s">
        <v>561</v>
      </c>
      <c r="H59" s="44" t="s">
        <v>113</v>
      </c>
      <c r="I59" s="45" t="s">
        <v>565</v>
      </c>
    </row>
    <row r="60" spans="1:9" x14ac:dyDescent="0.25">
      <c r="A60" s="14">
        <v>58</v>
      </c>
      <c r="B60" s="137" t="s">
        <v>274</v>
      </c>
      <c r="C60" s="44" t="s">
        <v>526</v>
      </c>
      <c r="D60" s="1" t="str">
        <v>Shivada Jade</v>
      </c>
      <c r="E60" s="44" t="s">
        <v>92</v>
      </c>
      <c r="F60" s="44" t="s">
        <v>59</v>
      </c>
      <c r="G60" s="44" t="s">
        <v>559</v>
      </c>
      <c r="H60" s="44" t="s">
        <v>113</v>
      </c>
      <c r="I60" s="45" t="s">
        <v>566</v>
      </c>
    </row>
    <row r="61" spans="1:9" x14ac:dyDescent="0.25">
      <c r="A61" s="19">
        <v>59</v>
      </c>
      <c r="B61" s="44" t="s">
        <v>275</v>
      </c>
      <c r="C61" s="44" t="s">
        <v>154</v>
      </c>
      <c r="D61" s="1" t="str">
        <v>Vayuda Turquoise</v>
      </c>
      <c r="E61" s="44" t="s">
        <v>92</v>
      </c>
      <c r="F61" s="44" t="s">
        <v>97</v>
      </c>
      <c r="G61" s="44" t="s">
        <v>560</v>
      </c>
      <c r="H61" s="44" t="s">
        <v>119</v>
      </c>
      <c r="I61" s="45" t="s">
        <v>567</v>
      </c>
    </row>
    <row r="62" spans="1:9" x14ac:dyDescent="0.25">
      <c r="A62" s="19">
        <v>60</v>
      </c>
      <c r="B62" s="44" t="s">
        <v>276</v>
      </c>
      <c r="C62" s="44" t="s">
        <v>154</v>
      </c>
      <c r="D62" s="1" t="str">
        <v>Vayuda Turquoise</v>
      </c>
      <c r="E62" s="44" t="s">
        <v>93</v>
      </c>
      <c r="F62" s="44" t="s">
        <v>115</v>
      </c>
      <c r="G62" s="44" t="s">
        <v>563</v>
      </c>
      <c r="H62" s="44" t="s">
        <v>107</v>
      </c>
      <c r="I62" s="45" t="s">
        <v>565</v>
      </c>
    </row>
    <row r="63" spans="1:9" x14ac:dyDescent="0.25">
      <c r="A63" s="19">
        <v>61</v>
      </c>
      <c r="B63" s="44" t="s">
        <v>277</v>
      </c>
      <c r="C63" s="44" t="s">
        <v>163</v>
      </c>
      <c r="D63" s="1" t="str">
        <v>Nagadus Emerald</v>
      </c>
      <c r="E63" s="44" t="s">
        <v>98</v>
      </c>
      <c r="F63" s="44" t="s">
        <v>115</v>
      </c>
      <c r="G63" s="44" t="s">
        <v>568</v>
      </c>
      <c r="H63" s="44" t="s">
        <v>113</v>
      </c>
      <c r="I63" s="45" t="s">
        <v>566</v>
      </c>
    </row>
    <row r="64" spans="1:9" x14ac:dyDescent="0.25">
      <c r="A64" s="19">
        <v>62</v>
      </c>
      <c r="B64" s="137" t="s">
        <v>278</v>
      </c>
      <c r="C64" s="44" t="s">
        <v>163</v>
      </c>
      <c r="D64" s="1" t="str">
        <v>Nagadus Emerald</v>
      </c>
      <c r="E64" s="44" t="s">
        <v>94</v>
      </c>
      <c r="F64" s="44" t="s">
        <v>33</v>
      </c>
      <c r="G64" s="44" t="s">
        <v>523</v>
      </c>
      <c r="H64" s="44" t="s">
        <v>73</v>
      </c>
      <c r="I64" s="45" t="s">
        <v>567</v>
      </c>
    </row>
    <row r="65" spans="1:9" x14ac:dyDescent="0.25">
      <c r="A65" s="19">
        <v>63</v>
      </c>
      <c r="B65" s="44" t="s">
        <v>279</v>
      </c>
      <c r="C65" s="44" t="s">
        <v>518</v>
      </c>
      <c r="D65" s="1" t="str">
        <v>Agnidus Agate</v>
      </c>
      <c r="E65" s="44" t="s">
        <v>93</v>
      </c>
      <c r="F65" s="44" t="s">
        <v>115</v>
      </c>
      <c r="G65" s="44" t="s">
        <v>568</v>
      </c>
      <c r="H65" s="44" t="s">
        <v>119</v>
      </c>
      <c r="I65" s="45" t="s">
        <v>565</v>
      </c>
    </row>
    <row r="66" spans="1:9" x14ac:dyDescent="0.25">
      <c r="A66" s="19">
        <v>64</v>
      </c>
      <c r="B66" s="44" t="s">
        <v>280</v>
      </c>
      <c r="C66" s="44" t="s">
        <v>526</v>
      </c>
      <c r="D66" s="1" t="str">
        <v>Shivada Jade</v>
      </c>
      <c r="E66" s="44" t="s">
        <v>98</v>
      </c>
      <c r="F66" s="44" t="s">
        <v>75</v>
      </c>
      <c r="G66" s="44" t="s">
        <v>522</v>
      </c>
      <c r="H66" s="44" t="s">
        <v>57</v>
      </c>
      <c r="I66" s="45" t="s">
        <v>566</v>
      </c>
    </row>
    <row r="67" spans="1:9" x14ac:dyDescent="0.25">
      <c r="A67" s="19">
        <v>65</v>
      </c>
      <c r="B67" s="44" t="s">
        <v>281</v>
      </c>
      <c r="C67" s="44" t="s">
        <v>163</v>
      </c>
      <c r="D67" s="1" t="str">
        <v>Nagadus Emerald</v>
      </c>
      <c r="E67" s="44" t="s">
        <v>99</v>
      </c>
      <c r="F67" s="44" t="s">
        <v>109</v>
      </c>
      <c r="G67" s="44" t="s">
        <v>536</v>
      </c>
      <c r="H67" s="44" t="s">
        <v>82</v>
      </c>
      <c r="I67" s="45" t="s">
        <v>168</v>
      </c>
    </row>
    <row r="68" spans="1:9" x14ac:dyDescent="0.25">
      <c r="A68" s="19">
        <v>66</v>
      </c>
      <c r="B68" s="44" t="s">
        <v>282</v>
      </c>
      <c r="C68" s="44" t="s">
        <v>163</v>
      </c>
      <c r="D68" s="1" t="str">
        <v>Nagadus Emerald</v>
      </c>
      <c r="E68" s="44" t="s">
        <v>94</v>
      </c>
      <c r="F68" s="44" t="s">
        <v>109</v>
      </c>
      <c r="G68" s="44" t="s">
        <v>569</v>
      </c>
      <c r="H68" s="44" t="s">
        <v>113</v>
      </c>
      <c r="I68" s="45" t="s">
        <v>570</v>
      </c>
    </row>
    <row r="69" spans="1:9" x14ac:dyDescent="0.25">
      <c r="A69" s="19">
        <v>67</v>
      </c>
      <c r="B69" s="44" t="s">
        <v>283</v>
      </c>
      <c r="C69" s="44" t="s">
        <v>163</v>
      </c>
      <c r="D69" s="1" t="str">
        <v>Nagadus Emerald</v>
      </c>
      <c r="E69" s="44" t="s">
        <v>99</v>
      </c>
      <c r="F69" s="44" t="s">
        <v>103</v>
      </c>
      <c r="G69" s="44" t="s">
        <v>549</v>
      </c>
      <c r="H69" s="44" t="s">
        <v>89</v>
      </c>
      <c r="I69" s="45" t="s">
        <v>571</v>
      </c>
    </row>
    <row r="70" spans="1:9" x14ac:dyDescent="0.25">
      <c r="A70" s="19">
        <v>68</v>
      </c>
      <c r="B70" s="44" t="s">
        <v>284</v>
      </c>
      <c r="C70" s="44" t="s">
        <v>518</v>
      </c>
      <c r="D70" s="1" t="str">
        <v>Agnidus Agate</v>
      </c>
      <c r="E70" s="44" t="s">
        <v>105</v>
      </c>
      <c r="F70" s="44" t="s">
        <v>75</v>
      </c>
      <c r="G70" s="44" t="s">
        <v>572</v>
      </c>
      <c r="H70" s="44" t="s">
        <v>125</v>
      </c>
      <c r="I70" s="45" t="s">
        <v>570</v>
      </c>
    </row>
    <row r="71" spans="1:9" x14ac:dyDescent="0.25">
      <c r="A71" s="19">
        <v>69</v>
      </c>
      <c r="B71" s="44" t="s">
        <v>285</v>
      </c>
      <c r="C71" s="44" t="s">
        <v>154</v>
      </c>
      <c r="D71" s="1" t="str">
        <v>Vayuda Turquoise</v>
      </c>
      <c r="E71" s="44" t="s">
        <v>100</v>
      </c>
      <c r="F71" s="44" t="s">
        <v>127</v>
      </c>
      <c r="G71" s="44" t="s">
        <v>573</v>
      </c>
      <c r="H71" s="44" t="s">
        <v>131</v>
      </c>
      <c r="I71" s="45" t="s">
        <v>571</v>
      </c>
    </row>
    <row r="72" spans="1:9" x14ac:dyDescent="0.25">
      <c r="A72" s="19">
        <v>70</v>
      </c>
      <c r="B72" s="137" t="s">
        <v>286</v>
      </c>
      <c r="C72" s="44" t="s">
        <v>526</v>
      </c>
      <c r="D72" s="1" t="str">
        <v>Shivada Jade</v>
      </c>
      <c r="E72" s="44" t="s">
        <v>104</v>
      </c>
      <c r="F72" s="44" t="s">
        <v>121</v>
      </c>
      <c r="G72" s="44" t="s">
        <v>574</v>
      </c>
      <c r="H72" s="44" t="s">
        <v>128</v>
      </c>
      <c r="I72" s="45" t="s">
        <v>168</v>
      </c>
    </row>
    <row r="73" spans="1:9" x14ac:dyDescent="0.25">
      <c r="A73" s="19">
        <v>71</v>
      </c>
      <c r="B73" s="44" t="s">
        <v>287</v>
      </c>
      <c r="C73" s="44" t="s">
        <v>166</v>
      </c>
      <c r="D73" s="1" t="str">
        <v>Varunada Lazurite</v>
      </c>
      <c r="E73" s="44" t="s">
        <v>110</v>
      </c>
      <c r="F73" s="44" t="s">
        <v>121</v>
      </c>
      <c r="G73" s="44" t="s">
        <v>575</v>
      </c>
      <c r="H73" s="44" t="s">
        <v>125</v>
      </c>
      <c r="I73" s="45" t="s">
        <v>571</v>
      </c>
    </row>
    <row r="74" spans="1:9" x14ac:dyDescent="0.25">
      <c r="A74" s="19">
        <v>72</v>
      </c>
      <c r="B74" s="44" t="s">
        <v>288</v>
      </c>
      <c r="C74" s="44" t="s">
        <v>526</v>
      </c>
      <c r="D74" s="1" t="str">
        <v>Shivada Jade</v>
      </c>
      <c r="E74" s="44" t="s">
        <v>106</v>
      </c>
      <c r="F74" s="44" t="s">
        <v>127</v>
      </c>
      <c r="G74" s="44" t="s">
        <v>576</v>
      </c>
      <c r="H74" s="44" t="s">
        <v>131</v>
      </c>
      <c r="I74" s="45" t="s">
        <v>570</v>
      </c>
    </row>
    <row r="75" spans="1:9" x14ac:dyDescent="0.25">
      <c r="A75" s="19">
        <v>73</v>
      </c>
      <c r="B75" s="44" t="s">
        <v>289</v>
      </c>
      <c r="C75" s="44" t="s">
        <v>166</v>
      </c>
      <c r="D75" s="1" t="str">
        <v>Varunada Lazurite</v>
      </c>
      <c r="E75" s="44" t="s">
        <v>111</v>
      </c>
      <c r="F75" s="44" t="s">
        <v>91</v>
      </c>
      <c r="G75" s="44" t="s">
        <v>577</v>
      </c>
      <c r="H75" s="44" t="s">
        <v>128</v>
      </c>
      <c r="I75" s="45" t="s">
        <v>578</v>
      </c>
    </row>
    <row r="76" spans="1:9" x14ac:dyDescent="0.25">
      <c r="A76" s="19">
        <v>74</v>
      </c>
      <c r="B76" s="137" t="s">
        <v>290</v>
      </c>
      <c r="C76" s="44" t="s">
        <v>526</v>
      </c>
      <c r="D76" s="1" t="str">
        <v>Shivada Jade</v>
      </c>
      <c r="E76" s="44" t="s">
        <v>106</v>
      </c>
      <c r="F76" s="44" t="s">
        <v>127</v>
      </c>
      <c r="G76" s="44" t="s">
        <v>579</v>
      </c>
      <c r="H76" s="44" t="s">
        <v>128</v>
      </c>
      <c r="I76" s="45" t="s">
        <v>580</v>
      </c>
    </row>
    <row r="77" spans="1:9" x14ac:dyDescent="0.25">
      <c r="A77" s="19">
        <v>75</v>
      </c>
      <c r="B77" s="44" t="s">
        <v>291</v>
      </c>
      <c r="C77" s="44" t="s">
        <v>157</v>
      </c>
      <c r="D77" s="1" t="str">
        <v>Prithiva Topaz</v>
      </c>
      <c r="E77" s="44" t="s">
        <v>104</v>
      </c>
      <c r="F77" s="44" t="s">
        <v>121</v>
      </c>
      <c r="G77" s="44" t="s">
        <v>581</v>
      </c>
      <c r="H77" s="44" t="s">
        <v>125</v>
      </c>
      <c r="I77" s="45" t="s">
        <v>580</v>
      </c>
    </row>
    <row r="78" spans="1:9" x14ac:dyDescent="0.25">
      <c r="A78" s="19">
        <v>76</v>
      </c>
      <c r="B78" s="44" t="s">
        <v>292</v>
      </c>
      <c r="C78" s="44" t="s">
        <v>518</v>
      </c>
      <c r="D78" s="1" t="str">
        <v>Agnidus Agate</v>
      </c>
      <c r="E78" s="44" t="s">
        <v>110</v>
      </c>
      <c r="F78" s="44" t="s">
        <v>127</v>
      </c>
      <c r="G78" s="44" t="s">
        <v>573</v>
      </c>
      <c r="H78" s="44" t="s">
        <v>131</v>
      </c>
      <c r="I78" s="45" t="s">
        <v>582</v>
      </c>
    </row>
    <row r="79" spans="1:9" x14ac:dyDescent="0.25">
      <c r="A79" s="19">
        <v>77</v>
      </c>
      <c r="B79" s="44" t="s">
        <v>293</v>
      </c>
      <c r="C79" s="44" t="s">
        <v>154</v>
      </c>
      <c r="D79" s="1" t="str">
        <v>Vayuda Turquoise</v>
      </c>
      <c r="E79" s="44" t="s">
        <v>112</v>
      </c>
      <c r="F79" s="44" t="s">
        <v>59</v>
      </c>
      <c r="G79" s="44" t="s">
        <v>583</v>
      </c>
      <c r="H79" s="44" t="s">
        <v>82</v>
      </c>
      <c r="I79" s="45" t="s">
        <v>582</v>
      </c>
    </row>
    <row r="80" spans="1:9" x14ac:dyDescent="0.25">
      <c r="A80" s="19">
        <v>78</v>
      </c>
      <c r="B80" s="137" t="s">
        <v>294</v>
      </c>
      <c r="C80" s="44" t="s">
        <v>518</v>
      </c>
      <c r="D80" s="1" t="str">
        <v>Agnidus Agate</v>
      </c>
      <c r="E80" s="44" t="s">
        <v>105</v>
      </c>
      <c r="F80" s="44" t="s">
        <v>33</v>
      </c>
      <c r="G80" s="44" t="s">
        <v>539</v>
      </c>
      <c r="H80" s="44" t="s">
        <v>66</v>
      </c>
      <c r="I80" s="45" t="s">
        <v>578</v>
      </c>
    </row>
    <row r="81" spans="1:9" x14ac:dyDescent="0.25">
      <c r="A81" s="19">
        <v>79</v>
      </c>
      <c r="B81" s="44" t="s">
        <v>295</v>
      </c>
      <c r="C81" s="44" t="s">
        <v>157</v>
      </c>
      <c r="D81" s="1" t="str">
        <v>Prithiva Topaz</v>
      </c>
      <c r="E81" s="44" t="s">
        <v>100</v>
      </c>
      <c r="F81" s="44" t="s">
        <v>103</v>
      </c>
      <c r="G81" s="44" t="s">
        <v>551</v>
      </c>
      <c r="H81" s="44" t="s">
        <v>101</v>
      </c>
      <c r="I81" s="45" t="s">
        <v>580</v>
      </c>
    </row>
    <row r="82" spans="1:9" x14ac:dyDescent="0.25">
      <c r="A82" s="19">
        <v>80</v>
      </c>
      <c r="B82" s="44" t="s">
        <v>296</v>
      </c>
      <c r="C82" s="44" t="s">
        <v>518</v>
      </c>
      <c r="D82" s="1" t="str">
        <v>Agnidus Agate</v>
      </c>
      <c r="E82" s="44" t="s">
        <v>116</v>
      </c>
      <c r="F82" s="44" t="s">
        <v>75</v>
      </c>
      <c r="G82" s="44" t="s">
        <v>572</v>
      </c>
      <c r="H82" s="44" t="s">
        <v>131</v>
      </c>
      <c r="I82" s="45" t="s">
        <v>584</v>
      </c>
    </row>
    <row r="83" spans="1:9" x14ac:dyDescent="0.25">
      <c r="A83" s="19">
        <v>81</v>
      </c>
      <c r="B83" s="44" t="s">
        <v>297</v>
      </c>
      <c r="C83" s="44" t="s">
        <v>160</v>
      </c>
      <c r="D83" s="1" t="str">
        <v>Vajrada Amethyst</v>
      </c>
      <c r="E83" s="44" t="s">
        <v>110</v>
      </c>
      <c r="F83" s="44" t="s">
        <v>121</v>
      </c>
      <c r="G83" s="44" t="s">
        <v>575</v>
      </c>
      <c r="H83" s="44" t="s">
        <v>128</v>
      </c>
      <c r="I83" s="45" t="s">
        <v>571</v>
      </c>
    </row>
    <row r="84" spans="1:9" x14ac:dyDescent="0.25">
      <c r="A84" s="19">
        <v>82</v>
      </c>
      <c r="B84" s="137" t="s">
        <v>298</v>
      </c>
      <c r="C84" s="44" t="s">
        <v>160</v>
      </c>
      <c r="D84" s="1" t="str">
        <v>Vajrada Amethyst</v>
      </c>
      <c r="E84" s="44" t="s">
        <v>112</v>
      </c>
      <c r="F84" s="44" t="s">
        <v>115</v>
      </c>
      <c r="G84" s="44" t="s">
        <v>585</v>
      </c>
      <c r="H84" s="44" t="s">
        <v>119</v>
      </c>
      <c r="I84" s="45" t="s">
        <v>567</v>
      </c>
    </row>
    <row r="85" spans="1:9" x14ac:dyDescent="0.25">
      <c r="A85" s="19">
        <v>83</v>
      </c>
      <c r="B85" s="44" t="s">
        <v>299</v>
      </c>
      <c r="C85" s="44" t="s">
        <v>166</v>
      </c>
      <c r="D85" s="1" t="str">
        <v>Varunada Lazurite</v>
      </c>
      <c r="E85" s="44" t="s">
        <v>111</v>
      </c>
      <c r="F85" s="44" t="s">
        <v>121</v>
      </c>
      <c r="G85" s="44" t="s">
        <v>574</v>
      </c>
      <c r="H85" s="44" t="s">
        <v>125</v>
      </c>
      <c r="I85" s="45" t="s">
        <v>582</v>
      </c>
    </row>
    <row r="86" spans="1:9" x14ac:dyDescent="0.25">
      <c r="A86" s="19">
        <v>84</v>
      </c>
      <c r="B86" s="44" t="s">
        <v>300</v>
      </c>
      <c r="C86" s="44" t="s">
        <v>163</v>
      </c>
      <c r="D86" s="1" t="str">
        <v>Nagadus Emerald</v>
      </c>
      <c r="E86" s="44" t="s">
        <v>116</v>
      </c>
      <c r="F86" s="44" t="s">
        <v>127</v>
      </c>
      <c r="G86" s="44" t="s">
        <v>577</v>
      </c>
      <c r="H86" s="44" t="s">
        <v>131</v>
      </c>
      <c r="I86" s="45" t="s">
        <v>586</v>
      </c>
    </row>
    <row r="87" spans="1:9" x14ac:dyDescent="0.25">
      <c r="A87" s="19">
        <v>85</v>
      </c>
      <c r="B87" s="44" t="s">
        <v>301</v>
      </c>
      <c r="C87" s="44" t="s">
        <v>166</v>
      </c>
      <c r="D87" s="1" t="str">
        <v>Varunada Lazurite</v>
      </c>
      <c r="E87" s="44" t="s">
        <v>117</v>
      </c>
      <c r="F87" s="44" t="s">
        <v>133</v>
      </c>
      <c r="G87" s="44" t="s">
        <v>587</v>
      </c>
      <c r="H87" s="44" t="s">
        <v>134</v>
      </c>
      <c r="I87" s="45" t="s">
        <v>578</v>
      </c>
    </row>
    <row r="88" spans="1:9" x14ac:dyDescent="0.25">
      <c r="A88" s="19">
        <v>86</v>
      </c>
      <c r="B88" s="44" t="s">
        <v>302</v>
      </c>
      <c r="C88" s="44" t="s">
        <v>157</v>
      </c>
      <c r="D88" s="1" t="str">
        <v>Prithiva Topaz</v>
      </c>
      <c r="E88" s="44" t="s">
        <v>118</v>
      </c>
      <c r="F88" s="44" t="s">
        <v>133</v>
      </c>
      <c r="G88" s="44" t="s">
        <v>588</v>
      </c>
      <c r="H88" s="44" t="s">
        <v>137</v>
      </c>
      <c r="I88" s="45" t="s">
        <v>584</v>
      </c>
    </row>
    <row r="89" spans="1:9" x14ac:dyDescent="0.25">
      <c r="A89" s="19">
        <v>87</v>
      </c>
      <c r="B89" s="44" t="s">
        <v>303</v>
      </c>
      <c r="C89" s="44" t="s">
        <v>163</v>
      </c>
      <c r="D89" s="1" t="str">
        <v>Nagadus Emerald</v>
      </c>
      <c r="E89" s="44" t="s">
        <v>118</v>
      </c>
      <c r="F89" s="44" t="s">
        <v>130</v>
      </c>
      <c r="G89" s="44" t="s">
        <v>589</v>
      </c>
      <c r="H89" s="44" t="s">
        <v>135</v>
      </c>
      <c r="I89" s="45" t="s">
        <v>590</v>
      </c>
    </row>
    <row r="90" spans="1:9" x14ac:dyDescent="0.25">
      <c r="A90" s="19">
        <v>88</v>
      </c>
      <c r="B90" s="44" t="s">
        <v>304</v>
      </c>
      <c r="C90" s="44" t="s">
        <v>157</v>
      </c>
      <c r="D90" s="1" t="str">
        <v>Prithiva Topaz</v>
      </c>
      <c r="E90" s="44" t="s">
        <v>122</v>
      </c>
      <c r="F90" s="44" t="s">
        <v>133</v>
      </c>
      <c r="G90" s="44" t="s">
        <v>591</v>
      </c>
      <c r="H90" s="44" t="s">
        <v>135</v>
      </c>
      <c r="I90" s="45" t="s">
        <v>566</v>
      </c>
    </row>
    <row r="91" spans="1:9" x14ac:dyDescent="0.25">
      <c r="A91" s="19">
        <v>89</v>
      </c>
      <c r="B91" s="44" t="s">
        <v>305</v>
      </c>
      <c r="C91" s="44" t="s">
        <v>518</v>
      </c>
      <c r="D91" s="1" t="str">
        <v>Agnidus Agate</v>
      </c>
      <c r="E91" s="44" t="s">
        <v>123</v>
      </c>
      <c r="F91" s="44" t="s">
        <v>130</v>
      </c>
      <c r="G91" s="44" t="s">
        <v>592</v>
      </c>
      <c r="H91" s="44" t="s">
        <v>137</v>
      </c>
      <c r="I91" s="45" t="s">
        <v>586</v>
      </c>
    </row>
    <row r="92" spans="1:9" x14ac:dyDescent="0.25">
      <c r="A92" s="19">
        <v>90</v>
      </c>
      <c r="B92" s="44" t="s">
        <v>306</v>
      </c>
      <c r="C92" s="44" t="s">
        <v>160</v>
      </c>
      <c r="D92" s="1" t="str">
        <v>Vajrada Amethyst</v>
      </c>
      <c r="E92" s="44" t="s">
        <v>117</v>
      </c>
      <c r="F92" s="44" t="s">
        <v>130</v>
      </c>
      <c r="G92" s="44" t="s">
        <v>593</v>
      </c>
      <c r="H92" s="44" t="s">
        <v>135</v>
      </c>
      <c r="I92" s="45" t="s">
        <v>580</v>
      </c>
    </row>
    <row r="93" spans="1:9" x14ac:dyDescent="0.25">
      <c r="A93" s="19">
        <v>91</v>
      </c>
      <c r="B93" s="44" t="s">
        <v>307</v>
      </c>
      <c r="C93" s="44" t="s">
        <v>518</v>
      </c>
      <c r="D93" s="1" t="str">
        <v>Agnidus Agate</v>
      </c>
      <c r="E93" s="44" t="s">
        <v>122</v>
      </c>
      <c r="F93" s="44" t="s">
        <v>133</v>
      </c>
      <c r="G93" s="44" t="s">
        <v>592</v>
      </c>
      <c r="H93" s="44" t="s">
        <v>134</v>
      </c>
      <c r="I93" s="45" t="s">
        <v>890</v>
      </c>
    </row>
    <row r="94" spans="1:9" x14ac:dyDescent="0.25">
      <c r="A94" s="19">
        <v>92</v>
      </c>
      <c r="B94" s="44" t="s">
        <v>308</v>
      </c>
      <c r="C94" s="44" t="s">
        <v>526</v>
      </c>
      <c r="D94" s="1" t="str">
        <v>Shivada Jade</v>
      </c>
      <c r="E94" s="44" t="s">
        <v>124</v>
      </c>
      <c r="F94" s="44" t="s">
        <v>130</v>
      </c>
      <c r="G94" s="44" t="s">
        <v>588</v>
      </c>
      <c r="H94" s="44" t="s">
        <v>135</v>
      </c>
      <c r="I94" s="45" t="s">
        <v>590</v>
      </c>
    </row>
    <row r="95" spans="1:9" x14ac:dyDescent="0.25">
      <c r="A95" s="19">
        <v>93</v>
      </c>
      <c r="B95" s="44" t="s">
        <v>309</v>
      </c>
      <c r="C95" s="44" t="s">
        <v>154</v>
      </c>
      <c r="D95" s="1" t="str">
        <v>Vayuda Turquoise</v>
      </c>
      <c r="E95" s="44" t="s">
        <v>122</v>
      </c>
      <c r="F95" s="44" t="s">
        <v>91</v>
      </c>
      <c r="G95" s="44" t="s">
        <v>583</v>
      </c>
      <c r="H95" s="44" t="s">
        <v>73</v>
      </c>
      <c r="I95" s="45" t="s">
        <v>891</v>
      </c>
    </row>
    <row r="96" spans="1:9" x14ac:dyDescent="0.25">
      <c r="A96" s="19">
        <v>94</v>
      </c>
      <c r="B96" s="44" t="s">
        <v>893</v>
      </c>
      <c r="C96" s="44" t="s">
        <v>154</v>
      </c>
      <c r="D96" s="1" t="str">
        <v>Vayuda Turquoise</v>
      </c>
      <c r="E96" s="44" t="s">
        <v>124</v>
      </c>
      <c r="F96" s="44" t="s">
        <v>97</v>
      </c>
      <c r="G96" s="44" t="s">
        <v>544</v>
      </c>
      <c r="H96" s="44" t="s">
        <v>89</v>
      </c>
      <c r="I96" s="45" t="s">
        <v>584</v>
      </c>
    </row>
    <row r="97" spans="1:9" x14ac:dyDescent="0.25">
      <c r="A97" s="19">
        <v>95</v>
      </c>
      <c r="B97" s="44" t="s">
        <v>895</v>
      </c>
      <c r="C97" s="44" t="s">
        <v>160</v>
      </c>
      <c r="D97" s="1" t="str">
        <v>Vajrada Amethyst</v>
      </c>
      <c r="E97" s="44" t="s">
        <v>896</v>
      </c>
      <c r="F97" s="44" t="s">
        <v>130</v>
      </c>
      <c r="G97" s="44" t="s">
        <v>897</v>
      </c>
      <c r="H97" s="44" t="s">
        <v>137</v>
      </c>
      <c r="I97" s="45" t="s">
        <v>892</v>
      </c>
    </row>
    <row r="98" spans="1:9" x14ac:dyDescent="0.25">
      <c r="A98" s="19">
        <v>96</v>
      </c>
      <c r="B98" s="44" t="s">
        <v>898</v>
      </c>
      <c r="C98" s="44" t="s">
        <v>160</v>
      </c>
      <c r="D98" s="1" t="str">
        <v>Vajrada Amethyst</v>
      </c>
      <c r="E98" s="44" t="s">
        <v>123</v>
      </c>
      <c r="F98" s="44" t="s">
        <v>133</v>
      </c>
      <c r="G98" s="44" t="s">
        <v>899</v>
      </c>
      <c r="H98" s="44" t="s">
        <v>134</v>
      </c>
      <c r="I98" s="45" t="s">
        <v>590</v>
      </c>
    </row>
    <row r="99" spans="1:9" x14ac:dyDescent="0.25">
      <c r="A99" s="19">
        <v>97</v>
      </c>
      <c r="B99" s="44" t="s">
        <v>907</v>
      </c>
      <c r="C99" s="44" t="s">
        <v>526</v>
      </c>
      <c r="D99" s="1" t="str">
        <v>Shivada Jade</v>
      </c>
      <c r="E99" s="44" t="s">
        <v>908</v>
      </c>
      <c r="F99" s="44" t="s">
        <v>127</v>
      </c>
      <c r="G99" s="44" t="s">
        <v>579</v>
      </c>
      <c r="H99" s="44" t="s">
        <v>128</v>
      </c>
      <c r="I99" s="45" t="s">
        <v>890</v>
      </c>
    </row>
    <row r="100" spans="1:9" x14ac:dyDescent="0.25">
      <c r="A100" s="19">
        <v>98</v>
      </c>
      <c r="B100" s="44" t="s">
        <v>909</v>
      </c>
      <c r="C100" s="44" t="s">
        <v>154</v>
      </c>
      <c r="D100" s="1" t="str">
        <v>Vayuda Turquoise</v>
      </c>
      <c r="E100" s="44" t="s">
        <v>896</v>
      </c>
      <c r="F100" s="44" t="s">
        <v>130</v>
      </c>
      <c r="G100" s="44" t="s">
        <v>589</v>
      </c>
      <c r="H100" s="44" t="s">
        <v>137</v>
      </c>
      <c r="I100" s="45" t="s">
        <v>918</v>
      </c>
    </row>
    <row r="101" spans="1:9" x14ac:dyDescent="0.25">
      <c r="A101" s="19">
        <v>99</v>
      </c>
      <c r="B101" s="44" t="s">
        <v>914</v>
      </c>
      <c r="C101" s="44" t="s">
        <v>526</v>
      </c>
      <c r="D101" s="1" t="str">
        <v>Shivada Jade</v>
      </c>
      <c r="E101" s="44" t="s">
        <v>123</v>
      </c>
      <c r="F101" s="44" t="s">
        <v>127</v>
      </c>
      <c r="G101" s="44" t="s">
        <v>897</v>
      </c>
      <c r="H101" s="44" t="s">
        <v>134</v>
      </c>
      <c r="I101" s="45" t="s">
        <v>917</v>
      </c>
    </row>
    <row r="102" spans="1:9" x14ac:dyDescent="0.25">
      <c r="A102" s="19">
        <v>100</v>
      </c>
      <c r="B102" s="44" t="s">
        <v>915</v>
      </c>
      <c r="C102" s="44" t="s">
        <v>166</v>
      </c>
      <c r="D102" s="1" t="str">
        <v>Varunada Lazurite</v>
      </c>
      <c r="E102" s="44" t="s">
        <v>908</v>
      </c>
      <c r="F102" s="44" t="s">
        <v>68</v>
      </c>
      <c r="G102" s="44" t="s">
        <v>529</v>
      </c>
      <c r="H102" s="44" t="s">
        <v>57</v>
      </c>
      <c r="I102" s="45" t="s">
        <v>892</v>
      </c>
    </row>
    <row r="103" spans="1:9" x14ac:dyDescent="0.25">
      <c r="A103" s="19">
        <v>101</v>
      </c>
      <c r="B103" s="44" t="s">
        <v>923</v>
      </c>
      <c r="C103" s="44" t="s">
        <v>160</v>
      </c>
      <c r="D103" s="1" t="str">
        <v>Vajrada Amethyst</v>
      </c>
      <c r="E103" s="44" t="s">
        <v>908</v>
      </c>
      <c r="F103" s="44" t="s">
        <v>133</v>
      </c>
      <c r="G103" s="44" t="s">
        <v>593</v>
      </c>
      <c r="H103" s="44" t="s">
        <v>137</v>
      </c>
      <c r="I103" s="45" t="s">
        <v>891</v>
      </c>
    </row>
    <row r="104" spans="1:9" x14ac:dyDescent="0.25">
      <c r="A104" s="19">
        <v>102</v>
      </c>
      <c r="B104" s="44" t="s">
        <v>926</v>
      </c>
      <c r="C104" s="44" t="s">
        <v>163</v>
      </c>
      <c r="D104" s="1" t="str">
        <v>Nagadus Emerald</v>
      </c>
      <c r="E104" s="44" t="s">
        <v>929</v>
      </c>
      <c r="F104" s="44" t="s">
        <v>930</v>
      </c>
      <c r="G104" s="44" t="s">
        <v>931</v>
      </c>
      <c r="H104" s="44" t="s">
        <v>932</v>
      </c>
      <c r="I104" s="45" t="s">
        <v>892</v>
      </c>
    </row>
    <row r="105" spans="1:9" x14ac:dyDescent="0.25">
      <c r="A105" s="19">
        <v>103</v>
      </c>
      <c r="B105" s="44" t="s">
        <v>927</v>
      </c>
      <c r="C105" s="44" t="s">
        <v>160</v>
      </c>
      <c r="D105" s="1" t="str">
        <v>Vajrada Amethyst</v>
      </c>
      <c r="E105" s="44" t="s">
        <v>936</v>
      </c>
      <c r="F105" s="44" t="s">
        <v>938</v>
      </c>
      <c r="G105" s="44" t="s">
        <v>937</v>
      </c>
      <c r="H105" s="44" t="s">
        <v>934</v>
      </c>
      <c r="I105" s="45" t="s">
        <v>919</v>
      </c>
    </row>
    <row r="106" spans="1:9" x14ac:dyDescent="0.25">
      <c r="A106" s="19">
        <v>104</v>
      </c>
      <c r="B106" s="44" t="s">
        <v>928</v>
      </c>
      <c r="C106" s="44" t="s">
        <v>166</v>
      </c>
      <c r="D106" s="1" t="str">
        <v>Varunada Lazurite</v>
      </c>
      <c r="E106" s="44" t="s">
        <v>936</v>
      </c>
      <c r="F106" s="44" t="s">
        <v>938</v>
      </c>
      <c r="G106" s="44" t="s">
        <v>940</v>
      </c>
      <c r="H106" s="44" t="s">
        <v>933</v>
      </c>
      <c r="I106" s="45" t="s">
        <v>586</v>
      </c>
    </row>
    <row r="107" spans="1:9" ht="15.75" thickBot="1" x14ac:dyDescent="0.3">
      <c r="A107" s="31"/>
      <c r="B107" s="32"/>
      <c r="C107" s="32"/>
      <c r="D107" s="32" t="e">
        <v>#N/A</v>
      </c>
      <c r="E107" s="32"/>
      <c r="F107" s="32"/>
      <c r="G107" s="32"/>
      <c r="H107" s="32"/>
      <c r="I107" s="18"/>
    </row>
    <row r="119" spans="3:3" x14ac:dyDescent="0.25">
      <c r="C119" s="30"/>
    </row>
  </sheetData>
  <autoFilter ref="B2:I119" xr:uid="{1366658E-085C-45AF-B8D3-A92E7AEE68D0}"/>
  <sortState xmlns:xlrd2="http://schemas.microsoft.com/office/spreadsheetml/2017/richdata2" ref="B3:I52">
    <sortCondition ref="B3:B52" customList="Amber,Lisa,Razor,Xiangling,Beidou,Bennett,Noelle,Chongyun,Jean,Diluc,Kaeya,Barbara,Xingqiu,Ningguang,Fischl,Sucrose,Qiqi,Mona,Keqing,Venti,Klee,Diona,Tartaglia,Xinyan,Zhongli,Albedo,Ganyu,Xiao,Hutao,Rosaria,Yanfei,Eula,Kaedehara Kazuha,Kamisato Ayaka,Yoimiya,Sayu,Raiden Shogun,Kujou Sara,Sangonomiya Kokomi,Aloy,Thoma,Arataki Itto,Gorou,Shenhe,Yunjin,Yae Miko,Kamisato Ayato,Yelan,Kuki Shinobu,Shikanoin Heizou"/>
  </sortState>
  <mergeCells count="1">
    <mergeCell ref="A1:I1"/>
  </mergeCells>
  <phoneticPr fontId="3" type="noConversion"/>
  <conditionalFormatting sqref="A1 B2:I106">
    <cfRule type="containsBlanks" dxfId="2" priority="5">
      <formula>LEN(TRIM(A1))=0</formula>
    </cfRule>
  </conditionalFormatting>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3EB9C-0A6E-429A-B1ED-683B5164F9BF}">
  <sheetPr codeName="Sheet87">
    <tabColor theme="0" tint="-0.249977111117893"/>
  </sheetPr>
  <dimension ref="A1:G234"/>
  <sheetViews>
    <sheetView tabSelected="1" zoomScaleNormal="100" workbookViewId="0">
      <pane ySplit="2" topLeftCell="A189" activePane="bottomLeft" state="frozen"/>
      <selection activeCell="F79" sqref="F79"/>
      <selection pane="bottomLeft" activeCell="O222" sqref="O222"/>
    </sheetView>
  </sheetViews>
  <sheetFormatPr defaultColWidth="8.85546875" defaultRowHeight="15" x14ac:dyDescent="0.25"/>
  <cols>
    <col min="1" max="1" width="4" bestFit="1" customWidth="1"/>
    <col min="2" max="2" width="29.28515625" bestFit="1" customWidth="1"/>
    <col min="3" max="3" width="9.42578125" bestFit="1" customWidth="1"/>
    <col min="4" max="4" width="8.42578125" bestFit="1" customWidth="1"/>
    <col min="5" max="5" width="20.42578125" bestFit="1" customWidth="1"/>
    <col min="6" max="6" width="20.7109375" bestFit="1" customWidth="1"/>
    <col min="7" max="7" width="32.140625" bestFit="1" customWidth="1"/>
  </cols>
  <sheetData>
    <row r="1" spans="1:7" ht="15.75" thickBot="1" x14ac:dyDescent="0.3">
      <c r="A1" s="173" t="s">
        <v>594</v>
      </c>
      <c r="B1" s="174"/>
      <c r="C1" s="174"/>
      <c r="D1" s="174"/>
      <c r="E1" s="174"/>
      <c r="F1" s="174"/>
      <c r="G1" s="175"/>
    </row>
    <row r="2" spans="1:7" ht="15.75" thickBot="1" x14ac:dyDescent="0.3">
      <c r="A2" s="11"/>
      <c r="B2" s="7" t="s">
        <v>71</v>
      </c>
      <c r="C2" s="7" t="s">
        <v>0</v>
      </c>
      <c r="D2" s="7" t="s">
        <v>22</v>
      </c>
      <c r="E2" s="7" t="s">
        <v>595</v>
      </c>
      <c r="F2" s="7" t="s">
        <v>596</v>
      </c>
      <c r="G2" s="8" t="s">
        <v>597</v>
      </c>
    </row>
    <row r="3" spans="1:7" x14ac:dyDescent="0.25">
      <c r="A3" s="20" cm="1">
        <f t="array" ref="A3:A221">_xlfn.SEQUENCE(COUNTA(Weapon_Name_List))</f>
        <v>1</v>
      </c>
      <c r="B3" s="5" t="s">
        <v>310</v>
      </c>
      <c r="C3" s="5" t="s">
        <v>598</v>
      </c>
      <c r="D3" s="5">
        <v>1</v>
      </c>
      <c r="E3" s="5" t="s">
        <v>31</v>
      </c>
      <c r="F3" s="5" t="s">
        <v>68</v>
      </c>
      <c r="G3" s="6" t="s">
        <v>32</v>
      </c>
    </row>
    <row r="4" spans="1:7" x14ac:dyDescent="0.25">
      <c r="A4" s="14">
        <v>2</v>
      </c>
      <c r="B4" s="1" t="s">
        <v>311</v>
      </c>
      <c r="C4" s="1" t="s">
        <v>599</v>
      </c>
      <c r="D4" s="1">
        <v>1</v>
      </c>
      <c r="E4" s="1" t="s">
        <v>48</v>
      </c>
      <c r="F4" s="1" t="s">
        <v>33</v>
      </c>
      <c r="G4" s="4" t="s">
        <v>49</v>
      </c>
    </row>
    <row r="5" spans="1:7" x14ac:dyDescent="0.25">
      <c r="A5" s="14">
        <v>3</v>
      </c>
      <c r="B5" s="1" t="s">
        <v>312</v>
      </c>
      <c r="C5" s="1" t="s">
        <v>600</v>
      </c>
      <c r="D5" s="1">
        <v>1</v>
      </c>
      <c r="E5" s="1" t="s">
        <v>57</v>
      </c>
      <c r="F5" s="1" t="s">
        <v>59</v>
      </c>
      <c r="G5" s="4" t="s">
        <v>58</v>
      </c>
    </row>
    <row r="6" spans="1:7" x14ac:dyDescent="0.25">
      <c r="A6" s="14">
        <v>4</v>
      </c>
      <c r="B6" s="1" t="s">
        <v>313</v>
      </c>
      <c r="C6" s="1" t="s">
        <v>601</v>
      </c>
      <c r="D6" s="1">
        <v>1</v>
      </c>
      <c r="E6" s="1" t="s">
        <v>31</v>
      </c>
      <c r="F6" s="1" t="s">
        <v>50</v>
      </c>
      <c r="G6" s="4" t="s">
        <v>32</v>
      </c>
    </row>
    <row r="7" spans="1:7" x14ac:dyDescent="0.25">
      <c r="A7" s="14">
        <v>5</v>
      </c>
      <c r="B7" s="1" t="s">
        <v>314</v>
      </c>
      <c r="C7" s="1" t="s">
        <v>602</v>
      </c>
      <c r="D7" s="1">
        <v>1</v>
      </c>
      <c r="E7" s="1" t="s">
        <v>48</v>
      </c>
      <c r="F7" s="1" t="s">
        <v>84</v>
      </c>
      <c r="G7" s="4" t="s">
        <v>49</v>
      </c>
    </row>
    <row r="8" spans="1:7" x14ac:dyDescent="0.25">
      <c r="A8" s="14">
        <v>6</v>
      </c>
      <c r="B8" s="1" t="s">
        <v>315</v>
      </c>
      <c r="C8" s="1" t="s">
        <v>598</v>
      </c>
      <c r="D8" s="1">
        <v>2</v>
      </c>
      <c r="E8" s="1" t="s">
        <v>31</v>
      </c>
      <c r="F8" s="1" t="s">
        <v>68</v>
      </c>
      <c r="G8" s="4" t="s">
        <v>32</v>
      </c>
    </row>
    <row r="9" spans="1:7" x14ac:dyDescent="0.25">
      <c r="A9" s="14">
        <v>7</v>
      </c>
      <c r="B9" s="1" t="s">
        <v>316</v>
      </c>
      <c r="C9" s="1" t="s">
        <v>599</v>
      </c>
      <c r="D9" s="1">
        <v>2</v>
      </c>
      <c r="E9" s="1" t="s">
        <v>48</v>
      </c>
      <c r="F9" s="1" t="s">
        <v>33</v>
      </c>
      <c r="G9" s="4" t="s">
        <v>49</v>
      </c>
    </row>
    <row r="10" spans="1:7" x14ac:dyDescent="0.25">
      <c r="A10" s="14">
        <v>8</v>
      </c>
      <c r="B10" s="1" t="s">
        <v>317</v>
      </c>
      <c r="C10" s="1" t="s">
        <v>600</v>
      </c>
      <c r="D10" s="1">
        <v>2</v>
      </c>
      <c r="E10" s="1" t="s">
        <v>57</v>
      </c>
      <c r="F10" s="1" t="s">
        <v>59</v>
      </c>
      <c r="G10" s="4" t="s">
        <v>58</v>
      </c>
    </row>
    <row r="11" spans="1:7" x14ac:dyDescent="0.25">
      <c r="A11" s="14">
        <v>9</v>
      </c>
      <c r="B11" s="1" t="s">
        <v>318</v>
      </c>
      <c r="C11" s="1" t="s">
        <v>601</v>
      </c>
      <c r="D11" s="1">
        <v>2</v>
      </c>
      <c r="E11" s="1" t="s">
        <v>31</v>
      </c>
      <c r="F11" s="1" t="s">
        <v>50</v>
      </c>
      <c r="G11" s="4" t="s">
        <v>32</v>
      </c>
    </row>
    <row r="12" spans="1:7" x14ac:dyDescent="0.25">
      <c r="A12" s="14">
        <v>10</v>
      </c>
      <c r="B12" s="1" t="s">
        <v>319</v>
      </c>
      <c r="C12" s="1" t="s">
        <v>602</v>
      </c>
      <c r="D12" s="1">
        <v>2</v>
      </c>
      <c r="E12" s="1" t="s">
        <v>48</v>
      </c>
      <c r="F12" s="1" t="s">
        <v>84</v>
      </c>
      <c r="G12" s="4" t="s">
        <v>49</v>
      </c>
    </row>
    <row r="13" spans="1:7" x14ac:dyDescent="0.25">
      <c r="A13" s="14">
        <v>11</v>
      </c>
      <c r="B13" s="1" t="s">
        <v>320</v>
      </c>
      <c r="C13" s="1" t="s">
        <v>598</v>
      </c>
      <c r="D13" s="1">
        <v>3</v>
      </c>
      <c r="E13" s="1" t="s">
        <v>31</v>
      </c>
      <c r="F13" s="1" t="s">
        <v>68</v>
      </c>
      <c r="G13" s="4" t="s">
        <v>32</v>
      </c>
    </row>
    <row r="14" spans="1:7" x14ac:dyDescent="0.25">
      <c r="A14" s="14">
        <v>12</v>
      </c>
      <c r="B14" s="1" t="s">
        <v>321</v>
      </c>
      <c r="C14" s="1" t="s">
        <v>598</v>
      </c>
      <c r="D14" s="1">
        <v>3</v>
      </c>
      <c r="E14" s="1" t="s">
        <v>66</v>
      </c>
      <c r="F14" s="1" t="s">
        <v>50</v>
      </c>
      <c r="G14" s="4" t="s">
        <v>74</v>
      </c>
    </row>
    <row r="15" spans="1:7" x14ac:dyDescent="0.25">
      <c r="A15" s="14">
        <v>13</v>
      </c>
      <c r="B15" s="1" t="s">
        <v>322</v>
      </c>
      <c r="C15" s="1" t="s">
        <v>598</v>
      </c>
      <c r="D15" s="1">
        <v>3</v>
      </c>
      <c r="E15" s="1" t="s">
        <v>73</v>
      </c>
      <c r="F15" s="1" t="s">
        <v>84</v>
      </c>
      <c r="G15" s="4" t="s">
        <v>67</v>
      </c>
    </row>
    <row r="16" spans="1:7" x14ac:dyDescent="0.25">
      <c r="A16" s="14">
        <v>14</v>
      </c>
      <c r="B16" s="1" t="s">
        <v>323</v>
      </c>
      <c r="C16" s="1" t="s">
        <v>598</v>
      </c>
      <c r="D16" s="1">
        <v>3</v>
      </c>
      <c r="E16" s="1" t="s">
        <v>48</v>
      </c>
      <c r="F16" s="1" t="s">
        <v>33</v>
      </c>
      <c r="G16" s="4" t="s">
        <v>49</v>
      </c>
    </row>
    <row r="17" spans="1:7" x14ac:dyDescent="0.25">
      <c r="A17" s="14">
        <v>15</v>
      </c>
      <c r="B17" s="1" t="s">
        <v>324</v>
      </c>
      <c r="C17" s="1" t="s">
        <v>598</v>
      </c>
      <c r="D17" s="1">
        <v>3</v>
      </c>
      <c r="E17" s="1" t="s">
        <v>82</v>
      </c>
      <c r="F17" s="1" t="s">
        <v>75</v>
      </c>
      <c r="G17" s="4" t="s">
        <v>83</v>
      </c>
    </row>
    <row r="18" spans="1:7" x14ac:dyDescent="0.25">
      <c r="A18" s="14">
        <v>16</v>
      </c>
      <c r="B18" s="1" t="s">
        <v>325</v>
      </c>
      <c r="C18" s="1" t="s">
        <v>598</v>
      </c>
      <c r="D18" s="1">
        <v>3</v>
      </c>
      <c r="E18" s="1" t="s">
        <v>57</v>
      </c>
      <c r="F18" s="1" t="s">
        <v>59</v>
      </c>
      <c r="G18" s="4" t="s">
        <v>58</v>
      </c>
    </row>
    <row r="19" spans="1:7" x14ac:dyDescent="0.25">
      <c r="A19" s="14">
        <v>17</v>
      </c>
      <c r="B19" s="1" t="s">
        <v>326</v>
      </c>
      <c r="C19" s="1" t="s">
        <v>599</v>
      </c>
      <c r="D19" s="1">
        <v>3</v>
      </c>
      <c r="E19" s="1" t="s">
        <v>48</v>
      </c>
      <c r="F19" s="1" t="s">
        <v>68</v>
      </c>
      <c r="G19" s="4" t="s">
        <v>49</v>
      </c>
    </row>
    <row r="20" spans="1:7" x14ac:dyDescent="0.25">
      <c r="A20" s="14">
        <v>18</v>
      </c>
      <c r="B20" s="1" t="s">
        <v>327</v>
      </c>
      <c r="C20" s="1" t="s">
        <v>599</v>
      </c>
      <c r="D20" s="1">
        <v>3</v>
      </c>
      <c r="E20" s="1" t="s">
        <v>73</v>
      </c>
      <c r="F20" s="1" t="s">
        <v>50</v>
      </c>
      <c r="G20" s="4" t="s">
        <v>67</v>
      </c>
    </row>
    <row r="21" spans="1:7" x14ac:dyDescent="0.25">
      <c r="A21" s="14">
        <v>19</v>
      </c>
      <c r="B21" s="1" t="s">
        <v>328</v>
      </c>
      <c r="C21" s="1" t="s">
        <v>599</v>
      </c>
      <c r="D21" s="1">
        <v>3</v>
      </c>
      <c r="E21" s="1" t="s">
        <v>31</v>
      </c>
      <c r="F21" s="1" t="s">
        <v>91</v>
      </c>
      <c r="G21" s="4" t="s">
        <v>32</v>
      </c>
    </row>
    <row r="22" spans="1:7" x14ac:dyDescent="0.25">
      <c r="A22" s="14">
        <v>20</v>
      </c>
      <c r="B22" s="1" t="s">
        <v>329</v>
      </c>
      <c r="C22" s="1" t="s">
        <v>599</v>
      </c>
      <c r="D22" s="1">
        <v>3</v>
      </c>
      <c r="E22" s="1" t="s">
        <v>82</v>
      </c>
      <c r="F22" s="1" t="s">
        <v>84</v>
      </c>
      <c r="G22" s="4" t="s">
        <v>83</v>
      </c>
    </row>
    <row r="23" spans="1:7" x14ac:dyDescent="0.25">
      <c r="A23" s="14">
        <v>21</v>
      </c>
      <c r="B23" s="1" t="s">
        <v>330</v>
      </c>
      <c r="C23" s="1" t="s">
        <v>599</v>
      </c>
      <c r="D23" s="1">
        <v>3</v>
      </c>
      <c r="E23" s="1" t="s">
        <v>57</v>
      </c>
      <c r="F23" s="1" t="s">
        <v>33</v>
      </c>
      <c r="G23" s="4" t="s">
        <v>58</v>
      </c>
    </row>
    <row r="24" spans="1:7" x14ac:dyDescent="0.25">
      <c r="A24" s="14">
        <v>22</v>
      </c>
      <c r="B24" s="1" t="s">
        <v>331</v>
      </c>
      <c r="C24" s="1" t="s">
        <v>600</v>
      </c>
      <c r="D24" s="1">
        <v>3</v>
      </c>
      <c r="E24" s="1" t="s">
        <v>82</v>
      </c>
      <c r="F24" s="1" t="s">
        <v>68</v>
      </c>
      <c r="G24" s="4" t="s">
        <v>83</v>
      </c>
    </row>
    <row r="25" spans="1:7" x14ac:dyDescent="0.25">
      <c r="A25" s="14">
        <v>23</v>
      </c>
      <c r="B25" s="1" t="s">
        <v>332</v>
      </c>
      <c r="C25" s="1" t="s">
        <v>600</v>
      </c>
      <c r="D25" s="1">
        <v>3</v>
      </c>
      <c r="E25" s="1" t="s">
        <v>73</v>
      </c>
      <c r="F25" s="1" t="s">
        <v>91</v>
      </c>
      <c r="G25" s="4" t="s">
        <v>67</v>
      </c>
    </row>
    <row r="26" spans="1:7" x14ac:dyDescent="0.25">
      <c r="A26" s="14">
        <v>24</v>
      </c>
      <c r="B26" s="1" t="s">
        <v>333</v>
      </c>
      <c r="C26" s="1" t="s">
        <v>600</v>
      </c>
      <c r="D26" s="1">
        <v>3</v>
      </c>
      <c r="E26" s="1" t="s">
        <v>66</v>
      </c>
      <c r="F26" s="1" t="s">
        <v>75</v>
      </c>
      <c r="G26" s="4" t="s">
        <v>74</v>
      </c>
    </row>
    <row r="27" spans="1:7" x14ac:dyDescent="0.25">
      <c r="A27" s="14">
        <v>25</v>
      </c>
      <c r="B27" s="1" t="s">
        <v>334</v>
      </c>
      <c r="C27" s="1" t="s">
        <v>601</v>
      </c>
      <c r="D27" s="1">
        <v>3</v>
      </c>
      <c r="E27" s="1" t="s">
        <v>66</v>
      </c>
      <c r="F27" s="1" t="s">
        <v>84</v>
      </c>
      <c r="G27" s="4" t="s">
        <v>74</v>
      </c>
    </row>
    <row r="28" spans="1:7" x14ac:dyDescent="0.25">
      <c r="A28" s="14">
        <v>26</v>
      </c>
      <c r="B28" s="1" t="s">
        <v>335</v>
      </c>
      <c r="C28" s="1" t="s">
        <v>601</v>
      </c>
      <c r="D28" s="1">
        <v>3</v>
      </c>
      <c r="E28" s="1" t="s">
        <v>31</v>
      </c>
      <c r="F28" s="1" t="s">
        <v>33</v>
      </c>
      <c r="G28" s="4" t="s">
        <v>32</v>
      </c>
    </row>
    <row r="29" spans="1:7" x14ac:dyDescent="0.25">
      <c r="A29" s="14">
        <v>27</v>
      </c>
      <c r="B29" s="1" t="s">
        <v>336</v>
      </c>
      <c r="C29" s="1" t="s">
        <v>601</v>
      </c>
      <c r="D29" s="1">
        <v>3</v>
      </c>
      <c r="E29" s="1" t="s">
        <v>57</v>
      </c>
      <c r="F29" s="1" t="s">
        <v>50</v>
      </c>
      <c r="G29" s="4" t="s">
        <v>58</v>
      </c>
    </row>
    <row r="30" spans="1:7" x14ac:dyDescent="0.25">
      <c r="A30" s="14">
        <v>28</v>
      </c>
      <c r="B30" s="1" t="s">
        <v>337</v>
      </c>
      <c r="C30" s="1" t="s">
        <v>601</v>
      </c>
      <c r="D30" s="1">
        <v>3</v>
      </c>
      <c r="E30" s="1" t="s">
        <v>48</v>
      </c>
      <c r="F30" s="1" t="s">
        <v>59</v>
      </c>
      <c r="G30" s="4" t="s">
        <v>49</v>
      </c>
    </row>
    <row r="31" spans="1:7" x14ac:dyDescent="0.25">
      <c r="A31" s="14">
        <v>29</v>
      </c>
      <c r="B31" s="1" t="s">
        <v>338</v>
      </c>
      <c r="C31" s="1" t="s">
        <v>601</v>
      </c>
      <c r="D31" s="1">
        <v>3</v>
      </c>
      <c r="E31" s="1" t="s">
        <v>73</v>
      </c>
      <c r="F31" s="1" t="s">
        <v>75</v>
      </c>
      <c r="G31" s="4" t="s">
        <v>67</v>
      </c>
    </row>
    <row r="32" spans="1:7" x14ac:dyDescent="0.25">
      <c r="A32" s="14">
        <v>30</v>
      </c>
      <c r="B32" s="1" t="s">
        <v>339</v>
      </c>
      <c r="C32" s="1" t="s">
        <v>602</v>
      </c>
      <c r="D32" s="1">
        <v>3</v>
      </c>
      <c r="E32" s="1" t="s">
        <v>73</v>
      </c>
      <c r="F32" s="1" t="s">
        <v>84</v>
      </c>
      <c r="G32" s="4" t="s">
        <v>67</v>
      </c>
    </row>
    <row r="33" spans="1:7" x14ac:dyDescent="0.25">
      <c r="A33" s="14">
        <v>31</v>
      </c>
      <c r="B33" s="1" t="s">
        <v>340</v>
      </c>
      <c r="C33" s="1" t="s">
        <v>602</v>
      </c>
      <c r="D33" s="1">
        <v>3</v>
      </c>
      <c r="E33" s="1" t="s">
        <v>31</v>
      </c>
      <c r="F33" s="1" t="s">
        <v>68</v>
      </c>
      <c r="G33" s="4" t="s">
        <v>32</v>
      </c>
    </row>
    <row r="34" spans="1:7" x14ac:dyDescent="0.25">
      <c r="A34" s="14">
        <v>32</v>
      </c>
      <c r="B34" s="1" t="s">
        <v>341</v>
      </c>
      <c r="C34" s="1" t="s">
        <v>602</v>
      </c>
      <c r="D34" s="1">
        <v>3</v>
      </c>
      <c r="E34" s="1" t="s">
        <v>57</v>
      </c>
      <c r="F34" s="1" t="s">
        <v>59</v>
      </c>
      <c r="G34" s="4" t="s">
        <v>58</v>
      </c>
    </row>
    <row r="35" spans="1:7" x14ac:dyDescent="0.25">
      <c r="A35" s="14">
        <v>33</v>
      </c>
      <c r="B35" s="1" t="s">
        <v>342</v>
      </c>
      <c r="C35" s="1" t="s">
        <v>602</v>
      </c>
      <c r="D35" s="1">
        <v>3</v>
      </c>
      <c r="E35" s="1" t="s">
        <v>48</v>
      </c>
      <c r="F35" s="1" t="s">
        <v>33</v>
      </c>
      <c r="G35" s="4" t="s">
        <v>49</v>
      </c>
    </row>
    <row r="36" spans="1:7" x14ac:dyDescent="0.25">
      <c r="A36" s="14">
        <v>34</v>
      </c>
      <c r="B36" s="1" t="s">
        <v>343</v>
      </c>
      <c r="C36" s="1" t="s">
        <v>602</v>
      </c>
      <c r="D36" s="1">
        <v>3</v>
      </c>
      <c r="E36" s="1" t="s">
        <v>66</v>
      </c>
      <c r="F36" s="1" t="s">
        <v>50</v>
      </c>
      <c r="G36" s="4" t="s">
        <v>74</v>
      </c>
    </row>
    <row r="37" spans="1:7" x14ac:dyDescent="0.25">
      <c r="A37" s="14">
        <v>35</v>
      </c>
      <c r="B37" t="s">
        <v>344</v>
      </c>
      <c r="C37" s="44" t="s">
        <v>598</v>
      </c>
      <c r="D37" s="44">
        <v>4</v>
      </c>
      <c r="E37" s="44" t="s">
        <v>31</v>
      </c>
      <c r="F37" s="44" t="s">
        <v>68</v>
      </c>
      <c r="G37" s="45" t="s">
        <v>32</v>
      </c>
    </row>
    <row r="38" spans="1:7" x14ac:dyDescent="0.25">
      <c r="A38" s="14">
        <v>36</v>
      </c>
      <c r="B38" s="1" t="s">
        <v>345</v>
      </c>
      <c r="C38" s="44" t="s">
        <v>599</v>
      </c>
      <c r="D38" s="44">
        <v>4</v>
      </c>
      <c r="E38" s="44" t="s">
        <v>57</v>
      </c>
      <c r="F38" s="44" t="s">
        <v>33</v>
      </c>
      <c r="G38" s="45" t="s">
        <v>58</v>
      </c>
    </row>
    <row r="39" spans="1:7" x14ac:dyDescent="0.25">
      <c r="A39" s="14">
        <v>37</v>
      </c>
      <c r="B39" s="1" t="s">
        <v>346</v>
      </c>
      <c r="C39" s="44" t="s">
        <v>600</v>
      </c>
      <c r="D39" s="44">
        <v>4</v>
      </c>
      <c r="E39" s="44" t="s">
        <v>73</v>
      </c>
      <c r="F39" s="44" t="s">
        <v>75</v>
      </c>
      <c r="G39" s="45" t="s">
        <v>67</v>
      </c>
    </row>
    <row r="40" spans="1:7" x14ac:dyDescent="0.25">
      <c r="A40" s="14">
        <v>38</v>
      </c>
      <c r="B40" s="1" t="s">
        <v>347</v>
      </c>
      <c r="C40" s="44" t="s">
        <v>601</v>
      </c>
      <c r="D40" s="44">
        <v>4</v>
      </c>
      <c r="E40" s="44" t="s">
        <v>31</v>
      </c>
      <c r="F40" s="44" t="s">
        <v>75</v>
      </c>
      <c r="G40" s="45" t="s">
        <v>32</v>
      </c>
    </row>
    <row r="41" spans="1:7" x14ac:dyDescent="0.25">
      <c r="A41" s="14">
        <v>39</v>
      </c>
      <c r="B41" s="1" t="s">
        <v>348</v>
      </c>
      <c r="C41" s="44" t="s">
        <v>602</v>
      </c>
      <c r="D41" s="44">
        <v>4</v>
      </c>
      <c r="E41" s="44" t="s">
        <v>57</v>
      </c>
      <c r="F41" s="44" t="s">
        <v>33</v>
      </c>
      <c r="G41" s="45" t="s">
        <v>58</v>
      </c>
    </row>
    <row r="42" spans="1:7" x14ac:dyDescent="0.25">
      <c r="A42" s="14">
        <v>40</v>
      </c>
      <c r="B42" s="44" t="s">
        <v>349</v>
      </c>
      <c r="C42" s="44" t="s">
        <v>598</v>
      </c>
      <c r="D42" s="44">
        <v>4</v>
      </c>
      <c r="E42" s="44" t="s">
        <v>66</v>
      </c>
      <c r="F42" s="44" t="s">
        <v>68</v>
      </c>
      <c r="G42" s="45" t="s">
        <v>74</v>
      </c>
    </row>
    <row r="43" spans="1:7" x14ac:dyDescent="0.25">
      <c r="A43" s="14">
        <v>41</v>
      </c>
      <c r="B43" s="44" t="s">
        <v>350</v>
      </c>
      <c r="C43" s="44" t="s">
        <v>599</v>
      </c>
      <c r="D43" s="44">
        <v>4</v>
      </c>
      <c r="E43" s="44" t="s">
        <v>73</v>
      </c>
      <c r="F43" s="44" t="s">
        <v>75</v>
      </c>
      <c r="G43" s="45" t="s">
        <v>67</v>
      </c>
    </row>
    <row r="44" spans="1:7" x14ac:dyDescent="0.25">
      <c r="A44" s="14">
        <v>42</v>
      </c>
      <c r="B44" s="44" t="s">
        <v>351</v>
      </c>
      <c r="C44" s="44" t="s">
        <v>600</v>
      </c>
      <c r="D44" s="44">
        <v>4</v>
      </c>
      <c r="E44" s="44" t="s">
        <v>73</v>
      </c>
      <c r="F44" s="44" t="s">
        <v>75</v>
      </c>
      <c r="G44" s="45" t="s">
        <v>67</v>
      </c>
    </row>
    <row r="45" spans="1:7" x14ac:dyDescent="0.25">
      <c r="A45" s="14">
        <v>43</v>
      </c>
      <c r="B45" s="44" t="s">
        <v>352</v>
      </c>
      <c r="C45" s="44" t="s">
        <v>601</v>
      </c>
      <c r="D45" s="44">
        <v>4</v>
      </c>
      <c r="E45" s="44" t="s">
        <v>66</v>
      </c>
      <c r="F45" s="44" t="s">
        <v>59</v>
      </c>
      <c r="G45" s="45" t="s">
        <v>74</v>
      </c>
    </row>
    <row r="46" spans="1:7" x14ac:dyDescent="0.25">
      <c r="A46" s="14">
        <v>44</v>
      </c>
      <c r="B46" s="44" t="s">
        <v>353</v>
      </c>
      <c r="C46" s="44" t="s">
        <v>602</v>
      </c>
      <c r="D46" s="44">
        <v>4</v>
      </c>
      <c r="E46" s="44" t="s">
        <v>66</v>
      </c>
      <c r="F46" s="44" t="s">
        <v>91</v>
      </c>
      <c r="G46" s="45" t="s">
        <v>74</v>
      </c>
    </row>
    <row r="47" spans="1:7" x14ac:dyDescent="0.25">
      <c r="A47" s="14">
        <v>45</v>
      </c>
      <c r="B47" s="44" t="s">
        <v>354</v>
      </c>
      <c r="C47" s="44" t="s">
        <v>598</v>
      </c>
      <c r="D47" s="44">
        <v>4</v>
      </c>
      <c r="E47" s="44" t="s">
        <v>48</v>
      </c>
      <c r="F47" s="44" t="s">
        <v>33</v>
      </c>
      <c r="G47" s="45" t="s">
        <v>49</v>
      </c>
    </row>
    <row r="48" spans="1:7" x14ac:dyDescent="0.25">
      <c r="A48" s="14">
        <v>46</v>
      </c>
      <c r="B48" s="44" t="s">
        <v>355</v>
      </c>
      <c r="C48" s="44" t="s">
        <v>599</v>
      </c>
      <c r="D48" s="44">
        <v>4</v>
      </c>
      <c r="E48" s="44" t="s">
        <v>82</v>
      </c>
      <c r="F48" s="44" t="s">
        <v>91</v>
      </c>
      <c r="G48" s="45" t="s">
        <v>83</v>
      </c>
    </row>
    <row r="49" spans="1:7" x14ac:dyDescent="0.25">
      <c r="A49" s="14">
        <v>47</v>
      </c>
      <c r="B49" s="44" t="s">
        <v>356</v>
      </c>
      <c r="C49" s="44" t="s">
        <v>600</v>
      </c>
      <c r="D49" s="44">
        <v>4</v>
      </c>
      <c r="E49" s="44" t="s">
        <v>48</v>
      </c>
      <c r="F49" s="44" t="s">
        <v>91</v>
      </c>
      <c r="G49" s="45" t="s">
        <v>49</v>
      </c>
    </row>
    <row r="50" spans="1:7" x14ac:dyDescent="0.25">
      <c r="A50" s="14">
        <v>48</v>
      </c>
      <c r="B50" s="44" t="s">
        <v>357</v>
      </c>
      <c r="C50" s="44" t="s">
        <v>601</v>
      </c>
      <c r="D50" s="44">
        <v>4</v>
      </c>
      <c r="E50" s="44" t="s">
        <v>66</v>
      </c>
      <c r="F50" s="44" t="s">
        <v>91</v>
      </c>
      <c r="G50" s="45" t="s">
        <v>74</v>
      </c>
    </row>
    <row r="51" spans="1:7" x14ac:dyDescent="0.25">
      <c r="A51" s="14">
        <v>49</v>
      </c>
      <c r="B51" s="44" t="s">
        <v>358</v>
      </c>
      <c r="C51" s="44" t="s">
        <v>602</v>
      </c>
      <c r="D51" s="44">
        <v>4</v>
      </c>
      <c r="E51" s="44" t="s">
        <v>31</v>
      </c>
      <c r="F51" s="44" t="s">
        <v>68</v>
      </c>
      <c r="G51" s="45" t="s">
        <v>32</v>
      </c>
    </row>
    <row r="52" spans="1:7" x14ac:dyDescent="0.25">
      <c r="A52" s="14">
        <v>50</v>
      </c>
      <c r="B52" s="44" t="s">
        <v>359</v>
      </c>
      <c r="C52" s="44" t="s">
        <v>598</v>
      </c>
      <c r="D52" s="44">
        <v>4</v>
      </c>
      <c r="E52" s="44" t="s">
        <v>73</v>
      </c>
      <c r="F52" s="44" t="s">
        <v>75</v>
      </c>
      <c r="G52" s="45" t="s">
        <v>67</v>
      </c>
    </row>
    <row r="53" spans="1:7" x14ac:dyDescent="0.25">
      <c r="A53" s="14">
        <v>51</v>
      </c>
      <c r="B53" s="44" t="s">
        <v>360</v>
      </c>
      <c r="C53" s="44" t="s">
        <v>599</v>
      </c>
      <c r="D53" s="44">
        <v>4</v>
      </c>
      <c r="E53" s="44" t="s">
        <v>82</v>
      </c>
      <c r="F53" s="44" t="s">
        <v>50</v>
      </c>
      <c r="G53" s="45" t="s">
        <v>83</v>
      </c>
    </row>
    <row r="54" spans="1:7" x14ac:dyDescent="0.25">
      <c r="A54" s="14">
        <v>52</v>
      </c>
      <c r="B54" s="44" t="s">
        <v>361</v>
      </c>
      <c r="C54" s="44" t="s">
        <v>600</v>
      </c>
      <c r="D54" s="44">
        <v>4</v>
      </c>
      <c r="E54" s="44" t="s">
        <v>82</v>
      </c>
      <c r="F54" s="44" t="s">
        <v>50</v>
      </c>
      <c r="G54" s="45" t="s">
        <v>83</v>
      </c>
    </row>
    <row r="55" spans="1:7" x14ac:dyDescent="0.25">
      <c r="A55" s="14">
        <v>53</v>
      </c>
      <c r="B55" s="44" t="s">
        <v>362</v>
      </c>
      <c r="C55" s="44" t="s">
        <v>601</v>
      </c>
      <c r="D55" s="44">
        <v>4</v>
      </c>
      <c r="E55" s="44" t="s">
        <v>73</v>
      </c>
      <c r="F55" s="44" t="s">
        <v>68</v>
      </c>
      <c r="G55" s="45" t="s">
        <v>67</v>
      </c>
    </row>
    <row r="56" spans="1:7" x14ac:dyDescent="0.25">
      <c r="A56" s="14">
        <v>54</v>
      </c>
      <c r="B56" s="44" t="s">
        <v>365</v>
      </c>
      <c r="C56" s="44" t="s">
        <v>602</v>
      </c>
      <c r="D56" s="44">
        <v>4</v>
      </c>
      <c r="E56" s="44" t="s">
        <v>73</v>
      </c>
      <c r="F56" s="44" t="s">
        <v>84</v>
      </c>
      <c r="G56" s="45" t="s">
        <v>67</v>
      </c>
    </row>
    <row r="57" spans="1:7" x14ac:dyDescent="0.25">
      <c r="A57" s="14">
        <v>55</v>
      </c>
      <c r="B57" s="44" t="s">
        <v>363</v>
      </c>
      <c r="C57" s="44" t="s">
        <v>598</v>
      </c>
      <c r="D57" s="44">
        <v>4</v>
      </c>
      <c r="E57" s="44" t="s">
        <v>82</v>
      </c>
      <c r="F57" s="44" t="s">
        <v>91</v>
      </c>
      <c r="G57" s="45" t="s">
        <v>83</v>
      </c>
    </row>
    <row r="58" spans="1:7" x14ac:dyDescent="0.25">
      <c r="A58" s="14">
        <v>56</v>
      </c>
      <c r="B58" s="44" t="s">
        <v>364</v>
      </c>
      <c r="C58" s="44" t="s">
        <v>599</v>
      </c>
      <c r="D58" s="44">
        <v>4</v>
      </c>
      <c r="E58" s="44" t="s">
        <v>66</v>
      </c>
      <c r="F58" s="44" t="s">
        <v>84</v>
      </c>
      <c r="G58" s="45" t="s">
        <v>74</v>
      </c>
    </row>
    <row r="59" spans="1:7" x14ac:dyDescent="0.25">
      <c r="A59" s="14">
        <v>57</v>
      </c>
      <c r="B59" s="44" t="s">
        <v>366</v>
      </c>
      <c r="C59" s="44" t="s">
        <v>600</v>
      </c>
      <c r="D59" s="44">
        <v>4</v>
      </c>
      <c r="E59" s="44" t="s">
        <v>66</v>
      </c>
      <c r="F59" s="44" t="s">
        <v>84</v>
      </c>
      <c r="G59" s="45" t="s">
        <v>74</v>
      </c>
    </row>
    <row r="60" spans="1:7" x14ac:dyDescent="0.25">
      <c r="A60" s="14">
        <v>58</v>
      </c>
      <c r="B60" s="44" t="s">
        <v>367</v>
      </c>
      <c r="C60" s="44" t="s">
        <v>601</v>
      </c>
      <c r="D60" s="44">
        <v>4</v>
      </c>
      <c r="E60" s="44" t="s">
        <v>82</v>
      </c>
      <c r="F60" s="44" t="s">
        <v>33</v>
      </c>
      <c r="G60" s="45" t="s">
        <v>83</v>
      </c>
    </row>
    <row r="61" spans="1:7" x14ac:dyDescent="0.25">
      <c r="A61" s="14">
        <v>59</v>
      </c>
      <c r="B61" s="137" t="s">
        <v>368</v>
      </c>
      <c r="C61" s="44" t="s">
        <v>602</v>
      </c>
      <c r="D61" s="44">
        <v>4</v>
      </c>
      <c r="E61" s="44" t="s">
        <v>82</v>
      </c>
      <c r="F61" s="44" t="s">
        <v>75</v>
      </c>
      <c r="G61" s="45" t="s">
        <v>83</v>
      </c>
    </row>
    <row r="62" spans="1:7" x14ac:dyDescent="0.25">
      <c r="A62" s="14">
        <v>60</v>
      </c>
      <c r="B62" s="44" t="s">
        <v>369</v>
      </c>
      <c r="C62" s="44" t="s">
        <v>598</v>
      </c>
      <c r="D62" s="44">
        <v>4</v>
      </c>
      <c r="E62" s="44" t="s">
        <v>31</v>
      </c>
      <c r="F62" s="44" t="s">
        <v>68</v>
      </c>
      <c r="G62" s="45" t="s">
        <v>32</v>
      </c>
    </row>
    <row r="63" spans="1:7" x14ac:dyDescent="0.25">
      <c r="A63" s="14">
        <v>61</v>
      </c>
      <c r="B63" s="44" t="s">
        <v>372</v>
      </c>
      <c r="C63" s="44" t="s">
        <v>598</v>
      </c>
      <c r="D63" s="44">
        <v>4</v>
      </c>
      <c r="E63" s="44" t="s">
        <v>66</v>
      </c>
      <c r="F63" s="44" t="s">
        <v>84</v>
      </c>
      <c r="G63" s="45" t="s">
        <v>74</v>
      </c>
    </row>
    <row r="64" spans="1:7" x14ac:dyDescent="0.25">
      <c r="A64" s="14">
        <v>62</v>
      </c>
      <c r="B64" s="44" t="s">
        <v>371</v>
      </c>
      <c r="C64" s="44" t="s">
        <v>598</v>
      </c>
      <c r="D64" s="44">
        <v>4</v>
      </c>
      <c r="E64" s="44" t="s">
        <v>57</v>
      </c>
      <c r="F64" s="44" t="s">
        <v>59</v>
      </c>
      <c r="G64" s="45" t="s">
        <v>58</v>
      </c>
    </row>
    <row r="65" spans="1:7" x14ac:dyDescent="0.25">
      <c r="A65" s="14">
        <v>63</v>
      </c>
      <c r="B65" s="44" t="s">
        <v>370</v>
      </c>
      <c r="C65" s="44" t="s">
        <v>598</v>
      </c>
      <c r="D65" s="44">
        <v>4</v>
      </c>
      <c r="E65" s="44" t="s">
        <v>48</v>
      </c>
      <c r="F65" s="44" t="s">
        <v>33</v>
      </c>
      <c r="G65" s="45" t="s">
        <v>49</v>
      </c>
    </row>
    <row r="66" spans="1:7" x14ac:dyDescent="0.25">
      <c r="A66" s="14">
        <v>64</v>
      </c>
      <c r="B66" s="44" t="s">
        <v>373</v>
      </c>
      <c r="C66" s="44" t="s">
        <v>599</v>
      </c>
      <c r="D66" s="44">
        <v>4</v>
      </c>
      <c r="E66" s="44" t="s">
        <v>57</v>
      </c>
      <c r="F66" s="44" t="s">
        <v>75</v>
      </c>
      <c r="G66" s="45" t="s">
        <v>58</v>
      </c>
    </row>
    <row r="67" spans="1:7" x14ac:dyDescent="0.25">
      <c r="A67" s="14">
        <v>65</v>
      </c>
      <c r="B67" s="44" t="s">
        <v>376</v>
      </c>
      <c r="C67" s="44" t="s">
        <v>599</v>
      </c>
      <c r="D67" s="44">
        <v>4</v>
      </c>
      <c r="E67" s="44" t="s">
        <v>73</v>
      </c>
      <c r="F67" s="44" t="s">
        <v>59</v>
      </c>
      <c r="G67" s="45" t="s">
        <v>67</v>
      </c>
    </row>
    <row r="68" spans="1:7" x14ac:dyDescent="0.25">
      <c r="A68" s="14">
        <v>66</v>
      </c>
      <c r="B68" s="44" t="s">
        <v>375</v>
      </c>
      <c r="C68" s="44" t="s">
        <v>599</v>
      </c>
      <c r="D68" s="44">
        <v>4</v>
      </c>
      <c r="E68" s="44" t="s">
        <v>48</v>
      </c>
      <c r="F68" s="44" t="s">
        <v>68</v>
      </c>
      <c r="G68" s="45" t="s">
        <v>49</v>
      </c>
    </row>
    <row r="69" spans="1:7" x14ac:dyDescent="0.25">
      <c r="A69" s="14">
        <v>67</v>
      </c>
      <c r="B69" s="44" t="s">
        <v>374</v>
      </c>
      <c r="C69" s="44" t="s">
        <v>599</v>
      </c>
      <c r="D69" s="44">
        <v>4</v>
      </c>
      <c r="E69" s="44" t="s">
        <v>31</v>
      </c>
      <c r="F69" s="44" t="s">
        <v>91</v>
      </c>
      <c r="G69" s="45" t="s">
        <v>32</v>
      </c>
    </row>
    <row r="70" spans="1:7" x14ac:dyDescent="0.25">
      <c r="A70" s="14">
        <v>68</v>
      </c>
      <c r="B70" s="44" t="s">
        <v>377</v>
      </c>
      <c r="C70" s="44" t="s">
        <v>600</v>
      </c>
      <c r="D70" s="44">
        <v>4</v>
      </c>
      <c r="E70" s="44" t="s">
        <v>73</v>
      </c>
      <c r="F70" s="44" t="s">
        <v>59</v>
      </c>
      <c r="G70" s="45" t="s">
        <v>67</v>
      </c>
    </row>
    <row r="71" spans="1:7" x14ac:dyDescent="0.25">
      <c r="A71" s="14">
        <v>69</v>
      </c>
      <c r="B71" s="44" t="s">
        <v>378</v>
      </c>
      <c r="C71" s="44" t="s">
        <v>600</v>
      </c>
      <c r="D71" s="44">
        <v>4</v>
      </c>
      <c r="E71" s="44" t="s">
        <v>57</v>
      </c>
      <c r="F71" s="44" t="s">
        <v>33</v>
      </c>
      <c r="G71" s="45" t="s">
        <v>58</v>
      </c>
    </row>
    <row r="72" spans="1:7" x14ac:dyDescent="0.25">
      <c r="A72" s="14">
        <v>70</v>
      </c>
      <c r="B72" s="44" t="s">
        <v>382</v>
      </c>
      <c r="C72" s="44" t="s">
        <v>601</v>
      </c>
      <c r="D72" s="44">
        <v>4</v>
      </c>
      <c r="E72" s="44" t="s">
        <v>73</v>
      </c>
      <c r="F72" s="44" t="s">
        <v>50</v>
      </c>
      <c r="G72" s="45" t="s">
        <v>67</v>
      </c>
    </row>
    <row r="73" spans="1:7" x14ac:dyDescent="0.25">
      <c r="A73" s="14">
        <v>71</v>
      </c>
      <c r="B73" s="44" t="s">
        <v>379</v>
      </c>
      <c r="C73" s="44" t="s">
        <v>601</v>
      </c>
      <c r="D73" s="44">
        <v>4</v>
      </c>
      <c r="E73" s="44" t="s">
        <v>31</v>
      </c>
      <c r="F73" s="44" t="s">
        <v>59</v>
      </c>
      <c r="G73" s="45" t="s">
        <v>32</v>
      </c>
    </row>
    <row r="74" spans="1:7" x14ac:dyDescent="0.25">
      <c r="A74" s="14">
        <v>72</v>
      </c>
      <c r="B74" s="44" t="s">
        <v>381</v>
      </c>
      <c r="C74" s="44" t="s">
        <v>601</v>
      </c>
      <c r="D74" s="44">
        <v>4</v>
      </c>
      <c r="E74" s="44" t="s">
        <v>57</v>
      </c>
      <c r="F74" s="44" t="s">
        <v>84</v>
      </c>
      <c r="G74" s="45" t="s">
        <v>58</v>
      </c>
    </row>
    <row r="75" spans="1:7" x14ac:dyDescent="0.25">
      <c r="A75" s="14">
        <v>73</v>
      </c>
      <c r="B75" s="44" t="s">
        <v>380</v>
      </c>
      <c r="C75" s="44" t="s">
        <v>601</v>
      </c>
      <c r="D75" s="44">
        <v>4</v>
      </c>
      <c r="E75" s="44" t="s">
        <v>48</v>
      </c>
      <c r="F75" s="44" t="s">
        <v>50</v>
      </c>
      <c r="G75" s="45" t="s">
        <v>49</v>
      </c>
    </row>
    <row r="76" spans="1:7" x14ac:dyDescent="0.25">
      <c r="A76" s="14">
        <v>74</v>
      </c>
      <c r="B76" s="44" t="s">
        <v>383</v>
      </c>
      <c r="C76" s="44" t="s">
        <v>602</v>
      </c>
      <c r="D76" s="44">
        <v>4</v>
      </c>
      <c r="E76" s="44" t="s">
        <v>57</v>
      </c>
      <c r="F76" s="44" t="s">
        <v>91</v>
      </c>
      <c r="G76" s="45" t="s">
        <v>58</v>
      </c>
    </row>
    <row r="77" spans="1:7" x14ac:dyDescent="0.25">
      <c r="A77" s="14">
        <v>75</v>
      </c>
      <c r="B77" s="44" t="s">
        <v>386</v>
      </c>
      <c r="C77" s="44" t="s">
        <v>602</v>
      </c>
      <c r="D77" s="44">
        <v>4</v>
      </c>
      <c r="E77" s="44" t="s">
        <v>66</v>
      </c>
      <c r="F77" s="44" t="s">
        <v>50</v>
      </c>
      <c r="G77" s="45" t="s">
        <v>74</v>
      </c>
    </row>
    <row r="78" spans="1:7" x14ac:dyDescent="0.25">
      <c r="A78" s="14">
        <v>76</v>
      </c>
      <c r="B78" s="44" t="s">
        <v>385</v>
      </c>
      <c r="C78" s="44" t="s">
        <v>602</v>
      </c>
      <c r="D78" s="44">
        <v>4</v>
      </c>
      <c r="E78" s="44" t="s">
        <v>48</v>
      </c>
      <c r="F78" s="44" t="s">
        <v>33</v>
      </c>
      <c r="G78" s="45" t="s">
        <v>49</v>
      </c>
    </row>
    <row r="79" spans="1:7" x14ac:dyDescent="0.25">
      <c r="A79" s="14">
        <v>77</v>
      </c>
      <c r="B79" s="44" t="s">
        <v>384</v>
      </c>
      <c r="C79" s="44" t="s">
        <v>602</v>
      </c>
      <c r="D79" s="44">
        <v>4</v>
      </c>
      <c r="E79" s="44" t="s">
        <v>31</v>
      </c>
      <c r="F79" s="44" t="s">
        <v>68</v>
      </c>
      <c r="G79" s="45" t="s">
        <v>32</v>
      </c>
    </row>
    <row r="80" spans="1:7" x14ac:dyDescent="0.25">
      <c r="A80" s="14">
        <v>78</v>
      </c>
      <c r="B80" s="44" t="s">
        <v>388</v>
      </c>
      <c r="C80" s="44" t="s">
        <v>598</v>
      </c>
      <c r="D80" s="44">
        <v>5</v>
      </c>
      <c r="E80" s="44" t="s">
        <v>31</v>
      </c>
      <c r="F80" s="44" t="s">
        <v>68</v>
      </c>
      <c r="G80" s="45" t="s">
        <v>32</v>
      </c>
    </row>
    <row r="81" spans="1:7" x14ac:dyDescent="0.25">
      <c r="A81" s="14">
        <v>79</v>
      </c>
      <c r="B81" s="44" t="s">
        <v>389</v>
      </c>
      <c r="C81" s="44" t="s">
        <v>598</v>
      </c>
      <c r="D81" s="44">
        <v>5</v>
      </c>
      <c r="E81" s="44" t="s">
        <v>48</v>
      </c>
      <c r="F81" s="44" t="s">
        <v>33</v>
      </c>
      <c r="G81" s="45" t="s">
        <v>49</v>
      </c>
    </row>
    <row r="82" spans="1:7" x14ac:dyDescent="0.25">
      <c r="A82" s="14">
        <v>80</v>
      </c>
      <c r="B82" s="44" t="s">
        <v>390</v>
      </c>
      <c r="C82" s="44" t="s">
        <v>599</v>
      </c>
      <c r="D82" s="44">
        <v>5</v>
      </c>
      <c r="E82" s="44" t="s">
        <v>48</v>
      </c>
      <c r="F82" s="44" t="s">
        <v>33</v>
      </c>
      <c r="G82" s="45" t="s">
        <v>49</v>
      </c>
    </row>
    <row r="83" spans="1:7" x14ac:dyDescent="0.25">
      <c r="A83" s="14">
        <v>81</v>
      </c>
      <c r="B83" s="44" t="s">
        <v>391</v>
      </c>
      <c r="C83" s="44" t="s">
        <v>599</v>
      </c>
      <c r="D83" s="44">
        <v>5</v>
      </c>
      <c r="E83" s="44" t="s">
        <v>57</v>
      </c>
      <c r="F83" s="44" t="s">
        <v>59</v>
      </c>
      <c r="G83" s="45" t="s">
        <v>58</v>
      </c>
    </row>
    <row r="84" spans="1:7" x14ac:dyDescent="0.25">
      <c r="A84" s="14">
        <v>82</v>
      </c>
      <c r="B84" s="44" t="s">
        <v>392</v>
      </c>
      <c r="C84" s="44" t="s">
        <v>600</v>
      </c>
      <c r="D84" s="44">
        <v>5</v>
      </c>
      <c r="E84" s="44" t="s">
        <v>66</v>
      </c>
      <c r="F84" s="44" t="s">
        <v>75</v>
      </c>
      <c r="G84" s="45" t="s">
        <v>74</v>
      </c>
    </row>
    <row r="85" spans="1:7" x14ac:dyDescent="0.25">
      <c r="A85" s="14">
        <v>83</v>
      </c>
      <c r="B85" s="44" t="s">
        <v>393</v>
      </c>
      <c r="C85" s="44" t="s">
        <v>600</v>
      </c>
      <c r="D85" s="44">
        <v>5</v>
      </c>
      <c r="E85" s="44" t="s">
        <v>57</v>
      </c>
      <c r="F85" s="44" t="s">
        <v>59</v>
      </c>
      <c r="G85" s="45" t="s">
        <v>58</v>
      </c>
    </row>
    <row r="86" spans="1:7" x14ac:dyDescent="0.25">
      <c r="A86" s="14">
        <v>84</v>
      </c>
      <c r="B86" s="44" t="s">
        <v>395</v>
      </c>
      <c r="C86" s="44" t="s">
        <v>601</v>
      </c>
      <c r="D86" s="44">
        <v>5</v>
      </c>
      <c r="E86" s="44" t="s">
        <v>57</v>
      </c>
      <c r="F86" s="44" t="s">
        <v>33</v>
      </c>
      <c r="G86" s="45" t="s">
        <v>58</v>
      </c>
    </row>
    <row r="87" spans="1:7" x14ac:dyDescent="0.25">
      <c r="A87" s="14">
        <v>85</v>
      </c>
      <c r="B87" s="44" t="s">
        <v>394</v>
      </c>
      <c r="C87" s="44" t="s">
        <v>601</v>
      </c>
      <c r="D87" s="44">
        <v>5</v>
      </c>
      <c r="E87" s="44" t="s">
        <v>48</v>
      </c>
      <c r="F87" s="44" t="s">
        <v>68</v>
      </c>
      <c r="G87" s="45" t="s">
        <v>49</v>
      </c>
    </row>
    <row r="88" spans="1:7" x14ac:dyDescent="0.25">
      <c r="A88" s="14">
        <v>86</v>
      </c>
      <c r="B88" s="44" t="s">
        <v>397</v>
      </c>
      <c r="C88" s="44" t="s">
        <v>602</v>
      </c>
      <c r="D88" s="44">
        <v>5</v>
      </c>
      <c r="E88" s="44" t="s">
        <v>57</v>
      </c>
      <c r="F88" s="44" t="s">
        <v>33</v>
      </c>
      <c r="G88" s="45" t="s">
        <v>58</v>
      </c>
    </row>
    <row r="89" spans="1:7" x14ac:dyDescent="0.25">
      <c r="A89" s="14">
        <v>87</v>
      </c>
      <c r="B89" s="44" t="s">
        <v>396</v>
      </c>
      <c r="C89" s="44" t="s">
        <v>602</v>
      </c>
      <c r="D89" s="44">
        <v>5</v>
      </c>
      <c r="E89" s="44" t="s">
        <v>48</v>
      </c>
      <c r="F89" s="44" t="s">
        <v>68</v>
      </c>
      <c r="G89" s="45" t="s">
        <v>49</v>
      </c>
    </row>
    <row r="90" spans="1:7" x14ac:dyDescent="0.25">
      <c r="A90" s="14">
        <v>88</v>
      </c>
      <c r="B90" s="44" t="s">
        <v>398</v>
      </c>
      <c r="C90" s="44" t="s">
        <v>598</v>
      </c>
      <c r="D90" s="44">
        <v>4</v>
      </c>
      <c r="E90" s="44" t="s">
        <v>57</v>
      </c>
      <c r="F90" s="44" t="s">
        <v>75</v>
      </c>
      <c r="G90" s="45" t="s">
        <v>32</v>
      </c>
    </row>
    <row r="91" spans="1:7" x14ac:dyDescent="0.25">
      <c r="A91" s="14">
        <v>89</v>
      </c>
      <c r="B91" s="44" t="s">
        <v>399</v>
      </c>
      <c r="C91" s="44" t="s">
        <v>601</v>
      </c>
      <c r="D91" s="44">
        <v>5</v>
      </c>
      <c r="E91" s="44" t="s">
        <v>82</v>
      </c>
      <c r="F91" s="44" t="s">
        <v>50</v>
      </c>
      <c r="G91" s="45" t="s">
        <v>83</v>
      </c>
    </row>
    <row r="92" spans="1:7" x14ac:dyDescent="0.25">
      <c r="A92" s="14">
        <v>90</v>
      </c>
      <c r="B92" s="44" t="s">
        <v>400</v>
      </c>
      <c r="C92" s="44" t="s">
        <v>599</v>
      </c>
      <c r="D92" s="44">
        <v>5</v>
      </c>
      <c r="E92" s="44" t="s">
        <v>73</v>
      </c>
      <c r="F92" s="44" t="s">
        <v>84</v>
      </c>
      <c r="G92" s="45" t="s">
        <v>67</v>
      </c>
    </row>
    <row r="93" spans="1:7" x14ac:dyDescent="0.25">
      <c r="A93" s="14">
        <v>91</v>
      </c>
      <c r="B93" s="44" t="s">
        <v>401</v>
      </c>
      <c r="C93" s="44" t="s">
        <v>600</v>
      </c>
      <c r="D93" s="44">
        <v>5</v>
      </c>
      <c r="E93" s="44" t="s">
        <v>82</v>
      </c>
      <c r="F93" s="44" t="s">
        <v>84</v>
      </c>
      <c r="G93" s="45" t="s">
        <v>83</v>
      </c>
    </row>
    <row r="94" spans="1:7" x14ac:dyDescent="0.25">
      <c r="A94" s="14">
        <v>92</v>
      </c>
      <c r="B94" s="44" t="s">
        <v>402</v>
      </c>
      <c r="C94" s="44" t="s">
        <v>599</v>
      </c>
      <c r="D94" s="44">
        <v>4</v>
      </c>
      <c r="E94" s="44" t="s">
        <v>31</v>
      </c>
      <c r="F94" s="44" t="s">
        <v>33</v>
      </c>
      <c r="G94" s="45" t="s">
        <v>32</v>
      </c>
    </row>
    <row r="95" spans="1:7" x14ac:dyDescent="0.25">
      <c r="A95" s="14">
        <v>93</v>
      </c>
      <c r="B95" s="44" t="s">
        <v>403</v>
      </c>
      <c r="C95" s="44" t="s">
        <v>600</v>
      </c>
      <c r="D95" s="44">
        <v>4</v>
      </c>
      <c r="E95" s="44" t="s">
        <v>48</v>
      </c>
      <c r="F95" s="44" t="s">
        <v>75</v>
      </c>
      <c r="G95" s="45" t="s">
        <v>67</v>
      </c>
    </row>
    <row r="96" spans="1:7" x14ac:dyDescent="0.25">
      <c r="A96" s="14">
        <v>94</v>
      </c>
      <c r="B96" s="137" t="s">
        <v>404</v>
      </c>
      <c r="C96" s="44" t="s">
        <v>601</v>
      </c>
      <c r="D96" s="44">
        <v>4</v>
      </c>
      <c r="E96" s="44" t="s">
        <v>57</v>
      </c>
      <c r="F96" s="44" t="s">
        <v>91</v>
      </c>
      <c r="G96" s="45" t="s">
        <v>58</v>
      </c>
    </row>
    <row r="97" spans="1:7" x14ac:dyDescent="0.25">
      <c r="A97" s="14">
        <v>95</v>
      </c>
      <c r="B97" s="44" t="s">
        <v>405</v>
      </c>
      <c r="C97" s="44" t="s">
        <v>598</v>
      </c>
      <c r="D97" s="44">
        <v>5</v>
      </c>
      <c r="E97" s="44" t="s">
        <v>66</v>
      </c>
      <c r="F97" s="44" t="s">
        <v>50</v>
      </c>
      <c r="G97" s="45" t="s">
        <v>74</v>
      </c>
    </row>
    <row r="98" spans="1:7" x14ac:dyDescent="0.25">
      <c r="A98" s="14">
        <v>96</v>
      </c>
      <c r="B98" s="44" t="s">
        <v>406</v>
      </c>
      <c r="C98" s="44" t="s">
        <v>602</v>
      </c>
      <c r="D98" s="44">
        <v>4</v>
      </c>
      <c r="E98" s="44" t="s">
        <v>57</v>
      </c>
      <c r="F98" s="44" t="s">
        <v>91</v>
      </c>
      <c r="G98" s="45" t="s">
        <v>49</v>
      </c>
    </row>
    <row r="99" spans="1:7" x14ac:dyDescent="0.25">
      <c r="A99" s="14">
        <v>97</v>
      </c>
      <c r="B99" s="44" t="s">
        <v>407</v>
      </c>
      <c r="C99" s="44" t="s">
        <v>598</v>
      </c>
      <c r="D99" s="44">
        <v>5</v>
      </c>
      <c r="E99" s="44" t="s">
        <v>73</v>
      </c>
      <c r="F99" s="44" t="s">
        <v>84</v>
      </c>
      <c r="G99" s="45" t="s">
        <v>67</v>
      </c>
    </row>
    <row r="100" spans="1:7" x14ac:dyDescent="0.25">
      <c r="A100" s="14">
        <v>98</v>
      </c>
      <c r="B100" s="44" t="s">
        <v>408</v>
      </c>
      <c r="C100" s="44" t="s">
        <v>599</v>
      </c>
      <c r="D100" s="44">
        <v>4</v>
      </c>
      <c r="E100" s="44" t="s">
        <v>66</v>
      </c>
      <c r="F100" s="44" t="s">
        <v>68</v>
      </c>
      <c r="G100" s="45" t="s">
        <v>74</v>
      </c>
    </row>
    <row r="101" spans="1:7" x14ac:dyDescent="0.25">
      <c r="A101" s="14">
        <v>99</v>
      </c>
      <c r="B101" s="44" t="s">
        <v>409</v>
      </c>
      <c r="C101" s="44" t="s">
        <v>600</v>
      </c>
      <c r="D101" s="44">
        <v>4</v>
      </c>
      <c r="E101" s="44" t="s">
        <v>82</v>
      </c>
      <c r="F101" s="44" t="s">
        <v>68</v>
      </c>
      <c r="G101" s="45" t="s">
        <v>83</v>
      </c>
    </row>
    <row r="102" spans="1:7" x14ac:dyDescent="0.25">
      <c r="A102" s="14">
        <v>100</v>
      </c>
      <c r="B102" s="44" t="s">
        <v>410</v>
      </c>
      <c r="C102" s="44" t="s">
        <v>600</v>
      </c>
      <c r="D102" s="44">
        <v>5</v>
      </c>
      <c r="E102" s="44" t="s">
        <v>82</v>
      </c>
      <c r="F102" s="44" t="s">
        <v>33</v>
      </c>
      <c r="G102" s="45" t="s">
        <v>49</v>
      </c>
    </row>
    <row r="103" spans="1:7" x14ac:dyDescent="0.25">
      <c r="A103" s="14">
        <v>101</v>
      </c>
      <c r="B103" s="44" t="s">
        <v>411</v>
      </c>
      <c r="C103" s="44" t="s">
        <v>598</v>
      </c>
      <c r="D103" s="44">
        <v>4</v>
      </c>
      <c r="E103" s="44" t="s">
        <v>31</v>
      </c>
      <c r="F103" s="44" t="s">
        <v>59</v>
      </c>
      <c r="G103" s="45" t="s">
        <v>32</v>
      </c>
    </row>
    <row r="104" spans="1:7" x14ac:dyDescent="0.25">
      <c r="A104" s="14">
        <v>102</v>
      </c>
      <c r="B104" s="44" t="s">
        <v>412</v>
      </c>
      <c r="C104" s="44" t="s">
        <v>601</v>
      </c>
      <c r="D104" s="44">
        <v>4</v>
      </c>
      <c r="E104" s="44" t="s">
        <v>48</v>
      </c>
      <c r="F104" s="44" t="s">
        <v>59</v>
      </c>
      <c r="G104" s="45" t="s">
        <v>49</v>
      </c>
    </row>
    <row r="105" spans="1:7" x14ac:dyDescent="0.25">
      <c r="A105" s="14">
        <v>103</v>
      </c>
      <c r="B105" s="44" t="s">
        <v>413</v>
      </c>
      <c r="C105" s="44" t="s">
        <v>602</v>
      </c>
      <c r="D105" s="44">
        <v>5</v>
      </c>
      <c r="E105" s="44" t="s">
        <v>48</v>
      </c>
      <c r="F105" s="44" t="s">
        <v>75</v>
      </c>
      <c r="G105" s="45" t="s">
        <v>32</v>
      </c>
    </row>
    <row r="106" spans="1:7" x14ac:dyDescent="0.25">
      <c r="A106" s="14">
        <v>104</v>
      </c>
      <c r="B106" s="44" t="s">
        <v>414</v>
      </c>
      <c r="C106" s="44" t="s">
        <v>602</v>
      </c>
      <c r="D106" s="44">
        <v>4</v>
      </c>
      <c r="E106" s="44" t="s">
        <v>57</v>
      </c>
      <c r="F106" s="44" t="s">
        <v>33</v>
      </c>
      <c r="G106" s="45" t="s">
        <v>58</v>
      </c>
    </row>
    <row r="107" spans="1:7" x14ac:dyDescent="0.25">
      <c r="A107" s="14">
        <v>105</v>
      </c>
      <c r="B107" s="44" t="s">
        <v>415</v>
      </c>
      <c r="C107" s="44" t="s">
        <v>599</v>
      </c>
      <c r="D107" s="44">
        <v>5</v>
      </c>
      <c r="E107" s="44" t="s">
        <v>31</v>
      </c>
      <c r="F107" s="44" t="s">
        <v>50</v>
      </c>
      <c r="G107" s="45" t="s">
        <v>32</v>
      </c>
    </row>
    <row r="108" spans="1:7" x14ac:dyDescent="0.25">
      <c r="A108" s="14">
        <v>106</v>
      </c>
      <c r="B108" s="44" t="s">
        <v>416</v>
      </c>
      <c r="C108" s="44" t="s">
        <v>601</v>
      </c>
      <c r="D108" s="44">
        <v>4</v>
      </c>
      <c r="E108" s="44" t="s">
        <v>48</v>
      </c>
      <c r="F108" s="44" t="s">
        <v>50</v>
      </c>
      <c r="G108" s="45" t="s">
        <v>49</v>
      </c>
    </row>
    <row r="109" spans="1:7" x14ac:dyDescent="0.25">
      <c r="A109" s="14">
        <v>107</v>
      </c>
      <c r="B109" s="44" t="s">
        <v>417</v>
      </c>
      <c r="C109" s="44" t="s">
        <v>602</v>
      </c>
      <c r="D109" s="44">
        <v>4</v>
      </c>
      <c r="E109" s="44" t="s">
        <v>31</v>
      </c>
      <c r="F109" s="44" t="s">
        <v>84</v>
      </c>
      <c r="G109" s="45" t="s">
        <v>32</v>
      </c>
    </row>
    <row r="110" spans="1:7" x14ac:dyDescent="0.25">
      <c r="A110" s="14">
        <v>108</v>
      </c>
      <c r="B110" s="44" t="s">
        <v>418</v>
      </c>
      <c r="C110" s="44" t="s">
        <v>598</v>
      </c>
      <c r="D110" s="44">
        <v>5</v>
      </c>
      <c r="E110" s="44" t="s">
        <v>57</v>
      </c>
      <c r="F110" s="44" t="s">
        <v>59</v>
      </c>
      <c r="G110" s="45" t="s">
        <v>58</v>
      </c>
    </row>
    <row r="111" spans="1:7" x14ac:dyDescent="0.25">
      <c r="A111" s="14">
        <v>109</v>
      </c>
      <c r="B111" s="44" t="s">
        <v>419</v>
      </c>
      <c r="C111" s="44" t="s">
        <v>598</v>
      </c>
      <c r="D111" s="44">
        <v>4</v>
      </c>
      <c r="E111" s="44" t="s">
        <v>89</v>
      </c>
      <c r="F111" s="44" t="s">
        <v>97</v>
      </c>
      <c r="G111" s="45" t="s">
        <v>90</v>
      </c>
    </row>
    <row r="112" spans="1:7" x14ac:dyDescent="0.25">
      <c r="A112" s="14">
        <v>110</v>
      </c>
      <c r="B112" s="137" t="s">
        <v>420</v>
      </c>
      <c r="C112" s="44" t="s">
        <v>599</v>
      </c>
      <c r="D112" s="44">
        <v>4</v>
      </c>
      <c r="E112" s="44" t="s">
        <v>95</v>
      </c>
      <c r="F112" s="44" t="s">
        <v>97</v>
      </c>
      <c r="G112" s="45" t="s">
        <v>90</v>
      </c>
    </row>
    <row r="113" spans="1:7" x14ac:dyDescent="0.25">
      <c r="A113" s="14">
        <v>111</v>
      </c>
      <c r="B113" s="137" t="s">
        <v>421</v>
      </c>
      <c r="C113" s="44" t="s">
        <v>600</v>
      </c>
      <c r="D113" s="44">
        <v>4</v>
      </c>
      <c r="E113" s="44" t="s">
        <v>101</v>
      </c>
      <c r="F113" s="44" t="s">
        <v>84</v>
      </c>
      <c r="G113" s="45" t="s">
        <v>90</v>
      </c>
    </row>
    <row r="114" spans="1:7" x14ac:dyDescent="0.25">
      <c r="A114" s="14">
        <v>112</v>
      </c>
      <c r="B114" s="137" t="s">
        <v>422</v>
      </c>
      <c r="C114" s="44" t="s">
        <v>601</v>
      </c>
      <c r="D114" s="44">
        <v>4</v>
      </c>
      <c r="E114" s="44" t="s">
        <v>89</v>
      </c>
      <c r="F114" s="44" t="s">
        <v>59</v>
      </c>
      <c r="G114" s="45" t="s">
        <v>96</v>
      </c>
    </row>
    <row r="115" spans="1:7" x14ac:dyDescent="0.25">
      <c r="A115" s="14">
        <v>113</v>
      </c>
      <c r="B115" s="137" t="s">
        <v>423</v>
      </c>
      <c r="C115" s="44" t="s">
        <v>602</v>
      </c>
      <c r="D115" s="44">
        <v>4</v>
      </c>
      <c r="E115" s="44" t="s">
        <v>95</v>
      </c>
      <c r="F115" s="44" t="s">
        <v>68</v>
      </c>
      <c r="G115" s="45" t="s">
        <v>96</v>
      </c>
    </row>
    <row r="116" spans="1:7" x14ac:dyDescent="0.25">
      <c r="A116" s="14">
        <v>114</v>
      </c>
      <c r="B116" s="44" t="s">
        <v>424</v>
      </c>
      <c r="C116" s="44" t="s">
        <v>598</v>
      </c>
      <c r="D116" s="44">
        <v>5</v>
      </c>
      <c r="E116" s="44" t="s">
        <v>89</v>
      </c>
      <c r="F116" s="44" t="s">
        <v>97</v>
      </c>
      <c r="G116" s="45" t="s">
        <v>90</v>
      </c>
    </row>
    <row r="117" spans="1:7" x14ac:dyDescent="0.25">
      <c r="A117" s="14">
        <v>115</v>
      </c>
      <c r="B117" s="44" t="s">
        <v>425</v>
      </c>
      <c r="C117" s="44" t="s">
        <v>602</v>
      </c>
      <c r="D117" s="44">
        <v>5</v>
      </c>
      <c r="E117" s="44" t="s">
        <v>95</v>
      </c>
      <c r="F117" s="44" t="s">
        <v>68</v>
      </c>
      <c r="G117" s="45" t="s">
        <v>96</v>
      </c>
    </row>
    <row r="118" spans="1:7" x14ac:dyDescent="0.25">
      <c r="A118" s="14">
        <v>116</v>
      </c>
      <c r="B118" s="44" t="s">
        <v>426</v>
      </c>
      <c r="C118" s="44" t="s">
        <v>600</v>
      </c>
      <c r="D118" s="44">
        <v>4</v>
      </c>
      <c r="E118" s="44" t="s">
        <v>101</v>
      </c>
      <c r="F118" s="44" t="s">
        <v>103</v>
      </c>
      <c r="G118" s="45" t="s">
        <v>90</v>
      </c>
    </row>
    <row r="119" spans="1:7" x14ac:dyDescent="0.25">
      <c r="A119" s="14">
        <v>117</v>
      </c>
      <c r="B119" s="44" t="s">
        <v>427</v>
      </c>
      <c r="C119" s="44" t="s">
        <v>599</v>
      </c>
      <c r="D119" s="44">
        <v>4</v>
      </c>
      <c r="E119" s="44" t="s">
        <v>82</v>
      </c>
      <c r="F119" s="44" t="s">
        <v>33</v>
      </c>
      <c r="G119" s="45" t="s">
        <v>83</v>
      </c>
    </row>
    <row r="120" spans="1:7" x14ac:dyDescent="0.25">
      <c r="A120" s="14">
        <v>118</v>
      </c>
      <c r="B120" s="44" t="s">
        <v>428</v>
      </c>
      <c r="C120" s="44" t="s">
        <v>600</v>
      </c>
      <c r="D120" s="44">
        <v>5</v>
      </c>
      <c r="E120" s="44" t="s">
        <v>101</v>
      </c>
      <c r="F120" s="44" t="s">
        <v>97</v>
      </c>
      <c r="G120" s="45" t="s">
        <v>90</v>
      </c>
    </row>
    <row r="121" spans="1:7" x14ac:dyDescent="0.25">
      <c r="A121" s="14">
        <v>119</v>
      </c>
      <c r="B121" s="44" t="s">
        <v>429</v>
      </c>
      <c r="C121" s="44" t="s">
        <v>601</v>
      </c>
      <c r="D121" s="44">
        <v>5</v>
      </c>
      <c r="E121" s="44" t="s">
        <v>89</v>
      </c>
      <c r="F121" s="44" t="s">
        <v>103</v>
      </c>
      <c r="G121" s="45" t="s">
        <v>96</v>
      </c>
    </row>
    <row r="122" spans="1:7" x14ac:dyDescent="0.25">
      <c r="A122" s="14">
        <v>120</v>
      </c>
      <c r="B122" s="44" t="s">
        <v>430</v>
      </c>
      <c r="C122" s="44" t="s">
        <v>599</v>
      </c>
      <c r="D122" s="44">
        <v>4</v>
      </c>
      <c r="E122" s="44" t="s">
        <v>89</v>
      </c>
      <c r="F122" s="44" t="s">
        <v>97</v>
      </c>
      <c r="G122" s="45" t="s">
        <v>102</v>
      </c>
    </row>
    <row r="123" spans="1:7" x14ac:dyDescent="0.25">
      <c r="A123" s="14">
        <v>121</v>
      </c>
      <c r="B123" s="44" t="s">
        <v>431</v>
      </c>
      <c r="C123" s="44" t="s">
        <v>602</v>
      </c>
      <c r="D123" s="44">
        <v>5</v>
      </c>
      <c r="E123" s="44" t="s">
        <v>101</v>
      </c>
      <c r="F123" s="44" t="s">
        <v>103</v>
      </c>
      <c r="G123" s="45" t="s">
        <v>102</v>
      </c>
    </row>
    <row r="124" spans="1:7" x14ac:dyDescent="0.25">
      <c r="A124" s="14">
        <v>122</v>
      </c>
      <c r="B124" s="137" t="s">
        <v>433</v>
      </c>
      <c r="C124" s="44" t="s">
        <v>602</v>
      </c>
      <c r="D124" s="44">
        <v>4</v>
      </c>
      <c r="E124" s="44" t="s">
        <v>95</v>
      </c>
      <c r="F124" s="44" t="s">
        <v>103</v>
      </c>
      <c r="G124" s="45" t="s">
        <v>96</v>
      </c>
    </row>
    <row r="125" spans="1:7" x14ac:dyDescent="0.25">
      <c r="A125" s="14">
        <v>123</v>
      </c>
      <c r="B125" s="137" t="s">
        <v>432</v>
      </c>
      <c r="C125" s="44" t="s">
        <v>600</v>
      </c>
      <c r="D125" s="44">
        <v>4</v>
      </c>
      <c r="E125" s="44" t="s">
        <v>101</v>
      </c>
      <c r="F125" s="44" t="s">
        <v>97</v>
      </c>
      <c r="G125" s="45" t="s">
        <v>102</v>
      </c>
    </row>
    <row r="126" spans="1:7" x14ac:dyDescent="0.25">
      <c r="A126" s="14">
        <v>124</v>
      </c>
      <c r="B126" s="44" t="s">
        <v>435</v>
      </c>
      <c r="C126" s="44" t="s">
        <v>599</v>
      </c>
      <c r="D126" s="44">
        <v>5</v>
      </c>
      <c r="E126" s="44" t="s">
        <v>95</v>
      </c>
      <c r="F126" s="44" t="s">
        <v>97</v>
      </c>
      <c r="G126" s="45" t="s">
        <v>102</v>
      </c>
    </row>
    <row r="127" spans="1:7" x14ac:dyDescent="0.25">
      <c r="A127" s="14">
        <v>125</v>
      </c>
      <c r="B127" s="44" t="s">
        <v>434</v>
      </c>
      <c r="C127" s="44" t="s">
        <v>598</v>
      </c>
      <c r="D127" s="44">
        <v>4</v>
      </c>
      <c r="E127" s="44" t="s">
        <v>31</v>
      </c>
      <c r="F127" s="44" t="s">
        <v>50</v>
      </c>
      <c r="G127" s="45" t="s">
        <v>58</v>
      </c>
    </row>
    <row r="128" spans="1:7" x14ac:dyDescent="0.25">
      <c r="A128" s="14">
        <v>126</v>
      </c>
      <c r="B128" s="44" t="s">
        <v>436</v>
      </c>
      <c r="C128" s="44" t="s">
        <v>600</v>
      </c>
      <c r="D128" s="44">
        <v>5</v>
      </c>
      <c r="E128" s="44" t="s">
        <v>73</v>
      </c>
      <c r="F128" s="44" t="s">
        <v>91</v>
      </c>
      <c r="G128" s="45" t="s">
        <v>67</v>
      </c>
    </row>
    <row r="129" spans="1:7" x14ac:dyDescent="0.25">
      <c r="A129" s="14">
        <v>127</v>
      </c>
      <c r="B129" s="44" t="s">
        <v>438</v>
      </c>
      <c r="C129" s="44" t="s">
        <v>601</v>
      </c>
      <c r="D129" s="44">
        <v>5</v>
      </c>
      <c r="E129" s="44" t="s">
        <v>101</v>
      </c>
      <c r="F129" s="44" t="s">
        <v>103</v>
      </c>
      <c r="G129" s="45" t="s">
        <v>102</v>
      </c>
    </row>
    <row r="130" spans="1:7" x14ac:dyDescent="0.25">
      <c r="A130" s="14">
        <v>128</v>
      </c>
      <c r="B130" s="44" t="s">
        <v>437</v>
      </c>
      <c r="C130" s="44" t="s">
        <v>601</v>
      </c>
      <c r="D130" s="44">
        <v>4</v>
      </c>
      <c r="E130" s="44" t="s">
        <v>89</v>
      </c>
      <c r="F130" s="44" t="s">
        <v>103</v>
      </c>
      <c r="G130" s="45" t="s">
        <v>102</v>
      </c>
    </row>
    <row r="131" spans="1:7" x14ac:dyDescent="0.25">
      <c r="A131" s="14">
        <v>129</v>
      </c>
      <c r="B131" s="44" t="s">
        <v>439</v>
      </c>
      <c r="C131" s="44" t="s">
        <v>598</v>
      </c>
      <c r="D131" s="44">
        <v>5</v>
      </c>
      <c r="E131" s="44" t="s">
        <v>95</v>
      </c>
      <c r="F131" s="44" t="s">
        <v>97</v>
      </c>
      <c r="G131" s="45" t="s">
        <v>108</v>
      </c>
    </row>
    <row r="132" spans="1:7" x14ac:dyDescent="0.25">
      <c r="A132" s="14">
        <v>130</v>
      </c>
      <c r="B132" s="44" t="s">
        <v>441</v>
      </c>
      <c r="C132" s="44" t="s">
        <v>602</v>
      </c>
      <c r="D132" s="44">
        <v>5</v>
      </c>
      <c r="E132" s="44" t="s">
        <v>66</v>
      </c>
      <c r="F132" s="44" t="s">
        <v>103</v>
      </c>
      <c r="G132" s="45" t="s">
        <v>108</v>
      </c>
    </row>
    <row r="133" spans="1:7" x14ac:dyDescent="0.25">
      <c r="A133" s="14">
        <v>131</v>
      </c>
      <c r="B133" s="44" t="s">
        <v>440</v>
      </c>
      <c r="C133" s="44" t="s">
        <v>602</v>
      </c>
      <c r="D133" s="44">
        <v>4</v>
      </c>
      <c r="E133" s="44" t="s">
        <v>82</v>
      </c>
      <c r="F133" s="44" t="s">
        <v>59</v>
      </c>
      <c r="G133" s="45" t="s">
        <v>74</v>
      </c>
    </row>
    <row r="134" spans="1:7" x14ac:dyDescent="0.25">
      <c r="A134" s="14">
        <v>132</v>
      </c>
      <c r="B134" s="44" t="s">
        <v>442</v>
      </c>
      <c r="C134" s="44" t="s">
        <v>598</v>
      </c>
      <c r="D134" s="44">
        <v>4</v>
      </c>
      <c r="E134" s="44" t="s">
        <v>101</v>
      </c>
      <c r="F134" s="44" t="s">
        <v>103</v>
      </c>
      <c r="G134" s="45" t="s">
        <v>108</v>
      </c>
    </row>
    <row r="135" spans="1:7" x14ac:dyDescent="0.25">
      <c r="A135" s="14">
        <v>133</v>
      </c>
      <c r="B135" s="44" t="s">
        <v>443</v>
      </c>
      <c r="C135" s="44" t="s">
        <v>598</v>
      </c>
      <c r="D135" s="44">
        <v>4</v>
      </c>
      <c r="E135" s="44" t="s">
        <v>107</v>
      </c>
      <c r="F135" s="44" t="s">
        <v>115</v>
      </c>
      <c r="G135" s="45" t="s">
        <v>120</v>
      </c>
    </row>
    <row r="136" spans="1:7" x14ac:dyDescent="0.25">
      <c r="A136" s="14">
        <v>134</v>
      </c>
      <c r="B136" s="44" t="s">
        <v>444</v>
      </c>
      <c r="C136" s="44" t="s">
        <v>599</v>
      </c>
      <c r="D136" s="44">
        <v>4</v>
      </c>
      <c r="E136" s="44" t="s">
        <v>107</v>
      </c>
      <c r="F136" s="44" t="s">
        <v>115</v>
      </c>
      <c r="G136" s="45" t="s">
        <v>120</v>
      </c>
    </row>
    <row r="137" spans="1:7" x14ac:dyDescent="0.25">
      <c r="A137" s="14">
        <v>135</v>
      </c>
      <c r="B137" s="44" t="s">
        <v>445</v>
      </c>
      <c r="C137" s="44" t="s">
        <v>600</v>
      </c>
      <c r="D137" s="44">
        <v>4</v>
      </c>
      <c r="E137" s="44" t="s">
        <v>113</v>
      </c>
      <c r="F137" s="44" t="s">
        <v>75</v>
      </c>
      <c r="G137" s="45" t="s">
        <v>120</v>
      </c>
    </row>
    <row r="138" spans="1:7" x14ac:dyDescent="0.25">
      <c r="A138" s="14">
        <v>136</v>
      </c>
      <c r="B138" s="44" t="s">
        <v>446</v>
      </c>
      <c r="C138" s="44" t="s">
        <v>601</v>
      </c>
      <c r="D138" s="44">
        <v>4</v>
      </c>
      <c r="E138" s="44" t="s">
        <v>113</v>
      </c>
      <c r="F138" s="44" t="s">
        <v>109</v>
      </c>
      <c r="G138" s="45" t="s">
        <v>108</v>
      </c>
    </row>
    <row r="139" spans="1:7" x14ac:dyDescent="0.25">
      <c r="A139" s="14">
        <v>137</v>
      </c>
      <c r="B139" s="44" t="s">
        <v>447</v>
      </c>
      <c r="C139" s="44" t="s">
        <v>602</v>
      </c>
      <c r="D139" s="44">
        <v>4</v>
      </c>
      <c r="E139" s="44" t="s">
        <v>119</v>
      </c>
      <c r="F139" s="44" t="s">
        <v>68</v>
      </c>
      <c r="G139" s="45" t="s">
        <v>114</v>
      </c>
    </row>
    <row r="140" spans="1:7" x14ac:dyDescent="0.25">
      <c r="A140" s="14">
        <v>138</v>
      </c>
      <c r="B140" s="44" t="s">
        <v>449</v>
      </c>
      <c r="C140" s="44" t="s">
        <v>602</v>
      </c>
      <c r="D140" s="44">
        <v>5</v>
      </c>
      <c r="E140" s="44" t="s">
        <v>119</v>
      </c>
      <c r="F140" s="44" t="s">
        <v>115</v>
      </c>
      <c r="G140" s="45" t="s">
        <v>114</v>
      </c>
    </row>
    <row r="141" spans="1:7" x14ac:dyDescent="0.25">
      <c r="A141" s="14">
        <v>139</v>
      </c>
      <c r="B141" s="44" t="s">
        <v>448</v>
      </c>
      <c r="C141" s="44" t="s">
        <v>602</v>
      </c>
      <c r="D141" s="44">
        <v>4</v>
      </c>
      <c r="E141" s="44" t="s">
        <v>119</v>
      </c>
      <c r="F141" s="44" t="s">
        <v>109</v>
      </c>
      <c r="G141" s="45" t="s">
        <v>114</v>
      </c>
    </row>
    <row r="142" spans="1:7" x14ac:dyDescent="0.25">
      <c r="A142" s="14">
        <v>140</v>
      </c>
      <c r="B142" s="44" t="s">
        <v>450</v>
      </c>
      <c r="C142" s="44" t="s">
        <v>600</v>
      </c>
      <c r="D142" s="44">
        <v>4</v>
      </c>
      <c r="E142" s="44" t="s">
        <v>48</v>
      </c>
      <c r="F142" s="44" t="s">
        <v>33</v>
      </c>
      <c r="G142" s="45" t="s">
        <v>108</v>
      </c>
    </row>
    <row r="143" spans="1:7" x14ac:dyDescent="0.25">
      <c r="A143" s="14">
        <v>141</v>
      </c>
      <c r="B143" s="44" t="s">
        <v>451</v>
      </c>
      <c r="C143" s="44" t="s">
        <v>600</v>
      </c>
      <c r="D143" s="44">
        <v>5</v>
      </c>
      <c r="E143" s="44" t="s">
        <v>113</v>
      </c>
      <c r="F143" s="44" t="s">
        <v>109</v>
      </c>
      <c r="G143" s="45" t="s">
        <v>120</v>
      </c>
    </row>
    <row r="144" spans="1:7" x14ac:dyDescent="0.25">
      <c r="A144" s="14">
        <v>142</v>
      </c>
      <c r="B144" s="44" t="s">
        <v>454</v>
      </c>
      <c r="C144" s="44" t="s">
        <v>599</v>
      </c>
      <c r="D144" s="44">
        <v>4</v>
      </c>
      <c r="E144" s="44" t="s">
        <v>119</v>
      </c>
      <c r="F144" s="44" t="s">
        <v>84</v>
      </c>
      <c r="G144" s="45" t="s">
        <v>120</v>
      </c>
    </row>
    <row r="145" spans="1:7" x14ac:dyDescent="0.25">
      <c r="A145" s="14">
        <v>143</v>
      </c>
      <c r="B145" s="44" t="s">
        <v>452</v>
      </c>
      <c r="C145" s="44" t="s">
        <v>598</v>
      </c>
      <c r="D145" s="44">
        <v>5</v>
      </c>
      <c r="E145" s="44" t="s">
        <v>107</v>
      </c>
      <c r="F145" s="44" t="s">
        <v>115</v>
      </c>
      <c r="G145" s="45" t="s">
        <v>126</v>
      </c>
    </row>
    <row r="146" spans="1:7" x14ac:dyDescent="0.25">
      <c r="A146" s="14">
        <v>144</v>
      </c>
      <c r="B146" s="44" t="s">
        <v>453</v>
      </c>
      <c r="C146" s="44" t="s">
        <v>598</v>
      </c>
      <c r="D146" s="44">
        <v>4</v>
      </c>
      <c r="E146" s="44" t="s">
        <v>107</v>
      </c>
      <c r="F146" s="44" t="s">
        <v>115</v>
      </c>
      <c r="G146" s="45" t="s">
        <v>126</v>
      </c>
    </row>
    <row r="147" spans="1:7" x14ac:dyDescent="0.25">
      <c r="A147" s="14">
        <v>145</v>
      </c>
      <c r="B147" s="44" t="s">
        <v>455</v>
      </c>
      <c r="C147" s="44" t="s">
        <v>601</v>
      </c>
      <c r="D147" s="44">
        <v>4</v>
      </c>
      <c r="E147" s="44" t="s">
        <v>113</v>
      </c>
      <c r="F147" s="44" t="s">
        <v>109</v>
      </c>
      <c r="G147" s="45" t="s">
        <v>114</v>
      </c>
    </row>
    <row r="148" spans="1:7" x14ac:dyDescent="0.25">
      <c r="A148" s="14">
        <v>146</v>
      </c>
      <c r="B148" s="44" t="s">
        <v>456</v>
      </c>
      <c r="C148" s="44" t="s">
        <v>601</v>
      </c>
      <c r="D148" s="44">
        <v>5</v>
      </c>
      <c r="E148" s="44" t="s">
        <v>113</v>
      </c>
      <c r="F148" s="44" t="s">
        <v>109</v>
      </c>
      <c r="G148" s="45" t="s">
        <v>126</v>
      </c>
    </row>
    <row r="149" spans="1:7" x14ac:dyDescent="0.25">
      <c r="A149" s="14">
        <v>147</v>
      </c>
      <c r="B149" s="44" t="s">
        <v>457</v>
      </c>
      <c r="C149" s="44" t="s">
        <v>601</v>
      </c>
      <c r="D149" s="44">
        <v>5</v>
      </c>
      <c r="E149" s="44" t="s">
        <v>119</v>
      </c>
      <c r="F149" s="44" t="s">
        <v>109</v>
      </c>
      <c r="G149" s="45" t="s">
        <v>114</v>
      </c>
    </row>
    <row r="150" spans="1:7" x14ac:dyDescent="0.25">
      <c r="A150" s="14">
        <v>148</v>
      </c>
      <c r="B150" s="44" t="s">
        <v>458</v>
      </c>
      <c r="C150" s="44" t="s">
        <v>598</v>
      </c>
      <c r="D150" s="44">
        <v>4</v>
      </c>
      <c r="E150" s="44" t="s">
        <v>95</v>
      </c>
      <c r="F150" s="44" t="s">
        <v>97</v>
      </c>
      <c r="G150" s="45" t="s">
        <v>126</v>
      </c>
    </row>
    <row r="151" spans="1:7" x14ac:dyDescent="0.25">
      <c r="A151" s="14">
        <v>149</v>
      </c>
      <c r="B151" s="44" t="s">
        <v>459</v>
      </c>
      <c r="C151" s="44" t="s">
        <v>598</v>
      </c>
      <c r="D151" s="44">
        <v>5</v>
      </c>
      <c r="E151" s="44" t="s">
        <v>107</v>
      </c>
      <c r="F151" s="44" t="s">
        <v>115</v>
      </c>
      <c r="G151" s="45" t="s">
        <v>129</v>
      </c>
    </row>
    <row r="152" spans="1:7" x14ac:dyDescent="0.25">
      <c r="A152" s="14">
        <v>150</v>
      </c>
      <c r="B152" s="44" t="s">
        <v>460</v>
      </c>
      <c r="C152" s="44" t="s">
        <v>599</v>
      </c>
      <c r="D152" s="44">
        <v>5</v>
      </c>
      <c r="E152" s="44" t="s">
        <v>119</v>
      </c>
      <c r="F152" s="44" t="s">
        <v>115</v>
      </c>
      <c r="G152" s="45" t="s">
        <v>129</v>
      </c>
    </row>
    <row r="153" spans="1:7" x14ac:dyDescent="0.25">
      <c r="A153" s="14">
        <v>151</v>
      </c>
      <c r="B153" s="44" t="s">
        <v>461</v>
      </c>
      <c r="C153" s="44" t="s">
        <v>599</v>
      </c>
      <c r="D153" s="44">
        <v>4</v>
      </c>
      <c r="E153" s="44" t="s">
        <v>57</v>
      </c>
      <c r="F153" s="44" t="s">
        <v>103</v>
      </c>
      <c r="G153" s="45" t="s">
        <v>129</v>
      </c>
    </row>
    <row r="154" spans="1:7" x14ac:dyDescent="0.25">
      <c r="A154" s="14">
        <v>152</v>
      </c>
      <c r="B154" s="44" t="s">
        <v>462</v>
      </c>
      <c r="C154" s="44" t="s">
        <v>601</v>
      </c>
      <c r="D154" s="44">
        <v>5</v>
      </c>
      <c r="E154" s="44" t="s">
        <v>66</v>
      </c>
      <c r="F154" s="44" t="s">
        <v>109</v>
      </c>
      <c r="G154" s="45" t="s">
        <v>132</v>
      </c>
    </row>
    <row r="155" spans="1:7" x14ac:dyDescent="0.25">
      <c r="A155" s="14">
        <v>153</v>
      </c>
      <c r="B155" s="44" t="s">
        <v>463</v>
      </c>
      <c r="C155" s="44" t="s">
        <v>602</v>
      </c>
      <c r="D155" s="44">
        <v>4</v>
      </c>
      <c r="E155" s="44" t="s">
        <v>107</v>
      </c>
      <c r="F155" s="44" t="s">
        <v>115</v>
      </c>
      <c r="G155" s="45" t="s">
        <v>132</v>
      </c>
    </row>
    <row r="156" spans="1:7" x14ac:dyDescent="0.25">
      <c r="A156" s="14">
        <v>154</v>
      </c>
      <c r="B156" s="44" t="s">
        <v>464</v>
      </c>
      <c r="C156" s="44" t="s">
        <v>598</v>
      </c>
      <c r="D156" s="44">
        <v>4</v>
      </c>
      <c r="E156" s="44" t="s">
        <v>31</v>
      </c>
      <c r="F156" s="44" t="s">
        <v>50</v>
      </c>
      <c r="G156" s="45" t="s">
        <v>58</v>
      </c>
    </row>
    <row r="157" spans="1:7" x14ac:dyDescent="0.25">
      <c r="A157" s="14">
        <v>155</v>
      </c>
      <c r="B157" s="44" t="s">
        <v>465</v>
      </c>
      <c r="C157" s="44" t="s">
        <v>599</v>
      </c>
      <c r="D157" s="44">
        <v>4</v>
      </c>
      <c r="E157" s="44" t="s">
        <v>113</v>
      </c>
      <c r="F157" s="44" t="s">
        <v>33</v>
      </c>
      <c r="G157" s="45" t="s">
        <v>129</v>
      </c>
    </row>
    <row r="158" spans="1:7" x14ac:dyDescent="0.25">
      <c r="A158" s="14">
        <v>156</v>
      </c>
      <c r="B158" s="137" t="s">
        <v>466</v>
      </c>
      <c r="C158" s="44" t="s">
        <v>600</v>
      </c>
      <c r="D158" s="44">
        <v>4</v>
      </c>
      <c r="E158" s="44" t="s">
        <v>131</v>
      </c>
      <c r="F158" s="44" t="s">
        <v>91</v>
      </c>
      <c r="G158" s="45" t="s">
        <v>132</v>
      </c>
    </row>
    <row r="159" spans="1:7" x14ac:dyDescent="0.25">
      <c r="A159" s="14">
        <v>157</v>
      </c>
      <c r="B159" s="44" t="s">
        <v>467</v>
      </c>
      <c r="C159" s="44" t="s">
        <v>601</v>
      </c>
      <c r="D159" s="44">
        <v>4</v>
      </c>
      <c r="E159" s="44" t="s">
        <v>66</v>
      </c>
      <c r="F159" s="44" t="s">
        <v>59</v>
      </c>
      <c r="G159" s="45" t="s">
        <v>67</v>
      </c>
    </row>
    <row r="160" spans="1:7" x14ac:dyDescent="0.25">
      <c r="A160" s="14">
        <v>158</v>
      </c>
      <c r="B160" s="137" t="s">
        <v>468</v>
      </c>
      <c r="C160" s="44" t="s">
        <v>602</v>
      </c>
      <c r="D160" s="44">
        <v>4</v>
      </c>
      <c r="E160" s="44" t="s">
        <v>119</v>
      </c>
      <c r="F160" s="44" t="s">
        <v>109</v>
      </c>
      <c r="G160" s="45" t="s">
        <v>132</v>
      </c>
    </row>
    <row r="161" spans="1:7" x14ac:dyDescent="0.25">
      <c r="A161" s="14">
        <v>159</v>
      </c>
      <c r="B161" s="137" t="s">
        <v>469</v>
      </c>
      <c r="C161" s="44" t="s">
        <v>598</v>
      </c>
      <c r="D161" s="44">
        <v>4</v>
      </c>
      <c r="E161" s="44" t="s">
        <v>128</v>
      </c>
      <c r="F161" s="44" t="s">
        <v>97</v>
      </c>
      <c r="G161" s="45" t="s">
        <v>911</v>
      </c>
    </row>
    <row r="162" spans="1:7" x14ac:dyDescent="0.25">
      <c r="A162" s="14">
        <v>160</v>
      </c>
      <c r="B162" s="44" t="s">
        <v>470</v>
      </c>
      <c r="C162" s="44" t="s">
        <v>599</v>
      </c>
      <c r="D162" s="44">
        <v>4</v>
      </c>
      <c r="E162" s="44" t="s">
        <v>131</v>
      </c>
      <c r="F162" s="44" t="s">
        <v>127</v>
      </c>
      <c r="G162" s="45" t="s">
        <v>136</v>
      </c>
    </row>
    <row r="163" spans="1:7" x14ac:dyDescent="0.25">
      <c r="A163" s="14">
        <v>161</v>
      </c>
      <c r="B163" s="44" t="s">
        <v>471</v>
      </c>
      <c r="C163" s="44" t="s">
        <v>600</v>
      </c>
      <c r="D163" s="44">
        <v>4</v>
      </c>
      <c r="E163" s="44" t="s">
        <v>131</v>
      </c>
      <c r="F163" s="44" t="s">
        <v>127</v>
      </c>
      <c r="G163" s="45" t="s">
        <v>136</v>
      </c>
    </row>
    <row r="164" spans="1:7" x14ac:dyDescent="0.25">
      <c r="A164" s="14">
        <v>162</v>
      </c>
      <c r="B164" s="137" t="s">
        <v>472</v>
      </c>
      <c r="C164" s="44" t="s">
        <v>601</v>
      </c>
      <c r="D164" s="44">
        <v>4</v>
      </c>
      <c r="E164" s="44" t="s">
        <v>128</v>
      </c>
      <c r="F164" s="44" t="s">
        <v>121</v>
      </c>
      <c r="G164" s="45" t="s">
        <v>136</v>
      </c>
    </row>
    <row r="165" spans="1:7" x14ac:dyDescent="0.25">
      <c r="A165" s="14">
        <v>163</v>
      </c>
      <c r="B165" s="44" t="s">
        <v>473</v>
      </c>
      <c r="C165" s="44" t="s">
        <v>602</v>
      </c>
      <c r="D165" s="44">
        <v>4</v>
      </c>
      <c r="E165" s="44" t="s">
        <v>125</v>
      </c>
      <c r="F165" s="44" t="s">
        <v>68</v>
      </c>
      <c r="G165" s="45" t="s">
        <v>911</v>
      </c>
    </row>
    <row r="166" spans="1:7" x14ac:dyDescent="0.25">
      <c r="A166" s="14">
        <v>164</v>
      </c>
      <c r="B166" s="44" t="s">
        <v>474</v>
      </c>
      <c r="C166" s="44" t="s">
        <v>602</v>
      </c>
      <c r="D166" s="44">
        <v>5</v>
      </c>
      <c r="E166" s="44" t="s">
        <v>125</v>
      </c>
      <c r="F166" s="44" t="s">
        <v>121</v>
      </c>
      <c r="G166" s="45" t="s">
        <v>911</v>
      </c>
    </row>
    <row r="167" spans="1:7" x14ac:dyDescent="0.25">
      <c r="A167" s="14">
        <v>165</v>
      </c>
      <c r="B167" s="44" t="s">
        <v>475</v>
      </c>
      <c r="C167" s="44" t="s">
        <v>598</v>
      </c>
      <c r="D167" s="44">
        <v>4</v>
      </c>
      <c r="E167" s="44" t="s">
        <v>125</v>
      </c>
      <c r="F167" s="44" t="s">
        <v>121</v>
      </c>
      <c r="G167" s="45" t="s">
        <v>911</v>
      </c>
    </row>
    <row r="168" spans="1:7" x14ac:dyDescent="0.25">
      <c r="A168" s="14">
        <v>166</v>
      </c>
      <c r="B168" s="44" t="s">
        <v>476</v>
      </c>
      <c r="C168" s="44" t="s">
        <v>601</v>
      </c>
      <c r="D168" s="44">
        <v>5</v>
      </c>
      <c r="E168" s="44" t="s">
        <v>128</v>
      </c>
      <c r="F168" s="44" t="s">
        <v>127</v>
      </c>
      <c r="G168" s="45" t="s">
        <v>136</v>
      </c>
    </row>
    <row r="169" spans="1:7" x14ac:dyDescent="0.25">
      <c r="A169" s="14">
        <v>167</v>
      </c>
      <c r="B169" s="44" t="s">
        <v>477</v>
      </c>
      <c r="C169" s="44" t="s">
        <v>598</v>
      </c>
      <c r="D169" s="44">
        <v>4</v>
      </c>
      <c r="E169" s="44" t="s">
        <v>128</v>
      </c>
      <c r="F169" s="44" t="s">
        <v>121</v>
      </c>
      <c r="G169" s="45" t="s">
        <v>138</v>
      </c>
    </row>
    <row r="170" spans="1:7" x14ac:dyDescent="0.25">
      <c r="A170" s="14">
        <v>168</v>
      </c>
      <c r="B170" s="44" t="s">
        <v>478</v>
      </c>
      <c r="C170" s="44" t="s">
        <v>599</v>
      </c>
      <c r="D170" s="44">
        <v>4</v>
      </c>
      <c r="E170" s="44" t="s">
        <v>131</v>
      </c>
      <c r="F170" s="44" t="s">
        <v>127</v>
      </c>
      <c r="G170" s="45" t="s">
        <v>136</v>
      </c>
    </row>
    <row r="171" spans="1:7" x14ac:dyDescent="0.25">
      <c r="A171" s="14">
        <v>169</v>
      </c>
      <c r="B171" s="44" t="s">
        <v>479</v>
      </c>
      <c r="C171" s="44" t="s">
        <v>601</v>
      </c>
      <c r="D171" s="44">
        <v>5</v>
      </c>
      <c r="E171" s="44" t="s">
        <v>131</v>
      </c>
      <c r="F171" s="44" t="s">
        <v>121</v>
      </c>
      <c r="G171" s="45" t="s">
        <v>138</v>
      </c>
    </row>
    <row r="172" spans="1:7" x14ac:dyDescent="0.25">
      <c r="A172" s="14">
        <v>170</v>
      </c>
      <c r="B172" s="137" t="s">
        <v>481</v>
      </c>
      <c r="C172" s="44" t="s">
        <v>600</v>
      </c>
      <c r="D172" s="44">
        <v>4</v>
      </c>
      <c r="E172" s="44" t="s">
        <v>125</v>
      </c>
      <c r="F172" s="44" t="s">
        <v>127</v>
      </c>
      <c r="G172" s="45" t="s">
        <v>138</v>
      </c>
    </row>
    <row r="173" spans="1:7" x14ac:dyDescent="0.25">
      <c r="A173" s="14">
        <v>171</v>
      </c>
      <c r="B173" s="44" t="s">
        <v>480</v>
      </c>
      <c r="C173" s="44" t="s">
        <v>601</v>
      </c>
      <c r="D173" s="44">
        <v>4</v>
      </c>
      <c r="E173" s="44" t="s">
        <v>48</v>
      </c>
      <c r="F173" s="44" t="s">
        <v>84</v>
      </c>
      <c r="G173" s="45" t="s">
        <v>83</v>
      </c>
    </row>
    <row r="174" spans="1:7" x14ac:dyDescent="0.25">
      <c r="A174" s="14">
        <v>172</v>
      </c>
      <c r="B174" s="44" t="s">
        <v>482</v>
      </c>
      <c r="C174" s="44" t="s">
        <v>602</v>
      </c>
      <c r="D174" s="44">
        <v>4</v>
      </c>
      <c r="E174" s="44" t="s">
        <v>125</v>
      </c>
      <c r="F174" s="44" t="s">
        <v>121</v>
      </c>
      <c r="G174" s="45" t="s">
        <v>911</v>
      </c>
    </row>
    <row r="175" spans="1:7" x14ac:dyDescent="0.25">
      <c r="A175" s="14">
        <v>173</v>
      </c>
      <c r="B175" s="44" t="s">
        <v>483</v>
      </c>
      <c r="C175" s="44" t="s">
        <v>598</v>
      </c>
      <c r="D175" s="44">
        <v>5</v>
      </c>
      <c r="E175" s="44" t="s">
        <v>128</v>
      </c>
      <c r="F175" s="44" t="s">
        <v>121</v>
      </c>
      <c r="G175" s="45" t="s">
        <v>911</v>
      </c>
    </row>
    <row r="176" spans="1:7" x14ac:dyDescent="0.25">
      <c r="A176" s="14">
        <v>174</v>
      </c>
      <c r="B176" s="44" t="s">
        <v>484</v>
      </c>
      <c r="C176" s="44" t="s">
        <v>598</v>
      </c>
      <c r="D176" s="44">
        <v>4</v>
      </c>
      <c r="E176" s="44" t="s">
        <v>125</v>
      </c>
      <c r="F176" s="44" t="s">
        <v>121</v>
      </c>
      <c r="G176" s="45" t="s">
        <v>138</v>
      </c>
    </row>
    <row r="177" spans="1:7" x14ac:dyDescent="0.25">
      <c r="A177" s="14">
        <v>175</v>
      </c>
      <c r="B177" s="44" t="s">
        <v>485</v>
      </c>
      <c r="C177" s="44" t="s">
        <v>599</v>
      </c>
      <c r="D177" s="44">
        <v>5</v>
      </c>
      <c r="E177" s="44" t="s">
        <v>125</v>
      </c>
      <c r="F177" s="44" t="s">
        <v>127</v>
      </c>
      <c r="G177" s="45" t="s">
        <v>136</v>
      </c>
    </row>
    <row r="178" spans="1:7" x14ac:dyDescent="0.25">
      <c r="A178" s="14">
        <v>176</v>
      </c>
      <c r="B178" s="44" t="s">
        <v>486</v>
      </c>
      <c r="C178" s="44" t="s">
        <v>599</v>
      </c>
      <c r="D178" s="44">
        <v>4</v>
      </c>
      <c r="E178" s="44" t="s">
        <v>131</v>
      </c>
      <c r="F178" s="44" t="s">
        <v>127</v>
      </c>
      <c r="G178" s="45" t="s">
        <v>138</v>
      </c>
    </row>
    <row r="179" spans="1:7" x14ac:dyDescent="0.25">
      <c r="A179" s="14">
        <v>177</v>
      </c>
      <c r="B179" s="44" t="s">
        <v>487</v>
      </c>
      <c r="C179" s="44" t="s">
        <v>601</v>
      </c>
      <c r="D179" s="44">
        <v>5</v>
      </c>
      <c r="E179" s="44" t="s">
        <v>73</v>
      </c>
      <c r="F179" s="44" t="s">
        <v>59</v>
      </c>
      <c r="G179" s="45" t="s">
        <v>139</v>
      </c>
    </row>
    <row r="180" spans="1:7" x14ac:dyDescent="0.25">
      <c r="A180" s="14">
        <v>178</v>
      </c>
      <c r="B180" s="44" t="s">
        <v>488</v>
      </c>
      <c r="C180" s="44" t="s">
        <v>598</v>
      </c>
      <c r="D180" s="44">
        <v>5</v>
      </c>
      <c r="E180" s="44" t="s">
        <v>89</v>
      </c>
      <c r="F180" s="44" t="s">
        <v>97</v>
      </c>
      <c r="G180" s="45" t="s">
        <v>90</v>
      </c>
    </row>
    <row r="181" spans="1:7" x14ac:dyDescent="0.25">
      <c r="A181" s="14">
        <v>179</v>
      </c>
      <c r="B181" s="44" t="s">
        <v>489</v>
      </c>
      <c r="C181" s="44" t="s">
        <v>600</v>
      </c>
      <c r="D181" s="44">
        <v>4</v>
      </c>
      <c r="E181" s="44" t="s">
        <v>107</v>
      </c>
      <c r="F181" s="44" t="s">
        <v>103</v>
      </c>
      <c r="G181" s="45" t="s">
        <v>139</v>
      </c>
    </row>
    <row r="182" spans="1:7" x14ac:dyDescent="0.25">
      <c r="A182" s="14">
        <v>180</v>
      </c>
      <c r="B182" s="44" t="s">
        <v>490</v>
      </c>
      <c r="C182" s="44" t="s">
        <v>600</v>
      </c>
      <c r="D182" s="44">
        <v>5</v>
      </c>
      <c r="E182" s="44" t="s">
        <v>131</v>
      </c>
      <c r="F182" s="44" t="s">
        <v>127</v>
      </c>
      <c r="G182" s="45" t="s">
        <v>140</v>
      </c>
    </row>
    <row r="183" spans="1:7" x14ac:dyDescent="0.25">
      <c r="A183" s="14">
        <v>181</v>
      </c>
      <c r="B183" s="44" t="s">
        <v>491</v>
      </c>
      <c r="C183" s="44" t="s">
        <v>598</v>
      </c>
      <c r="D183" s="44">
        <v>5</v>
      </c>
      <c r="E183" s="44" t="s">
        <v>125</v>
      </c>
      <c r="F183" s="44" t="s">
        <v>127</v>
      </c>
      <c r="G183" s="45" t="s">
        <v>138</v>
      </c>
    </row>
    <row r="184" spans="1:7" x14ac:dyDescent="0.25">
      <c r="A184" s="14">
        <v>182</v>
      </c>
      <c r="B184" s="44" t="s">
        <v>492</v>
      </c>
      <c r="C184" s="44" t="s">
        <v>602</v>
      </c>
      <c r="D184" s="44">
        <v>4</v>
      </c>
      <c r="E184" s="44" t="s">
        <v>82</v>
      </c>
      <c r="F184" s="44" t="s">
        <v>75</v>
      </c>
      <c r="G184" s="45" t="s">
        <v>140</v>
      </c>
    </row>
    <row r="185" spans="1:7" x14ac:dyDescent="0.25">
      <c r="A185" s="14">
        <v>183</v>
      </c>
      <c r="B185" s="44" t="s">
        <v>493</v>
      </c>
      <c r="C185" s="44" t="s">
        <v>602</v>
      </c>
      <c r="D185" s="44">
        <v>5</v>
      </c>
      <c r="E185" s="44" t="s">
        <v>128</v>
      </c>
      <c r="F185" s="44" t="s">
        <v>121</v>
      </c>
      <c r="G185" s="45" t="s">
        <v>139</v>
      </c>
    </row>
    <row r="186" spans="1:7" x14ac:dyDescent="0.25">
      <c r="A186" s="14">
        <v>184</v>
      </c>
      <c r="B186" s="44" t="s">
        <v>494</v>
      </c>
      <c r="C186" s="44" t="s">
        <v>600</v>
      </c>
      <c r="D186" s="44">
        <v>5</v>
      </c>
      <c r="E186" s="44" t="s">
        <v>131</v>
      </c>
      <c r="F186" s="44" t="s">
        <v>91</v>
      </c>
      <c r="G186" s="45" t="s">
        <v>140</v>
      </c>
    </row>
    <row r="187" spans="1:7" x14ac:dyDescent="0.25">
      <c r="A187" s="19">
        <v>185</v>
      </c>
      <c r="B187" s="137" t="s">
        <v>495</v>
      </c>
      <c r="C187" s="44" t="s">
        <v>598</v>
      </c>
      <c r="D187" s="44">
        <v>4</v>
      </c>
      <c r="E187" s="44" t="s">
        <v>134</v>
      </c>
      <c r="F187" s="44" t="s">
        <v>130</v>
      </c>
      <c r="G187" s="45" t="s">
        <v>140</v>
      </c>
    </row>
    <row r="188" spans="1:7" x14ac:dyDescent="0.25">
      <c r="A188" s="19">
        <v>186</v>
      </c>
      <c r="B188" s="137" t="s">
        <v>496</v>
      </c>
      <c r="C188" s="44" t="s">
        <v>599</v>
      </c>
      <c r="D188" s="44">
        <v>4</v>
      </c>
      <c r="E188" s="44" t="s">
        <v>134</v>
      </c>
      <c r="F188" s="44" t="s">
        <v>133</v>
      </c>
      <c r="G188" s="45" t="s">
        <v>142</v>
      </c>
    </row>
    <row r="189" spans="1:7" x14ac:dyDescent="0.25">
      <c r="A189" s="19">
        <v>187</v>
      </c>
      <c r="B189" s="137" t="s">
        <v>497</v>
      </c>
      <c r="C189" s="44" t="s">
        <v>600</v>
      </c>
      <c r="D189" s="44">
        <v>4</v>
      </c>
      <c r="E189" s="44" t="s">
        <v>135</v>
      </c>
      <c r="F189" s="44" t="s">
        <v>133</v>
      </c>
      <c r="G189" s="45" t="s">
        <v>143</v>
      </c>
    </row>
    <row r="190" spans="1:7" x14ac:dyDescent="0.25">
      <c r="A190" s="19">
        <v>188</v>
      </c>
      <c r="B190" s="137" t="s">
        <v>498</v>
      </c>
      <c r="C190" s="44" t="s">
        <v>601</v>
      </c>
      <c r="D190" s="44">
        <v>4</v>
      </c>
      <c r="E190" s="44" t="s">
        <v>135</v>
      </c>
      <c r="F190" s="44" t="s">
        <v>50</v>
      </c>
      <c r="G190" s="45" t="s">
        <v>141</v>
      </c>
    </row>
    <row r="191" spans="1:7" x14ac:dyDescent="0.25">
      <c r="A191" s="19">
        <v>189</v>
      </c>
      <c r="B191" s="137" t="s">
        <v>499</v>
      </c>
      <c r="C191" s="44" t="s">
        <v>602</v>
      </c>
      <c r="D191" s="44">
        <v>4</v>
      </c>
      <c r="E191" s="44" t="s">
        <v>137</v>
      </c>
      <c r="F191" s="44" t="s">
        <v>130</v>
      </c>
      <c r="G191" s="45" t="s">
        <v>139</v>
      </c>
    </row>
    <row r="192" spans="1:7" x14ac:dyDescent="0.25">
      <c r="A192" s="19">
        <v>190</v>
      </c>
      <c r="B192" s="44" t="s">
        <v>500</v>
      </c>
      <c r="C192" s="44" t="s">
        <v>601</v>
      </c>
      <c r="D192" s="44">
        <v>5</v>
      </c>
      <c r="E192" s="44" t="s">
        <v>134</v>
      </c>
      <c r="F192" s="44" t="s">
        <v>130</v>
      </c>
      <c r="G192" s="45" t="s">
        <v>141</v>
      </c>
    </row>
    <row r="193" spans="1:7" x14ac:dyDescent="0.25">
      <c r="A193" s="19">
        <v>191</v>
      </c>
      <c r="B193" s="44" t="s">
        <v>501</v>
      </c>
      <c r="C193" s="44" t="s">
        <v>599</v>
      </c>
      <c r="D193" s="44">
        <v>5</v>
      </c>
      <c r="E193" s="44" t="s">
        <v>135</v>
      </c>
      <c r="F193" s="44" t="s">
        <v>133</v>
      </c>
      <c r="G193" s="45" t="s">
        <v>142</v>
      </c>
    </row>
    <row r="194" spans="1:7" x14ac:dyDescent="0.25">
      <c r="A194" s="19">
        <v>192</v>
      </c>
      <c r="B194" s="44" t="s">
        <v>502</v>
      </c>
      <c r="C194" s="44" t="s">
        <v>601</v>
      </c>
      <c r="D194" s="44">
        <v>4</v>
      </c>
      <c r="E194" s="44" t="s">
        <v>137</v>
      </c>
      <c r="F194" s="44" t="s">
        <v>130</v>
      </c>
      <c r="G194" s="45" t="s">
        <v>143</v>
      </c>
    </row>
    <row r="195" spans="1:7" x14ac:dyDescent="0.25">
      <c r="A195" s="19">
        <v>193</v>
      </c>
      <c r="B195" s="44" t="s">
        <v>503</v>
      </c>
      <c r="C195" s="44" t="s">
        <v>598</v>
      </c>
      <c r="D195" s="44">
        <v>4</v>
      </c>
      <c r="E195" s="44" t="s">
        <v>134</v>
      </c>
      <c r="F195" s="44" t="s">
        <v>133</v>
      </c>
      <c r="G195" s="45" t="s">
        <v>141</v>
      </c>
    </row>
    <row r="196" spans="1:7" x14ac:dyDescent="0.25">
      <c r="A196" s="19">
        <v>194</v>
      </c>
      <c r="B196" s="44" t="s">
        <v>504</v>
      </c>
      <c r="C196" s="44" t="s">
        <v>598</v>
      </c>
      <c r="D196" s="44">
        <v>5</v>
      </c>
      <c r="E196" s="44" t="s">
        <v>137</v>
      </c>
      <c r="F196" s="44" t="s">
        <v>130</v>
      </c>
      <c r="G196" s="45" t="s">
        <v>143</v>
      </c>
    </row>
    <row r="197" spans="1:7" x14ac:dyDescent="0.25">
      <c r="A197" s="19">
        <v>195</v>
      </c>
      <c r="B197" s="137" t="s">
        <v>505</v>
      </c>
      <c r="C197" s="44" t="s">
        <v>600</v>
      </c>
      <c r="D197" s="44">
        <v>4</v>
      </c>
      <c r="E197" s="44" t="s">
        <v>135</v>
      </c>
      <c r="F197" s="44" t="s">
        <v>91</v>
      </c>
      <c r="G197" s="45" t="s">
        <v>142</v>
      </c>
    </row>
    <row r="198" spans="1:7" x14ac:dyDescent="0.25">
      <c r="A198" s="19">
        <v>196</v>
      </c>
      <c r="B198" s="44" t="s">
        <v>506</v>
      </c>
      <c r="C198" s="44" t="s">
        <v>599</v>
      </c>
      <c r="D198" s="44">
        <v>4</v>
      </c>
      <c r="E198" s="44" t="s">
        <v>137</v>
      </c>
      <c r="F198" s="44" t="s">
        <v>130</v>
      </c>
      <c r="G198" s="45" t="s">
        <v>143</v>
      </c>
    </row>
    <row r="199" spans="1:7" x14ac:dyDescent="0.25">
      <c r="A199" s="19">
        <v>197</v>
      </c>
      <c r="B199" s="44" t="s">
        <v>507</v>
      </c>
      <c r="C199" s="44" t="s">
        <v>602</v>
      </c>
      <c r="D199" s="44">
        <v>5</v>
      </c>
      <c r="E199" s="44" t="s">
        <v>137</v>
      </c>
      <c r="F199" s="44" t="s">
        <v>133</v>
      </c>
      <c r="G199" s="45" t="s">
        <v>144</v>
      </c>
    </row>
    <row r="200" spans="1:7" x14ac:dyDescent="0.25">
      <c r="A200" s="19">
        <v>198</v>
      </c>
      <c r="B200" s="44" t="s">
        <v>508</v>
      </c>
      <c r="C200" s="44" t="s">
        <v>598</v>
      </c>
      <c r="D200" s="44">
        <v>4</v>
      </c>
      <c r="E200" s="44" t="s">
        <v>135</v>
      </c>
      <c r="F200" s="44" t="s">
        <v>133</v>
      </c>
      <c r="G200" s="45" t="s">
        <v>144</v>
      </c>
    </row>
    <row r="201" spans="1:7" x14ac:dyDescent="0.25">
      <c r="A201" s="19">
        <v>199</v>
      </c>
      <c r="B201" s="137" t="s">
        <v>509</v>
      </c>
      <c r="C201" s="44" t="s">
        <v>601</v>
      </c>
      <c r="D201" s="44">
        <v>4</v>
      </c>
      <c r="E201" s="44" t="s">
        <v>134</v>
      </c>
      <c r="F201" s="44" t="s">
        <v>130</v>
      </c>
      <c r="G201" s="45" t="s">
        <v>141</v>
      </c>
    </row>
    <row r="202" spans="1:7" x14ac:dyDescent="0.25">
      <c r="A202" s="19">
        <v>200</v>
      </c>
      <c r="B202" s="44" t="s">
        <v>510</v>
      </c>
      <c r="C202" s="44" t="s">
        <v>602</v>
      </c>
      <c r="D202" s="44">
        <v>4</v>
      </c>
      <c r="E202" s="44" t="s">
        <v>137</v>
      </c>
      <c r="F202" s="44" t="s">
        <v>133</v>
      </c>
      <c r="G202" s="45" t="s">
        <v>142</v>
      </c>
    </row>
    <row r="203" spans="1:7" x14ac:dyDescent="0.25">
      <c r="A203" s="19">
        <v>201</v>
      </c>
      <c r="B203" s="44" t="s">
        <v>511</v>
      </c>
      <c r="C203" s="44" t="s">
        <v>599</v>
      </c>
      <c r="D203" s="44">
        <v>5</v>
      </c>
      <c r="E203" s="44" t="s">
        <v>134</v>
      </c>
      <c r="F203" s="44" t="s">
        <v>130</v>
      </c>
      <c r="G203" s="45" t="s">
        <v>143</v>
      </c>
    </row>
    <row r="204" spans="1:7" x14ac:dyDescent="0.25">
      <c r="A204" s="19">
        <v>202</v>
      </c>
      <c r="B204" s="44" t="s">
        <v>512</v>
      </c>
      <c r="C204" s="44" t="s">
        <v>601</v>
      </c>
      <c r="D204" s="44">
        <v>5</v>
      </c>
      <c r="E204" s="44" t="s">
        <v>135</v>
      </c>
      <c r="F204" s="44" t="s">
        <v>133</v>
      </c>
      <c r="G204" s="45" t="s">
        <v>141</v>
      </c>
    </row>
    <row r="205" spans="1:7" x14ac:dyDescent="0.25">
      <c r="A205" s="19">
        <v>203</v>
      </c>
      <c r="B205" s="44" t="s">
        <v>894</v>
      </c>
      <c r="C205" s="44" t="s">
        <v>601</v>
      </c>
      <c r="D205" s="44">
        <v>5</v>
      </c>
      <c r="E205" s="44" t="s">
        <v>95</v>
      </c>
      <c r="F205" s="44" t="s">
        <v>103</v>
      </c>
      <c r="G205" s="45" t="s">
        <v>142</v>
      </c>
    </row>
    <row r="206" spans="1:7" x14ac:dyDescent="0.25">
      <c r="A206" s="19">
        <v>204</v>
      </c>
      <c r="B206" s="44" t="s">
        <v>904</v>
      </c>
      <c r="C206" s="44" t="s">
        <v>600</v>
      </c>
      <c r="D206" s="44">
        <v>4</v>
      </c>
      <c r="E206" s="44" t="s">
        <v>101</v>
      </c>
      <c r="F206" s="44" t="s">
        <v>97</v>
      </c>
      <c r="G206" s="45" t="s">
        <v>144</v>
      </c>
    </row>
    <row r="207" spans="1:7" x14ac:dyDescent="0.25">
      <c r="A207" s="19">
        <v>205</v>
      </c>
      <c r="B207" s="44" t="s">
        <v>900</v>
      </c>
      <c r="C207" s="44" t="s">
        <v>601</v>
      </c>
      <c r="D207" s="44">
        <v>5</v>
      </c>
      <c r="E207" s="44" t="s">
        <v>135</v>
      </c>
      <c r="F207" s="44" t="s">
        <v>130</v>
      </c>
      <c r="G207" s="45" t="s">
        <v>913</v>
      </c>
    </row>
    <row r="208" spans="1:7" x14ac:dyDescent="0.25">
      <c r="A208" s="19">
        <v>206</v>
      </c>
      <c r="B208" s="44" t="s">
        <v>910</v>
      </c>
      <c r="C208" s="44" t="s">
        <v>600</v>
      </c>
      <c r="D208" s="44">
        <v>5</v>
      </c>
      <c r="E208" s="44" t="s">
        <v>128</v>
      </c>
      <c r="F208" s="44" t="s">
        <v>121</v>
      </c>
      <c r="G208" s="45" t="s">
        <v>911</v>
      </c>
    </row>
    <row r="209" spans="1:7" x14ac:dyDescent="0.25">
      <c r="A209" s="19">
        <v>207</v>
      </c>
      <c r="B209" s="137" t="s">
        <v>912</v>
      </c>
      <c r="C209" s="44" t="s">
        <v>602</v>
      </c>
      <c r="D209" s="44">
        <v>4</v>
      </c>
      <c r="E209" s="44" t="s">
        <v>125</v>
      </c>
      <c r="F209" s="44" t="s">
        <v>127</v>
      </c>
      <c r="G209" s="45" t="s">
        <v>913</v>
      </c>
    </row>
    <row r="210" spans="1:7" x14ac:dyDescent="0.25">
      <c r="A210" s="19">
        <v>208</v>
      </c>
      <c r="B210" s="44" t="s">
        <v>916</v>
      </c>
      <c r="C210" s="44" t="s">
        <v>598</v>
      </c>
      <c r="D210" s="44">
        <v>5</v>
      </c>
      <c r="E210" s="44" t="s">
        <v>137</v>
      </c>
      <c r="F210" s="44" t="s">
        <v>133</v>
      </c>
      <c r="G210" s="45" t="s">
        <v>144</v>
      </c>
    </row>
    <row r="211" spans="1:7" x14ac:dyDescent="0.25">
      <c r="A211" s="19">
        <v>209</v>
      </c>
      <c r="B211" s="44" t="s">
        <v>924</v>
      </c>
      <c r="C211" s="44" t="s">
        <v>600</v>
      </c>
      <c r="D211" s="44">
        <v>5</v>
      </c>
      <c r="E211" s="44" t="s">
        <v>134</v>
      </c>
      <c r="F211" s="44" t="s">
        <v>130</v>
      </c>
      <c r="G211" s="45" t="s">
        <v>913</v>
      </c>
    </row>
    <row r="212" spans="1:7" x14ac:dyDescent="0.25">
      <c r="A212" s="19">
        <v>210</v>
      </c>
      <c r="B212" s="44" t="s">
        <v>925</v>
      </c>
      <c r="C212" s="44" t="s">
        <v>599</v>
      </c>
      <c r="D212" s="44">
        <v>4</v>
      </c>
      <c r="E212" s="44" t="s">
        <v>135</v>
      </c>
      <c r="F212" s="44" t="s">
        <v>121</v>
      </c>
      <c r="G212" s="45" t="s">
        <v>913</v>
      </c>
    </row>
    <row r="213" spans="1:7" x14ac:dyDescent="0.25">
      <c r="A213" s="19">
        <v>211</v>
      </c>
      <c r="B213" s="44" t="s">
        <v>942</v>
      </c>
      <c r="C213" s="44" t="s">
        <v>598</v>
      </c>
      <c r="D213" s="44">
        <v>4</v>
      </c>
      <c r="E213" s="44" t="s">
        <v>932</v>
      </c>
      <c r="F213" s="44" t="s">
        <v>930</v>
      </c>
      <c r="G213" s="45" t="s">
        <v>965</v>
      </c>
    </row>
    <row r="214" spans="1:7" x14ac:dyDescent="0.25">
      <c r="A214" s="19">
        <v>212</v>
      </c>
      <c r="B214" s="44" t="s">
        <v>943</v>
      </c>
      <c r="C214" s="44" t="s">
        <v>599</v>
      </c>
      <c r="D214" s="44">
        <v>4</v>
      </c>
      <c r="E214" s="44" t="s">
        <v>934</v>
      </c>
      <c r="F214" s="44" t="s">
        <v>938</v>
      </c>
      <c r="G214" s="45" t="s">
        <v>964</v>
      </c>
    </row>
    <row r="215" spans="1:7" x14ac:dyDescent="0.25">
      <c r="A215" s="19">
        <v>213</v>
      </c>
      <c r="B215" s="44" t="s">
        <v>944</v>
      </c>
      <c r="C215" s="44" t="s">
        <v>600</v>
      </c>
      <c r="D215" s="44">
        <v>4</v>
      </c>
      <c r="E215" s="44" t="s">
        <v>933</v>
      </c>
      <c r="F215" s="44" t="s">
        <v>938</v>
      </c>
      <c r="G215" s="45" t="s">
        <v>963</v>
      </c>
    </row>
    <row r="216" spans="1:7" x14ac:dyDescent="0.25">
      <c r="A216" s="19">
        <v>214</v>
      </c>
      <c r="B216" s="44" t="s">
        <v>945</v>
      </c>
      <c r="C216" s="44" t="s">
        <v>601</v>
      </c>
      <c r="D216" s="44">
        <v>4</v>
      </c>
      <c r="E216" s="44" t="s">
        <v>932</v>
      </c>
      <c r="F216" s="44" t="s">
        <v>930</v>
      </c>
      <c r="G216" s="45" t="s">
        <v>965</v>
      </c>
    </row>
    <row r="217" spans="1:7" x14ac:dyDescent="0.25">
      <c r="A217" s="19">
        <v>215</v>
      </c>
      <c r="B217" s="44" t="s">
        <v>946</v>
      </c>
      <c r="C217" s="44" t="s">
        <v>602</v>
      </c>
      <c r="D217" s="44">
        <v>4</v>
      </c>
      <c r="E217" s="44" t="s">
        <v>933</v>
      </c>
      <c r="F217" s="44" t="s">
        <v>68</v>
      </c>
      <c r="G217" s="45" t="s">
        <v>963</v>
      </c>
    </row>
    <row r="218" spans="1:7" x14ac:dyDescent="0.25">
      <c r="A218" s="19">
        <v>216</v>
      </c>
      <c r="B218" s="44" t="s">
        <v>949</v>
      </c>
      <c r="C218" s="44" t="s">
        <v>598</v>
      </c>
      <c r="D218" s="44">
        <v>4</v>
      </c>
      <c r="E218" s="44" t="s">
        <v>934</v>
      </c>
      <c r="F218" s="44" t="s">
        <v>938</v>
      </c>
      <c r="G218" s="45" t="s">
        <v>964</v>
      </c>
    </row>
    <row r="219" spans="1:7" x14ac:dyDescent="0.25">
      <c r="A219" s="19">
        <v>217</v>
      </c>
      <c r="B219" s="44" t="s">
        <v>947</v>
      </c>
      <c r="C219" s="44" t="s">
        <v>600</v>
      </c>
      <c r="D219" s="44">
        <v>5</v>
      </c>
      <c r="E219" s="44" t="s">
        <v>933</v>
      </c>
      <c r="F219" s="44" t="s">
        <v>930</v>
      </c>
      <c r="G219" s="45" t="s">
        <v>963</v>
      </c>
    </row>
    <row r="220" spans="1:7" x14ac:dyDescent="0.25">
      <c r="A220" s="19">
        <v>218</v>
      </c>
      <c r="B220" s="44" t="s">
        <v>948</v>
      </c>
      <c r="C220" s="44" t="s">
        <v>601</v>
      </c>
      <c r="D220" s="44">
        <v>5</v>
      </c>
      <c r="E220" s="44" t="s">
        <v>932</v>
      </c>
      <c r="F220" s="44" t="s">
        <v>938</v>
      </c>
      <c r="G220" s="45" t="s">
        <v>965</v>
      </c>
    </row>
    <row r="221" spans="1:7" x14ac:dyDescent="0.25">
      <c r="A221" s="19">
        <v>219</v>
      </c>
      <c r="B221" s="44" t="s">
        <v>950</v>
      </c>
      <c r="C221" s="44" t="s">
        <v>601</v>
      </c>
      <c r="D221" s="44">
        <v>4</v>
      </c>
      <c r="E221" s="44" t="s">
        <v>934</v>
      </c>
      <c r="F221" s="44" t="s">
        <v>930</v>
      </c>
      <c r="G221" s="45" t="s">
        <v>964</v>
      </c>
    </row>
    <row r="222" spans="1:7" ht="15.75" thickBot="1" x14ac:dyDescent="0.3">
      <c r="A222" s="31"/>
      <c r="B222" s="32"/>
      <c r="C222" s="32"/>
      <c r="D222" s="32"/>
      <c r="E222" s="32"/>
      <c r="F222" s="32"/>
      <c r="G222" s="18"/>
    </row>
    <row r="231" spans="3:4" ht="14.25" customHeight="1" x14ac:dyDescent="0.25"/>
    <row r="234" spans="3:4" x14ac:dyDescent="0.25">
      <c r="C234" s="30"/>
      <c r="D234" s="30"/>
    </row>
  </sheetData>
  <autoFilter ref="A2:G234" xr:uid="{242BB6BF-4C8D-44AE-B0A9-9D328A303843}"/>
  <sortState xmlns:xlrd2="http://schemas.microsoft.com/office/spreadsheetml/2017/richdata2" ref="B75:G133">
    <sortCondition ref="B75:B133" customList="The Widsith,Blackcliff Warbow,Compound Bow,Favonius Warbow,Prototype Crescent,Royal Bow,Rust,Sacrificial Bow,The Stringless,The Veridescent Hunt,Aquila Favonia,Skyward Blade,Skyward Pride,Wolf's Gravestone,Primordial Jade Winged-Spear,Skyward Spine,Lost Prayer to the Sacred Winds,Skyward Atlas,Amos' Bow,Skyward Harp,Festering Desire,Memory of Dust,The Unforged,Vortex Vanquisher,Snow-Tombed Starsilver,Dragonspine Spear,Frostbearer,Summit Shaper,Windblume Ode,Primordial Jade Cutter,Lithic Blade,Lithic Spear,Staff of Homa,The Alley Flash,Wine and Song,Elegy for the End,Alley Hunter,Song of Broken Pines,Dodoco Tales,Mitternachts Waltz,Freedom-Sworn,Amenoma Kageuchi,Katsuragikiri Nagamasa,Kitain Cross Spear,Hakushin Ring,Hamayumi,Mistsplitter Reforged,Thundering Pulse,&quot;The Catch&quot;,Luxurious Sea-Lord,Engulfing Lightning,Everlasting Moonglow,Polar Star,Mouun's Moon,Wavebreaker's Fin,Akuoumaru,Redhorn Stonethresher,Cinnabar Spindle,Calamity Queller,Kagura's Verity,Oathsworn Eye,Haran Geppaku Futsu,Aqua Simulacra,Fading Twilight"/>
  </sortState>
  <mergeCells count="1">
    <mergeCell ref="A1:G1"/>
  </mergeCells>
  <conditionalFormatting sqref="A1 B2:G221">
    <cfRule type="containsBlanks" dxfId="1" priority="2">
      <formula>LEN(TRIM(A1))=0</formula>
    </cfRule>
  </conditionalFormatting>
  <pageMargins left="0.7" right="0.7" top="0.75" bottom="0.75" header="0.3" footer="0.3"/>
  <pageSetup paperSize="9" orientation="portrait" horizontalDpi="1200" verticalDpi="1200" r:id="rId1"/>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2DAAC-01AB-4ECE-8687-60026C529149}">
  <sheetPr codeName="Sheet248">
    <tabColor theme="0" tint="-0.249977111117893"/>
  </sheetPr>
  <dimension ref="A1:E20"/>
  <sheetViews>
    <sheetView zoomScale="115" zoomScaleNormal="115" workbookViewId="0">
      <pane ySplit="1" topLeftCell="A2" activePane="bottomLeft" state="frozen"/>
      <selection activeCell="E17" sqref="E17"/>
      <selection pane="bottomLeft" activeCell="E17" sqref="E17"/>
    </sheetView>
  </sheetViews>
  <sheetFormatPr defaultColWidth="8.85546875" defaultRowHeight="15" x14ac:dyDescent="0.25"/>
  <cols>
    <col min="1" max="1" width="8.42578125" bestFit="1" customWidth="1"/>
    <col min="2" max="2" width="19.85546875" bestFit="1" customWidth="1"/>
    <col min="3" max="3" width="6.42578125" bestFit="1" customWidth="1"/>
    <col min="4" max="4" width="10.28515625" bestFit="1" customWidth="1"/>
    <col min="5" max="5" width="16.140625" bestFit="1" customWidth="1"/>
  </cols>
  <sheetData>
    <row r="1" spans="1:5" ht="15.75" thickBot="1" x14ac:dyDescent="0.3">
      <c r="A1" s="129" t="s">
        <v>145</v>
      </c>
      <c r="B1" s="129" t="s">
        <v>596</v>
      </c>
      <c r="C1" s="130" t="s">
        <v>171</v>
      </c>
      <c r="D1" s="13" t="s">
        <v>146</v>
      </c>
      <c r="E1" s="10" t="s">
        <v>603</v>
      </c>
    </row>
    <row r="2" spans="1:5" x14ac:dyDescent="0.25">
      <c r="A2" s="57" t="s">
        <v>154</v>
      </c>
      <c r="B2" s="55" t="s">
        <v>59</v>
      </c>
      <c r="C2" s="55">
        <v>1</v>
      </c>
      <c r="D2" s="20" t="s">
        <v>176</v>
      </c>
      <c r="E2" s="6" t="s">
        <v>156</v>
      </c>
    </row>
    <row r="3" spans="1:5" x14ac:dyDescent="0.25">
      <c r="A3" s="57" t="s">
        <v>154</v>
      </c>
      <c r="B3" s="55" t="s">
        <v>59</v>
      </c>
      <c r="C3" s="55">
        <v>2</v>
      </c>
      <c r="D3" s="20" t="s">
        <v>176</v>
      </c>
      <c r="E3" s="6" t="s">
        <v>156</v>
      </c>
    </row>
    <row r="4" spans="1:5" x14ac:dyDescent="0.25">
      <c r="A4" s="57" t="s">
        <v>154</v>
      </c>
      <c r="B4" s="55" t="s">
        <v>59</v>
      </c>
      <c r="C4" s="55">
        <v>3</v>
      </c>
      <c r="D4" s="20" t="s">
        <v>176</v>
      </c>
      <c r="E4" s="6" t="s">
        <v>156</v>
      </c>
    </row>
    <row r="5" spans="1:5" x14ac:dyDescent="0.25">
      <c r="A5" s="54" t="s">
        <v>157</v>
      </c>
      <c r="B5" s="55" t="s">
        <v>59</v>
      </c>
      <c r="C5" s="55">
        <v>1</v>
      </c>
      <c r="D5" s="14" t="s">
        <v>183</v>
      </c>
      <c r="E5" s="4" t="s">
        <v>156</v>
      </c>
    </row>
    <row r="6" spans="1:5" x14ac:dyDescent="0.25">
      <c r="A6" s="54" t="s">
        <v>157</v>
      </c>
      <c r="B6" s="55" t="s">
        <v>68</v>
      </c>
      <c r="C6" s="55">
        <v>2</v>
      </c>
      <c r="D6" s="14" t="s">
        <v>183</v>
      </c>
      <c r="E6" s="4" t="s">
        <v>532</v>
      </c>
    </row>
    <row r="7" spans="1:5" x14ac:dyDescent="0.25">
      <c r="A7" s="54" t="s">
        <v>157</v>
      </c>
      <c r="B7" s="55" t="s">
        <v>68</v>
      </c>
      <c r="C7" s="55">
        <v>3</v>
      </c>
      <c r="D7" s="14" t="s">
        <v>183</v>
      </c>
      <c r="E7" s="4" t="s">
        <v>532</v>
      </c>
    </row>
    <row r="8" spans="1:5" x14ac:dyDescent="0.25">
      <c r="A8" s="54" t="s">
        <v>160</v>
      </c>
      <c r="B8" s="48" t="s">
        <v>97</v>
      </c>
      <c r="C8" s="55">
        <v>1</v>
      </c>
      <c r="D8" s="14" t="s">
        <v>184</v>
      </c>
      <c r="E8" s="4" t="s">
        <v>162</v>
      </c>
    </row>
    <row r="9" spans="1:5" x14ac:dyDescent="0.25">
      <c r="A9" s="54" t="s">
        <v>160</v>
      </c>
      <c r="B9" s="48" t="s">
        <v>97</v>
      </c>
      <c r="C9" s="55">
        <v>2</v>
      </c>
      <c r="D9" s="14" t="s">
        <v>184</v>
      </c>
      <c r="E9" s="4" t="s">
        <v>162</v>
      </c>
    </row>
    <row r="10" spans="1:5" x14ac:dyDescent="0.25">
      <c r="A10" s="54" t="s">
        <v>160</v>
      </c>
      <c r="B10" s="48" t="s">
        <v>97</v>
      </c>
      <c r="C10" s="55">
        <v>3</v>
      </c>
      <c r="D10" s="14" t="s">
        <v>184</v>
      </c>
      <c r="E10" s="4" t="s">
        <v>162</v>
      </c>
    </row>
    <row r="11" spans="1:5" x14ac:dyDescent="0.25">
      <c r="A11" s="54" t="s">
        <v>163</v>
      </c>
      <c r="B11" s="48" t="s">
        <v>109</v>
      </c>
      <c r="C11" s="55">
        <v>1</v>
      </c>
      <c r="D11" s="14" t="s">
        <v>185</v>
      </c>
      <c r="E11" s="4" t="s">
        <v>165</v>
      </c>
    </row>
    <row r="12" spans="1:5" x14ac:dyDescent="0.25">
      <c r="A12" s="54" t="s">
        <v>163</v>
      </c>
      <c r="B12" s="48" t="s">
        <v>109</v>
      </c>
      <c r="C12" s="55">
        <v>2</v>
      </c>
      <c r="D12" s="14" t="s">
        <v>185</v>
      </c>
      <c r="E12" s="4" t="s">
        <v>165</v>
      </c>
    </row>
    <row r="13" spans="1:5" x14ac:dyDescent="0.25">
      <c r="A13" s="54" t="s">
        <v>163</v>
      </c>
      <c r="B13" s="48" t="s">
        <v>109</v>
      </c>
      <c r="C13" s="55">
        <v>3</v>
      </c>
      <c r="D13" s="14" t="s">
        <v>185</v>
      </c>
      <c r="E13" s="4" t="s">
        <v>165</v>
      </c>
    </row>
    <row r="14" spans="1:5" x14ac:dyDescent="0.25">
      <c r="A14" s="135" t="s">
        <v>166</v>
      </c>
      <c r="B14" s="133" t="s">
        <v>121</v>
      </c>
      <c r="C14" s="55">
        <v>1</v>
      </c>
      <c r="D14" s="19" t="s">
        <v>186</v>
      </c>
      <c r="E14" s="45" t="s">
        <v>168</v>
      </c>
    </row>
    <row r="15" spans="1:5" x14ac:dyDescent="0.25">
      <c r="A15" s="135" t="s">
        <v>166</v>
      </c>
      <c r="B15" s="133" t="s">
        <v>121</v>
      </c>
      <c r="C15" s="55">
        <v>2</v>
      </c>
      <c r="D15" s="19" t="s">
        <v>186</v>
      </c>
      <c r="E15" s="45" t="s">
        <v>168</v>
      </c>
    </row>
    <row r="16" spans="1:5" x14ac:dyDescent="0.25">
      <c r="A16" s="135" t="s">
        <v>166</v>
      </c>
      <c r="B16" s="133" t="s">
        <v>121</v>
      </c>
      <c r="C16" s="55">
        <v>3</v>
      </c>
      <c r="D16" s="19" t="s">
        <v>186</v>
      </c>
      <c r="E16" s="45" t="s">
        <v>168</v>
      </c>
    </row>
    <row r="17" spans="1:5" x14ac:dyDescent="0.25">
      <c r="A17" s="135" t="s">
        <v>518</v>
      </c>
      <c r="B17" s="133" t="s">
        <v>133</v>
      </c>
      <c r="C17" s="55">
        <v>1</v>
      </c>
      <c r="D17" s="19" t="s">
        <v>604</v>
      </c>
      <c r="E17" s="45" t="s">
        <v>885</v>
      </c>
    </row>
    <row r="18" spans="1:5" x14ac:dyDescent="0.25">
      <c r="A18" s="135" t="s">
        <v>518</v>
      </c>
      <c r="B18" s="133" t="s">
        <v>133</v>
      </c>
      <c r="C18" s="55">
        <v>2</v>
      </c>
      <c r="D18" s="19" t="s">
        <v>604</v>
      </c>
      <c r="E18" s="45" t="s">
        <v>885</v>
      </c>
    </row>
    <row r="19" spans="1:5" x14ac:dyDescent="0.25">
      <c r="A19" s="135" t="s">
        <v>518</v>
      </c>
      <c r="B19" s="133" t="s">
        <v>133</v>
      </c>
      <c r="C19" s="55">
        <v>3</v>
      </c>
      <c r="D19" s="19" t="s">
        <v>604</v>
      </c>
      <c r="E19" s="45" t="s">
        <v>885</v>
      </c>
    </row>
    <row r="20" spans="1:5" ht="15.75" thickBot="1" x14ac:dyDescent="0.3">
      <c r="A20" s="90"/>
      <c r="B20" s="81"/>
      <c r="C20" s="81"/>
      <c r="D20" s="31"/>
      <c r="E20" s="18"/>
    </row>
  </sheetData>
  <conditionalFormatting sqref="A1:E1">
    <cfRule type="containsBlanks" dxfId="0" priority="1">
      <formula>LEN(TRIM(A1))=0</formula>
    </cfRule>
  </conditionalFormatting>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49482-80D5-465A-B7E0-FD366D2B5D9D}">
  <sheetPr codeName="Sheet89">
    <tabColor theme="0" tint="-0.249977111117893"/>
  </sheetPr>
  <dimension ref="A1:AP152"/>
  <sheetViews>
    <sheetView zoomScale="115" zoomScaleNormal="115" workbookViewId="0">
      <selection activeCell="E17" sqref="E17"/>
    </sheetView>
  </sheetViews>
  <sheetFormatPr defaultColWidth="8.85546875" defaultRowHeight="15" x14ac:dyDescent="0.25"/>
  <cols>
    <col min="1" max="1" width="3.42578125" bestFit="1" customWidth="1"/>
    <col min="2" max="2" width="9" bestFit="1" customWidth="1"/>
    <col min="3" max="3" width="14.85546875" bestFit="1" customWidth="1"/>
    <col min="4" max="4" width="7.85546875" bestFit="1" customWidth="1"/>
    <col min="5" max="5" width="16.28515625" bestFit="1" customWidth="1"/>
    <col min="6" max="6" width="12.140625" bestFit="1" customWidth="1"/>
    <col min="7" max="7" width="2.28515625" bestFit="1" customWidth="1"/>
    <col min="8" max="11" width="3.28515625" bestFit="1" customWidth="1"/>
    <col min="12" max="12" width="9.85546875" bestFit="1" customWidth="1"/>
    <col min="13" max="15" width="3.42578125" bestFit="1" customWidth="1"/>
    <col min="16" max="16" width="14.42578125" bestFit="1" customWidth="1"/>
    <col min="17" max="17" width="7.85546875" bestFit="1" customWidth="1"/>
    <col min="18" max="18" width="9.42578125" customWidth="1"/>
    <col min="19" max="19" width="3.42578125" bestFit="1" customWidth="1"/>
    <col min="20" max="20" width="9.7109375" bestFit="1" customWidth="1"/>
    <col min="21" max="21" width="7.140625" bestFit="1" customWidth="1"/>
    <col min="22" max="22" width="12.42578125" bestFit="1" customWidth="1"/>
    <col min="23" max="23" width="16.85546875" bestFit="1" customWidth="1"/>
    <col min="24" max="24" width="6.7109375" bestFit="1" customWidth="1"/>
    <col min="25" max="25" width="3.28515625" bestFit="1" customWidth="1"/>
    <col min="26" max="27" width="3.42578125" bestFit="1" customWidth="1"/>
    <col min="28" max="28" width="9" bestFit="1" customWidth="1"/>
    <col min="29" max="29" width="7" customWidth="1"/>
    <col min="42" max="42" width="7" customWidth="1"/>
    <col min="52" max="52" width="12" bestFit="1" customWidth="1"/>
    <col min="53" max="53" width="31.85546875" bestFit="1" customWidth="1"/>
    <col min="54" max="54" width="31.42578125" bestFit="1" customWidth="1"/>
    <col min="55" max="55" width="33.140625" bestFit="1" customWidth="1"/>
    <col min="56" max="56" width="35.7109375" bestFit="1" customWidth="1"/>
  </cols>
  <sheetData>
    <row r="1" spans="1:28" ht="15.75" thickBot="1" x14ac:dyDescent="0.3">
      <c r="A1" s="173" t="s">
        <v>605</v>
      </c>
      <c r="B1" s="174"/>
      <c r="C1" s="174"/>
      <c r="D1" s="174"/>
      <c r="E1" s="175"/>
      <c r="G1" s="173" t="s">
        <v>606</v>
      </c>
      <c r="H1" s="174"/>
      <c r="I1" s="174"/>
      <c r="J1" s="174"/>
      <c r="K1" s="174"/>
      <c r="L1" s="174"/>
      <c r="M1" s="174"/>
      <c r="N1" s="174"/>
      <c r="O1" s="174"/>
      <c r="P1" s="174"/>
      <c r="Q1" s="175"/>
      <c r="S1" s="171" t="s">
        <v>607</v>
      </c>
      <c r="T1" s="231"/>
      <c r="U1" s="231"/>
      <c r="V1" s="231"/>
      <c r="W1" s="231"/>
      <c r="X1" s="231"/>
      <c r="Y1" s="231"/>
      <c r="Z1" s="231"/>
      <c r="AA1" s="231"/>
      <c r="AB1" s="172"/>
    </row>
    <row r="2" spans="1:28" ht="15.75" thickBot="1" x14ac:dyDescent="0.3">
      <c r="A2" s="11"/>
      <c r="B2" s="7" t="s">
        <v>608</v>
      </c>
      <c r="C2" s="7" t="s">
        <v>609</v>
      </c>
      <c r="D2" s="7" t="s">
        <v>204</v>
      </c>
      <c r="E2" s="8" t="s">
        <v>610</v>
      </c>
      <c r="G2" s="46"/>
      <c r="H2" s="236" t="s">
        <v>514</v>
      </c>
      <c r="I2" s="213"/>
      <c r="J2" s="213"/>
      <c r="K2" s="215"/>
      <c r="L2" s="52"/>
      <c r="M2" s="222" t="s">
        <v>516</v>
      </c>
      <c r="N2" s="223"/>
      <c r="O2" s="224"/>
      <c r="P2" s="52"/>
      <c r="Q2" s="52"/>
      <c r="S2" s="46"/>
      <c r="T2" s="222" t="s">
        <v>611</v>
      </c>
      <c r="U2" s="223"/>
      <c r="V2" s="224"/>
      <c r="W2" s="52"/>
      <c r="X2" s="52"/>
      <c r="Y2" s="222" t="s">
        <v>516</v>
      </c>
      <c r="Z2" s="223"/>
      <c r="AA2" s="224"/>
      <c r="AB2" s="52"/>
    </row>
    <row r="3" spans="1:28" ht="15.75" thickBot="1" x14ac:dyDescent="0.3">
      <c r="A3" s="20">
        <v>1</v>
      </c>
      <c r="B3" s="5">
        <v>0</v>
      </c>
      <c r="C3" s="5">
        <v>0</v>
      </c>
      <c r="D3" s="5">
        <v>0</v>
      </c>
      <c r="E3" s="6">
        <v>0</v>
      </c>
      <c r="G3" s="47"/>
      <c r="H3" s="13" t="s">
        <v>612</v>
      </c>
      <c r="I3" s="9" t="s">
        <v>613</v>
      </c>
      <c r="J3" s="9" t="s">
        <v>614</v>
      </c>
      <c r="K3" s="10" t="s">
        <v>615</v>
      </c>
      <c r="L3" s="53" t="s">
        <v>616</v>
      </c>
      <c r="M3" s="13" t="s">
        <v>612</v>
      </c>
      <c r="N3" s="9" t="s">
        <v>613</v>
      </c>
      <c r="O3" s="10" t="s">
        <v>614</v>
      </c>
      <c r="P3" s="53" t="s">
        <v>209</v>
      </c>
      <c r="Q3" s="53" t="s">
        <v>204</v>
      </c>
      <c r="S3" s="47"/>
      <c r="T3" s="13" t="s">
        <v>617</v>
      </c>
      <c r="U3" s="9" t="s">
        <v>618</v>
      </c>
      <c r="V3" s="10" t="s">
        <v>619</v>
      </c>
      <c r="W3" s="53" t="s">
        <v>620</v>
      </c>
      <c r="X3" s="53" t="s">
        <v>621</v>
      </c>
      <c r="Y3" s="13" t="s">
        <v>612</v>
      </c>
      <c r="Z3" s="9" t="s">
        <v>613</v>
      </c>
      <c r="AA3" s="10" t="s">
        <v>614</v>
      </c>
      <c r="AB3" s="53" t="s">
        <v>204</v>
      </c>
    </row>
    <row r="4" spans="1:28" x14ac:dyDescent="0.25">
      <c r="A4" s="14">
        <v>20</v>
      </c>
      <c r="B4" s="1">
        <v>120175</v>
      </c>
      <c r="C4" s="1">
        <f t="shared" ref="C4:C9" si="0">B4+C3</f>
        <v>120175</v>
      </c>
      <c r="D4" s="1">
        <v>24200</v>
      </c>
      <c r="E4" s="4">
        <f t="shared" ref="E4:E9" si="1">D4+E3</f>
        <v>24200</v>
      </c>
      <c r="G4" s="46">
        <v>0</v>
      </c>
      <c r="H4" s="12">
        <v>0</v>
      </c>
      <c r="I4" s="2">
        <v>0</v>
      </c>
      <c r="J4" s="2">
        <v>0</v>
      </c>
      <c r="K4" s="3">
        <v>0</v>
      </c>
      <c r="L4" s="52">
        <v>0</v>
      </c>
      <c r="M4" s="12">
        <v>0</v>
      </c>
      <c r="N4" s="2">
        <v>0</v>
      </c>
      <c r="O4" s="3">
        <v>0</v>
      </c>
      <c r="P4" s="52">
        <v>0</v>
      </c>
      <c r="Q4" s="52">
        <v>0</v>
      </c>
      <c r="S4" s="55">
        <v>1</v>
      </c>
      <c r="T4" s="20">
        <v>0</v>
      </c>
      <c r="U4" s="5">
        <v>0</v>
      </c>
      <c r="V4" s="6">
        <v>0</v>
      </c>
      <c r="W4" s="57">
        <v>0</v>
      </c>
      <c r="X4" s="57">
        <v>0</v>
      </c>
      <c r="Y4" s="20">
        <v>0</v>
      </c>
      <c r="Z4" s="5">
        <v>0</v>
      </c>
      <c r="AA4" s="6">
        <v>0</v>
      </c>
      <c r="AB4" s="57">
        <v>0</v>
      </c>
    </row>
    <row r="5" spans="1:28" x14ac:dyDescent="0.25">
      <c r="A5" s="14">
        <v>40</v>
      </c>
      <c r="B5" s="1">
        <v>578325</v>
      </c>
      <c r="C5" s="1">
        <f t="shared" si="0"/>
        <v>698500</v>
      </c>
      <c r="D5" s="1">
        <v>115800</v>
      </c>
      <c r="E5" s="4">
        <f t="shared" si="1"/>
        <v>140000</v>
      </c>
      <c r="G5" s="48">
        <v>1</v>
      </c>
      <c r="H5" s="14">
        <v>1</v>
      </c>
      <c r="I5" s="1">
        <v>0</v>
      </c>
      <c r="J5" s="1">
        <v>0</v>
      </c>
      <c r="K5" s="4">
        <v>0</v>
      </c>
      <c r="L5" s="54">
        <v>0</v>
      </c>
      <c r="M5" s="14">
        <v>3</v>
      </c>
      <c r="N5" s="1">
        <v>0</v>
      </c>
      <c r="O5" s="4">
        <v>0</v>
      </c>
      <c r="P5" s="54">
        <v>3</v>
      </c>
      <c r="Q5" s="54">
        <v>20000</v>
      </c>
      <c r="S5" s="48">
        <v>2</v>
      </c>
      <c r="T5" s="14">
        <v>3</v>
      </c>
      <c r="U5" s="1">
        <v>0</v>
      </c>
      <c r="V5" s="4">
        <v>0</v>
      </c>
      <c r="W5" s="54">
        <v>0</v>
      </c>
      <c r="X5" s="54">
        <v>0</v>
      </c>
      <c r="Y5" s="14">
        <v>6</v>
      </c>
      <c r="Z5" s="1">
        <v>0</v>
      </c>
      <c r="AA5" s="4">
        <v>0</v>
      </c>
      <c r="AB5" s="54">
        <v>12500</v>
      </c>
    </row>
    <row r="6" spans="1:28" x14ac:dyDescent="0.25">
      <c r="A6" s="14">
        <v>50</v>
      </c>
      <c r="B6" s="1">
        <v>579100</v>
      </c>
      <c r="C6" s="1">
        <f t="shared" si="0"/>
        <v>1277600</v>
      </c>
      <c r="D6" s="1">
        <v>116000</v>
      </c>
      <c r="E6" s="4">
        <f t="shared" si="1"/>
        <v>256000</v>
      </c>
      <c r="G6" s="48">
        <v>2</v>
      </c>
      <c r="H6" s="14">
        <v>0</v>
      </c>
      <c r="I6" s="1">
        <v>3</v>
      </c>
      <c r="J6" s="1">
        <v>0</v>
      </c>
      <c r="K6" s="4">
        <v>0</v>
      </c>
      <c r="L6" s="54">
        <v>2</v>
      </c>
      <c r="M6" s="14">
        <v>15</v>
      </c>
      <c r="N6" s="1">
        <v>0</v>
      </c>
      <c r="O6" s="4">
        <v>0</v>
      </c>
      <c r="P6" s="54">
        <v>10</v>
      </c>
      <c r="Q6" s="54">
        <v>40000</v>
      </c>
      <c r="S6" s="48">
        <v>3</v>
      </c>
      <c r="T6" s="14">
        <v>0</v>
      </c>
      <c r="U6" s="1">
        <v>2</v>
      </c>
      <c r="V6" s="4">
        <v>0</v>
      </c>
      <c r="W6" s="54">
        <v>0</v>
      </c>
      <c r="X6" s="54">
        <v>0</v>
      </c>
      <c r="Y6" s="14">
        <v>0</v>
      </c>
      <c r="Z6" s="1">
        <v>3</v>
      </c>
      <c r="AA6" s="4">
        <v>0</v>
      </c>
      <c r="AB6" s="54">
        <v>17500</v>
      </c>
    </row>
    <row r="7" spans="1:28" x14ac:dyDescent="0.25">
      <c r="A7" s="14">
        <v>60</v>
      </c>
      <c r="B7" s="1">
        <v>854125</v>
      </c>
      <c r="C7" s="1">
        <f t="shared" si="0"/>
        <v>2131725</v>
      </c>
      <c r="D7" s="1">
        <v>171000</v>
      </c>
      <c r="E7" s="4">
        <f t="shared" si="1"/>
        <v>427000</v>
      </c>
      <c r="G7" s="48">
        <v>3</v>
      </c>
      <c r="H7" s="14">
        <v>0</v>
      </c>
      <c r="I7" s="1">
        <v>6</v>
      </c>
      <c r="J7" s="1">
        <v>0</v>
      </c>
      <c r="K7" s="4">
        <v>0</v>
      </c>
      <c r="L7" s="54">
        <v>4</v>
      </c>
      <c r="M7" s="14">
        <v>0</v>
      </c>
      <c r="N7" s="1">
        <v>12</v>
      </c>
      <c r="O7" s="4">
        <v>0</v>
      </c>
      <c r="P7" s="54">
        <v>20</v>
      </c>
      <c r="Q7" s="54">
        <v>60000</v>
      </c>
      <c r="S7" s="48">
        <v>4</v>
      </c>
      <c r="T7" s="14">
        <v>0</v>
      </c>
      <c r="U7" s="1">
        <v>4</v>
      </c>
      <c r="V7" s="4">
        <v>0</v>
      </c>
      <c r="W7" s="54">
        <v>0</v>
      </c>
      <c r="X7" s="54">
        <v>0</v>
      </c>
      <c r="Y7" s="14">
        <v>0</v>
      </c>
      <c r="Z7" s="1">
        <v>4</v>
      </c>
      <c r="AA7" s="4">
        <v>0</v>
      </c>
      <c r="AB7" s="54">
        <v>25000</v>
      </c>
    </row>
    <row r="8" spans="1:28" x14ac:dyDescent="0.25">
      <c r="A8" s="14">
        <v>70</v>
      </c>
      <c r="B8" s="1">
        <v>1195925</v>
      </c>
      <c r="C8" s="1">
        <f t="shared" si="0"/>
        <v>3327650</v>
      </c>
      <c r="D8" s="1">
        <v>239200</v>
      </c>
      <c r="E8" s="4">
        <f t="shared" si="1"/>
        <v>666200</v>
      </c>
      <c r="G8" s="48">
        <v>4</v>
      </c>
      <c r="H8" s="14">
        <v>0</v>
      </c>
      <c r="I8" s="1">
        <v>0</v>
      </c>
      <c r="J8" s="1">
        <v>3</v>
      </c>
      <c r="K8" s="4">
        <v>0</v>
      </c>
      <c r="L8" s="54">
        <v>8</v>
      </c>
      <c r="M8" s="14">
        <v>0</v>
      </c>
      <c r="N8" s="1">
        <v>18</v>
      </c>
      <c r="O8" s="4">
        <v>0</v>
      </c>
      <c r="P8" s="54">
        <v>30</v>
      </c>
      <c r="Q8" s="54">
        <v>80000</v>
      </c>
      <c r="S8" s="48">
        <v>5</v>
      </c>
      <c r="T8" s="14">
        <v>0</v>
      </c>
      <c r="U8" s="1">
        <v>6</v>
      </c>
      <c r="V8" s="4">
        <v>0</v>
      </c>
      <c r="W8" s="54">
        <v>0</v>
      </c>
      <c r="X8" s="54">
        <v>0</v>
      </c>
      <c r="Y8" s="14">
        <v>0</v>
      </c>
      <c r="Z8" s="1">
        <v>6</v>
      </c>
      <c r="AA8" s="4">
        <v>0</v>
      </c>
      <c r="AB8" s="54">
        <v>30000</v>
      </c>
    </row>
    <row r="9" spans="1:28" x14ac:dyDescent="0.25">
      <c r="A9" s="14">
        <v>80</v>
      </c>
      <c r="B9" s="1">
        <v>1611875</v>
      </c>
      <c r="C9" s="1">
        <f t="shared" si="0"/>
        <v>4939525</v>
      </c>
      <c r="D9" s="1">
        <v>322400</v>
      </c>
      <c r="E9" s="4">
        <f t="shared" si="1"/>
        <v>988600</v>
      </c>
      <c r="G9" s="48">
        <v>5</v>
      </c>
      <c r="H9" s="14">
        <v>0</v>
      </c>
      <c r="I9" s="1">
        <v>0</v>
      </c>
      <c r="J9" s="1">
        <v>6</v>
      </c>
      <c r="K9" s="4">
        <v>0</v>
      </c>
      <c r="L9" s="54">
        <v>12</v>
      </c>
      <c r="M9" s="14">
        <v>0</v>
      </c>
      <c r="N9" s="1">
        <v>0</v>
      </c>
      <c r="O9" s="4">
        <v>12</v>
      </c>
      <c r="P9" s="54">
        <v>45</v>
      </c>
      <c r="Q9" s="54">
        <v>100000</v>
      </c>
      <c r="S9" s="48">
        <v>6</v>
      </c>
      <c r="T9" s="14">
        <v>0</v>
      </c>
      <c r="U9" s="1">
        <v>9</v>
      </c>
      <c r="V9" s="4">
        <v>0</v>
      </c>
      <c r="W9" s="54">
        <v>0</v>
      </c>
      <c r="X9" s="54">
        <v>0</v>
      </c>
      <c r="Y9" s="14">
        <v>0</v>
      </c>
      <c r="Z9" s="1">
        <v>9</v>
      </c>
      <c r="AA9" s="4">
        <v>0</v>
      </c>
      <c r="AB9" s="54">
        <v>37500</v>
      </c>
    </row>
    <row r="10" spans="1:28" ht="15.75" thickBot="1" x14ac:dyDescent="0.3">
      <c r="A10" s="13">
        <v>90</v>
      </c>
      <c r="B10" s="9">
        <v>3423125</v>
      </c>
      <c r="C10" s="9">
        <f>B10+C9</f>
        <v>8362650</v>
      </c>
      <c r="D10" s="9">
        <v>684800</v>
      </c>
      <c r="E10" s="10">
        <f>D10+E9</f>
        <v>1673400</v>
      </c>
      <c r="G10" s="47">
        <v>6</v>
      </c>
      <c r="H10" s="13">
        <v>0</v>
      </c>
      <c r="I10" s="9">
        <v>0</v>
      </c>
      <c r="J10" s="9">
        <v>0</v>
      </c>
      <c r="K10" s="10">
        <v>6</v>
      </c>
      <c r="L10" s="53">
        <v>20</v>
      </c>
      <c r="M10" s="13">
        <v>0</v>
      </c>
      <c r="N10" s="9">
        <v>0</v>
      </c>
      <c r="O10" s="10">
        <v>24</v>
      </c>
      <c r="P10" s="53">
        <v>60</v>
      </c>
      <c r="Q10" s="53">
        <v>120000</v>
      </c>
      <c r="S10" s="48">
        <v>7</v>
      </c>
      <c r="T10" s="14">
        <v>0</v>
      </c>
      <c r="U10" s="1">
        <v>0</v>
      </c>
      <c r="V10" s="4">
        <v>4</v>
      </c>
      <c r="W10" s="54">
        <v>1</v>
      </c>
      <c r="X10" s="54">
        <v>0</v>
      </c>
      <c r="Y10" s="14">
        <v>0</v>
      </c>
      <c r="Z10" s="1">
        <v>0</v>
      </c>
      <c r="AA10" s="4">
        <v>4</v>
      </c>
      <c r="AB10" s="54">
        <v>120000</v>
      </c>
    </row>
    <row r="11" spans="1:28" ht="15.75" thickBot="1" x14ac:dyDescent="0.3">
      <c r="R11" s="30"/>
      <c r="S11" s="48">
        <v>8</v>
      </c>
      <c r="T11" s="14">
        <v>0</v>
      </c>
      <c r="U11" s="1">
        <v>0</v>
      </c>
      <c r="V11" s="4">
        <v>6</v>
      </c>
      <c r="W11" s="54">
        <v>1</v>
      </c>
      <c r="X11" s="54">
        <v>0</v>
      </c>
      <c r="Y11" s="14">
        <v>0</v>
      </c>
      <c r="Z11" s="1">
        <v>0</v>
      </c>
      <c r="AA11" s="4">
        <v>6</v>
      </c>
      <c r="AB11" s="54">
        <v>260000</v>
      </c>
    </row>
    <row r="12" spans="1:28" ht="15.75" thickBot="1" x14ac:dyDescent="0.3">
      <c r="G12" s="173" t="s">
        <v>622</v>
      </c>
      <c r="H12" s="174"/>
      <c r="I12" s="174"/>
      <c r="J12" s="174"/>
      <c r="K12" s="174"/>
      <c r="L12" s="174"/>
      <c r="M12" s="174"/>
      <c r="N12" s="174"/>
      <c r="O12" s="174"/>
      <c r="P12" s="174"/>
      <c r="Q12" s="175"/>
      <c r="S12" s="48">
        <v>9</v>
      </c>
      <c r="T12" s="14">
        <v>0</v>
      </c>
      <c r="U12" s="1">
        <v>0</v>
      </c>
      <c r="V12" s="4">
        <v>12</v>
      </c>
      <c r="W12" s="54">
        <v>2</v>
      </c>
      <c r="X12" s="54">
        <v>0</v>
      </c>
      <c r="Y12" s="14">
        <v>0</v>
      </c>
      <c r="Z12" s="1">
        <v>0</v>
      </c>
      <c r="AA12" s="4">
        <v>9</v>
      </c>
      <c r="AB12" s="54">
        <v>450000</v>
      </c>
    </row>
    <row r="13" spans="1:28" ht="15.75" thickBot="1" x14ac:dyDescent="0.3">
      <c r="G13" s="46"/>
      <c r="H13" s="236" t="s">
        <v>514</v>
      </c>
      <c r="I13" s="213"/>
      <c r="J13" s="213"/>
      <c r="K13" s="215"/>
      <c r="L13" s="52"/>
      <c r="M13" s="236" t="s">
        <v>516</v>
      </c>
      <c r="N13" s="213"/>
      <c r="O13" s="215"/>
      <c r="P13" s="52"/>
      <c r="Q13" s="52"/>
      <c r="S13" s="47">
        <v>10</v>
      </c>
      <c r="T13" s="13">
        <v>0</v>
      </c>
      <c r="U13" s="9">
        <v>0</v>
      </c>
      <c r="V13" s="10">
        <v>16</v>
      </c>
      <c r="W13" s="53">
        <v>2</v>
      </c>
      <c r="X13" s="53">
        <v>1</v>
      </c>
      <c r="Y13" s="13">
        <v>0</v>
      </c>
      <c r="Z13" s="9">
        <v>0</v>
      </c>
      <c r="AA13" s="10">
        <v>12</v>
      </c>
      <c r="AB13" s="53">
        <v>700000</v>
      </c>
    </row>
    <row r="14" spans="1:28" ht="15.75" thickBot="1" x14ac:dyDescent="0.3">
      <c r="G14" s="47"/>
      <c r="H14" s="13" t="s">
        <v>612</v>
      </c>
      <c r="I14" s="9" t="s">
        <v>613</v>
      </c>
      <c r="J14" s="9" t="s">
        <v>614</v>
      </c>
      <c r="K14" s="10" t="s">
        <v>615</v>
      </c>
      <c r="L14" s="53" t="s">
        <v>616</v>
      </c>
      <c r="M14" s="13" t="s">
        <v>612</v>
      </c>
      <c r="N14" s="9" t="s">
        <v>613</v>
      </c>
      <c r="O14" s="10" t="s">
        <v>614</v>
      </c>
      <c r="P14" s="53" t="s">
        <v>209</v>
      </c>
      <c r="Q14" s="53" t="s">
        <v>204</v>
      </c>
    </row>
    <row r="15" spans="1:28" ht="15.75" thickBot="1" x14ac:dyDescent="0.3">
      <c r="G15" s="48">
        <v>0</v>
      </c>
      <c r="H15" s="14">
        <v>0</v>
      </c>
      <c r="I15" s="1">
        <v>0</v>
      </c>
      <c r="J15" s="1">
        <v>0</v>
      </c>
      <c r="K15" s="4">
        <v>0</v>
      </c>
      <c r="L15" s="54">
        <v>0</v>
      </c>
      <c r="M15" s="14">
        <v>0</v>
      </c>
      <c r="N15" s="1">
        <v>0</v>
      </c>
      <c r="O15" s="4">
        <v>0</v>
      </c>
      <c r="P15" s="54">
        <v>0</v>
      </c>
      <c r="Q15" s="54">
        <v>0</v>
      </c>
      <c r="S15" s="171" t="s">
        <v>623</v>
      </c>
      <c r="T15" s="231"/>
      <c r="U15" s="231"/>
      <c r="V15" s="231"/>
      <c r="W15" s="231"/>
      <c r="X15" s="231"/>
      <c r="Y15" s="231"/>
      <c r="Z15" s="231"/>
      <c r="AA15" s="231"/>
      <c r="AB15" s="172"/>
    </row>
    <row r="16" spans="1:28" x14ac:dyDescent="0.25">
      <c r="G16" s="48">
        <v>1</v>
      </c>
      <c r="H16" s="14">
        <f t="shared" ref="H16:Q16" si="2">SUM(H4:H5)</f>
        <v>1</v>
      </c>
      <c r="I16" s="1">
        <f t="shared" si="2"/>
        <v>0</v>
      </c>
      <c r="J16" s="1">
        <f t="shared" si="2"/>
        <v>0</v>
      </c>
      <c r="K16" s="4">
        <f t="shared" si="2"/>
        <v>0</v>
      </c>
      <c r="L16" s="54">
        <f t="shared" si="2"/>
        <v>0</v>
      </c>
      <c r="M16" s="14">
        <f t="shared" si="2"/>
        <v>3</v>
      </c>
      <c r="N16" s="1">
        <f t="shared" si="2"/>
        <v>0</v>
      </c>
      <c r="O16" s="4">
        <f t="shared" si="2"/>
        <v>0</v>
      </c>
      <c r="P16" s="54">
        <f t="shared" si="2"/>
        <v>3</v>
      </c>
      <c r="Q16" s="54">
        <f t="shared" si="2"/>
        <v>20000</v>
      </c>
      <c r="S16" s="46"/>
      <c r="T16" s="222" t="s">
        <v>611</v>
      </c>
      <c r="U16" s="223"/>
      <c r="V16" s="224"/>
      <c r="W16" s="52"/>
      <c r="X16" s="52"/>
      <c r="Y16" s="222" t="s">
        <v>516</v>
      </c>
      <c r="Z16" s="223"/>
      <c r="AA16" s="224"/>
      <c r="AB16" s="52"/>
    </row>
    <row r="17" spans="7:28" ht="15.75" thickBot="1" x14ac:dyDescent="0.3">
      <c r="G17" s="48">
        <v>2</v>
      </c>
      <c r="H17" s="14">
        <f t="shared" ref="H17:Q17" si="3">SUM(H4:H6)</f>
        <v>1</v>
      </c>
      <c r="I17" s="1">
        <f t="shared" si="3"/>
        <v>3</v>
      </c>
      <c r="J17" s="1">
        <f t="shared" si="3"/>
        <v>0</v>
      </c>
      <c r="K17" s="4">
        <f t="shared" si="3"/>
        <v>0</v>
      </c>
      <c r="L17" s="54">
        <f t="shared" si="3"/>
        <v>2</v>
      </c>
      <c r="M17" s="14">
        <f t="shared" si="3"/>
        <v>18</v>
      </c>
      <c r="N17" s="1">
        <f t="shared" si="3"/>
        <v>0</v>
      </c>
      <c r="O17" s="4">
        <f t="shared" si="3"/>
        <v>0</v>
      </c>
      <c r="P17" s="54">
        <f t="shared" si="3"/>
        <v>13</v>
      </c>
      <c r="Q17" s="54">
        <f t="shared" si="3"/>
        <v>60000</v>
      </c>
      <c r="S17" s="47"/>
      <c r="T17" s="13" t="s">
        <v>617</v>
      </c>
      <c r="U17" s="9" t="s">
        <v>618</v>
      </c>
      <c r="V17" s="10" t="s">
        <v>619</v>
      </c>
      <c r="W17" s="53" t="s">
        <v>620</v>
      </c>
      <c r="X17" s="53" t="s">
        <v>621</v>
      </c>
      <c r="Y17" s="13" t="s">
        <v>612</v>
      </c>
      <c r="Z17" s="9" t="s">
        <v>613</v>
      </c>
      <c r="AA17" s="10" t="s">
        <v>614</v>
      </c>
      <c r="AB17" s="53" t="s">
        <v>204</v>
      </c>
    </row>
    <row r="18" spans="7:28" x14ac:dyDescent="0.25">
      <c r="G18" s="48">
        <v>3</v>
      </c>
      <c r="H18" s="14">
        <f t="shared" ref="H18:Q18" si="4">SUM(H4:H7)</f>
        <v>1</v>
      </c>
      <c r="I18" s="1">
        <f t="shared" si="4"/>
        <v>9</v>
      </c>
      <c r="J18" s="1">
        <f t="shared" si="4"/>
        <v>0</v>
      </c>
      <c r="K18" s="4">
        <f t="shared" si="4"/>
        <v>0</v>
      </c>
      <c r="L18" s="54">
        <f t="shared" si="4"/>
        <v>6</v>
      </c>
      <c r="M18" s="14">
        <f t="shared" si="4"/>
        <v>18</v>
      </c>
      <c r="N18" s="1">
        <f t="shared" si="4"/>
        <v>12</v>
      </c>
      <c r="O18" s="4">
        <f t="shared" si="4"/>
        <v>0</v>
      </c>
      <c r="P18" s="54">
        <f t="shared" si="4"/>
        <v>33</v>
      </c>
      <c r="Q18" s="54">
        <f t="shared" si="4"/>
        <v>120000</v>
      </c>
      <c r="S18" s="55">
        <v>1</v>
      </c>
      <c r="T18" s="20">
        <v>0</v>
      </c>
      <c r="U18" s="5">
        <v>0</v>
      </c>
      <c r="V18" s="6">
        <v>0</v>
      </c>
      <c r="W18" s="57">
        <v>0</v>
      </c>
      <c r="X18" s="57">
        <v>0</v>
      </c>
      <c r="Y18" s="20">
        <v>0</v>
      </c>
      <c r="Z18" s="5">
        <v>0</v>
      </c>
      <c r="AA18" s="6">
        <v>0</v>
      </c>
      <c r="AB18" s="57">
        <v>0</v>
      </c>
    </row>
    <row r="19" spans="7:28" x14ac:dyDescent="0.25">
      <c r="G19" s="48">
        <v>4</v>
      </c>
      <c r="H19" s="14">
        <f t="shared" ref="H19:Q19" si="5">SUM(H4:H8)</f>
        <v>1</v>
      </c>
      <c r="I19" s="1">
        <f t="shared" si="5"/>
        <v>9</v>
      </c>
      <c r="J19" s="1">
        <f t="shared" si="5"/>
        <v>3</v>
      </c>
      <c r="K19" s="4">
        <f t="shared" si="5"/>
        <v>0</v>
      </c>
      <c r="L19" s="54">
        <f t="shared" si="5"/>
        <v>14</v>
      </c>
      <c r="M19" s="14">
        <f t="shared" si="5"/>
        <v>18</v>
      </c>
      <c r="N19" s="1">
        <f t="shared" si="5"/>
        <v>30</v>
      </c>
      <c r="O19" s="4">
        <f t="shared" si="5"/>
        <v>0</v>
      </c>
      <c r="P19" s="54">
        <f t="shared" si="5"/>
        <v>63</v>
      </c>
      <c r="Q19" s="54">
        <f t="shared" si="5"/>
        <v>200000</v>
      </c>
      <c r="S19" s="48">
        <v>2</v>
      </c>
      <c r="T19" s="14">
        <f t="shared" ref="T19:AB19" si="6">SUM(T4:T5)</f>
        <v>3</v>
      </c>
      <c r="U19" s="1">
        <f t="shared" si="6"/>
        <v>0</v>
      </c>
      <c r="V19" s="4">
        <f t="shared" si="6"/>
        <v>0</v>
      </c>
      <c r="W19" s="54">
        <f t="shared" si="6"/>
        <v>0</v>
      </c>
      <c r="X19" s="54">
        <f t="shared" si="6"/>
        <v>0</v>
      </c>
      <c r="Y19" s="14">
        <f t="shared" si="6"/>
        <v>6</v>
      </c>
      <c r="Z19" s="1">
        <f t="shared" si="6"/>
        <v>0</v>
      </c>
      <c r="AA19" s="4">
        <f t="shared" si="6"/>
        <v>0</v>
      </c>
      <c r="AB19" s="54">
        <f t="shared" si="6"/>
        <v>12500</v>
      </c>
    </row>
    <row r="20" spans="7:28" x14ac:dyDescent="0.25">
      <c r="G20" s="48">
        <v>5</v>
      </c>
      <c r="H20" s="14">
        <f t="shared" ref="H20:Q20" si="7">SUM(H4:H9)</f>
        <v>1</v>
      </c>
      <c r="I20" s="1">
        <f t="shared" si="7"/>
        <v>9</v>
      </c>
      <c r="J20" s="1">
        <f t="shared" si="7"/>
        <v>9</v>
      </c>
      <c r="K20" s="4">
        <f t="shared" si="7"/>
        <v>0</v>
      </c>
      <c r="L20" s="54">
        <f t="shared" si="7"/>
        <v>26</v>
      </c>
      <c r="M20" s="14">
        <f t="shared" si="7"/>
        <v>18</v>
      </c>
      <c r="N20" s="1">
        <f t="shared" si="7"/>
        <v>30</v>
      </c>
      <c r="O20" s="4">
        <f t="shared" si="7"/>
        <v>12</v>
      </c>
      <c r="P20" s="54">
        <f t="shared" si="7"/>
        <v>108</v>
      </c>
      <c r="Q20" s="54">
        <f t="shared" si="7"/>
        <v>300000</v>
      </c>
      <c r="S20" s="48">
        <v>3</v>
      </c>
      <c r="T20" s="14">
        <f t="shared" ref="T20:AB20" si="8">SUM(T4:T6)</f>
        <v>3</v>
      </c>
      <c r="U20" s="1">
        <f t="shared" si="8"/>
        <v>2</v>
      </c>
      <c r="V20" s="4">
        <f t="shared" si="8"/>
        <v>0</v>
      </c>
      <c r="W20" s="54">
        <f t="shared" si="8"/>
        <v>0</v>
      </c>
      <c r="X20" s="54">
        <f t="shared" si="8"/>
        <v>0</v>
      </c>
      <c r="Y20" s="14">
        <f t="shared" si="8"/>
        <v>6</v>
      </c>
      <c r="Z20" s="1">
        <f t="shared" si="8"/>
        <v>3</v>
      </c>
      <c r="AA20" s="4">
        <f t="shared" si="8"/>
        <v>0</v>
      </c>
      <c r="AB20" s="54">
        <f t="shared" si="8"/>
        <v>30000</v>
      </c>
    </row>
    <row r="21" spans="7:28" ht="15.75" thickBot="1" x14ac:dyDescent="0.3">
      <c r="G21" s="47">
        <v>6</v>
      </c>
      <c r="H21" s="13">
        <f t="shared" ref="H21:Q21" si="9">SUM(H4:H10)</f>
        <v>1</v>
      </c>
      <c r="I21" s="9">
        <f t="shared" si="9"/>
        <v>9</v>
      </c>
      <c r="J21" s="9">
        <f t="shared" si="9"/>
        <v>9</v>
      </c>
      <c r="K21" s="10">
        <f t="shared" si="9"/>
        <v>6</v>
      </c>
      <c r="L21" s="53">
        <f t="shared" si="9"/>
        <v>46</v>
      </c>
      <c r="M21" s="13">
        <f t="shared" si="9"/>
        <v>18</v>
      </c>
      <c r="N21" s="9">
        <f t="shared" si="9"/>
        <v>30</v>
      </c>
      <c r="O21" s="10">
        <f t="shared" si="9"/>
        <v>36</v>
      </c>
      <c r="P21" s="53">
        <f t="shared" si="9"/>
        <v>168</v>
      </c>
      <c r="Q21" s="53">
        <f t="shared" si="9"/>
        <v>420000</v>
      </c>
      <c r="S21" s="48">
        <v>4</v>
      </c>
      <c r="T21" s="14">
        <f t="shared" ref="T21:AB21" si="10">SUM(T4:T7)</f>
        <v>3</v>
      </c>
      <c r="U21" s="1">
        <f t="shared" si="10"/>
        <v>6</v>
      </c>
      <c r="V21" s="4">
        <f t="shared" si="10"/>
        <v>0</v>
      </c>
      <c r="W21" s="54">
        <f t="shared" si="10"/>
        <v>0</v>
      </c>
      <c r="X21" s="54">
        <f t="shared" si="10"/>
        <v>0</v>
      </c>
      <c r="Y21" s="14">
        <f t="shared" si="10"/>
        <v>6</v>
      </c>
      <c r="Z21" s="1">
        <f t="shared" si="10"/>
        <v>7</v>
      </c>
      <c r="AA21" s="4">
        <f t="shared" si="10"/>
        <v>0</v>
      </c>
      <c r="AB21" s="54">
        <f t="shared" si="10"/>
        <v>55000</v>
      </c>
    </row>
    <row r="22" spans="7:28" x14ac:dyDescent="0.25">
      <c r="L22" s="30"/>
      <c r="M22" s="30"/>
      <c r="N22" s="30"/>
      <c r="O22" s="30"/>
      <c r="P22" s="30"/>
      <c r="Q22" s="30"/>
      <c r="R22" s="30"/>
      <c r="S22" s="48">
        <v>5</v>
      </c>
      <c r="T22" s="14">
        <f t="shared" ref="T22:AB22" si="11">SUM(T4:T8)</f>
        <v>3</v>
      </c>
      <c r="U22" s="1">
        <f t="shared" si="11"/>
        <v>12</v>
      </c>
      <c r="V22" s="4">
        <f t="shared" si="11"/>
        <v>0</v>
      </c>
      <c r="W22" s="54">
        <f t="shared" si="11"/>
        <v>0</v>
      </c>
      <c r="X22" s="54">
        <f t="shared" si="11"/>
        <v>0</v>
      </c>
      <c r="Y22" s="14">
        <f t="shared" si="11"/>
        <v>6</v>
      </c>
      <c r="Z22" s="1">
        <f t="shared" si="11"/>
        <v>13</v>
      </c>
      <c r="AA22" s="4">
        <f t="shared" si="11"/>
        <v>0</v>
      </c>
      <c r="AB22" s="54">
        <f t="shared" si="11"/>
        <v>85000</v>
      </c>
    </row>
    <row r="23" spans="7:28" x14ac:dyDescent="0.25">
      <c r="S23" s="48">
        <v>6</v>
      </c>
      <c r="T23" s="14">
        <f t="shared" ref="T23:AB23" si="12">SUM(T4:T9)</f>
        <v>3</v>
      </c>
      <c r="U23" s="1">
        <f t="shared" si="12"/>
        <v>21</v>
      </c>
      <c r="V23" s="4">
        <f t="shared" si="12"/>
        <v>0</v>
      </c>
      <c r="W23" s="54">
        <f t="shared" si="12"/>
        <v>0</v>
      </c>
      <c r="X23" s="54">
        <f t="shared" si="12"/>
        <v>0</v>
      </c>
      <c r="Y23" s="14">
        <f t="shared" si="12"/>
        <v>6</v>
      </c>
      <c r="Z23" s="1">
        <f t="shared" si="12"/>
        <v>22</v>
      </c>
      <c r="AA23" s="4">
        <f t="shared" si="12"/>
        <v>0</v>
      </c>
      <c r="AB23" s="54">
        <f t="shared" si="12"/>
        <v>122500</v>
      </c>
    </row>
    <row r="24" spans="7:28" x14ac:dyDescent="0.25">
      <c r="S24" s="48">
        <v>7</v>
      </c>
      <c r="T24" s="14">
        <f t="shared" ref="T24:AB24" si="13">SUM(T4:T10)</f>
        <v>3</v>
      </c>
      <c r="U24" s="1">
        <f t="shared" si="13"/>
        <v>21</v>
      </c>
      <c r="V24" s="4">
        <f t="shared" si="13"/>
        <v>4</v>
      </c>
      <c r="W24" s="54">
        <f t="shared" si="13"/>
        <v>1</v>
      </c>
      <c r="X24" s="54">
        <f t="shared" si="13"/>
        <v>0</v>
      </c>
      <c r="Y24" s="14">
        <f t="shared" si="13"/>
        <v>6</v>
      </c>
      <c r="Z24" s="1">
        <f t="shared" si="13"/>
        <v>22</v>
      </c>
      <c r="AA24" s="4">
        <f t="shared" si="13"/>
        <v>4</v>
      </c>
      <c r="AB24" s="54">
        <f t="shared" si="13"/>
        <v>242500</v>
      </c>
    </row>
    <row r="25" spans="7:28" x14ac:dyDescent="0.25">
      <c r="S25" s="48">
        <v>8</v>
      </c>
      <c r="T25" s="14">
        <f t="shared" ref="T25:AB25" si="14">SUM(T4:T11)</f>
        <v>3</v>
      </c>
      <c r="U25" s="1">
        <f t="shared" si="14"/>
        <v>21</v>
      </c>
      <c r="V25" s="4">
        <f t="shared" si="14"/>
        <v>10</v>
      </c>
      <c r="W25" s="54">
        <f t="shared" si="14"/>
        <v>2</v>
      </c>
      <c r="X25" s="54">
        <f t="shared" si="14"/>
        <v>0</v>
      </c>
      <c r="Y25" s="14">
        <f t="shared" si="14"/>
        <v>6</v>
      </c>
      <c r="Z25" s="1">
        <f t="shared" si="14"/>
        <v>22</v>
      </c>
      <c r="AA25" s="4">
        <f t="shared" si="14"/>
        <v>10</v>
      </c>
      <c r="AB25" s="54">
        <f t="shared" si="14"/>
        <v>502500</v>
      </c>
    </row>
    <row r="26" spans="7:28" x14ac:dyDescent="0.25">
      <c r="S26" s="48">
        <v>9</v>
      </c>
      <c r="T26" s="14">
        <f t="shared" ref="T26:AB26" si="15">SUM(T4:T12)</f>
        <v>3</v>
      </c>
      <c r="U26" s="1">
        <f t="shared" si="15"/>
        <v>21</v>
      </c>
      <c r="V26" s="4">
        <f t="shared" si="15"/>
        <v>22</v>
      </c>
      <c r="W26" s="54">
        <f t="shared" si="15"/>
        <v>4</v>
      </c>
      <c r="X26" s="54">
        <f t="shared" si="15"/>
        <v>0</v>
      </c>
      <c r="Y26" s="14">
        <f t="shared" si="15"/>
        <v>6</v>
      </c>
      <c r="Z26" s="1">
        <f t="shared" si="15"/>
        <v>22</v>
      </c>
      <c r="AA26" s="4">
        <f t="shared" si="15"/>
        <v>19</v>
      </c>
      <c r="AB26" s="54">
        <f t="shared" si="15"/>
        <v>952500</v>
      </c>
    </row>
    <row r="27" spans="7:28" ht="15.75" thickBot="1" x14ac:dyDescent="0.3">
      <c r="S27" s="47">
        <v>10</v>
      </c>
      <c r="T27" s="13">
        <f t="shared" ref="T27:AB27" si="16">SUM(T4:T13)</f>
        <v>3</v>
      </c>
      <c r="U27" s="9">
        <f t="shared" si="16"/>
        <v>21</v>
      </c>
      <c r="V27" s="10">
        <f t="shared" si="16"/>
        <v>38</v>
      </c>
      <c r="W27" s="53">
        <f t="shared" si="16"/>
        <v>6</v>
      </c>
      <c r="X27" s="53">
        <f t="shared" si="16"/>
        <v>1</v>
      </c>
      <c r="Y27" s="13">
        <f t="shared" si="16"/>
        <v>6</v>
      </c>
      <c r="Z27" s="9">
        <f t="shared" si="16"/>
        <v>22</v>
      </c>
      <c r="AA27" s="10">
        <f t="shared" si="16"/>
        <v>31</v>
      </c>
      <c r="AB27" s="53">
        <f t="shared" si="16"/>
        <v>1652500</v>
      </c>
    </row>
    <row r="61" spans="42:42" x14ac:dyDescent="0.25">
      <c r="AP61" s="30"/>
    </row>
    <row r="70" spans="42:42" x14ac:dyDescent="0.25">
      <c r="AP70" s="30"/>
    </row>
    <row r="79" spans="42:42" x14ac:dyDescent="0.25">
      <c r="AP79" s="30"/>
    </row>
    <row r="88" spans="42:42" x14ac:dyDescent="0.25">
      <c r="AP88" s="30"/>
    </row>
    <row r="97" spans="42:42" x14ac:dyDescent="0.25">
      <c r="AP97" s="30"/>
    </row>
    <row r="108" spans="42:42" x14ac:dyDescent="0.25">
      <c r="AP108" s="30"/>
    </row>
    <row r="119" spans="42:42" x14ac:dyDescent="0.25">
      <c r="AP119" s="30"/>
    </row>
    <row r="130" spans="42:42" x14ac:dyDescent="0.25">
      <c r="AP130" s="30"/>
    </row>
    <row r="141" spans="42:42" x14ac:dyDescent="0.25">
      <c r="AP141" s="30"/>
    </row>
    <row r="152" spans="42:42" x14ac:dyDescent="0.25">
      <c r="AP152" s="30"/>
    </row>
  </sheetData>
  <sortState xmlns:xlrd2="http://schemas.microsoft.com/office/spreadsheetml/2017/richdata2" ref="AQ11:AT16">
    <sortCondition ref="AQ11:AQ16"/>
  </sortState>
  <mergeCells count="13">
    <mergeCell ref="A1:E1"/>
    <mergeCell ref="T16:V16"/>
    <mergeCell ref="Y16:AA16"/>
    <mergeCell ref="M2:O2"/>
    <mergeCell ref="H2:K2"/>
    <mergeCell ref="H13:K13"/>
    <mergeCell ref="M13:O13"/>
    <mergeCell ref="G12:Q12"/>
    <mergeCell ref="T2:V2"/>
    <mergeCell ref="Y2:AA2"/>
    <mergeCell ref="S1:AB1"/>
    <mergeCell ref="S15:AB15"/>
    <mergeCell ref="G1:Q1"/>
  </mergeCell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5F51F-6B02-4836-9609-A5100D05E9B9}">
  <sheetPr codeName="Sheet90">
    <tabColor theme="0" tint="-0.249977111117893"/>
  </sheetPr>
  <dimension ref="A1:R152"/>
  <sheetViews>
    <sheetView topLeftCell="A24" workbookViewId="0">
      <selection activeCell="O41" sqref="O41"/>
    </sheetView>
  </sheetViews>
  <sheetFormatPr defaultColWidth="7.42578125" defaultRowHeight="15" x14ac:dyDescent="0.25"/>
  <cols>
    <col min="1" max="1" width="2" bestFit="1" customWidth="1"/>
    <col min="2" max="11" width="3" bestFit="1" customWidth="1"/>
    <col min="12" max="12" width="7" bestFit="1" customWidth="1"/>
    <col min="14" max="14" width="3" bestFit="1" customWidth="1"/>
    <col min="15" max="15" width="8" bestFit="1" customWidth="1"/>
    <col min="16" max="16" width="14.85546875" bestFit="1" customWidth="1"/>
    <col min="17" max="17" width="7" bestFit="1" customWidth="1"/>
    <col min="18" max="18" width="16.28515625" bestFit="1" customWidth="1"/>
  </cols>
  <sheetData>
    <row r="1" spans="1:18" ht="15.75" thickBot="1" x14ac:dyDescent="0.3">
      <c r="A1" s="171" t="s">
        <v>624</v>
      </c>
      <c r="B1" s="231"/>
      <c r="C1" s="231"/>
      <c r="D1" s="231"/>
      <c r="E1" s="231"/>
      <c r="F1" s="231"/>
      <c r="G1" s="231"/>
      <c r="H1" s="231"/>
      <c r="I1" s="231"/>
      <c r="J1" s="231"/>
      <c r="K1" s="231"/>
      <c r="L1" s="172"/>
    </row>
    <row r="2" spans="1:18" ht="15.75" thickBot="1" x14ac:dyDescent="0.3">
      <c r="A2" s="46"/>
      <c r="B2" s="222" t="s">
        <v>625</v>
      </c>
      <c r="C2" s="223"/>
      <c r="D2" s="223"/>
      <c r="E2" s="224"/>
      <c r="F2" s="222" t="s">
        <v>626</v>
      </c>
      <c r="G2" s="223"/>
      <c r="H2" s="224"/>
      <c r="I2" s="222" t="s">
        <v>627</v>
      </c>
      <c r="J2" s="223"/>
      <c r="K2" s="224"/>
      <c r="L2" s="49"/>
      <c r="N2" s="240" t="s">
        <v>628</v>
      </c>
      <c r="O2" s="241"/>
      <c r="P2" s="241"/>
      <c r="Q2" s="241"/>
      <c r="R2" s="242"/>
    </row>
    <row r="3" spans="1:18" ht="15.75" thickBot="1" x14ac:dyDescent="0.3">
      <c r="A3" s="47"/>
      <c r="B3" s="13" t="s">
        <v>613</v>
      </c>
      <c r="C3" s="9" t="s">
        <v>614</v>
      </c>
      <c r="D3" s="9" t="s">
        <v>615</v>
      </c>
      <c r="E3" s="10" t="s">
        <v>629</v>
      </c>
      <c r="F3" s="13" t="s">
        <v>612</v>
      </c>
      <c r="G3" s="9" t="s">
        <v>613</v>
      </c>
      <c r="H3" s="10" t="s">
        <v>614</v>
      </c>
      <c r="I3" s="13" t="s">
        <v>613</v>
      </c>
      <c r="J3" s="9" t="s">
        <v>614</v>
      </c>
      <c r="K3" s="10" t="s">
        <v>615</v>
      </c>
      <c r="L3" s="50" t="s">
        <v>204</v>
      </c>
      <c r="N3" s="11"/>
      <c r="O3" s="7" t="s">
        <v>608</v>
      </c>
      <c r="P3" s="7" t="s">
        <v>609</v>
      </c>
      <c r="Q3" s="7" t="s">
        <v>204</v>
      </c>
      <c r="R3" s="8" t="s">
        <v>610</v>
      </c>
    </row>
    <row r="4" spans="1:18" x14ac:dyDescent="0.25">
      <c r="A4" s="55">
        <v>0</v>
      </c>
      <c r="B4" s="20">
        <v>0</v>
      </c>
      <c r="C4" s="5">
        <v>0</v>
      </c>
      <c r="D4" s="5">
        <v>0</v>
      </c>
      <c r="E4" s="6">
        <v>0</v>
      </c>
      <c r="F4" s="20">
        <v>0</v>
      </c>
      <c r="G4" s="5">
        <v>0</v>
      </c>
      <c r="H4" s="6">
        <v>0</v>
      </c>
      <c r="I4" s="20">
        <v>0</v>
      </c>
      <c r="J4" s="5">
        <v>0</v>
      </c>
      <c r="K4" s="6">
        <v>0</v>
      </c>
      <c r="L4" s="56">
        <v>0</v>
      </c>
      <c r="N4" s="20">
        <v>1</v>
      </c>
      <c r="O4" s="5">
        <v>0</v>
      </c>
      <c r="P4" s="5">
        <v>0</v>
      </c>
      <c r="Q4" s="5">
        <v>0</v>
      </c>
      <c r="R4" s="6">
        <v>0</v>
      </c>
    </row>
    <row r="5" spans="1:18" x14ac:dyDescent="0.25">
      <c r="A5" s="48">
        <v>1</v>
      </c>
      <c r="B5" s="14">
        <v>1</v>
      </c>
      <c r="C5" s="1">
        <v>0</v>
      </c>
      <c r="D5" s="1">
        <v>0</v>
      </c>
      <c r="E5" s="4">
        <v>0</v>
      </c>
      <c r="F5" s="14">
        <v>1</v>
      </c>
      <c r="G5" s="1">
        <v>0</v>
      </c>
      <c r="H5" s="4">
        <v>0</v>
      </c>
      <c r="I5" s="14">
        <v>1</v>
      </c>
      <c r="J5" s="1">
        <v>0</v>
      </c>
      <c r="K5" s="4">
        <v>0</v>
      </c>
      <c r="L5" s="51">
        <v>0</v>
      </c>
      <c r="N5" s="14">
        <v>20</v>
      </c>
      <c r="O5" s="1">
        <v>24325</v>
      </c>
      <c r="P5" s="1">
        <f>O5+P4</f>
        <v>24325</v>
      </c>
      <c r="Q5" s="1">
        <v>2440</v>
      </c>
      <c r="R5" s="4">
        <f>Q5+R4</f>
        <v>2440</v>
      </c>
    </row>
    <row r="6" spans="1:18" x14ac:dyDescent="0.25">
      <c r="A6" s="48">
        <v>2</v>
      </c>
      <c r="B6" s="14">
        <v>0</v>
      </c>
      <c r="C6" s="1">
        <v>1</v>
      </c>
      <c r="D6" s="1">
        <v>0</v>
      </c>
      <c r="E6" s="4">
        <v>0</v>
      </c>
      <c r="F6" s="14">
        <v>2</v>
      </c>
      <c r="G6" s="1">
        <v>0</v>
      </c>
      <c r="H6" s="4">
        <v>0</v>
      </c>
      <c r="I6" s="14">
        <v>4</v>
      </c>
      <c r="J6" s="1">
        <v>0</v>
      </c>
      <c r="K6" s="4">
        <v>0</v>
      </c>
      <c r="L6" s="51">
        <v>5000</v>
      </c>
      <c r="N6" s="14">
        <v>40</v>
      </c>
      <c r="O6" s="1">
        <v>124550</v>
      </c>
      <c r="P6" s="1">
        <f>O6+P5</f>
        <v>148875</v>
      </c>
      <c r="Q6" s="1">
        <v>12460</v>
      </c>
      <c r="R6" s="4">
        <f t="shared" ref="R6:R9" si="0">Q6+R5</f>
        <v>14900</v>
      </c>
    </row>
    <row r="7" spans="1:18" x14ac:dyDescent="0.25">
      <c r="A7" s="48">
        <v>3</v>
      </c>
      <c r="B7" s="14">
        <v>0</v>
      </c>
      <c r="C7" s="1">
        <v>2</v>
      </c>
      <c r="D7" s="1">
        <v>0</v>
      </c>
      <c r="E7" s="4">
        <v>0</v>
      </c>
      <c r="F7" s="14">
        <v>0</v>
      </c>
      <c r="G7" s="1">
        <v>2</v>
      </c>
      <c r="H7" s="4">
        <v>0</v>
      </c>
      <c r="I7" s="14">
        <v>0</v>
      </c>
      <c r="J7" s="1">
        <v>2</v>
      </c>
      <c r="K7" s="4">
        <v>0</v>
      </c>
      <c r="L7" s="51">
        <v>5000</v>
      </c>
      <c r="N7" s="14">
        <v>50</v>
      </c>
      <c r="O7" s="1">
        <v>125625</v>
      </c>
      <c r="P7" s="1">
        <f>O7+P6</f>
        <v>274500</v>
      </c>
      <c r="Q7" s="1">
        <v>12580</v>
      </c>
      <c r="R7" s="4">
        <f t="shared" si="0"/>
        <v>27480</v>
      </c>
    </row>
    <row r="8" spans="1:18" ht="15.75" thickBot="1" x14ac:dyDescent="0.3">
      <c r="A8" s="47">
        <v>4</v>
      </c>
      <c r="B8" s="13">
        <v>0</v>
      </c>
      <c r="C8" s="9">
        <v>0</v>
      </c>
      <c r="D8" s="9">
        <v>1</v>
      </c>
      <c r="E8" s="10">
        <v>0</v>
      </c>
      <c r="F8" s="13">
        <v>0</v>
      </c>
      <c r="G8" s="9">
        <v>3</v>
      </c>
      <c r="H8" s="10">
        <v>0</v>
      </c>
      <c r="I8" s="13">
        <v>0</v>
      </c>
      <c r="J8" s="9">
        <v>4</v>
      </c>
      <c r="K8" s="10">
        <v>0</v>
      </c>
      <c r="L8" s="50">
        <v>10000</v>
      </c>
      <c r="N8" s="14">
        <v>60</v>
      </c>
      <c r="O8" s="1">
        <v>185525</v>
      </c>
      <c r="P8" s="1">
        <f>O8+P7</f>
        <v>460025</v>
      </c>
      <c r="Q8" s="1">
        <v>18560</v>
      </c>
      <c r="R8" s="4">
        <f t="shared" si="0"/>
        <v>46040</v>
      </c>
    </row>
    <row r="9" spans="1:18" ht="15.75" thickBot="1" x14ac:dyDescent="0.3">
      <c r="N9" s="13">
        <v>70</v>
      </c>
      <c r="O9" s="9">
        <v>259850</v>
      </c>
      <c r="P9" s="9">
        <f>O9+P8</f>
        <v>719875</v>
      </c>
      <c r="Q9" s="9">
        <v>26000</v>
      </c>
      <c r="R9" s="10">
        <f t="shared" si="0"/>
        <v>72040</v>
      </c>
    </row>
    <row r="10" spans="1:18" ht="15.75" thickBot="1" x14ac:dyDescent="0.3">
      <c r="A10" s="171" t="s">
        <v>630</v>
      </c>
      <c r="B10" s="231"/>
      <c r="C10" s="231"/>
      <c r="D10" s="231"/>
      <c r="E10" s="231"/>
      <c r="F10" s="231"/>
      <c r="G10" s="231"/>
      <c r="H10" s="231"/>
      <c r="I10" s="231"/>
      <c r="J10" s="231"/>
      <c r="K10" s="231"/>
      <c r="L10" s="172"/>
    </row>
    <row r="11" spans="1:18" x14ac:dyDescent="0.25">
      <c r="A11" s="46"/>
      <c r="B11" s="222" t="s">
        <v>625</v>
      </c>
      <c r="C11" s="223"/>
      <c r="D11" s="223"/>
      <c r="E11" s="224"/>
      <c r="F11" s="222" t="s">
        <v>626</v>
      </c>
      <c r="G11" s="223"/>
      <c r="H11" s="224"/>
      <c r="I11" s="222" t="s">
        <v>627</v>
      </c>
      <c r="J11" s="223"/>
      <c r="K11" s="224"/>
      <c r="L11" s="49"/>
    </row>
    <row r="12" spans="1:18" ht="15.75" thickBot="1" x14ac:dyDescent="0.3">
      <c r="A12" s="47"/>
      <c r="B12" s="13" t="s">
        <v>613</v>
      </c>
      <c r="C12" s="9" t="s">
        <v>614</v>
      </c>
      <c r="D12" s="9" t="s">
        <v>615</v>
      </c>
      <c r="E12" s="10" t="s">
        <v>629</v>
      </c>
      <c r="F12" s="13" t="s">
        <v>612</v>
      </c>
      <c r="G12" s="9" t="s">
        <v>613</v>
      </c>
      <c r="H12" s="10" t="s">
        <v>614</v>
      </c>
      <c r="I12" s="13" t="s">
        <v>613</v>
      </c>
      <c r="J12" s="9" t="s">
        <v>614</v>
      </c>
      <c r="K12" s="10" t="s">
        <v>615</v>
      </c>
      <c r="L12" s="50" t="s">
        <v>204</v>
      </c>
    </row>
    <row r="13" spans="1:18" x14ac:dyDescent="0.25">
      <c r="A13" s="55">
        <v>0</v>
      </c>
      <c r="B13" s="20">
        <f t="shared" ref="B13:L13" si="1">B4</f>
        <v>0</v>
      </c>
      <c r="C13" s="5">
        <f t="shared" si="1"/>
        <v>0</v>
      </c>
      <c r="D13" s="5">
        <f t="shared" si="1"/>
        <v>0</v>
      </c>
      <c r="E13" s="6">
        <f t="shared" si="1"/>
        <v>0</v>
      </c>
      <c r="F13" s="20">
        <f t="shared" si="1"/>
        <v>0</v>
      </c>
      <c r="G13" s="5">
        <f t="shared" si="1"/>
        <v>0</v>
      </c>
      <c r="H13" s="6">
        <f t="shared" si="1"/>
        <v>0</v>
      </c>
      <c r="I13" s="20">
        <f t="shared" si="1"/>
        <v>0</v>
      </c>
      <c r="J13" s="5">
        <f t="shared" si="1"/>
        <v>0</v>
      </c>
      <c r="K13" s="6">
        <f t="shared" si="1"/>
        <v>0</v>
      </c>
      <c r="L13" s="56">
        <f t="shared" si="1"/>
        <v>0</v>
      </c>
    </row>
    <row r="14" spans="1:18" x14ac:dyDescent="0.25">
      <c r="A14" s="48">
        <v>1</v>
      </c>
      <c r="B14" s="14">
        <f t="shared" ref="B14:L14" si="2">SUM(B4:B5)</f>
        <v>1</v>
      </c>
      <c r="C14" s="1">
        <f t="shared" si="2"/>
        <v>0</v>
      </c>
      <c r="D14" s="1">
        <f t="shared" si="2"/>
        <v>0</v>
      </c>
      <c r="E14" s="4">
        <f t="shared" si="2"/>
        <v>0</v>
      </c>
      <c r="F14" s="14">
        <f t="shared" si="2"/>
        <v>1</v>
      </c>
      <c r="G14" s="1">
        <f t="shared" si="2"/>
        <v>0</v>
      </c>
      <c r="H14" s="4">
        <f t="shared" si="2"/>
        <v>0</v>
      </c>
      <c r="I14" s="14">
        <f t="shared" si="2"/>
        <v>1</v>
      </c>
      <c r="J14" s="1">
        <f t="shared" si="2"/>
        <v>0</v>
      </c>
      <c r="K14" s="4">
        <f t="shared" si="2"/>
        <v>0</v>
      </c>
      <c r="L14" s="51">
        <f t="shared" si="2"/>
        <v>0</v>
      </c>
    </row>
    <row r="15" spans="1:18" x14ac:dyDescent="0.25">
      <c r="A15" s="48">
        <v>2</v>
      </c>
      <c r="B15" s="14">
        <f t="shared" ref="B15:L15" si="3">SUM(B4:B6)</f>
        <v>1</v>
      </c>
      <c r="C15" s="1">
        <f t="shared" si="3"/>
        <v>1</v>
      </c>
      <c r="D15" s="1">
        <f t="shared" si="3"/>
        <v>0</v>
      </c>
      <c r="E15" s="4">
        <f t="shared" si="3"/>
        <v>0</v>
      </c>
      <c r="F15" s="14">
        <f t="shared" si="3"/>
        <v>3</v>
      </c>
      <c r="G15" s="1">
        <f t="shared" si="3"/>
        <v>0</v>
      </c>
      <c r="H15" s="4">
        <f t="shared" si="3"/>
        <v>0</v>
      </c>
      <c r="I15" s="14">
        <f t="shared" si="3"/>
        <v>5</v>
      </c>
      <c r="J15" s="1">
        <f t="shared" si="3"/>
        <v>0</v>
      </c>
      <c r="K15" s="4">
        <f t="shared" si="3"/>
        <v>0</v>
      </c>
      <c r="L15" s="51">
        <f t="shared" si="3"/>
        <v>5000</v>
      </c>
    </row>
    <row r="16" spans="1:18" x14ac:dyDescent="0.25">
      <c r="A16" s="48">
        <v>3</v>
      </c>
      <c r="B16" s="14">
        <f t="shared" ref="B16:L16" si="4">SUM(B4:B7)</f>
        <v>1</v>
      </c>
      <c r="C16" s="1">
        <f t="shared" si="4"/>
        <v>3</v>
      </c>
      <c r="D16" s="1">
        <f t="shared" si="4"/>
        <v>0</v>
      </c>
      <c r="E16" s="4">
        <f t="shared" si="4"/>
        <v>0</v>
      </c>
      <c r="F16" s="14">
        <f t="shared" si="4"/>
        <v>3</v>
      </c>
      <c r="G16" s="1">
        <f t="shared" si="4"/>
        <v>2</v>
      </c>
      <c r="H16" s="4">
        <f t="shared" si="4"/>
        <v>0</v>
      </c>
      <c r="I16" s="14">
        <f t="shared" si="4"/>
        <v>5</v>
      </c>
      <c r="J16" s="1">
        <f t="shared" si="4"/>
        <v>2</v>
      </c>
      <c r="K16" s="4">
        <f t="shared" si="4"/>
        <v>0</v>
      </c>
      <c r="L16" s="51">
        <f t="shared" si="4"/>
        <v>10000</v>
      </c>
    </row>
    <row r="17" spans="1:18" ht="15.75" thickBot="1" x14ac:dyDescent="0.3">
      <c r="A17" s="47">
        <v>4</v>
      </c>
      <c r="B17" s="13">
        <f t="shared" ref="B17:L17" si="5">SUM(B4:B8)</f>
        <v>1</v>
      </c>
      <c r="C17" s="9">
        <f t="shared" si="5"/>
        <v>3</v>
      </c>
      <c r="D17" s="9">
        <f t="shared" si="5"/>
        <v>1</v>
      </c>
      <c r="E17" s="10">
        <f t="shared" si="5"/>
        <v>0</v>
      </c>
      <c r="F17" s="13">
        <f t="shared" si="5"/>
        <v>3</v>
      </c>
      <c r="G17" s="9">
        <f t="shared" si="5"/>
        <v>5</v>
      </c>
      <c r="H17" s="10">
        <f t="shared" si="5"/>
        <v>0</v>
      </c>
      <c r="I17" s="13">
        <f t="shared" si="5"/>
        <v>5</v>
      </c>
      <c r="J17" s="9">
        <f t="shared" si="5"/>
        <v>6</v>
      </c>
      <c r="K17" s="10">
        <f t="shared" si="5"/>
        <v>0</v>
      </c>
      <c r="L17" s="50">
        <f t="shared" si="5"/>
        <v>20000</v>
      </c>
    </row>
    <row r="18" spans="1:18" ht="15.75" thickBot="1" x14ac:dyDescent="0.3"/>
    <row r="19" spans="1:18" ht="15.75" thickBot="1" x14ac:dyDescent="0.3">
      <c r="A19" s="171" t="s">
        <v>631</v>
      </c>
      <c r="B19" s="231"/>
      <c r="C19" s="231"/>
      <c r="D19" s="231"/>
      <c r="E19" s="231"/>
      <c r="F19" s="231"/>
      <c r="G19" s="231"/>
      <c r="H19" s="231"/>
      <c r="I19" s="231"/>
      <c r="J19" s="231"/>
      <c r="K19" s="231"/>
      <c r="L19" s="172"/>
      <c r="N19" s="240" t="s">
        <v>632</v>
      </c>
      <c r="O19" s="241"/>
      <c r="P19" s="241"/>
      <c r="Q19" s="241"/>
      <c r="R19" s="242"/>
    </row>
    <row r="20" spans="1:18" ht="15.75" thickBot="1" x14ac:dyDescent="0.3">
      <c r="A20" s="46"/>
      <c r="B20" s="222" t="s">
        <v>625</v>
      </c>
      <c r="C20" s="223"/>
      <c r="D20" s="223"/>
      <c r="E20" s="224"/>
      <c r="F20" s="222" t="s">
        <v>626</v>
      </c>
      <c r="G20" s="223"/>
      <c r="H20" s="224"/>
      <c r="I20" s="222" t="s">
        <v>627</v>
      </c>
      <c r="J20" s="223"/>
      <c r="K20" s="224"/>
      <c r="L20" s="49"/>
      <c r="N20" s="11"/>
      <c r="O20" s="7" t="s">
        <v>608</v>
      </c>
      <c r="P20" s="7" t="s">
        <v>609</v>
      </c>
      <c r="Q20" s="7" t="s">
        <v>204</v>
      </c>
      <c r="R20" s="8" t="s">
        <v>610</v>
      </c>
    </row>
    <row r="21" spans="1:18" ht="15.75" thickBot="1" x14ac:dyDescent="0.3">
      <c r="A21" s="47"/>
      <c r="B21" s="13" t="s">
        <v>613</v>
      </c>
      <c r="C21" s="9" t="s">
        <v>614</v>
      </c>
      <c r="D21" s="9" t="s">
        <v>615</v>
      </c>
      <c r="E21" s="10" t="s">
        <v>629</v>
      </c>
      <c r="F21" s="13" t="s">
        <v>612</v>
      </c>
      <c r="G21" s="9" t="s">
        <v>613</v>
      </c>
      <c r="H21" s="10" t="s">
        <v>614</v>
      </c>
      <c r="I21" s="13" t="s">
        <v>613</v>
      </c>
      <c r="J21" s="9" t="s">
        <v>614</v>
      </c>
      <c r="K21" s="10" t="s">
        <v>615</v>
      </c>
      <c r="L21" s="50" t="s">
        <v>204</v>
      </c>
      <c r="N21" s="20">
        <v>1</v>
      </c>
      <c r="O21" s="5">
        <v>0</v>
      </c>
      <c r="P21" s="5">
        <v>0</v>
      </c>
      <c r="Q21" s="5">
        <v>0</v>
      </c>
      <c r="R21" s="6">
        <v>0</v>
      </c>
    </row>
    <row r="22" spans="1:18" x14ac:dyDescent="0.25">
      <c r="A22" s="55">
        <v>0</v>
      </c>
      <c r="B22" s="20">
        <v>0</v>
      </c>
      <c r="C22" s="5">
        <v>0</v>
      </c>
      <c r="D22" s="5">
        <v>0</v>
      </c>
      <c r="E22" s="6">
        <v>0</v>
      </c>
      <c r="F22" s="20">
        <v>0</v>
      </c>
      <c r="G22" s="5">
        <v>0</v>
      </c>
      <c r="H22" s="6">
        <v>0</v>
      </c>
      <c r="I22" s="20">
        <v>0</v>
      </c>
      <c r="J22" s="5">
        <v>0</v>
      </c>
      <c r="K22" s="6">
        <v>0</v>
      </c>
      <c r="L22" s="56">
        <v>0</v>
      </c>
      <c r="N22" s="14">
        <v>20</v>
      </c>
      <c r="O22" s="1">
        <v>36400</v>
      </c>
      <c r="P22" s="1">
        <f>O22+P21</f>
        <v>36400</v>
      </c>
      <c r="Q22" s="1">
        <v>3640</v>
      </c>
      <c r="R22" s="4">
        <f>Q22+R21</f>
        <v>3640</v>
      </c>
    </row>
    <row r="23" spans="1:18" x14ac:dyDescent="0.25">
      <c r="A23" s="48">
        <v>1</v>
      </c>
      <c r="B23" s="14">
        <v>1</v>
      </c>
      <c r="C23" s="1">
        <v>0</v>
      </c>
      <c r="D23" s="1">
        <v>0</v>
      </c>
      <c r="E23" s="4">
        <v>0</v>
      </c>
      <c r="F23" s="14">
        <v>1</v>
      </c>
      <c r="G23" s="1">
        <v>0</v>
      </c>
      <c r="H23" s="4">
        <v>0</v>
      </c>
      <c r="I23" s="14">
        <v>1</v>
      </c>
      <c r="J23" s="1">
        <v>0</v>
      </c>
      <c r="K23" s="4">
        <v>0</v>
      </c>
      <c r="L23" s="51">
        <v>5000</v>
      </c>
      <c r="N23" s="14">
        <v>40</v>
      </c>
      <c r="O23" s="1">
        <v>186825</v>
      </c>
      <c r="P23" s="1">
        <f>O23+P22</f>
        <v>223225</v>
      </c>
      <c r="Q23" s="1">
        <v>18700</v>
      </c>
      <c r="R23" s="4">
        <f t="shared" ref="R23:R26" si="6">Q23+R22</f>
        <v>22340</v>
      </c>
    </row>
    <row r="24" spans="1:18" x14ac:dyDescent="0.25">
      <c r="A24" s="48">
        <v>2</v>
      </c>
      <c r="B24" s="14">
        <v>0</v>
      </c>
      <c r="C24" s="1">
        <v>1</v>
      </c>
      <c r="D24" s="1">
        <v>0</v>
      </c>
      <c r="E24" s="4">
        <v>0</v>
      </c>
      <c r="F24" s="14">
        <v>4</v>
      </c>
      <c r="G24" s="1">
        <v>0</v>
      </c>
      <c r="H24" s="4">
        <v>0</v>
      </c>
      <c r="I24" s="14">
        <v>5</v>
      </c>
      <c r="J24" s="1">
        <v>0</v>
      </c>
      <c r="K24" s="4">
        <v>0</v>
      </c>
      <c r="L24" s="51">
        <v>5000</v>
      </c>
      <c r="N24" s="14">
        <v>50</v>
      </c>
      <c r="O24" s="1">
        <v>188425</v>
      </c>
      <c r="P24" s="1">
        <f>O24+P23</f>
        <v>411650</v>
      </c>
      <c r="Q24" s="1">
        <v>18860</v>
      </c>
      <c r="R24" s="4">
        <f t="shared" si="6"/>
        <v>41200</v>
      </c>
    </row>
    <row r="25" spans="1:18" x14ac:dyDescent="0.25">
      <c r="A25" s="48">
        <v>3</v>
      </c>
      <c r="B25" s="14">
        <v>0</v>
      </c>
      <c r="C25" s="1">
        <v>3</v>
      </c>
      <c r="D25" s="1">
        <v>0</v>
      </c>
      <c r="E25" s="4">
        <v>0</v>
      </c>
      <c r="F25" s="14">
        <v>0</v>
      </c>
      <c r="G25" s="1">
        <v>3</v>
      </c>
      <c r="H25" s="4">
        <v>0</v>
      </c>
      <c r="I25" s="14">
        <v>0</v>
      </c>
      <c r="J25" s="1">
        <v>3</v>
      </c>
      <c r="K25" s="4">
        <v>0</v>
      </c>
      <c r="L25" s="51">
        <v>10000</v>
      </c>
      <c r="N25" s="14">
        <v>60</v>
      </c>
      <c r="O25" s="1">
        <v>278300</v>
      </c>
      <c r="P25" s="1">
        <f>O25+P24</f>
        <v>689950</v>
      </c>
      <c r="Q25" s="1">
        <v>27840</v>
      </c>
      <c r="R25" s="4">
        <f t="shared" si="6"/>
        <v>69040</v>
      </c>
    </row>
    <row r="26" spans="1:18" ht="15.75" thickBot="1" x14ac:dyDescent="0.3">
      <c r="A26" s="47">
        <v>4</v>
      </c>
      <c r="B26" s="13">
        <v>0</v>
      </c>
      <c r="C26" s="9">
        <v>0</v>
      </c>
      <c r="D26" s="9">
        <v>1</v>
      </c>
      <c r="E26" s="10">
        <v>0</v>
      </c>
      <c r="F26" s="13">
        <v>0</v>
      </c>
      <c r="G26" s="9">
        <v>4</v>
      </c>
      <c r="H26" s="10">
        <v>0</v>
      </c>
      <c r="I26" s="13">
        <v>0</v>
      </c>
      <c r="J26" s="9">
        <v>5</v>
      </c>
      <c r="K26" s="10">
        <v>0</v>
      </c>
      <c r="L26" s="50">
        <v>15000</v>
      </c>
      <c r="N26" s="13">
        <v>70</v>
      </c>
      <c r="O26" s="9">
        <v>389725</v>
      </c>
      <c r="P26" s="9">
        <f>O26+P25</f>
        <v>1079675</v>
      </c>
      <c r="Q26" s="9">
        <v>38980</v>
      </c>
      <c r="R26" s="10">
        <f t="shared" si="6"/>
        <v>108020</v>
      </c>
    </row>
    <row r="27" spans="1:18" ht="15.75" thickBot="1" x14ac:dyDescent="0.3"/>
    <row r="28" spans="1:18" ht="15.75" thickBot="1" x14ac:dyDescent="0.3">
      <c r="A28" s="171" t="s">
        <v>633</v>
      </c>
      <c r="B28" s="231"/>
      <c r="C28" s="231"/>
      <c r="D28" s="231"/>
      <c r="E28" s="231"/>
      <c r="F28" s="231"/>
      <c r="G28" s="231"/>
      <c r="H28" s="231"/>
      <c r="I28" s="231"/>
      <c r="J28" s="231"/>
      <c r="K28" s="231"/>
      <c r="L28" s="172"/>
    </row>
    <row r="29" spans="1:18" x14ac:dyDescent="0.25">
      <c r="A29" s="46"/>
      <c r="B29" s="222" t="s">
        <v>625</v>
      </c>
      <c r="C29" s="223"/>
      <c r="D29" s="223"/>
      <c r="E29" s="224"/>
      <c r="F29" s="222" t="s">
        <v>626</v>
      </c>
      <c r="G29" s="223"/>
      <c r="H29" s="224"/>
      <c r="I29" s="222" t="s">
        <v>627</v>
      </c>
      <c r="J29" s="223"/>
      <c r="K29" s="224"/>
      <c r="L29" s="49"/>
    </row>
    <row r="30" spans="1:18" ht="15.75" thickBot="1" x14ac:dyDescent="0.3">
      <c r="A30" s="47"/>
      <c r="B30" s="13" t="s">
        <v>613</v>
      </c>
      <c r="C30" s="9" t="s">
        <v>614</v>
      </c>
      <c r="D30" s="9" t="s">
        <v>615</v>
      </c>
      <c r="E30" s="10" t="s">
        <v>629</v>
      </c>
      <c r="F30" s="13" t="s">
        <v>612</v>
      </c>
      <c r="G30" s="9" t="s">
        <v>613</v>
      </c>
      <c r="H30" s="10" t="s">
        <v>614</v>
      </c>
      <c r="I30" s="13" t="s">
        <v>613</v>
      </c>
      <c r="J30" s="9" t="s">
        <v>614</v>
      </c>
      <c r="K30" s="10" t="s">
        <v>615</v>
      </c>
      <c r="L30" s="50" t="s">
        <v>204</v>
      </c>
    </row>
    <row r="31" spans="1:18" x14ac:dyDescent="0.25">
      <c r="A31" s="55">
        <v>0</v>
      </c>
      <c r="B31" s="20">
        <f t="shared" ref="B31:L31" si="7">B22</f>
        <v>0</v>
      </c>
      <c r="C31" s="5">
        <f t="shared" si="7"/>
        <v>0</v>
      </c>
      <c r="D31" s="5">
        <f t="shared" si="7"/>
        <v>0</v>
      </c>
      <c r="E31" s="6">
        <f t="shared" si="7"/>
        <v>0</v>
      </c>
      <c r="F31" s="20">
        <f t="shared" si="7"/>
        <v>0</v>
      </c>
      <c r="G31" s="5">
        <f t="shared" si="7"/>
        <v>0</v>
      </c>
      <c r="H31" s="6">
        <f t="shared" si="7"/>
        <v>0</v>
      </c>
      <c r="I31" s="20">
        <f t="shared" si="7"/>
        <v>0</v>
      </c>
      <c r="J31" s="5">
        <f t="shared" si="7"/>
        <v>0</v>
      </c>
      <c r="K31" s="6">
        <f t="shared" si="7"/>
        <v>0</v>
      </c>
      <c r="L31" s="56">
        <f t="shared" si="7"/>
        <v>0</v>
      </c>
    </row>
    <row r="32" spans="1:18" x14ac:dyDescent="0.25">
      <c r="A32" s="48">
        <v>1</v>
      </c>
      <c r="B32" s="14">
        <f t="shared" ref="B32:L32" si="8">SUM(B22:B23)</f>
        <v>1</v>
      </c>
      <c r="C32" s="1">
        <f t="shared" si="8"/>
        <v>0</v>
      </c>
      <c r="D32" s="1">
        <f t="shared" si="8"/>
        <v>0</v>
      </c>
      <c r="E32" s="4">
        <f t="shared" si="8"/>
        <v>0</v>
      </c>
      <c r="F32" s="14">
        <f t="shared" si="8"/>
        <v>1</v>
      </c>
      <c r="G32" s="1">
        <f t="shared" si="8"/>
        <v>0</v>
      </c>
      <c r="H32" s="4">
        <f t="shared" si="8"/>
        <v>0</v>
      </c>
      <c r="I32" s="14">
        <f t="shared" si="8"/>
        <v>1</v>
      </c>
      <c r="J32" s="1">
        <f t="shared" si="8"/>
        <v>0</v>
      </c>
      <c r="K32" s="4">
        <f t="shared" si="8"/>
        <v>0</v>
      </c>
      <c r="L32" s="51">
        <f t="shared" si="8"/>
        <v>5000</v>
      </c>
    </row>
    <row r="33" spans="1:18" x14ac:dyDescent="0.25">
      <c r="A33" s="48">
        <v>2</v>
      </c>
      <c r="B33" s="14">
        <f t="shared" ref="B33:L33" si="9">SUM(B22:B24)</f>
        <v>1</v>
      </c>
      <c r="C33" s="1">
        <f t="shared" si="9"/>
        <v>1</v>
      </c>
      <c r="D33" s="1">
        <f t="shared" si="9"/>
        <v>0</v>
      </c>
      <c r="E33" s="4">
        <f t="shared" si="9"/>
        <v>0</v>
      </c>
      <c r="F33" s="14">
        <f t="shared" si="9"/>
        <v>5</v>
      </c>
      <c r="G33" s="1">
        <f t="shared" si="9"/>
        <v>0</v>
      </c>
      <c r="H33" s="4">
        <f t="shared" si="9"/>
        <v>0</v>
      </c>
      <c r="I33" s="14">
        <f t="shared" si="9"/>
        <v>6</v>
      </c>
      <c r="J33" s="1">
        <f t="shared" si="9"/>
        <v>0</v>
      </c>
      <c r="K33" s="4">
        <f t="shared" si="9"/>
        <v>0</v>
      </c>
      <c r="L33" s="51">
        <f t="shared" si="9"/>
        <v>10000</v>
      </c>
    </row>
    <row r="34" spans="1:18" x14ac:dyDescent="0.25">
      <c r="A34" s="48">
        <v>3</v>
      </c>
      <c r="B34" s="14">
        <f t="shared" ref="B34:L34" si="10">SUM(B22:B25)</f>
        <v>1</v>
      </c>
      <c r="C34" s="1">
        <f t="shared" si="10"/>
        <v>4</v>
      </c>
      <c r="D34" s="1">
        <f t="shared" si="10"/>
        <v>0</v>
      </c>
      <c r="E34" s="4">
        <f t="shared" si="10"/>
        <v>0</v>
      </c>
      <c r="F34" s="14">
        <f t="shared" si="10"/>
        <v>5</v>
      </c>
      <c r="G34" s="1">
        <f t="shared" si="10"/>
        <v>3</v>
      </c>
      <c r="H34" s="4">
        <f t="shared" si="10"/>
        <v>0</v>
      </c>
      <c r="I34" s="14">
        <f t="shared" si="10"/>
        <v>6</v>
      </c>
      <c r="J34" s="1">
        <f t="shared" si="10"/>
        <v>3</v>
      </c>
      <c r="K34" s="4">
        <f t="shared" si="10"/>
        <v>0</v>
      </c>
      <c r="L34" s="51">
        <f t="shared" si="10"/>
        <v>20000</v>
      </c>
    </row>
    <row r="35" spans="1:18" ht="15.75" thickBot="1" x14ac:dyDescent="0.3">
      <c r="A35" s="47">
        <v>4</v>
      </c>
      <c r="B35" s="13">
        <f t="shared" ref="B35:L35" si="11">SUM(B22:B26)</f>
        <v>1</v>
      </c>
      <c r="C35" s="9">
        <f t="shared" si="11"/>
        <v>4</v>
      </c>
      <c r="D35" s="9">
        <f t="shared" si="11"/>
        <v>1</v>
      </c>
      <c r="E35" s="10">
        <f t="shared" si="11"/>
        <v>0</v>
      </c>
      <c r="F35" s="13">
        <f t="shared" si="11"/>
        <v>5</v>
      </c>
      <c r="G35" s="9">
        <f t="shared" si="11"/>
        <v>7</v>
      </c>
      <c r="H35" s="10">
        <f t="shared" si="11"/>
        <v>0</v>
      </c>
      <c r="I35" s="13">
        <f t="shared" si="11"/>
        <v>6</v>
      </c>
      <c r="J35" s="9">
        <f t="shared" si="11"/>
        <v>8</v>
      </c>
      <c r="K35" s="10">
        <f t="shared" si="11"/>
        <v>0</v>
      </c>
      <c r="L35" s="50">
        <f t="shared" si="11"/>
        <v>35000</v>
      </c>
    </row>
    <row r="36" spans="1:18" ht="15.75" thickBot="1" x14ac:dyDescent="0.3"/>
    <row r="37" spans="1:18" ht="15.75" thickBot="1" x14ac:dyDescent="0.3">
      <c r="A37" s="171" t="s">
        <v>634</v>
      </c>
      <c r="B37" s="231"/>
      <c r="C37" s="231"/>
      <c r="D37" s="231"/>
      <c r="E37" s="231"/>
      <c r="F37" s="231"/>
      <c r="G37" s="231"/>
      <c r="H37" s="231"/>
      <c r="I37" s="231"/>
      <c r="J37" s="231"/>
      <c r="K37" s="231"/>
      <c r="L37" s="172"/>
      <c r="N37" s="237" t="s">
        <v>635</v>
      </c>
      <c r="O37" s="238"/>
      <c r="P37" s="238"/>
      <c r="Q37" s="238"/>
      <c r="R37" s="239"/>
    </row>
    <row r="38" spans="1:18" ht="15.75" thickBot="1" x14ac:dyDescent="0.3">
      <c r="A38" s="46"/>
      <c r="B38" s="222" t="s">
        <v>625</v>
      </c>
      <c r="C38" s="223"/>
      <c r="D38" s="223"/>
      <c r="E38" s="224"/>
      <c r="F38" s="222" t="s">
        <v>626</v>
      </c>
      <c r="G38" s="223"/>
      <c r="H38" s="224"/>
      <c r="I38" s="222" t="s">
        <v>627</v>
      </c>
      <c r="J38" s="223"/>
      <c r="K38" s="224"/>
      <c r="L38" s="49"/>
      <c r="N38" s="11"/>
      <c r="O38" s="7" t="s">
        <v>608</v>
      </c>
      <c r="P38" s="7" t="s">
        <v>609</v>
      </c>
      <c r="Q38" s="7" t="s">
        <v>204</v>
      </c>
      <c r="R38" s="8" t="s">
        <v>610</v>
      </c>
    </row>
    <row r="39" spans="1:18" ht="15.75" thickBot="1" x14ac:dyDescent="0.3">
      <c r="A39" s="47"/>
      <c r="B39" s="13" t="s">
        <v>613</v>
      </c>
      <c r="C39" s="9" t="s">
        <v>614</v>
      </c>
      <c r="D39" s="9" t="s">
        <v>615</v>
      </c>
      <c r="E39" s="10" t="s">
        <v>629</v>
      </c>
      <c r="F39" s="13" t="s">
        <v>612</v>
      </c>
      <c r="G39" s="9" t="s">
        <v>613</v>
      </c>
      <c r="H39" s="10" t="s">
        <v>614</v>
      </c>
      <c r="I39" s="13" t="s">
        <v>613</v>
      </c>
      <c r="J39" s="9" t="s">
        <v>614</v>
      </c>
      <c r="K39" s="10" t="s">
        <v>615</v>
      </c>
      <c r="L39" s="50" t="s">
        <v>204</v>
      </c>
      <c r="N39" s="20">
        <v>1</v>
      </c>
      <c r="O39" s="5">
        <v>0</v>
      </c>
      <c r="P39" s="5">
        <v>0</v>
      </c>
      <c r="Q39" s="5">
        <v>0</v>
      </c>
      <c r="R39" s="6">
        <v>0</v>
      </c>
    </row>
    <row r="40" spans="1:18" x14ac:dyDescent="0.25">
      <c r="A40" s="55">
        <v>0</v>
      </c>
      <c r="B40" s="20">
        <v>0</v>
      </c>
      <c r="C40" s="5">
        <v>0</v>
      </c>
      <c r="D40" s="5">
        <v>0</v>
      </c>
      <c r="E40" s="6">
        <v>0</v>
      </c>
      <c r="F40" s="20">
        <v>0</v>
      </c>
      <c r="G40" s="5">
        <v>0</v>
      </c>
      <c r="H40" s="6">
        <v>0</v>
      </c>
      <c r="I40" s="20">
        <v>0</v>
      </c>
      <c r="J40" s="5">
        <v>0</v>
      </c>
      <c r="K40" s="6">
        <v>0</v>
      </c>
      <c r="L40" s="56">
        <v>0</v>
      </c>
      <c r="N40" s="14">
        <v>20</v>
      </c>
      <c r="O40" s="1">
        <v>53475</v>
      </c>
      <c r="P40" s="1">
        <f t="shared" ref="P40:P46" si="12">O40+P39</f>
        <v>53475</v>
      </c>
      <c r="Q40" s="1">
        <v>5360</v>
      </c>
      <c r="R40" s="4">
        <f t="shared" ref="R40:R46" si="13">Q40+R39</f>
        <v>5360</v>
      </c>
    </row>
    <row r="41" spans="1:18" x14ac:dyDescent="0.25">
      <c r="A41" s="48">
        <v>1</v>
      </c>
      <c r="B41" s="14">
        <v>2</v>
      </c>
      <c r="C41" s="1">
        <v>0</v>
      </c>
      <c r="D41" s="1">
        <v>0</v>
      </c>
      <c r="E41" s="4">
        <v>0</v>
      </c>
      <c r="F41" s="14">
        <v>1</v>
      </c>
      <c r="G41" s="1">
        <v>0</v>
      </c>
      <c r="H41" s="4">
        <v>0</v>
      </c>
      <c r="I41" s="14">
        <v>2</v>
      </c>
      <c r="J41" s="1">
        <v>0</v>
      </c>
      <c r="K41" s="4">
        <v>0</v>
      </c>
      <c r="L41" s="51">
        <v>5000</v>
      </c>
      <c r="N41" s="14">
        <v>40</v>
      </c>
      <c r="O41" s="1">
        <v>27400</v>
      </c>
      <c r="P41" s="1">
        <f t="shared" si="12"/>
        <v>80875</v>
      </c>
      <c r="Q41" s="1">
        <v>27400</v>
      </c>
      <c r="R41" s="4">
        <f t="shared" si="13"/>
        <v>32760</v>
      </c>
    </row>
    <row r="42" spans="1:18" x14ac:dyDescent="0.25">
      <c r="A42" s="48">
        <v>2</v>
      </c>
      <c r="B42" s="14">
        <v>0</v>
      </c>
      <c r="C42" s="1">
        <v>2</v>
      </c>
      <c r="D42" s="1">
        <v>0</v>
      </c>
      <c r="E42" s="4">
        <v>0</v>
      </c>
      <c r="F42" s="14">
        <v>5</v>
      </c>
      <c r="G42" s="1">
        <v>0</v>
      </c>
      <c r="H42" s="4">
        <v>0</v>
      </c>
      <c r="I42" s="14">
        <v>8</v>
      </c>
      <c r="J42" s="1">
        <v>0</v>
      </c>
      <c r="K42" s="4">
        <v>0</v>
      </c>
      <c r="L42" s="51">
        <v>10000</v>
      </c>
      <c r="N42" s="14">
        <v>50</v>
      </c>
      <c r="O42" s="1">
        <v>276350</v>
      </c>
      <c r="P42" s="1">
        <f t="shared" si="12"/>
        <v>357225</v>
      </c>
      <c r="Q42" s="1">
        <v>27640</v>
      </c>
      <c r="R42" s="4">
        <f t="shared" si="13"/>
        <v>60400</v>
      </c>
    </row>
    <row r="43" spans="1:18" x14ac:dyDescent="0.25">
      <c r="A43" s="48">
        <v>3</v>
      </c>
      <c r="B43" s="14">
        <v>0</v>
      </c>
      <c r="C43" s="1">
        <v>4</v>
      </c>
      <c r="D43" s="1">
        <v>0</v>
      </c>
      <c r="E43" s="4">
        <v>0</v>
      </c>
      <c r="F43" s="14">
        <v>0</v>
      </c>
      <c r="G43" s="1">
        <v>4</v>
      </c>
      <c r="H43" s="4">
        <v>0</v>
      </c>
      <c r="I43" s="14">
        <v>0</v>
      </c>
      <c r="J43" s="1">
        <v>4</v>
      </c>
      <c r="K43" s="4">
        <v>0</v>
      </c>
      <c r="L43" s="51">
        <v>15000</v>
      </c>
      <c r="N43" s="14">
        <v>60</v>
      </c>
      <c r="O43" s="1">
        <v>408150</v>
      </c>
      <c r="P43" s="1">
        <f t="shared" si="12"/>
        <v>765375</v>
      </c>
      <c r="Q43" s="1">
        <v>40820</v>
      </c>
      <c r="R43" s="4">
        <f t="shared" si="13"/>
        <v>101220</v>
      </c>
    </row>
    <row r="44" spans="1:18" x14ac:dyDescent="0.25">
      <c r="A44" s="48">
        <v>4</v>
      </c>
      <c r="B44" s="14">
        <v>0</v>
      </c>
      <c r="C44" s="1">
        <v>0</v>
      </c>
      <c r="D44" s="1">
        <v>2</v>
      </c>
      <c r="E44" s="4">
        <v>0</v>
      </c>
      <c r="F44" s="14">
        <v>0</v>
      </c>
      <c r="G44" s="1">
        <v>6</v>
      </c>
      <c r="H44" s="4">
        <v>0</v>
      </c>
      <c r="I44" s="14">
        <v>0</v>
      </c>
      <c r="J44" s="1">
        <v>8</v>
      </c>
      <c r="K44" s="4">
        <v>0</v>
      </c>
      <c r="L44" s="51">
        <v>20000</v>
      </c>
      <c r="N44" s="14">
        <v>70</v>
      </c>
      <c r="O44" s="1">
        <v>571625</v>
      </c>
      <c r="P44" s="1">
        <f t="shared" si="12"/>
        <v>1337000</v>
      </c>
      <c r="Q44" s="1">
        <v>57180</v>
      </c>
      <c r="R44" s="4">
        <f t="shared" si="13"/>
        <v>158400</v>
      </c>
    </row>
    <row r="45" spans="1:18" x14ac:dyDescent="0.25">
      <c r="A45" s="48">
        <v>5</v>
      </c>
      <c r="B45" s="14">
        <v>0</v>
      </c>
      <c r="C45" s="1">
        <v>0</v>
      </c>
      <c r="D45" s="1">
        <v>4</v>
      </c>
      <c r="E45" s="4">
        <v>0</v>
      </c>
      <c r="F45" s="14">
        <v>0</v>
      </c>
      <c r="G45" s="1">
        <v>0</v>
      </c>
      <c r="H45" s="4">
        <v>4</v>
      </c>
      <c r="I45" s="14">
        <v>0</v>
      </c>
      <c r="J45" s="1">
        <v>0</v>
      </c>
      <c r="K45" s="4">
        <v>6</v>
      </c>
      <c r="L45" s="51">
        <v>25000</v>
      </c>
      <c r="N45" s="14">
        <v>80</v>
      </c>
      <c r="O45" s="1">
        <v>770125</v>
      </c>
      <c r="P45" s="1">
        <f t="shared" si="12"/>
        <v>2107125</v>
      </c>
      <c r="Q45" s="1">
        <v>77020</v>
      </c>
      <c r="R45" s="4">
        <f t="shared" si="13"/>
        <v>235420</v>
      </c>
    </row>
    <row r="46" spans="1:18" ht="15.75" thickBot="1" x14ac:dyDescent="0.3">
      <c r="A46" s="47">
        <v>6</v>
      </c>
      <c r="B46" s="13">
        <v>0</v>
      </c>
      <c r="C46" s="9">
        <v>0</v>
      </c>
      <c r="D46" s="9">
        <v>0</v>
      </c>
      <c r="E46" s="10">
        <v>3</v>
      </c>
      <c r="F46" s="13">
        <v>0</v>
      </c>
      <c r="G46" s="9">
        <v>0</v>
      </c>
      <c r="H46" s="10">
        <v>8</v>
      </c>
      <c r="I46" s="13">
        <v>0</v>
      </c>
      <c r="J46" s="9">
        <v>0</v>
      </c>
      <c r="K46" s="10">
        <v>12</v>
      </c>
      <c r="L46" s="50">
        <v>30000</v>
      </c>
      <c r="N46" s="13">
        <v>90</v>
      </c>
      <c r="O46" s="9">
        <v>1634475</v>
      </c>
      <c r="P46" s="9">
        <f t="shared" si="12"/>
        <v>3741600</v>
      </c>
      <c r="Q46" s="9">
        <v>163460</v>
      </c>
      <c r="R46" s="10">
        <f t="shared" si="13"/>
        <v>398880</v>
      </c>
    </row>
    <row r="47" spans="1:18" ht="15.75" thickBot="1" x14ac:dyDescent="0.3"/>
    <row r="48" spans="1:18" ht="15.75" thickBot="1" x14ac:dyDescent="0.3">
      <c r="A48" s="171" t="s">
        <v>636</v>
      </c>
      <c r="B48" s="231"/>
      <c r="C48" s="231"/>
      <c r="D48" s="231"/>
      <c r="E48" s="231"/>
      <c r="F48" s="231"/>
      <c r="G48" s="231"/>
      <c r="H48" s="231"/>
      <c r="I48" s="231"/>
      <c r="J48" s="231"/>
      <c r="K48" s="231"/>
      <c r="L48" s="172"/>
    </row>
    <row r="49" spans="1:18" x14ac:dyDescent="0.25">
      <c r="A49" s="46"/>
      <c r="B49" s="222" t="s">
        <v>625</v>
      </c>
      <c r="C49" s="223"/>
      <c r="D49" s="223"/>
      <c r="E49" s="224"/>
      <c r="F49" s="222" t="s">
        <v>626</v>
      </c>
      <c r="G49" s="223"/>
      <c r="H49" s="224"/>
      <c r="I49" s="222" t="s">
        <v>627</v>
      </c>
      <c r="J49" s="223"/>
      <c r="K49" s="224"/>
      <c r="L49" s="49"/>
    </row>
    <row r="50" spans="1:18" ht="15.75" thickBot="1" x14ac:dyDescent="0.3">
      <c r="A50" s="47"/>
      <c r="B50" s="13" t="s">
        <v>613</v>
      </c>
      <c r="C50" s="9" t="s">
        <v>614</v>
      </c>
      <c r="D50" s="9" t="s">
        <v>615</v>
      </c>
      <c r="E50" s="10" t="s">
        <v>629</v>
      </c>
      <c r="F50" s="13" t="s">
        <v>612</v>
      </c>
      <c r="G50" s="9" t="s">
        <v>613</v>
      </c>
      <c r="H50" s="10" t="s">
        <v>614</v>
      </c>
      <c r="I50" s="13" t="s">
        <v>613</v>
      </c>
      <c r="J50" s="9" t="s">
        <v>614</v>
      </c>
      <c r="K50" s="10" t="s">
        <v>615</v>
      </c>
      <c r="L50" s="50" t="s">
        <v>204</v>
      </c>
    </row>
    <row r="51" spans="1:18" x14ac:dyDescent="0.25">
      <c r="A51" s="55">
        <v>0</v>
      </c>
      <c r="B51" s="20">
        <f t="shared" ref="B51:L51" si="14">B40</f>
        <v>0</v>
      </c>
      <c r="C51" s="5">
        <f t="shared" si="14"/>
        <v>0</v>
      </c>
      <c r="D51" s="5">
        <f t="shared" si="14"/>
        <v>0</v>
      </c>
      <c r="E51" s="6">
        <f t="shared" si="14"/>
        <v>0</v>
      </c>
      <c r="F51" s="20">
        <f t="shared" si="14"/>
        <v>0</v>
      </c>
      <c r="G51" s="5">
        <f t="shared" si="14"/>
        <v>0</v>
      </c>
      <c r="H51" s="6">
        <f t="shared" si="14"/>
        <v>0</v>
      </c>
      <c r="I51" s="20">
        <f t="shared" si="14"/>
        <v>0</v>
      </c>
      <c r="J51" s="5">
        <f t="shared" si="14"/>
        <v>0</v>
      </c>
      <c r="K51" s="6">
        <f t="shared" si="14"/>
        <v>0</v>
      </c>
      <c r="L51" s="56">
        <f t="shared" si="14"/>
        <v>0</v>
      </c>
    </row>
    <row r="52" spans="1:18" x14ac:dyDescent="0.25">
      <c r="A52" s="48">
        <v>1</v>
      </c>
      <c r="B52" s="14">
        <f t="shared" ref="B52:L52" si="15">SUM(B40:B41)</f>
        <v>2</v>
      </c>
      <c r="C52" s="1">
        <f t="shared" si="15"/>
        <v>0</v>
      </c>
      <c r="D52" s="1">
        <f t="shared" si="15"/>
        <v>0</v>
      </c>
      <c r="E52" s="4">
        <f t="shared" si="15"/>
        <v>0</v>
      </c>
      <c r="F52" s="14">
        <f t="shared" si="15"/>
        <v>1</v>
      </c>
      <c r="G52" s="1">
        <f t="shared" si="15"/>
        <v>0</v>
      </c>
      <c r="H52" s="4">
        <f t="shared" si="15"/>
        <v>0</v>
      </c>
      <c r="I52" s="14">
        <f t="shared" si="15"/>
        <v>2</v>
      </c>
      <c r="J52" s="1">
        <f t="shared" si="15"/>
        <v>0</v>
      </c>
      <c r="K52" s="4">
        <f t="shared" si="15"/>
        <v>0</v>
      </c>
      <c r="L52" s="51">
        <f t="shared" si="15"/>
        <v>5000</v>
      </c>
    </row>
    <row r="53" spans="1:18" x14ac:dyDescent="0.25">
      <c r="A53" s="48">
        <v>2</v>
      </c>
      <c r="B53" s="14">
        <f t="shared" ref="B53:L53" si="16">SUM(B40:B42)</f>
        <v>2</v>
      </c>
      <c r="C53" s="1">
        <f t="shared" si="16"/>
        <v>2</v>
      </c>
      <c r="D53" s="1">
        <f t="shared" si="16"/>
        <v>0</v>
      </c>
      <c r="E53" s="4">
        <f t="shared" si="16"/>
        <v>0</v>
      </c>
      <c r="F53" s="14">
        <f t="shared" si="16"/>
        <v>6</v>
      </c>
      <c r="G53" s="1">
        <f t="shared" si="16"/>
        <v>0</v>
      </c>
      <c r="H53" s="4">
        <f t="shared" si="16"/>
        <v>0</v>
      </c>
      <c r="I53" s="14">
        <f t="shared" si="16"/>
        <v>10</v>
      </c>
      <c r="J53" s="1">
        <f t="shared" si="16"/>
        <v>0</v>
      </c>
      <c r="K53" s="4">
        <f t="shared" si="16"/>
        <v>0</v>
      </c>
      <c r="L53" s="51">
        <f t="shared" si="16"/>
        <v>15000</v>
      </c>
    </row>
    <row r="54" spans="1:18" x14ac:dyDescent="0.25">
      <c r="A54" s="48">
        <v>3</v>
      </c>
      <c r="B54" s="14">
        <f t="shared" ref="B54:L54" si="17">SUM(B40:B43)</f>
        <v>2</v>
      </c>
      <c r="C54" s="1">
        <f t="shared" si="17"/>
        <v>6</v>
      </c>
      <c r="D54" s="1">
        <f t="shared" si="17"/>
        <v>0</v>
      </c>
      <c r="E54" s="4">
        <f t="shared" si="17"/>
        <v>0</v>
      </c>
      <c r="F54" s="14">
        <f t="shared" si="17"/>
        <v>6</v>
      </c>
      <c r="G54" s="1">
        <f t="shared" si="17"/>
        <v>4</v>
      </c>
      <c r="H54" s="4">
        <f t="shared" si="17"/>
        <v>0</v>
      </c>
      <c r="I54" s="14">
        <f t="shared" si="17"/>
        <v>10</v>
      </c>
      <c r="J54" s="1">
        <f t="shared" si="17"/>
        <v>4</v>
      </c>
      <c r="K54" s="4">
        <f t="shared" si="17"/>
        <v>0</v>
      </c>
      <c r="L54" s="51">
        <f t="shared" si="17"/>
        <v>30000</v>
      </c>
    </row>
    <row r="55" spans="1:18" x14ac:dyDescent="0.25">
      <c r="A55" s="48">
        <v>4</v>
      </c>
      <c r="B55" s="14">
        <f t="shared" ref="B55:L55" si="18">SUM(B40:B44)</f>
        <v>2</v>
      </c>
      <c r="C55" s="1">
        <f t="shared" si="18"/>
        <v>6</v>
      </c>
      <c r="D55" s="1">
        <f t="shared" si="18"/>
        <v>2</v>
      </c>
      <c r="E55" s="4">
        <f t="shared" si="18"/>
        <v>0</v>
      </c>
      <c r="F55" s="14">
        <f t="shared" si="18"/>
        <v>6</v>
      </c>
      <c r="G55" s="1">
        <f t="shared" si="18"/>
        <v>10</v>
      </c>
      <c r="H55" s="4">
        <f t="shared" si="18"/>
        <v>0</v>
      </c>
      <c r="I55" s="14">
        <f t="shared" si="18"/>
        <v>10</v>
      </c>
      <c r="J55" s="1">
        <f t="shared" si="18"/>
        <v>12</v>
      </c>
      <c r="K55" s="4">
        <f t="shared" si="18"/>
        <v>0</v>
      </c>
      <c r="L55" s="51">
        <f t="shared" si="18"/>
        <v>50000</v>
      </c>
    </row>
    <row r="56" spans="1:18" x14ac:dyDescent="0.25">
      <c r="A56" s="48">
        <v>5</v>
      </c>
      <c r="B56" s="14">
        <f t="shared" ref="B56:L56" si="19">SUM(B40:B45)</f>
        <v>2</v>
      </c>
      <c r="C56" s="1">
        <f t="shared" si="19"/>
        <v>6</v>
      </c>
      <c r="D56" s="1">
        <f t="shared" si="19"/>
        <v>6</v>
      </c>
      <c r="E56" s="4">
        <f t="shared" si="19"/>
        <v>0</v>
      </c>
      <c r="F56" s="14">
        <f t="shared" si="19"/>
        <v>6</v>
      </c>
      <c r="G56" s="1">
        <f t="shared" si="19"/>
        <v>10</v>
      </c>
      <c r="H56" s="4">
        <f t="shared" si="19"/>
        <v>4</v>
      </c>
      <c r="I56" s="14">
        <f t="shared" si="19"/>
        <v>10</v>
      </c>
      <c r="J56" s="1">
        <f t="shared" si="19"/>
        <v>12</v>
      </c>
      <c r="K56" s="4">
        <f t="shared" si="19"/>
        <v>6</v>
      </c>
      <c r="L56" s="51">
        <f t="shared" si="19"/>
        <v>75000</v>
      </c>
    </row>
    <row r="57" spans="1:18" ht="15.75" thickBot="1" x14ac:dyDescent="0.3">
      <c r="A57" s="47">
        <v>6</v>
      </c>
      <c r="B57" s="13">
        <f t="shared" ref="B57:L57" si="20">SUM(B40:B46)</f>
        <v>2</v>
      </c>
      <c r="C57" s="9">
        <f t="shared" si="20"/>
        <v>6</v>
      </c>
      <c r="D57" s="9">
        <f t="shared" si="20"/>
        <v>6</v>
      </c>
      <c r="E57" s="10">
        <f t="shared" si="20"/>
        <v>3</v>
      </c>
      <c r="F57" s="13">
        <f t="shared" si="20"/>
        <v>6</v>
      </c>
      <c r="G57" s="9">
        <f t="shared" si="20"/>
        <v>10</v>
      </c>
      <c r="H57" s="10">
        <f t="shared" si="20"/>
        <v>12</v>
      </c>
      <c r="I57" s="13">
        <f t="shared" si="20"/>
        <v>10</v>
      </c>
      <c r="J57" s="9">
        <f t="shared" si="20"/>
        <v>12</v>
      </c>
      <c r="K57" s="10">
        <f t="shared" si="20"/>
        <v>18</v>
      </c>
      <c r="L57" s="50">
        <f t="shared" si="20"/>
        <v>105000</v>
      </c>
    </row>
    <row r="58" spans="1:18" ht="15.75" thickBot="1" x14ac:dyDescent="0.3"/>
    <row r="59" spans="1:18" ht="15.75" thickBot="1" x14ac:dyDescent="0.3">
      <c r="A59" s="171" t="s">
        <v>637</v>
      </c>
      <c r="B59" s="231"/>
      <c r="C59" s="231"/>
      <c r="D59" s="231"/>
      <c r="E59" s="231"/>
      <c r="F59" s="231"/>
      <c r="G59" s="231"/>
      <c r="H59" s="231"/>
      <c r="I59" s="231"/>
      <c r="J59" s="231"/>
      <c r="K59" s="231"/>
      <c r="L59" s="172"/>
      <c r="N59" s="237" t="s">
        <v>638</v>
      </c>
      <c r="O59" s="238"/>
      <c r="P59" s="238"/>
      <c r="Q59" s="238"/>
      <c r="R59" s="239"/>
    </row>
    <row r="60" spans="1:18" ht="15.75" thickBot="1" x14ac:dyDescent="0.3">
      <c r="A60" s="46"/>
      <c r="B60" s="222" t="s">
        <v>625</v>
      </c>
      <c r="C60" s="223"/>
      <c r="D60" s="223"/>
      <c r="E60" s="224"/>
      <c r="F60" s="222" t="s">
        <v>626</v>
      </c>
      <c r="G60" s="223"/>
      <c r="H60" s="224"/>
      <c r="I60" s="222" t="s">
        <v>627</v>
      </c>
      <c r="J60" s="223"/>
      <c r="K60" s="224"/>
      <c r="L60" s="49"/>
      <c r="N60" s="11"/>
      <c r="O60" s="7" t="s">
        <v>608</v>
      </c>
      <c r="P60" s="7" t="s">
        <v>609</v>
      </c>
      <c r="Q60" s="7" t="s">
        <v>204</v>
      </c>
      <c r="R60" s="8" t="s">
        <v>610</v>
      </c>
    </row>
    <row r="61" spans="1:18" ht="15.75" thickBot="1" x14ac:dyDescent="0.3">
      <c r="A61" s="47"/>
      <c r="B61" s="13" t="s">
        <v>613</v>
      </c>
      <c r="C61" s="9" t="s">
        <v>614</v>
      </c>
      <c r="D61" s="9" t="s">
        <v>615</v>
      </c>
      <c r="E61" s="10" t="s">
        <v>629</v>
      </c>
      <c r="F61" s="13" t="s">
        <v>612</v>
      </c>
      <c r="G61" s="9" t="s">
        <v>613</v>
      </c>
      <c r="H61" s="10" t="s">
        <v>614</v>
      </c>
      <c r="I61" s="13" t="s">
        <v>613</v>
      </c>
      <c r="J61" s="9" t="s">
        <v>614</v>
      </c>
      <c r="K61" s="10" t="s">
        <v>615</v>
      </c>
      <c r="L61" s="50" t="s">
        <v>204</v>
      </c>
      <c r="N61" s="20">
        <v>1</v>
      </c>
      <c r="O61" s="5">
        <v>0</v>
      </c>
      <c r="P61" s="5">
        <v>0</v>
      </c>
      <c r="Q61" s="5">
        <v>0</v>
      </c>
      <c r="R61" s="6">
        <v>0</v>
      </c>
    </row>
    <row r="62" spans="1:18" x14ac:dyDescent="0.25">
      <c r="A62" s="55">
        <v>0</v>
      </c>
      <c r="B62" s="20">
        <v>0</v>
      </c>
      <c r="C62" s="5">
        <v>0</v>
      </c>
      <c r="D62" s="5">
        <v>0</v>
      </c>
      <c r="E62" s="6">
        <v>0</v>
      </c>
      <c r="F62" s="20">
        <v>0</v>
      </c>
      <c r="G62" s="5">
        <v>0</v>
      </c>
      <c r="H62" s="6">
        <v>0</v>
      </c>
      <c r="I62" s="20">
        <v>0</v>
      </c>
      <c r="J62" s="5">
        <v>0</v>
      </c>
      <c r="K62" s="6">
        <v>0</v>
      </c>
      <c r="L62" s="56">
        <v>0</v>
      </c>
      <c r="N62" s="14">
        <v>20</v>
      </c>
      <c r="O62" s="1">
        <v>81000</v>
      </c>
      <c r="P62" s="1">
        <f t="shared" ref="P62:P68" si="21">O62+P61</f>
        <v>81000</v>
      </c>
      <c r="Q62" s="1">
        <v>8100</v>
      </c>
      <c r="R62" s="4">
        <f t="shared" ref="R62:R68" si="22">Q62+R61</f>
        <v>8100</v>
      </c>
    </row>
    <row r="63" spans="1:18" x14ac:dyDescent="0.25">
      <c r="A63" s="48">
        <v>1</v>
      </c>
      <c r="B63" s="14">
        <v>3</v>
      </c>
      <c r="C63" s="1">
        <v>0</v>
      </c>
      <c r="D63" s="1">
        <v>0</v>
      </c>
      <c r="E63" s="4">
        <v>0</v>
      </c>
      <c r="F63" s="14">
        <v>2</v>
      </c>
      <c r="G63" s="1">
        <v>0</v>
      </c>
      <c r="H63" s="4">
        <v>0</v>
      </c>
      <c r="I63" s="14">
        <v>3</v>
      </c>
      <c r="J63" s="1">
        <v>0</v>
      </c>
      <c r="K63" s="4">
        <v>0</v>
      </c>
      <c r="L63" s="51">
        <v>5000</v>
      </c>
      <c r="N63" s="14">
        <v>40</v>
      </c>
      <c r="O63" s="1">
        <v>415125</v>
      </c>
      <c r="P63" s="1">
        <f t="shared" si="21"/>
        <v>496125</v>
      </c>
      <c r="Q63" s="1">
        <v>41520</v>
      </c>
      <c r="R63" s="4">
        <f t="shared" si="22"/>
        <v>49620</v>
      </c>
    </row>
    <row r="64" spans="1:18" x14ac:dyDescent="0.25">
      <c r="A64" s="48">
        <v>2</v>
      </c>
      <c r="B64" s="14">
        <v>0</v>
      </c>
      <c r="C64" s="1">
        <v>3</v>
      </c>
      <c r="D64" s="1">
        <v>0</v>
      </c>
      <c r="E64" s="4">
        <v>0</v>
      </c>
      <c r="F64" s="14">
        <v>8</v>
      </c>
      <c r="G64" s="1">
        <v>0</v>
      </c>
      <c r="H64" s="4">
        <v>0</v>
      </c>
      <c r="I64" s="14">
        <v>12</v>
      </c>
      <c r="J64" s="1">
        <v>0</v>
      </c>
      <c r="K64" s="4">
        <v>0</v>
      </c>
      <c r="L64" s="51">
        <v>10000</v>
      </c>
      <c r="N64" s="14">
        <v>50</v>
      </c>
      <c r="O64" s="1">
        <v>418725</v>
      </c>
      <c r="P64" s="1">
        <f t="shared" si="21"/>
        <v>914850</v>
      </c>
      <c r="Q64" s="1">
        <v>41880</v>
      </c>
      <c r="R64" s="4">
        <f t="shared" si="22"/>
        <v>91500</v>
      </c>
    </row>
    <row r="65" spans="1:18" x14ac:dyDescent="0.25">
      <c r="A65" s="48">
        <v>3</v>
      </c>
      <c r="B65" s="14">
        <v>0</v>
      </c>
      <c r="C65" s="1">
        <v>6</v>
      </c>
      <c r="D65" s="1">
        <v>0</v>
      </c>
      <c r="E65" s="4">
        <v>0</v>
      </c>
      <c r="F65" s="14">
        <v>0</v>
      </c>
      <c r="G65" s="1">
        <v>6</v>
      </c>
      <c r="H65" s="4">
        <v>0</v>
      </c>
      <c r="I65" s="14">
        <v>0</v>
      </c>
      <c r="J65" s="1">
        <v>6</v>
      </c>
      <c r="K65" s="4">
        <v>0</v>
      </c>
      <c r="L65" s="51">
        <v>15000</v>
      </c>
      <c r="N65" s="14">
        <v>60</v>
      </c>
      <c r="O65" s="1">
        <v>618400</v>
      </c>
      <c r="P65" s="1">
        <f t="shared" si="21"/>
        <v>1533250</v>
      </c>
      <c r="Q65" s="1">
        <v>61840</v>
      </c>
      <c r="R65" s="4">
        <f t="shared" si="22"/>
        <v>153340</v>
      </c>
    </row>
    <row r="66" spans="1:18" x14ac:dyDescent="0.25">
      <c r="A66" s="48">
        <v>4</v>
      </c>
      <c r="B66" s="14">
        <v>0</v>
      </c>
      <c r="C66" s="1">
        <v>0</v>
      </c>
      <c r="D66" s="1">
        <v>3</v>
      </c>
      <c r="E66" s="4">
        <v>0</v>
      </c>
      <c r="F66" s="14">
        <v>0</v>
      </c>
      <c r="G66" s="1">
        <v>9</v>
      </c>
      <c r="H66" s="4">
        <v>0</v>
      </c>
      <c r="I66" s="14">
        <v>0</v>
      </c>
      <c r="J66" s="1">
        <v>12</v>
      </c>
      <c r="K66" s="4">
        <v>0</v>
      </c>
      <c r="L66" s="51">
        <v>20000</v>
      </c>
      <c r="N66" s="14">
        <v>70</v>
      </c>
      <c r="O66" s="1">
        <v>866050</v>
      </c>
      <c r="P66" s="1">
        <f t="shared" si="21"/>
        <v>2399300</v>
      </c>
      <c r="Q66" s="1">
        <v>86620</v>
      </c>
      <c r="R66" s="4">
        <f t="shared" si="22"/>
        <v>239960</v>
      </c>
    </row>
    <row r="67" spans="1:18" x14ac:dyDescent="0.25">
      <c r="A67" s="48">
        <v>5</v>
      </c>
      <c r="B67" s="14">
        <v>0</v>
      </c>
      <c r="C67" s="1">
        <v>0</v>
      </c>
      <c r="D67" s="1">
        <v>6</v>
      </c>
      <c r="E67" s="4">
        <v>0</v>
      </c>
      <c r="F67" s="14">
        <v>0</v>
      </c>
      <c r="G67" s="1">
        <v>0</v>
      </c>
      <c r="H67" s="4">
        <v>6</v>
      </c>
      <c r="I67" s="14">
        <v>0</v>
      </c>
      <c r="J67" s="1">
        <v>0</v>
      </c>
      <c r="K67" s="4">
        <v>9</v>
      </c>
      <c r="L67" s="51">
        <v>25000</v>
      </c>
      <c r="N67" s="14">
        <v>80</v>
      </c>
      <c r="O67" s="1">
        <v>1166875</v>
      </c>
      <c r="P67" s="1">
        <f t="shared" si="21"/>
        <v>3566175</v>
      </c>
      <c r="Q67" s="1">
        <v>116700</v>
      </c>
      <c r="R67" s="4">
        <f t="shared" si="22"/>
        <v>356660</v>
      </c>
    </row>
    <row r="68" spans="1:18" ht="15.75" thickBot="1" x14ac:dyDescent="0.3">
      <c r="A68" s="47">
        <v>6</v>
      </c>
      <c r="B68" s="13">
        <v>0</v>
      </c>
      <c r="C68" s="9">
        <v>0</v>
      </c>
      <c r="D68" s="9">
        <v>0</v>
      </c>
      <c r="E68" s="10">
        <v>4</v>
      </c>
      <c r="F68" s="13">
        <v>0</v>
      </c>
      <c r="G68" s="9">
        <v>0</v>
      </c>
      <c r="H68" s="10">
        <v>12</v>
      </c>
      <c r="I68" s="13">
        <v>0</v>
      </c>
      <c r="J68" s="9">
        <v>0</v>
      </c>
      <c r="K68" s="10">
        <v>18</v>
      </c>
      <c r="L68" s="50">
        <v>30000</v>
      </c>
      <c r="N68" s="13">
        <v>90</v>
      </c>
      <c r="O68" s="9">
        <v>2476475</v>
      </c>
      <c r="P68" s="9">
        <f t="shared" si="21"/>
        <v>6042650</v>
      </c>
      <c r="Q68" s="9">
        <v>247660</v>
      </c>
      <c r="R68" s="10">
        <f t="shared" si="22"/>
        <v>604320</v>
      </c>
    </row>
    <row r="69" spans="1:18" ht="15.75" thickBot="1" x14ac:dyDescent="0.3"/>
    <row r="70" spans="1:18" ht="15.75" thickBot="1" x14ac:dyDescent="0.3">
      <c r="A70" s="171" t="s">
        <v>639</v>
      </c>
      <c r="B70" s="231"/>
      <c r="C70" s="231"/>
      <c r="D70" s="231"/>
      <c r="E70" s="231"/>
      <c r="F70" s="231"/>
      <c r="G70" s="231"/>
      <c r="H70" s="231"/>
      <c r="I70" s="231"/>
      <c r="J70" s="231"/>
      <c r="K70" s="231"/>
      <c r="L70" s="172"/>
    </row>
    <row r="71" spans="1:18" x14ac:dyDescent="0.25">
      <c r="A71" s="46"/>
      <c r="B71" s="222" t="s">
        <v>625</v>
      </c>
      <c r="C71" s="223"/>
      <c r="D71" s="223"/>
      <c r="E71" s="224"/>
      <c r="F71" s="222" t="s">
        <v>626</v>
      </c>
      <c r="G71" s="223"/>
      <c r="H71" s="224"/>
      <c r="I71" s="222" t="s">
        <v>627</v>
      </c>
      <c r="J71" s="223"/>
      <c r="K71" s="224"/>
      <c r="L71" s="49"/>
    </row>
    <row r="72" spans="1:18" ht="15.75" thickBot="1" x14ac:dyDescent="0.3">
      <c r="A72" s="47"/>
      <c r="B72" s="13" t="s">
        <v>613</v>
      </c>
      <c r="C72" s="9" t="s">
        <v>614</v>
      </c>
      <c r="D72" s="9" t="s">
        <v>615</v>
      </c>
      <c r="E72" s="10" t="s">
        <v>629</v>
      </c>
      <c r="F72" s="13" t="s">
        <v>612</v>
      </c>
      <c r="G72" s="9" t="s">
        <v>613</v>
      </c>
      <c r="H72" s="10" t="s">
        <v>614</v>
      </c>
      <c r="I72" s="13" t="s">
        <v>613</v>
      </c>
      <c r="J72" s="9" t="s">
        <v>614</v>
      </c>
      <c r="K72" s="10" t="s">
        <v>615</v>
      </c>
      <c r="L72" s="50" t="s">
        <v>204</v>
      </c>
    </row>
    <row r="73" spans="1:18" x14ac:dyDescent="0.25">
      <c r="A73" s="55">
        <v>0</v>
      </c>
      <c r="B73" s="20">
        <f t="shared" ref="B73:L73" si="23">B62</f>
        <v>0</v>
      </c>
      <c r="C73" s="5">
        <f t="shared" si="23"/>
        <v>0</v>
      </c>
      <c r="D73" s="5">
        <f t="shared" si="23"/>
        <v>0</v>
      </c>
      <c r="E73" s="6">
        <f t="shared" si="23"/>
        <v>0</v>
      </c>
      <c r="F73" s="20">
        <f t="shared" si="23"/>
        <v>0</v>
      </c>
      <c r="G73" s="5">
        <f t="shared" si="23"/>
        <v>0</v>
      </c>
      <c r="H73" s="6">
        <f t="shared" si="23"/>
        <v>0</v>
      </c>
      <c r="I73" s="20">
        <f t="shared" si="23"/>
        <v>0</v>
      </c>
      <c r="J73" s="5">
        <f t="shared" si="23"/>
        <v>0</v>
      </c>
      <c r="K73" s="6">
        <f t="shared" si="23"/>
        <v>0</v>
      </c>
      <c r="L73" s="56">
        <f t="shared" si="23"/>
        <v>0</v>
      </c>
    </row>
    <row r="74" spans="1:18" x14ac:dyDescent="0.25">
      <c r="A74" s="48">
        <v>1</v>
      </c>
      <c r="B74" s="14">
        <f t="shared" ref="B74:L74" si="24">SUM(B62:B63)</f>
        <v>3</v>
      </c>
      <c r="C74" s="1">
        <f t="shared" si="24"/>
        <v>0</v>
      </c>
      <c r="D74" s="1">
        <f t="shared" si="24"/>
        <v>0</v>
      </c>
      <c r="E74" s="4">
        <f t="shared" si="24"/>
        <v>0</v>
      </c>
      <c r="F74" s="14">
        <f t="shared" si="24"/>
        <v>2</v>
      </c>
      <c r="G74" s="1">
        <f t="shared" si="24"/>
        <v>0</v>
      </c>
      <c r="H74" s="4">
        <f t="shared" si="24"/>
        <v>0</v>
      </c>
      <c r="I74" s="14">
        <f t="shared" si="24"/>
        <v>3</v>
      </c>
      <c r="J74" s="1">
        <f t="shared" si="24"/>
        <v>0</v>
      </c>
      <c r="K74" s="4">
        <f t="shared" si="24"/>
        <v>0</v>
      </c>
      <c r="L74" s="51">
        <f t="shared" si="24"/>
        <v>5000</v>
      </c>
    </row>
    <row r="75" spans="1:18" x14ac:dyDescent="0.25">
      <c r="A75" s="48">
        <v>2</v>
      </c>
      <c r="B75" s="14">
        <f t="shared" ref="B75:L75" si="25">SUM(B62:B64)</f>
        <v>3</v>
      </c>
      <c r="C75" s="1">
        <f t="shared" si="25"/>
        <v>3</v>
      </c>
      <c r="D75" s="1">
        <f t="shared" si="25"/>
        <v>0</v>
      </c>
      <c r="E75" s="4">
        <f t="shared" si="25"/>
        <v>0</v>
      </c>
      <c r="F75" s="14">
        <f t="shared" si="25"/>
        <v>10</v>
      </c>
      <c r="G75" s="1">
        <f t="shared" si="25"/>
        <v>0</v>
      </c>
      <c r="H75" s="4">
        <f t="shared" si="25"/>
        <v>0</v>
      </c>
      <c r="I75" s="14">
        <f t="shared" si="25"/>
        <v>15</v>
      </c>
      <c r="J75" s="1">
        <f t="shared" si="25"/>
        <v>0</v>
      </c>
      <c r="K75" s="4">
        <f t="shared" si="25"/>
        <v>0</v>
      </c>
      <c r="L75" s="51">
        <f t="shared" si="25"/>
        <v>15000</v>
      </c>
    </row>
    <row r="76" spans="1:18" x14ac:dyDescent="0.25">
      <c r="A76" s="48">
        <v>3</v>
      </c>
      <c r="B76" s="14">
        <f t="shared" ref="B76:L76" si="26">SUM(B62:B65)</f>
        <v>3</v>
      </c>
      <c r="C76" s="1">
        <f t="shared" si="26"/>
        <v>9</v>
      </c>
      <c r="D76" s="1">
        <f t="shared" si="26"/>
        <v>0</v>
      </c>
      <c r="E76" s="4">
        <f t="shared" si="26"/>
        <v>0</v>
      </c>
      <c r="F76" s="14">
        <f t="shared" si="26"/>
        <v>10</v>
      </c>
      <c r="G76" s="1">
        <f t="shared" si="26"/>
        <v>6</v>
      </c>
      <c r="H76" s="4">
        <f t="shared" si="26"/>
        <v>0</v>
      </c>
      <c r="I76" s="14">
        <f t="shared" si="26"/>
        <v>15</v>
      </c>
      <c r="J76" s="1">
        <f t="shared" si="26"/>
        <v>6</v>
      </c>
      <c r="K76" s="4">
        <f t="shared" si="26"/>
        <v>0</v>
      </c>
      <c r="L76" s="51">
        <f t="shared" si="26"/>
        <v>30000</v>
      </c>
    </row>
    <row r="77" spans="1:18" x14ac:dyDescent="0.25">
      <c r="A77" s="48">
        <v>4</v>
      </c>
      <c r="B77" s="14">
        <f t="shared" ref="B77:L77" si="27">SUM(B62:B66)</f>
        <v>3</v>
      </c>
      <c r="C77" s="1">
        <f t="shared" si="27"/>
        <v>9</v>
      </c>
      <c r="D77" s="1">
        <f t="shared" si="27"/>
        <v>3</v>
      </c>
      <c r="E77" s="4">
        <f t="shared" si="27"/>
        <v>0</v>
      </c>
      <c r="F77" s="14">
        <f t="shared" si="27"/>
        <v>10</v>
      </c>
      <c r="G77" s="1">
        <f t="shared" si="27"/>
        <v>15</v>
      </c>
      <c r="H77" s="4">
        <f t="shared" si="27"/>
        <v>0</v>
      </c>
      <c r="I77" s="14">
        <f t="shared" si="27"/>
        <v>15</v>
      </c>
      <c r="J77" s="1">
        <f t="shared" si="27"/>
        <v>18</v>
      </c>
      <c r="K77" s="4">
        <f t="shared" si="27"/>
        <v>0</v>
      </c>
      <c r="L77" s="51">
        <f t="shared" si="27"/>
        <v>50000</v>
      </c>
    </row>
    <row r="78" spans="1:18" x14ac:dyDescent="0.25">
      <c r="A78" s="48">
        <v>5</v>
      </c>
      <c r="B78" s="14">
        <f t="shared" ref="B78:L78" si="28">SUM(B62:B67)</f>
        <v>3</v>
      </c>
      <c r="C78" s="1">
        <f t="shared" si="28"/>
        <v>9</v>
      </c>
      <c r="D78" s="1">
        <f t="shared" si="28"/>
        <v>9</v>
      </c>
      <c r="E78" s="4">
        <f t="shared" si="28"/>
        <v>0</v>
      </c>
      <c r="F78" s="14">
        <f t="shared" si="28"/>
        <v>10</v>
      </c>
      <c r="G78" s="1">
        <f t="shared" si="28"/>
        <v>15</v>
      </c>
      <c r="H78" s="4">
        <f t="shared" si="28"/>
        <v>6</v>
      </c>
      <c r="I78" s="14">
        <f t="shared" si="28"/>
        <v>15</v>
      </c>
      <c r="J78" s="1">
        <f t="shared" si="28"/>
        <v>18</v>
      </c>
      <c r="K78" s="4">
        <f t="shared" si="28"/>
        <v>9</v>
      </c>
      <c r="L78" s="51">
        <f t="shared" si="28"/>
        <v>75000</v>
      </c>
    </row>
    <row r="79" spans="1:18" ht="15.75" thickBot="1" x14ac:dyDescent="0.3">
      <c r="A79" s="47">
        <v>6</v>
      </c>
      <c r="B79" s="13">
        <f t="shared" ref="B79:L79" si="29">SUM(B62:B68)</f>
        <v>3</v>
      </c>
      <c r="C79" s="9">
        <f t="shared" si="29"/>
        <v>9</v>
      </c>
      <c r="D79" s="9">
        <f t="shared" si="29"/>
        <v>9</v>
      </c>
      <c r="E79" s="10">
        <f t="shared" si="29"/>
        <v>4</v>
      </c>
      <c r="F79" s="13">
        <f t="shared" si="29"/>
        <v>10</v>
      </c>
      <c r="G79" s="9">
        <f t="shared" si="29"/>
        <v>15</v>
      </c>
      <c r="H79" s="10">
        <f t="shared" si="29"/>
        <v>18</v>
      </c>
      <c r="I79" s="13">
        <f t="shared" si="29"/>
        <v>15</v>
      </c>
      <c r="J79" s="9">
        <f t="shared" si="29"/>
        <v>18</v>
      </c>
      <c r="K79" s="10">
        <f t="shared" si="29"/>
        <v>27</v>
      </c>
      <c r="L79" s="50">
        <f t="shared" si="29"/>
        <v>105000</v>
      </c>
    </row>
    <row r="80" spans="1:18" ht="15.75" thickBot="1" x14ac:dyDescent="0.3"/>
    <row r="81" spans="1:18" ht="15.75" thickBot="1" x14ac:dyDescent="0.3">
      <c r="A81" s="171" t="s">
        <v>640</v>
      </c>
      <c r="B81" s="231"/>
      <c r="C81" s="231"/>
      <c r="D81" s="231"/>
      <c r="E81" s="231"/>
      <c r="F81" s="231"/>
      <c r="G81" s="231"/>
      <c r="H81" s="231"/>
      <c r="I81" s="231"/>
      <c r="J81" s="231"/>
      <c r="K81" s="231"/>
      <c r="L81" s="172"/>
      <c r="N81" s="237" t="s">
        <v>641</v>
      </c>
      <c r="O81" s="238"/>
      <c r="P81" s="238"/>
      <c r="Q81" s="238"/>
      <c r="R81" s="239"/>
    </row>
    <row r="82" spans="1:18" ht="15.75" thickBot="1" x14ac:dyDescent="0.3">
      <c r="A82" s="46"/>
      <c r="B82" s="222" t="s">
        <v>625</v>
      </c>
      <c r="C82" s="223"/>
      <c r="D82" s="223"/>
      <c r="E82" s="224"/>
      <c r="F82" s="222" t="s">
        <v>626</v>
      </c>
      <c r="G82" s="223"/>
      <c r="H82" s="224"/>
      <c r="I82" s="222" t="s">
        <v>627</v>
      </c>
      <c r="J82" s="223"/>
      <c r="K82" s="224"/>
      <c r="L82" s="49"/>
      <c r="N82" s="11"/>
      <c r="O82" s="7" t="s">
        <v>608</v>
      </c>
      <c r="P82" s="7" t="s">
        <v>609</v>
      </c>
      <c r="Q82" s="7" t="s">
        <v>204</v>
      </c>
      <c r="R82" s="8" t="s">
        <v>610</v>
      </c>
    </row>
    <row r="83" spans="1:18" ht="15.75" thickBot="1" x14ac:dyDescent="0.3">
      <c r="A83" s="47"/>
      <c r="B83" s="13" t="s">
        <v>613</v>
      </c>
      <c r="C83" s="9" t="s">
        <v>614</v>
      </c>
      <c r="D83" s="9" t="s">
        <v>615</v>
      </c>
      <c r="E83" s="10" t="s">
        <v>629</v>
      </c>
      <c r="F83" s="13" t="s">
        <v>612</v>
      </c>
      <c r="G83" s="9" t="s">
        <v>613</v>
      </c>
      <c r="H83" s="10" t="s">
        <v>614</v>
      </c>
      <c r="I83" s="13" t="s">
        <v>613</v>
      </c>
      <c r="J83" s="9" t="s">
        <v>614</v>
      </c>
      <c r="K83" s="10" t="s">
        <v>615</v>
      </c>
      <c r="L83" s="50" t="s">
        <v>204</v>
      </c>
      <c r="N83" s="20">
        <v>1</v>
      </c>
      <c r="O83" s="5">
        <v>0</v>
      </c>
      <c r="P83" s="5">
        <v>0</v>
      </c>
      <c r="Q83" s="5">
        <v>0</v>
      </c>
      <c r="R83" s="6">
        <v>0</v>
      </c>
    </row>
    <row r="84" spans="1:18" x14ac:dyDescent="0.25">
      <c r="A84" s="55">
        <v>0</v>
      </c>
      <c r="B84" s="20">
        <v>0</v>
      </c>
      <c r="C84" s="5">
        <v>0</v>
      </c>
      <c r="D84" s="5">
        <v>0</v>
      </c>
      <c r="E84" s="6">
        <v>0</v>
      </c>
      <c r="F84" s="20">
        <v>0</v>
      </c>
      <c r="G84" s="5">
        <v>0</v>
      </c>
      <c r="H84" s="6">
        <v>0</v>
      </c>
      <c r="I84" s="20">
        <v>0</v>
      </c>
      <c r="J84" s="5">
        <v>0</v>
      </c>
      <c r="K84" s="6">
        <v>0</v>
      </c>
      <c r="L84" s="56">
        <v>0</v>
      </c>
      <c r="N84" s="14">
        <v>20</v>
      </c>
      <c r="O84" s="1">
        <v>121550</v>
      </c>
      <c r="P84" s="1">
        <f t="shared" ref="P84:P90" si="30">O84+P83</f>
        <v>121550</v>
      </c>
      <c r="Q84" s="1">
        <v>12160</v>
      </c>
      <c r="R84" s="4">
        <f t="shared" ref="R84:R90" si="31">Q84+R83</f>
        <v>12160</v>
      </c>
    </row>
    <row r="85" spans="1:18" x14ac:dyDescent="0.25">
      <c r="A85" s="48">
        <v>1</v>
      </c>
      <c r="B85" s="14">
        <v>5</v>
      </c>
      <c r="C85" s="1">
        <v>0</v>
      </c>
      <c r="D85" s="1">
        <v>0</v>
      </c>
      <c r="E85" s="4">
        <v>0</v>
      </c>
      <c r="F85" s="14">
        <v>3</v>
      </c>
      <c r="G85" s="1">
        <v>0</v>
      </c>
      <c r="H85" s="4">
        <v>0</v>
      </c>
      <c r="I85" s="14">
        <v>5</v>
      </c>
      <c r="J85" s="1">
        <v>0</v>
      </c>
      <c r="K85" s="4">
        <v>0</v>
      </c>
      <c r="L85" s="51">
        <v>5000</v>
      </c>
      <c r="N85" s="14">
        <v>40</v>
      </c>
      <c r="O85" s="1">
        <v>622800</v>
      </c>
      <c r="P85" s="1">
        <f t="shared" si="30"/>
        <v>744350</v>
      </c>
      <c r="Q85" s="1">
        <v>62280</v>
      </c>
      <c r="R85" s="4">
        <f t="shared" si="31"/>
        <v>74440</v>
      </c>
    </row>
    <row r="86" spans="1:18" x14ac:dyDescent="0.25">
      <c r="A86" s="48">
        <v>2</v>
      </c>
      <c r="B86" s="14">
        <v>0</v>
      </c>
      <c r="C86" s="1">
        <v>5</v>
      </c>
      <c r="D86" s="1">
        <v>0</v>
      </c>
      <c r="E86" s="4">
        <v>0</v>
      </c>
      <c r="F86" s="14">
        <v>12</v>
      </c>
      <c r="G86" s="1">
        <v>0</v>
      </c>
      <c r="H86" s="4">
        <v>0</v>
      </c>
      <c r="I86" s="14">
        <v>18</v>
      </c>
      <c r="J86" s="1">
        <v>0</v>
      </c>
      <c r="K86" s="4">
        <v>0</v>
      </c>
      <c r="L86" s="51">
        <v>10000</v>
      </c>
      <c r="N86" s="14">
        <v>50</v>
      </c>
      <c r="O86" s="1">
        <v>628150</v>
      </c>
      <c r="P86" s="1">
        <f t="shared" si="30"/>
        <v>1372500</v>
      </c>
      <c r="Q86" s="1">
        <v>62820</v>
      </c>
      <c r="R86" s="4">
        <f t="shared" si="31"/>
        <v>137260</v>
      </c>
    </row>
    <row r="87" spans="1:18" x14ac:dyDescent="0.25">
      <c r="A87" s="48">
        <v>3</v>
      </c>
      <c r="B87" s="14">
        <v>0</v>
      </c>
      <c r="C87" s="1">
        <v>9</v>
      </c>
      <c r="D87" s="1">
        <v>0</v>
      </c>
      <c r="E87" s="4">
        <v>0</v>
      </c>
      <c r="F87" s="14">
        <v>0</v>
      </c>
      <c r="G87" s="1">
        <v>9</v>
      </c>
      <c r="H87" s="4">
        <v>0</v>
      </c>
      <c r="I87" s="14">
        <v>0</v>
      </c>
      <c r="J87" s="1">
        <v>9</v>
      </c>
      <c r="K87" s="4">
        <v>0</v>
      </c>
      <c r="L87" s="51">
        <v>15000</v>
      </c>
      <c r="N87" s="14">
        <v>60</v>
      </c>
      <c r="O87" s="1">
        <v>927675</v>
      </c>
      <c r="P87" s="1">
        <f t="shared" si="30"/>
        <v>2300175</v>
      </c>
      <c r="Q87" s="1">
        <v>92780</v>
      </c>
      <c r="R87" s="4">
        <f t="shared" si="31"/>
        <v>230040</v>
      </c>
    </row>
    <row r="88" spans="1:18" x14ac:dyDescent="0.25">
      <c r="A88" s="48">
        <v>4</v>
      </c>
      <c r="B88" s="14">
        <v>0</v>
      </c>
      <c r="C88" s="1">
        <v>0</v>
      </c>
      <c r="D88" s="1">
        <v>5</v>
      </c>
      <c r="E88" s="4">
        <v>0</v>
      </c>
      <c r="F88" s="14">
        <v>0</v>
      </c>
      <c r="G88" s="1">
        <v>14</v>
      </c>
      <c r="H88" s="4">
        <v>0</v>
      </c>
      <c r="I88" s="14">
        <v>0</v>
      </c>
      <c r="J88" s="1">
        <v>18</v>
      </c>
      <c r="K88" s="4">
        <v>0</v>
      </c>
      <c r="L88" s="51">
        <v>20000</v>
      </c>
      <c r="N88" s="14">
        <v>70</v>
      </c>
      <c r="O88" s="1">
        <v>1299125</v>
      </c>
      <c r="P88" s="1">
        <f t="shared" si="30"/>
        <v>3599300</v>
      </c>
      <c r="Q88" s="1">
        <v>129920</v>
      </c>
      <c r="R88" s="4">
        <f t="shared" si="31"/>
        <v>359960</v>
      </c>
    </row>
    <row r="89" spans="1:18" x14ac:dyDescent="0.25">
      <c r="A89" s="48">
        <v>5</v>
      </c>
      <c r="B89" s="14">
        <v>0</v>
      </c>
      <c r="C89" s="1">
        <v>0</v>
      </c>
      <c r="D89" s="1">
        <v>9</v>
      </c>
      <c r="E89" s="4">
        <v>0</v>
      </c>
      <c r="F89" s="14">
        <v>0</v>
      </c>
      <c r="G89" s="1">
        <v>0</v>
      </c>
      <c r="H89" s="4">
        <v>9</v>
      </c>
      <c r="I89" s="14">
        <v>0</v>
      </c>
      <c r="J89" s="1">
        <v>0</v>
      </c>
      <c r="K89" s="4">
        <v>14</v>
      </c>
      <c r="L89" s="51">
        <v>25000</v>
      </c>
      <c r="N89" s="14">
        <v>80</v>
      </c>
      <c r="O89" s="1">
        <v>1750375</v>
      </c>
      <c r="P89" s="1">
        <f t="shared" si="30"/>
        <v>5349675</v>
      </c>
      <c r="Q89" s="1">
        <v>175040</v>
      </c>
      <c r="R89" s="4">
        <f t="shared" si="31"/>
        <v>535000</v>
      </c>
    </row>
    <row r="90" spans="1:18" ht="15.75" thickBot="1" x14ac:dyDescent="0.3">
      <c r="A90" s="47">
        <v>6</v>
      </c>
      <c r="B90" s="13">
        <v>0</v>
      </c>
      <c r="C90" s="9">
        <v>0</v>
      </c>
      <c r="D90" s="9">
        <v>0</v>
      </c>
      <c r="E90" s="10">
        <v>6</v>
      </c>
      <c r="F90" s="13">
        <v>0</v>
      </c>
      <c r="G90" s="9">
        <v>0</v>
      </c>
      <c r="H90" s="10">
        <v>18</v>
      </c>
      <c r="I90" s="13">
        <v>0</v>
      </c>
      <c r="J90" s="9">
        <v>0</v>
      </c>
      <c r="K90" s="10">
        <v>27</v>
      </c>
      <c r="L90" s="50">
        <v>30000</v>
      </c>
      <c r="N90" s="13">
        <v>90</v>
      </c>
      <c r="O90" s="9">
        <v>3714775</v>
      </c>
      <c r="P90" s="9">
        <f t="shared" si="30"/>
        <v>9064450</v>
      </c>
      <c r="Q90" s="9">
        <v>371480</v>
      </c>
      <c r="R90" s="10">
        <f t="shared" si="31"/>
        <v>906480</v>
      </c>
    </row>
    <row r="91" spans="1:18" ht="15.75" thickBot="1" x14ac:dyDescent="0.3"/>
    <row r="92" spans="1:18" ht="15.75" thickBot="1" x14ac:dyDescent="0.3">
      <c r="A92" s="171" t="s">
        <v>642</v>
      </c>
      <c r="B92" s="231"/>
      <c r="C92" s="231"/>
      <c r="D92" s="231"/>
      <c r="E92" s="231"/>
      <c r="F92" s="231"/>
      <c r="G92" s="231"/>
      <c r="H92" s="231"/>
      <c r="I92" s="231"/>
      <c r="J92" s="231"/>
      <c r="K92" s="231"/>
      <c r="L92" s="172"/>
    </row>
    <row r="93" spans="1:18" x14ac:dyDescent="0.25">
      <c r="A93" s="46"/>
      <c r="B93" s="222" t="s">
        <v>625</v>
      </c>
      <c r="C93" s="223"/>
      <c r="D93" s="223"/>
      <c r="E93" s="224"/>
      <c r="F93" s="222" t="s">
        <v>626</v>
      </c>
      <c r="G93" s="223"/>
      <c r="H93" s="224"/>
      <c r="I93" s="222" t="s">
        <v>627</v>
      </c>
      <c r="J93" s="223"/>
      <c r="K93" s="224"/>
      <c r="L93" s="49"/>
    </row>
    <row r="94" spans="1:18" ht="15.75" thickBot="1" x14ac:dyDescent="0.3">
      <c r="A94" s="47"/>
      <c r="B94" s="13" t="s">
        <v>613</v>
      </c>
      <c r="C94" s="9" t="s">
        <v>614</v>
      </c>
      <c r="D94" s="9" t="s">
        <v>615</v>
      </c>
      <c r="E94" s="10" t="s">
        <v>629</v>
      </c>
      <c r="F94" s="13" t="s">
        <v>612</v>
      </c>
      <c r="G94" s="9" t="s">
        <v>613</v>
      </c>
      <c r="H94" s="10" t="s">
        <v>614</v>
      </c>
      <c r="I94" s="13" t="s">
        <v>613</v>
      </c>
      <c r="J94" s="9" t="s">
        <v>614</v>
      </c>
      <c r="K94" s="10" t="s">
        <v>615</v>
      </c>
      <c r="L94" s="50" t="s">
        <v>204</v>
      </c>
    </row>
    <row r="95" spans="1:18" x14ac:dyDescent="0.25">
      <c r="A95" s="55">
        <v>0</v>
      </c>
      <c r="B95" s="20">
        <f t="shared" ref="B95:L95" si="32">B84</f>
        <v>0</v>
      </c>
      <c r="C95" s="5">
        <f t="shared" si="32"/>
        <v>0</v>
      </c>
      <c r="D95" s="5">
        <f t="shared" si="32"/>
        <v>0</v>
      </c>
      <c r="E95" s="6">
        <f t="shared" si="32"/>
        <v>0</v>
      </c>
      <c r="F95" s="20">
        <f t="shared" si="32"/>
        <v>0</v>
      </c>
      <c r="G95" s="5">
        <f t="shared" si="32"/>
        <v>0</v>
      </c>
      <c r="H95" s="6">
        <f t="shared" si="32"/>
        <v>0</v>
      </c>
      <c r="I95" s="20">
        <f t="shared" si="32"/>
        <v>0</v>
      </c>
      <c r="J95" s="5">
        <f t="shared" si="32"/>
        <v>0</v>
      </c>
      <c r="K95" s="6">
        <f t="shared" si="32"/>
        <v>0</v>
      </c>
      <c r="L95" s="56">
        <f t="shared" si="32"/>
        <v>0</v>
      </c>
    </row>
    <row r="96" spans="1:18" x14ac:dyDescent="0.25">
      <c r="A96" s="48">
        <v>1</v>
      </c>
      <c r="B96" s="14">
        <f t="shared" ref="B96:L96" si="33">SUM(B84:B85)</f>
        <v>5</v>
      </c>
      <c r="C96" s="1">
        <f t="shared" si="33"/>
        <v>0</v>
      </c>
      <c r="D96" s="1">
        <f t="shared" si="33"/>
        <v>0</v>
      </c>
      <c r="E96" s="4">
        <f t="shared" si="33"/>
        <v>0</v>
      </c>
      <c r="F96" s="14">
        <f t="shared" si="33"/>
        <v>3</v>
      </c>
      <c r="G96" s="1">
        <f t="shared" si="33"/>
        <v>0</v>
      </c>
      <c r="H96" s="4">
        <f t="shared" si="33"/>
        <v>0</v>
      </c>
      <c r="I96" s="14">
        <f t="shared" si="33"/>
        <v>5</v>
      </c>
      <c r="J96" s="1">
        <f t="shared" si="33"/>
        <v>0</v>
      </c>
      <c r="K96" s="4">
        <f t="shared" si="33"/>
        <v>0</v>
      </c>
      <c r="L96" s="51">
        <f t="shared" si="33"/>
        <v>5000</v>
      </c>
    </row>
    <row r="97" spans="1:12" x14ac:dyDescent="0.25">
      <c r="A97" s="48">
        <v>2</v>
      </c>
      <c r="B97" s="14">
        <f t="shared" ref="B97:L97" si="34">SUM(B84:B86)</f>
        <v>5</v>
      </c>
      <c r="C97" s="1">
        <f t="shared" si="34"/>
        <v>5</v>
      </c>
      <c r="D97" s="1">
        <f t="shared" si="34"/>
        <v>0</v>
      </c>
      <c r="E97" s="4">
        <f t="shared" si="34"/>
        <v>0</v>
      </c>
      <c r="F97" s="14">
        <f t="shared" si="34"/>
        <v>15</v>
      </c>
      <c r="G97" s="1">
        <f t="shared" si="34"/>
        <v>0</v>
      </c>
      <c r="H97" s="4">
        <f t="shared" si="34"/>
        <v>0</v>
      </c>
      <c r="I97" s="14">
        <f t="shared" si="34"/>
        <v>23</v>
      </c>
      <c r="J97" s="1">
        <f t="shared" si="34"/>
        <v>0</v>
      </c>
      <c r="K97" s="4">
        <f t="shared" si="34"/>
        <v>0</v>
      </c>
      <c r="L97" s="51">
        <f t="shared" si="34"/>
        <v>15000</v>
      </c>
    </row>
    <row r="98" spans="1:12" x14ac:dyDescent="0.25">
      <c r="A98" s="48">
        <v>3</v>
      </c>
      <c r="B98" s="14">
        <f t="shared" ref="B98:L98" si="35">SUM(B84:B87)</f>
        <v>5</v>
      </c>
      <c r="C98" s="1">
        <f t="shared" si="35"/>
        <v>14</v>
      </c>
      <c r="D98" s="1">
        <f t="shared" si="35"/>
        <v>0</v>
      </c>
      <c r="E98" s="4">
        <f t="shared" si="35"/>
        <v>0</v>
      </c>
      <c r="F98" s="14">
        <f t="shared" si="35"/>
        <v>15</v>
      </c>
      <c r="G98" s="1">
        <f t="shared" si="35"/>
        <v>9</v>
      </c>
      <c r="H98" s="4">
        <f t="shared" si="35"/>
        <v>0</v>
      </c>
      <c r="I98" s="14">
        <f t="shared" si="35"/>
        <v>23</v>
      </c>
      <c r="J98" s="1">
        <f t="shared" si="35"/>
        <v>9</v>
      </c>
      <c r="K98" s="4">
        <f t="shared" si="35"/>
        <v>0</v>
      </c>
      <c r="L98" s="51">
        <f t="shared" si="35"/>
        <v>30000</v>
      </c>
    </row>
    <row r="99" spans="1:12" x14ac:dyDescent="0.25">
      <c r="A99" s="48">
        <v>4</v>
      </c>
      <c r="B99" s="14">
        <f t="shared" ref="B99:L99" si="36">SUM(B84:B88)</f>
        <v>5</v>
      </c>
      <c r="C99" s="1">
        <f t="shared" si="36"/>
        <v>14</v>
      </c>
      <c r="D99" s="1">
        <f t="shared" si="36"/>
        <v>5</v>
      </c>
      <c r="E99" s="4">
        <f t="shared" si="36"/>
        <v>0</v>
      </c>
      <c r="F99" s="14">
        <f t="shared" si="36"/>
        <v>15</v>
      </c>
      <c r="G99" s="1">
        <f t="shared" si="36"/>
        <v>23</v>
      </c>
      <c r="H99" s="4">
        <f t="shared" si="36"/>
        <v>0</v>
      </c>
      <c r="I99" s="14">
        <f t="shared" si="36"/>
        <v>23</v>
      </c>
      <c r="J99" s="1">
        <f t="shared" si="36"/>
        <v>27</v>
      </c>
      <c r="K99" s="4">
        <f t="shared" si="36"/>
        <v>0</v>
      </c>
      <c r="L99" s="51">
        <f t="shared" si="36"/>
        <v>50000</v>
      </c>
    </row>
    <row r="100" spans="1:12" x14ac:dyDescent="0.25">
      <c r="A100" s="48">
        <v>5</v>
      </c>
      <c r="B100" s="14">
        <f t="shared" ref="B100:L100" si="37">SUM(B84:B89)</f>
        <v>5</v>
      </c>
      <c r="C100" s="1">
        <f t="shared" si="37"/>
        <v>14</v>
      </c>
      <c r="D100" s="1">
        <f t="shared" si="37"/>
        <v>14</v>
      </c>
      <c r="E100" s="4">
        <f t="shared" si="37"/>
        <v>0</v>
      </c>
      <c r="F100" s="14">
        <f t="shared" si="37"/>
        <v>15</v>
      </c>
      <c r="G100" s="1">
        <f t="shared" si="37"/>
        <v>23</v>
      </c>
      <c r="H100" s="4">
        <f t="shared" si="37"/>
        <v>9</v>
      </c>
      <c r="I100" s="14">
        <f t="shared" si="37"/>
        <v>23</v>
      </c>
      <c r="J100" s="1">
        <f t="shared" si="37"/>
        <v>27</v>
      </c>
      <c r="K100" s="4">
        <f t="shared" si="37"/>
        <v>14</v>
      </c>
      <c r="L100" s="51">
        <f t="shared" si="37"/>
        <v>75000</v>
      </c>
    </row>
    <row r="101" spans="1:12" ht="15.75" thickBot="1" x14ac:dyDescent="0.3">
      <c r="A101" s="47">
        <v>6</v>
      </c>
      <c r="B101" s="13">
        <f t="shared" ref="B101:L101" si="38">SUM(B84:B90)</f>
        <v>5</v>
      </c>
      <c r="C101" s="9">
        <f t="shared" si="38"/>
        <v>14</v>
      </c>
      <c r="D101" s="9">
        <f t="shared" si="38"/>
        <v>14</v>
      </c>
      <c r="E101" s="10">
        <f t="shared" si="38"/>
        <v>6</v>
      </c>
      <c r="F101" s="13">
        <f t="shared" si="38"/>
        <v>15</v>
      </c>
      <c r="G101" s="9">
        <f t="shared" si="38"/>
        <v>23</v>
      </c>
      <c r="H101" s="10">
        <f t="shared" si="38"/>
        <v>27</v>
      </c>
      <c r="I101" s="13">
        <f t="shared" si="38"/>
        <v>23</v>
      </c>
      <c r="J101" s="9">
        <f t="shared" si="38"/>
        <v>27</v>
      </c>
      <c r="K101" s="10">
        <f t="shared" si="38"/>
        <v>41</v>
      </c>
      <c r="L101" s="50">
        <f t="shared" si="38"/>
        <v>105000</v>
      </c>
    </row>
    <row r="108" spans="1:12" x14ac:dyDescent="0.25">
      <c r="A108" s="30"/>
      <c r="B108" s="30"/>
      <c r="C108" s="30"/>
      <c r="D108" s="30"/>
      <c r="E108" s="30"/>
      <c r="F108" s="30"/>
      <c r="G108" s="30"/>
      <c r="H108" s="30"/>
      <c r="I108" s="30"/>
      <c r="J108" s="30"/>
      <c r="K108" s="30"/>
      <c r="L108" s="30"/>
    </row>
    <row r="119" spans="1:12" x14ac:dyDescent="0.25">
      <c r="A119" s="30"/>
      <c r="B119" s="30"/>
      <c r="C119" s="30"/>
      <c r="D119" s="30"/>
      <c r="E119" s="30"/>
      <c r="F119" s="30"/>
      <c r="G119" s="30"/>
      <c r="H119" s="30"/>
      <c r="I119" s="30"/>
      <c r="J119" s="30"/>
      <c r="K119" s="30"/>
      <c r="L119" s="30"/>
    </row>
    <row r="130" spans="1:12" x14ac:dyDescent="0.25">
      <c r="A130" s="30"/>
      <c r="B130" s="30"/>
      <c r="C130" s="30"/>
      <c r="D130" s="30"/>
      <c r="E130" s="30"/>
      <c r="F130" s="30"/>
      <c r="G130" s="30"/>
      <c r="H130" s="30"/>
      <c r="I130" s="30"/>
      <c r="J130" s="30"/>
      <c r="K130" s="30"/>
      <c r="L130" s="30"/>
    </row>
    <row r="141" spans="1:12" x14ac:dyDescent="0.25">
      <c r="A141" s="30"/>
      <c r="B141" s="30"/>
      <c r="C141" s="30"/>
      <c r="D141" s="30"/>
      <c r="E141" s="30"/>
      <c r="F141" s="30"/>
      <c r="G141" s="30"/>
      <c r="H141" s="30"/>
      <c r="I141" s="30"/>
      <c r="J141" s="30"/>
      <c r="K141" s="30"/>
      <c r="L141" s="30"/>
    </row>
    <row r="152" spans="1:12" x14ac:dyDescent="0.25">
      <c r="A152" s="30"/>
      <c r="B152" s="30"/>
      <c r="C152" s="30"/>
      <c r="D152" s="30"/>
      <c r="E152" s="30"/>
      <c r="F152" s="30"/>
      <c r="G152" s="30"/>
      <c r="H152" s="30"/>
      <c r="I152" s="30"/>
      <c r="J152" s="30"/>
      <c r="K152" s="30"/>
      <c r="L152" s="30"/>
    </row>
  </sheetData>
  <mergeCells count="45">
    <mergeCell ref="N37:R37"/>
    <mergeCell ref="N59:R59"/>
    <mergeCell ref="N81:R81"/>
    <mergeCell ref="N2:R2"/>
    <mergeCell ref="N19:R19"/>
    <mergeCell ref="A1:L1"/>
    <mergeCell ref="B2:E2"/>
    <mergeCell ref="I2:K2"/>
    <mergeCell ref="F2:H2"/>
    <mergeCell ref="B20:E20"/>
    <mergeCell ref="F20:H20"/>
    <mergeCell ref="I20:K20"/>
    <mergeCell ref="A10:L10"/>
    <mergeCell ref="B11:E11"/>
    <mergeCell ref="F11:H11"/>
    <mergeCell ref="I11:K11"/>
    <mergeCell ref="A19:L19"/>
    <mergeCell ref="A28:L28"/>
    <mergeCell ref="B29:E29"/>
    <mergeCell ref="F29:H29"/>
    <mergeCell ref="I29:K29"/>
    <mergeCell ref="F60:H60"/>
    <mergeCell ref="I60:K60"/>
    <mergeCell ref="A37:L37"/>
    <mergeCell ref="B38:E38"/>
    <mergeCell ref="F38:H38"/>
    <mergeCell ref="I38:K38"/>
    <mergeCell ref="A48:L48"/>
    <mergeCell ref="B49:E49"/>
    <mergeCell ref="F49:H49"/>
    <mergeCell ref="I49:K49"/>
    <mergeCell ref="A59:L59"/>
    <mergeCell ref="B60:E60"/>
    <mergeCell ref="A70:L70"/>
    <mergeCell ref="B71:E71"/>
    <mergeCell ref="F71:H71"/>
    <mergeCell ref="I71:K71"/>
    <mergeCell ref="A81:L81"/>
    <mergeCell ref="B82:E82"/>
    <mergeCell ref="F82:H82"/>
    <mergeCell ref="I82:K82"/>
    <mergeCell ref="A92:L92"/>
    <mergeCell ref="B93:E93"/>
    <mergeCell ref="F93:H93"/>
    <mergeCell ref="I93:K93"/>
  </mergeCell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FF7A8-78CB-4E3C-8F69-1F94CD00ADDB}">
  <sheetPr codeName="Sheet91">
    <tabColor theme="0" tint="-0.249977111117893"/>
  </sheetPr>
  <dimension ref="A1:E24"/>
  <sheetViews>
    <sheetView workbookViewId="0">
      <selection activeCell="A21" sqref="A21"/>
    </sheetView>
  </sheetViews>
  <sheetFormatPr defaultColWidth="8.85546875" defaultRowHeight="15" x14ac:dyDescent="0.25"/>
  <cols>
    <col min="1" max="1" width="12" bestFit="1" customWidth="1"/>
    <col min="2" max="2" width="36.28515625" bestFit="1" customWidth="1"/>
    <col min="3" max="3" width="34.28515625" bestFit="1" customWidth="1"/>
    <col min="4" max="4" width="33.140625" bestFit="1" customWidth="1"/>
    <col min="5" max="5" width="35.7109375" bestFit="1" customWidth="1"/>
  </cols>
  <sheetData>
    <row r="1" spans="1:5" ht="15.75" thickBot="1" x14ac:dyDescent="0.3">
      <c r="A1" s="171" t="s">
        <v>17</v>
      </c>
      <c r="B1" s="231"/>
      <c r="C1" s="231"/>
      <c r="D1" s="231"/>
      <c r="E1" s="172"/>
    </row>
    <row r="2" spans="1:5" ht="15.75" thickBot="1" x14ac:dyDescent="0.3">
      <c r="A2" s="11" t="s">
        <v>0</v>
      </c>
      <c r="B2" s="7" t="s">
        <v>613</v>
      </c>
      <c r="C2" s="7" t="s">
        <v>614</v>
      </c>
      <c r="D2" s="7" t="s">
        <v>615</v>
      </c>
      <c r="E2" s="8" t="s">
        <v>629</v>
      </c>
    </row>
    <row r="3" spans="1:5" x14ac:dyDescent="0.25">
      <c r="A3" s="20" t="s">
        <v>31</v>
      </c>
      <c r="B3" s="5" t="s">
        <v>643</v>
      </c>
      <c r="C3" s="5" t="s">
        <v>644</v>
      </c>
      <c r="D3" s="5" t="s">
        <v>645</v>
      </c>
      <c r="E3" s="6" t="s">
        <v>646</v>
      </c>
    </row>
    <row r="4" spans="1:5" x14ac:dyDescent="0.25">
      <c r="A4" s="14" t="s">
        <v>48</v>
      </c>
      <c r="B4" s="1" t="s">
        <v>647</v>
      </c>
      <c r="C4" s="1" t="s">
        <v>648</v>
      </c>
      <c r="D4" s="1" t="s">
        <v>649</v>
      </c>
      <c r="E4" s="4" t="s">
        <v>650</v>
      </c>
    </row>
    <row r="5" spans="1:5" x14ac:dyDescent="0.25">
      <c r="A5" s="14" t="s">
        <v>57</v>
      </c>
      <c r="B5" s="1" t="s">
        <v>651</v>
      </c>
      <c r="C5" s="1" t="s">
        <v>652</v>
      </c>
      <c r="D5" s="1" t="s">
        <v>653</v>
      </c>
      <c r="E5" s="4" t="s">
        <v>654</v>
      </c>
    </row>
    <row r="6" spans="1:5" x14ac:dyDescent="0.25">
      <c r="A6" s="14" t="s">
        <v>66</v>
      </c>
      <c r="B6" s="1" t="s">
        <v>655</v>
      </c>
      <c r="C6" s="1" t="s">
        <v>656</v>
      </c>
      <c r="D6" s="1" t="s">
        <v>657</v>
      </c>
      <c r="E6" s="4" t="s">
        <v>658</v>
      </c>
    </row>
    <row r="7" spans="1:5" x14ac:dyDescent="0.25">
      <c r="A7" s="14" t="s">
        <v>73</v>
      </c>
      <c r="B7" s="1" t="s">
        <v>659</v>
      </c>
      <c r="C7" s="1" t="s">
        <v>660</v>
      </c>
      <c r="D7" s="1" t="s">
        <v>661</v>
      </c>
      <c r="E7" s="4" t="s">
        <v>662</v>
      </c>
    </row>
    <row r="8" spans="1:5" x14ac:dyDescent="0.25">
      <c r="A8" s="19" t="s">
        <v>82</v>
      </c>
      <c r="B8" s="44" t="s">
        <v>663</v>
      </c>
      <c r="C8" s="44" t="s">
        <v>664</v>
      </c>
      <c r="D8" s="44" t="s">
        <v>665</v>
      </c>
      <c r="E8" s="45" t="s">
        <v>666</v>
      </c>
    </row>
    <row r="9" spans="1:5" x14ac:dyDescent="0.25">
      <c r="A9" s="19" t="s">
        <v>89</v>
      </c>
      <c r="B9" s="44" t="s">
        <v>667</v>
      </c>
      <c r="C9" s="44" t="s">
        <v>668</v>
      </c>
      <c r="D9" s="44" t="s">
        <v>669</v>
      </c>
      <c r="E9" s="45" t="s">
        <v>670</v>
      </c>
    </row>
    <row r="10" spans="1:5" x14ac:dyDescent="0.25">
      <c r="A10" s="19" t="s">
        <v>95</v>
      </c>
      <c r="B10" s="44" t="s">
        <v>671</v>
      </c>
      <c r="C10" s="44" t="s">
        <v>672</v>
      </c>
      <c r="D10" s="44" t="s">
        <v>673</v>
      </c>
      <c r="E10" s="45" t="s">
        <v>674</v>
      </c>
    </row>
    <row r="11" spans="1:5" x14ac:dyDescent="0.25">
      <c r="A11" s="19" t="s">
        <v>101</v>
      </c>
      <c r="B11" s="44" t="s">
        <v>675</v>
      </c>
      <c r="C11" s="44" t="s">
        <v>676</v>
      </c>
      <c r="D11" s="44" t="s">
        <v>677</v>
      </c>
      <c r="E11" s="45" t="s">
        <v>678</v>
      </c>
    </row>
    <row r="12" spans="1:5" x14ac:dyDescent="0.25">
      <c r="A12" s="19" t="s">
        <v>107</v>
      </c>
      <c r="B12" s="44" t="s">
        <v>679</v>
      </c>
      <c r="C12" s="44" t="s">
        <v>680</v>
      </c>
      <c r="D12" s="44" t="s">
        <v>681</v>
      </c>
      <c r="E12" s="45" t="s">
        <v>682</v>
      </c>
    </row>
    <row r="13" spans="1:5" x14ac:dyDescent="0.25">
      <c r="A13" s="19" t="s">
        <v>113</v>
      </c>
      <c r="B13" s="44" t="s">
        <v>683</v>
      </c>
      <c r="C13" s="44" t="s">
        <v>684</v>
      </c>
      <c r="D13" s="44" t="s">
        <v>685</v>
      </c>
      <c r="E13" s="45" t="s">
        <v>686</v>
      </c>
    </row>
    <row r="14" spans="1:5" x14ac:dyDescent="0.25">
      <c r="A14" s="19" t="s">
        <v>119</v>
      </c>
      <c r="B14" s="44" t="s">
        <v>687</v>
      </c>
      <c r="C14" s="44" t="s">
        <v>688</v>
      </c>
      <c r="D14" s="44" t="s">
        <v>689</v>
      </c>
      <c r="E14" s="45" t="s">
        <v>690</v>
      </c>
    </row>
    <row r="15" spans="1:5" x14ac:dyDescent="0.25">
      <c r="A15" s="19" t="s">
        <v>125</v>
      </c>
      <c r="B15" s="44" t="s">
        <v>691</v>
      </c>
      <c r="C15" s="44" t="s">
        <v>692</v>
      </c>
      <c r="D15" s="44" t="s">
        <v>693</v>
      </c>
      <c r="E15" s="45" t="s">
        <v>694</v>
      </c>
    </row>
    <row r="16" spans="1:5" x14ac:dyDescent="0.25">
      <c r="A16" s="19" t="s">
        <v>128</v>
      </c>
      <c r="B16" s="44" t="s">
        <v>695</v>
      </c>
      <c r="C16" s="44" t="s">
        <v>696</v>
      </c>
      <c r="D16" s="44" t="s">
        <v>697</v>
      </c>
      <c r="E16" s="45" t="s">
        <v>698</v>
      </c>
    </row>
    <row r="17" spans="1:5" x14ac:dyDescent="0.25">
      <c r="A17" s="19" t="s">
        <v>131</v>
      </c>
      <c r="B17" s="44" t="s">
        <v>699</v>
      </c>
      <c r="C17" s="44" t="s">
        <v>700</v>
      </c>
      <c r="D17" s="44" t="s">
        <v>701</v>
      </c>
      <c r="E17" s="45" t="s">
        <v>702</v>
      </c>
    </row>
    <row r="18" spans="1:5" x14ac:dyDescent="0.25">
      <c r="A18" s="19" t="s">
        <v>134</v>
      </c>
      <c r="B18" s="44" t="s">
        <v>703</v>
      </c>
      <c r="C18" s="44" t="s">
        <v>704</v>
      </c>
      <c r="D18" s="44" t="s">
        <v>705</v>
      </c>
      <c r="E18" s="45" t="s">
        <v>706</v>
      </c>
    </row>
    <row r="19" spans="1:5" x14ac:dyDescent="0.25">
      <c r="A19" s="19" t="s">
        <v>135</v>
      </c>
      <c r="B19" s="44" t="s">
        <v>707</v>
      </c>
      <c r="C19" s="44" t="s">
        <v>708</v>
      </c>
      <c r="D19" s="44" t="s">
        <v>709</v>
      </c>
      <c r="E19" s="45" t="s">
        <v>710</v>
      </c>
    </row>
    <row r="20" spans="1:5" x14ac:dyDescent="0.25">
      <c r="A20" s="19" t="s">
        <v>137</v>
      </c>
      <c r="B20" s="44" t="s">
        <v>711</v>
      </c>
      <c r="C20" s="44" t="s">
        <v>712</v>
      </c>
      <c r="D20" s="44" t="s">
        <v>713</v>
      </c>
      <c r="E20" s="45" t="s">
        <v>714</v>
      </c>
    </row>
    <row r="21" spans="1:5" x14ac:dyDescent="0.25">
      <c r="A21" s="19" t="s">
        <v>932</v>
      </c>
      <c r="B21" s="44" t="s">
        <v>951</v>
      </c>
      <c r="C21" s="44" t="s">
        <v>952</v>
      </c>
      <c r="D21" s="44" t="s">
        <v>953</v>
      </c>
      <c r="E21" s="45" t="s">
        <v>954</v>
      </c>
    </row>
    <row r="22" spans="1:5" x14ac:dyDescent="0.25">
      <c r="A22" s="19" t="s">
        <v>933</v>
      </c>
      <c r="B22" s="44" t="s">
        <v>955</v>
      </c>
      <c r="C22" s="44" t="s">
        <v>956</v>
      </c>
      <c r="D22" s="44" t="s">
        <v>957</v>
      </c>
      <c r="E22" s="45" t="s">
        <v>958</v>
      </c>
    </row>
    <row r="23" spans="1:5" x14ac:dyDescent="0.25">
      <c r="A23" s="19" t="s">
        <v>934</v>
      </c>
      <c r="B23" s="44" t="s">
        <v>959</v>
      </c>
      <c r="C23" s="44" t="s">
        <v>960</v>
      </c>
      <c r="D23" s="44" t="s">
        <v>961</v>
      </c>
      <c r="E23" s="45" t="s">
        <v>962</v>
      </c>
    </row>
    <row r="24" spans="1:5" ht="15.75" thickBot="1" x14ac:dyDescent="0.3">
      <c r="A24" s="31"/>
      <c r="B24" s="32"/>
      <c r="C24" s="32"/>
      <c r="D24" s="32"/>
      <c r="E24" s="18"/>
    </row>
  </sheetData>
  <mergeCells count="1">
    <mergeCell ref="A1:E1"/>
  </mergeCells>
  <phoneticPr fontId="3" type="noConversion"/>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B25C3-DAD4-491D-9369-2F27645A0E43}">
  <sheetPr codeName="Sheet207">
    <tabColor theme="0" tint="-0.249977111117893"/>
  </sheetPr>
  <dimension ref="A1:E39"/>
  <sheetViews>
    <sheetView zoomScale="130" zoomScaleNormal="130" workbookViewId="0">
      <selection activeCell="A21" sqref="A21:A23"/>
    </sheetView>
  </sheetViews>
  <sheetFormatPr defaultColWidth="8.85546875" defaultRowHeight="15" x14ac:dyDescent="0.25"/>
  <cols>
    <col min="1" max="1" width="12" bestFit="1" customWidth="1"/>
    <col min="2" max="2" width="11.7109375" bestFit="1" customWidth="1"/>
    <col min="4" max="4" width="19" bestFit="1" customWidth="1"/>
    <col min="5" max="5" width="27.42578125" bestFit="1" customWidth="1"/>
  </cols>
  <sheetData>
    <row r="1" spans="1:5" ht="15.75" thickBot="1" x14ac:dyDescent="0.3">
      <c r="A1" s="171" t="s">
        <v>715</v>
      </c>
      <c r="B1" s="172"/>
      <c r="D1" s="171" t="s">
        <v>716</v>
      </c>
      <c r="E1" s="172"/>
    </row>
    <row r="2" spans="1:5" ht="15.75" thickBot="1" x14ac:dyDescent="0.3">
      <c r="A2" s="11" t="s">
        <v>0</v>
      </c>
      <c r="B2" s="8" t="s">
        <v>717</v>
      </c>
      <c r="D2" s="11" t="s">
        <v>0</v>
      </c>
      <c r="E2" s="8" t="s">
        <v>717</v>
      </c>
    </row>
    <row r="3" spans="1:5" x14ac:dyDescent="0.25">
      <c r="A3" s="20" t="s">
        <v>31</v>
      </c>
      <c r="B3" s="6" t="s">
        <v>718</v>
      </c>
      <c r="D3" s="20" t="s">
        <v>525</v>
      </c>
      <c r="E3" s="6" t="s">
        <v>719</v>
      </c>
    </row>
    <row r="4" spans="1:5" x14ac:dyDescent="0.25">
      <c r="A4" s="14" t="s">
        <v>48</v>
      </c>
      <c r="B4" s="4" t="s">
        <v>720</v>
      </c>
      <c r="D4" s="20" t="s">
        <v>521</v>
      </c>
      <c r="E4" s="4" t="s">
        <v>721</v>
      </c>
    </row>
    <row r="5" spans="1:5" x14ac:dyDescent="0.25">
      <c r="A5" s="14" t="s">
        <v>57</v>
      </c>
      <c r="B5" s="4" t="s">
        <v>722</v>
      </c>
      <c r="D5" s="20" t="s">
        <v>156</v>
      </c>
      <c r="E5" s="4" t="s">
        <v>723</v>
      </c>
    </row>
    <row r="6" spans="1:5" x14ac:dyDescent="0.25">
      <c r="A6" s="14" t="s">
        <v>66</v>
      </c>
      <c r="B6" s="4" t="s">
        <v>724</v>
      </c>
      <c r="D6" s="14" t="s">
        <v>534</v>
      </c>
      <c r="E6" s="4" t="s">
        <v>725</v>
      </c>
    </row>
    <row r="7" spans="1:5" x14ac:dyDescent="0.25">
      <c r="A7" s="14" t="s">
        <v>73</v>
      </c>
      <c r="B7" s="4" t="s">
        <v>726</v>
      </c>
      <c r="D7" s="14" t="s">
        <v>532</v>
      </c>
      <c r="E7" s="4" t="s">
        <v>727</v>
      </c>
    </row>
    <row r="8" spans="1:5" x14ac:dyDescent="0.25">
      <c r="A8" s="19" t="s">
        <v>82</v>
      </c>
      <c r="B8" s="45" t="s">
        <v>728</v>
      </c>
      <c r="D8" s="14" t="s">
        <v>530</v>
      </c>
      <c r="E8" s="45" t="s">
        <v>729</v>
      </c>
    </row>
    <row r="9" spans="1:5" x14ac:dyDescent="0.25">
      <c r="A9" s="19" t="s">
        <v>89</v>
      </c>
      <c r="B9" s="45" t="s">
        <v>730</v>
      </c>
      <c r="D9" s="14" t="s">
        <v>540</v>
      </c>
      <c r="E9" s="45" t="s">
        <v>731</v>
      </c>
    </row>
    <row r="10" spans="1:5" x14ac:dyDescent="0.25">
      <c r="A10" s="19" t="s">
        <v>95</v>
      </c>
      <c r="B10" s="45" t="s">
        <v>732</v>
      </c>
      <c r="D10" s="14" t="s">
        <v>538</v>
      </c>
      <c r="E10" s="45" t="s">
        <v>733</v>
      </c>
    </row>
    <row r="11" spans="1:5" x14ac:dyDescent="0.25">
      <c r="A11" s="19" t="s">
        <v>101</v>
      </c>
      <c r="B11" s="45" t="s">
        <v>734</v>
      </c>
      <c r="D11" s="14" t="s">
        <v>542</v>
      </c>
      <c r="E11" s="45" t="s">
        <v>735</v>
      </c>
    </row>
    <row r="12" spans="1:5" x14ac:dyDescent="0.25">
      <c r="A12" s="19" t="s">
        <v>107</v>
      </c>
      <c r="B12" s="45" t="s">
        <v>736</v>
      </c>
      <c r="D12" s="14" t="s">
        <v>162</v>
      </c>
      <c r="E12" s="45" t="s">
        <v>737</v>
      </c>
    </row>
    <row r="13" spans="1:5" x14ac:dyDescent="0.25">
      <c r="A13" s="19" t="s">
        <v>113</v>
      </c>
      <c r="B13" s="45" t="s">
        <v>738</v>
      </c>
      <c r="D13" s="14" t="s">
        <v>543</v>
      </c>
      <c r="E13" s="45" t="s">
        <v>739</v>
      </c>
    </row>
    <row r="14" spans="1:5" x14ac:dyDescent="0.25">
      <c r="A14" s="19" t="s">
        <v>119</v>
      </c>
      <c r="B14" s="45" t="s">
        <v>740</v>
      </c>
      <c r="D14" s="14" t="s">
        <v>545</v>
      </c>
      <c r="E14" s="45" t="s">
        <v>741</v>
      </c>
    </row>
    <row r="15" spans="1:5" x14ac:dyDescent="0.25">
      <c r="A15" s="19" t="s">
        <v>125</v>
      </c>
      <c r="B15" s="45" t="s">
        <v>742</v>
      </c>
      <c r="D15" s="14" t="s">
        <v>550</v>
      </c>
      <c r="E15" s="45" t="s">
        <v>743</v>
      </c>
    </row>
    <row r="16" spans="1:5" x14ac:dyDescent="0.25">
      <c r="A16" s="19" t="s">
        <v>128</v>
      </c>
      <c r="B16" s="45" t="s">
        <v>744</v>
      </c>
      <c r="D16" s="14" t="s">
        <v>554</v>
      </c>
      <c r="E16" s="45" t="s">
        <v>745</v>
      </c>
    </row>
    <row r="17" spans="1:5" x14ac:dyDescent="0.25">
      <c r="A17" s="19" t="s">
        <v>131</v>
      </c>
      <c r="B17" s="45" t="s">
        <v>746</v>
      </c>
      <c r="D17" s="14" t="s">
        <v>552</v>
      </c>
      <c r="E17" s="45" t="s">
        <v>747</v>
      </c>
    </row>
    <row r="18" spans="1:5" x14ac:dyDescent="0.25">
      <c r="A18" s="19" t="s">
        <v>134</v>
      </c>
      <c r="B18" s="45" t="s">
        <v>748</v>
      </c>
      <c r="D18" s="19" t="s">
        <v>165</v>
      </c>
      <c r="E18" s="45" t="s">
        <v>749</v>
      </c>
    </row>
    <row r="19" spans="1:5" x14ac:dyDescent="0.25">
      <c r="A19" s="19" t="s">
        <v>135</v>
      </c>
      <c r="B19" s="45" t="s">
        <v>750</v>
      </c>
      <c r="D19" s="19" t="s">
        <v>558</v>
      </c>
      <c r="E19" s="45" t="s">
        <v>751</v>
      </c>
    </row>
    <row r="20" spans="1:5" x14ac:dyDescent="0.25">
      <c r="A20" s="19" t="s">
        <v>137</v>
      </c>
      <c r="B20" s="45" t="s">
        <v>752</v>
      </c>
      <c r="D20" s="19" t="s">
        <v>557</v>
      </c>
      <c r="E20" s="45" t="s">
        <v>753</v>
      </c>
    </row>
    <row r="21" spans="1:5" x14ac:dyDescent="0.25">
      <c r="A21" s="19" t="s">
        <v>932</v>
      </c>
      <c r="B21" s="45" t="s">
        <v>935</v>
      </c>
      <c r="D21" s="19" t="s">
        <v>565</v>
      </c>
      <c r="E21" s="45" t="s">
        <v>754</v>
      </c>
    </row>
    <row r="22" spans="1:5" x14ac:dyDescent="0.25">
      <c r="A22" s="19" t="s">
        <v>933</v>
      </c>
      <c r="B22" s="45" t="s">
        <v>941</v>
      </c>
      <c r="D22" s="19" t="s">
        <v>566</v>
      </c>
      <c r="E22" s="45" t="s">
        <v>755</v>
      </c>
    </row>
    <row r="23" spans="1:5" x14ac:dyDescent="0.25">
      <c r="A23" s="19" t="s">
        <v>934</v>
      </c>
      <c r="B23" s="45" t="s">
        <v>939</v>
      </c>
      <c r="D23" s="19" t="s">
        <v>567</v>
      </c>
      <c r="E23" s="45" t="s">
        <v>756</v>
      </c>
    </row>
    <row r="24" spans="1:5" ht="15.75" thickBot="1" x14ac:dyDescent="0.3">
      <c r="A24" s="31"/>
      <c r="B24" s="18"/>
      <c r="D24" s="19" t="s">
        <v>168</v>
      </c>
      <c r="E24" s="45" t="s">
        <v>757</v>
      </c>
    </row>
    <row r="25" spans="1:5" x14ac:dyDescent="0.25">
      <c r="D25" s="19" t="s">
        <v>570</v>
      </c>
      <c r="E25" s="45" t="s">
        <v>758</v>
      </c>
    </row>
    <row r="26" spans="1:5" x14ac:dyDescent="0.25">
      <c r="D26" s="19" t="s">
        <v>571</v>
      </c>
      <c r="E26" s="45" t="s">
        <v>759</v>
      </c>
    </row>
    <row r="27" spans="1:5" x14ac:dyDescent="0.25">
      <c r="D27" s="19" t="s">
        <v>580</v>
      </c>
      <c r="E27" s="45" t="s">
        <v>760</v>
      </c>
    </row>
    <row r="28" spans="1:5" x14ac:dyDescent="0.25">
      <c r="D28" s="19" t="s">
        <v>582</v>
      </c>
      <c r="E28" s="45" t="s">
        <v>761</v>
      </c>
    </row>
    <row r="29" spans="1:5" x14ac:dyDescent="0.25">
      <c r="D29" s="19" t="s">
        <v>578</v>
      </c>
      <c r="E29" s="45" t="s">
        <v>762</v>
      </c>
    </row>
    <row r="30" spans="1:5" x14ac:dyDescent="0.25">
      <c r="D30" s="19" t="s">
        <v>584</v>
      </c>
      <c r="E30" s="45" t="s">
        <v>763</v>
      </c>
    </row>
    <row r="31" spans="1:5" x14ac:dyDescent="0.25">
      <c r="D31" s="19" t="s">
        <v>586</v>
      </c>
      <c r="E31" s="45" t="s">
        <v>764</v>
      </c>
    </row>
    <row r="32" spans="1:5" x14ac:dyDescent="0.25">
      <c r="D32" s="19" t="s">
        <v>590</v>
      </c>
      <c r="E32" s="45" t="s">
        <v>765</v>
      </c>
    </row>
    <row r="33" spans="4:5" x14ac:dyDescent="0.25">
      <c r="D33" s="19" t="s">
        <v>890</v>
      </c>
      <c r="E33" s="45" t="s">
        <v>887</v>
      </c>
    </row>
    <row r="34" spans="4:5" x14ac:dyDescent="0.25">
      <c r="D34" s="19" t="s">
        <v>891</v>
      </c>
      <c r="E34" s="45" t="s">
        <v>888</v>
      </c>
    </row>
    <row r="35" spans="4:5" x14ac:dyDescent="0.25">
      <c r="D35" s="19" t="s">
        <v>892</v>
      </c>
      <c r="E35" s="45" t="s">
        <v>889</v>
      </c>
    </row>
    <row r="36" spans="4:5" x14ac:dyDescent="0.25">
      <c r="D36" s="19" t="s">
        <v>917</v>
      </c>
      <c r="E36" s="45" t="s">
        <v>922</v>
      </c>
    </row>
    <row r="37" spans="4:5" x14ac:dyDescent="0.25">
      <c r="D37" s="19" t="s">
        <v>918</v>
      </c>
      <c r="E37" s="45" t="s">
        <v>920</v>
      </c>
    </row>
    <row r="38" spans="4:5" x14ac:dyDescent="0.25">
      <c r="D38" s="19" t="s">
        <v>919</v>
      </c>
      <c r="E38" s="45" t="s">
        <v>921</v>
      </c>
    </row>
    <row r="39" spans="4:5" ht="15.75" thickBot="1" x14ac:dyDescent="0.3">
      <c r="D39" s="31"/>
      <c r="E39" s="18"/>
    </row>
  </sheetData>
  <mergeCells count="2">
    <mergeCell ref="A1:B1"/>
    <mergeCell ref="D1:E1"/>
  </mergeCells>
  <phoneticPr fontId="3" type="noConversion"/>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8C1E3-2DB9-49DD-AB95-98640B3D9021}">
  <sheetPr codeName="Sheet92">
    <tabColor theme="0" tint="-0.249977111117893"/>
  </sheetPr>
  <dimension ref="A1:I47"/>
  <sheetViews>
    <sheetView workbookViewId="0">
      <selection activeCell="D39" sqref="D39"/>
    </sheetView>
  </sheetViews>
  <sheetFormatPr defaultColWidth="8.85546875" defaultRowHeight="15" x14ac:dyDescent="0.25"/>
  <cols>
    <col min="1" max="1" width="19.140625" bestFit="1" customWidth="1"/>
    <col min="2" max="2" width="25.42578125" bestFit="1" customWidth="1"/>
    <col min="3" max="3" width="25.7109375" bestFit="1" customWidth="1"/>
    <col min="4" max="4" width="40" bestFit="1" customWidth="1"/>
    <col min="6" max="6" width="8.42578125" bestFit="1" customWidth="1"/>
    <col min="7" max="7" width="17" bestFit="1" customWidth="1"/>
    <col min="9" max="9" width="1.42578125" bestFit="1" customWidth="1"/>
  </cols>
  <sheetData>
    <row r="1" spans="1:7" ht="15.75" thickBot="1" x14ac:dyDescent="0.3">
      <c r="A1" s="173" t="s">
        <v>19</v>
      </c>
      <c r="B1" s="174"/>
      <c r="C1" s="174"/>
      <c r="D1" s="175"/>
      <c r="F1" s="171" t="s">
        <v>766</v>
      </c>
      <c r="G1" s="172"/>
    </row>
    <row r="2" spans="1:7" ht="15.75" thickBot="1" x14ac:dyDescent="0.3">
      <c r="A2" s="11" t="s">
        <v>0</v>
      </c>
      <c r="B2" s="7" t="s">
        <v>612</v>
      </c>
      <c r="C2" s="7" t="s">
        <v>613</v>
      </c>
      <c r="D2" s="8" t="s">
        <v>614</v>
      </c>
      <c r="F2" s="11" t="s">
        <v>145</v>
      </c>
      <c r="G2" s="8" t="s">
        <v>514</v>
      </c>
    </row>
    <row r="3" spans="1:7" x14ac:dyDescent="0.25">
      <c r="A3" s="14" t="s">
        <v>33</v>
      </c>
      <c r="B3" s="1" t="s">
        <v>767</v>
      </c>
      <c r="C3" s="1" t="s">
        <v>768</v>
      </c>
      <c r="D3" s="4" t="s">
        <v>769</v>
      </c>
      <c r="F3" s="20" t="s">
        <v>154</v>
      </c>
      <c r="G3" s="6" t="s">
        <v>770</v>
      </c>
    </row>
    <row r="4" spans="1:7" x14ac:dyDescent="0.25">
      <c r="A4" s="14" t="s">
        <v>50</v>
      </c>
      <c r="B4" s="1" t="s">
        <v>771</v>
      </c>
      <c r="C4" s="1" t="s">
        <v>772</v>
      </c>
      <c r="D4" s="4" t="s">
        <v>773</v>
      </c>
      <c r="F4" s="14" t="s">
        <v>526</v>
      </c>
      <c r="G4" s="4" t="s">
        <v>774</v>
      </c>
    </row>
    <row r="5" spans="1:7" x14ac:dyDescent="0.25">
      <c r="A5" s="14" t="s">
        <v>59</v>
      </c>
      <c r="B5" s="1" t="s">
        <v>775</v>
      </c>
      <c r="C5" s="1" t="s">
        <v>776</v>
      </c>
      <c r="D5" s="4" t="s">
        <v>777</v>
      </c>
      <c r="F5" s="14" t="s">
        <v>163</v>
      </c>
      <c r="G5" s="4" t="s">
        <v>778</v>
      </c>
    </row>
    <row r="6" spans="1:7" x14ac:dyDescent="0.25">
      <c r="A6" s="14" t="s">
        <v>68</v>
      </c>
      <c r="B6" s="1" t="s">
        <v>779</v>
      </c>
      <c r="C6" s="1" t="s">
        <v>780</v>
      </c>
      <c r="D6" s="4" t="s">
        <v>781</v>
      </c>
      <c r="F6" s="14" t="s">
        <v>160</v>
      </c>
      <c r="G6" s="4" t="s">
        <v>782</v>
      </c>
    </row>
    <row r="7" spans="1:7" x14ac:dyDescent="0.25">
      <c r="A7" s="20" t="s">
        <v>75</v>
      </c>
      <c r="B7" s="5" t="s">
        <v>783</v>
      </c>
      <c r="C7" s="5" t="s">
        <v>784</v>
      </c>
      <c r="D7" s="6" t="s">
        <v>785</v>
      </c>
      <c r="F7" s="14" t="s">
        <v>157</v>
      </c>
      <c r="G7" s="4" t="s">
        <v>786</v>
      </c>
    </row>
    <row r="8" spans="1:7" x14ac:dyDescent="0.25">
      <c r="A8" s="14" t="s">
        <v>84</v>
      </c>
      <c r="B8" s="1" t="s">
        <v>787</v>
      </c>
      <c r="C8" s="1" t="s">
        <v>788</v>
      </c>
      <c r="D8" s="4" t="s">
        <v>789</v>
      </c>
      <c r="F8" s="14" t="s">
        <v>166</v>
      </c>
      <c r="G8" s="4" t="s">
        <v>790</v>
      </c>
    </row>
    <row r="9" spans="1:7" ht="15.75" thickBot="1" x14ac:dyDescent="0.3">
      <c r="A9" s="14" t="s">
        <v>91</v>
      </c>
      <c r="B9" s="1" t="s">
        <v>91</v>
      </c>
      <c r="C9" s="1" t="s">
        <v>791</v>
      </c>
      <c r="D9" s="4" t="s">
        <v>792</v>
      </c>
      <c r="F9" s="13" t="s">
        <v>518</v>
      </c>
      <c r="G9" s="10" t="s">
        <v>793</v>
      </c>
    </row>
    <row r="10" spans="1:7" x14ac:dyDescent="0.25">
      <c r="A10" s="20" t="s">
        <v>97</v>
      </c>
      <c r="B10" s="5" t="s">
        <v>794</v>
      </c>
      <c r="C10" s="5" t="s">
        <v>795</v>
      </c>
      <c r="D10" s="6" t="s">
        <v>796</v>
      </c>
    </row>
    <row r="11" spans="1:7" x14ac:dyDescent="0.25">
      <c r="A11" s="19" t="s">
        <v>103</v>
      </c>
      <c r="B11" s="44" t="s">
        <v>797</v>
      </c>
      <c r="C11" s="44" t="s">
        <v>798</v>
      </c>
      <c r="D11" s="45" t="s">
        <v>799</v>
      </c>
    </row>
    <row r="12" spans="1:7" x14ac:dyDescent="0.25">
      <c r="A12" s="19" t="s">
        <v>109</v>
      </c>
      <c r="B12" s="44" t="s">
        <v>800</v>
      </c>
      <c r="C12" s="44" t="s">
        <v>801</v>
      </c>
      <c r="D12" s="45" t="s">
        <v>802</v>
      </c>
    </row>
    <row r="13" spans="1:7" x14ac:dyDescent="0.25">
      <c r="A13" s="19" t="s">
        <v>115</v>
      </c>
      <c r="B13" s="44" t="s">
        <v>803</v>
      </c>
      <c r="C13" s="44" t="s">
        <v>804</v>
      </c>
      <c r="D13" s="45" t="s">
        <v>805</v>
      </c>
    </row>
    <row r="14" spans="1:7" x14ac:dyDescent="0.25">
      <c r="A14" s="19" t="s">
        <v>121</v>
      </c>
      <c r="B14" s="44" t="s">
        <v>806</v>
      </c>
      <c r="C14" s="44" t="s">
        <v>807</v>
      </c>
      <c r="D14" s="45" t="s">
        <v>808</v>
      </c>
    </row>
    <row r="15" spans="1:7" x14ac:dyDescent="0.25">
      <c r="A15" s="19" t="s">
        <v>127</v>
      </c>
      <c r="B15" s="44" t="s">
        <v>127</v>
      </c>
      <c r="C15" s="44" t="s">
        <v>809</v>
      </c>
      <c r="D15" s="45" t="s">
        <v>966</v>
      </c>
    </row>
    <row r="16" spans="1:7" x14ac:dyDescent="0.25">
      <c r="A16" s="19" t="s">
        <v>130</v>
      </c>
      <c r="B16" s="44" t="s">
        <v>810</v>
      </c>
      <c r="C16" s="44" t="s">
        <v>811</v>
      </c>
      <c r="D16" s="45" t="s">
        <v>812</v>
      </c>
    </row>
    <row r="17" spans="1:9" x14ac:dyDescent="0.25">
      <c r="A17" s="19" t="s">
        <v>133</v>
      </c>
      <c r="B17" s="44" t="s">
        <v>813</v>
      </c>
      <c r="C17" s="44" t="s">
        <v>814</v>
      </c>
      <c r="D17" s="45" t="s">
        <v>815</v>
      </c>
    </row>
    <row r="18" spans="1:9" ht="15.75" thickBot="1" x14ac:dyDescent="0.3">
      <c r="A18" s="31"/>
      <c r="B18" s="32"/>
      <c r="C18" s="32"/>
      <c r="D18" s="18"/>
    </row>
    <row r="19" spans="1:9" ht="15.75" thickBot="1" x14ac:dyDescent="0.3"/>
    <row r="20" spans="1:9" ht="15.75" thickBot="1" x14ac:dyDescent="0.3">
      <c r="A20" s="173" t="s">
        <v>18</v>
      </c>
      <c r="B20" s="174"/>
      <c r="C20" s="174"/>
      <c r="D20" s="175"/>
      <c r="I20" t="s">
        <v>86</v>
      </c>
    </row>
    <row r="21" spans="1:9" ht="15.75" thickBot="1" x14ac:dyDescent="0.3">
      <c r="A21" s="11" t="s">
        <v>0</v>
      </c>
      <c r="B21" s="7" t="s">
        <v>613</v>
      </c>
      <c r="C21" s="7" t="s">
        <v>614</v>
      </c>
      <c r="D21" s="8" t="s">
        <v>615</v>
      </c>
    </row>
    <row r="22" spans="1:9" x14ac:dyDescent="0.25">
      <c r="A22" s="14" t="s">
        <v>32</v>
      </c>
      <c r="B22" s="1" t="s">
        <v>816</v>
      </c>
      <c r="C22" s="1" t="s">
        <v>817</v>
      </c>
      <c r="D22" s="4" t="s">
        <v>818</v>
      </c>
    </row>
    <row r="23" spans="1:9" x14ac:dyDescent="0.25">
      <c r="A23" s="19" t="s">
        <v>49</v>
      </c>
      <c r="B23" s="44" t="s">
        <v>819</v>
      </c>
      <c r="C23" s="44" t="s">
        <v>820</v>
      </c>
      <c r="D23" s="45" t="s">
        <v>821</v>
      </c>
    </row>
    <row r="24" spans="1:9" x14ac:dyDescent="0.25">
      <c r="A24" s="14" t="s">
        <v>58</v>
      </c>
      <c r="B24" s="1" t="s">
        <v>822</v>
      </c>
      <c r="C24" s="1" t="s">
        <v>823</v>
      </c>
      <c r="D24" s="4" t="s">
        <v>824</v>
      </c>
    </row>
    <row r="25" spans="1:9" x14ac:dyDescent="0.25">
      <c r="A25" s="19" t="s">
        <v>67</v>
      </c>
      <c r="B25" s="44" t="s">
        <v>825</v>
      </c>
      <c r="C25" s="44" t="s">
        <v>826</v>
      </c>
      <c r="D25" s="45" t="s">
        <v>827</v>
      </c>
    </row>
    <row r="26" spans="1:9" x14ac:dyDescent="0.25">
      <c r="A26" s="14" t="s">
        <v>74</v>
      </c>
      <c r="B26" s="1" t="s">
        <v>828</v>
      </c>
      <c r="C26" s="1" t="s">
        <v>829</v>
      </c>
      <c r="D26" s="4" t="s">
        <v>830</v>
      </c>
    </row>
    <row r="27" spans="1:9" x14ac:dyDescent="0.25">
      <c r="A27" s="20" t="s">
        <v>83</v>
      </c>
      <c r="B27" s="5" t="s">
        <v>831</v>
      </c>
      <c r="C27" s="5" t="s">
        <v>832</v>
      </c>
      <c r="D27" s="6" t="s">
        <v>833</v>
      </c>
    </row>
    <row r="28" spans="1:9" x14ac:dyDescent="0.25">
      <c r="A28" s="14" t="s">
        <v>90</v>
      </c>
      <c r="B28" s="1" t="s">
        <v>834</v>
      </c>
      <c r="C28" s="1" t="s">
        <v>835</v>
      </c>
      <c r="D28" s="4" t="s">
        <v>836</v>
      </c>
    </row>
    <row r="29" spans="1:9" x14ac:dyDescent="0.25">
      <c r="A29" s="19" t="s">
        <v>96</v>
      </c>
      <c r="B29" s="44" t="s">
        <v>837</v>
      </c>
      <c r="C29" s="44" t="s">
        <v>838</v>
      </c>
      <c r="D29" s="45" t="s">
        <v>839</v>
      </c>
    </row>
    <row r="30" spans="1:9" x14ac:dyDescent="0.25">
      <c r="A30" s="19" t="s">
        <v>102</v>
      </c>
      <c r="B30" s="44" t="s">
        <v>840</v>
      </c>
      <c r="C30" s="44" t="s">
        <v>841</v>
      </c>
      <c r="D30" s="45" t="s">
        <v>842</v>
      </c>
    </row>
    <row r="31" spans="1:9" x14ac:dyDescent="0.25">
      <c r="A31" s="19" t="s">
        <v>108</v>
      </c>
      <c r="B31" s="44" t="s">
        <v>843</v>
      </c>
      <c r="C31" s="44" t="s">
        <v>844</v>
      </c>
      <c r="D31" s="45" t="s">
        <v>845</v>
      </c>
    </row>
    <row r="32" spans="1:9" x14ac:dyDescent="0.25">
      <c r="A32" s="19" t="s">
        <v>120</v>
      </c>
      <c r="B32" s="44" t="s">
        <v>846</v>
      </c>
      <c r="C32" s="44" t="s">
        <v>847</v>
      </c>
      <c r="D32" s="45" t="s">
        <v>848</v>
      </c>
    </row>
    <row r="33" spans="1:6" x14ac:dyDescent="0.25">
      <c r="A33" s="19" t="s">
        <v>114</v>
      </c>
      <c r="B33" s="44" t="s">
        <v>849</v>
      </c>
      <c r="C33" s="44" t="s">
        <v>850</v>
      </c>
      <c r="D33" s="45" t="s">
        <v>851</v>
      </c>
    </row>
    <row r="34" spans="1:6" x14ac:dyDescent="0.25">
      <c r="A34" s="19" t="s">
        <v>126</v>
      </c>
      <c r="B34" s="44" t="s">
        <v>852</v>
      </c>
      <c r="C34" s="44" t="s">
        <v>853</v>
      </c>
      <c r="D34" s="45" t="s">
        <v>854</v>
      </c>
    </row>
    <row r="35" spans="1:6" x14ac:dyDescent="0.25">
      <c r="A35" s="19" t="s">
        <v>129</v>
      </c>
      <c r="B35" s="44" t="s">
        <v>855</v>
      </c>
      <c r="C35" s="44" t="s">
        <v>856</v>
      </c>
      <c r="D35" s="45" t="s">
        <v>857</v>
      </c>
    </row>
    <row r="36" spans="1:6" x14ac:dyDescent="0.25">
      <c r="A36" s="19" t="s">
        <v>132</v>
      </c>
      <c r="B36" s="44" t="s">
        <v>858</v>
      </c>
      <c r="C36" s="44" t="s">
        <v>859</v>
      </c>
      <c r="D36" s="45" t="s">
        <v>860</v>
      </c>
    </row>
    <row r="37" spans="1:6" x14ac:dyDescent="0.25">
      <c r="A37" s="19" t="s">
        <v>911</v>
      </c>
      <c r="B37" s="44" t="s">
        <v>861</v>
      </c>
      <c r="C37" s="44" t="s">
        <v>862</v>
      </c>
      <c r="D37" s="45" t="s">
        <v>863</v>
      </c>
      <c r="F37" t="s">
        <v>86</v>
      </c>
    </row>
    <row r="38" spans="1:6" x14ac:dyDescent="0.25">
      <c r="A38" s="19" t="s">
        <v>136</v>
      </c>
      <c r="B38" s="44" t="s">
        <v>864</v>
      </c>
      <c r="C38" s="44" t="s">
        <v>865</v>
      </c>
      <c r="D38" s="45" t="s">
        <v>866</v>
      </c>
    </row>
    <row r="39" spans="1:6" x14ac:dyDescent="0.25">
      <c r="A39" s="19" t="s">
        <v>138</v>
      </c>
      <c r="B39" s="44" t="s">
        <v>967</v>
      </c>
      <c r="C39" s="44" t="s">
        <v>968</v>
      </c>
      <c r="D39" s="45" t="s">
        <v>969</v>
      </c>
    </row>
    <row r="40" spans="1:6" x14ac:dyDescent="0.25">
      <c r="A40" s="19" t="s">
        <v>139</v>
      </c>
      <c r="B40" s="44" t="s">
        <v>867</v>
      </c>
      <c r="C40" s="44" t="s">
        <v>868</v>
      </c>
      <c r="D40" s="45" t="s">
        <v>869</v>
      </c>
    </row>
    <row r="41" spans="1:6" x14ac:dyDescent="0.25">
      <c r="A41" s="19" t="s">
        <v>140</v>
      </c>
      <c r="B41" s="44" t="s">
        <v>870</v>
      </c>
      <c r="C41" s="44" t="s">
        <v>871</v>
      </c>
      <c r="D41" s="45" t="s">
        <v>872</v>
      </c>
    </row>
    <row r="42" spans="1:6" x14ac:dyDescent="0.25">
      <c r="A42" s="19" t="s">
        <v>141</v>
      </c>
      <c r="B42" s="44" t="s">
        <v>873</v>
      </c>
      <c r="C42" s="44" t="s">
        <v>874</v>
      </c>
      <c r="D42" s="45" t="s">
        <v>875</v>
      </c>
    </row>
    <row r="43" spans="1:6" x14ac:dyDescent="0.25">
      <c r="A43" s="19" t="s">
        <v>142</v>
      </c>
      <c r="B43" s="44" t="s">
        <v>876</v>
      </c>
      <c r="C43" s="44" t="s">
        <v>877</v>
      </c>
      <c r="D43" s="45" t="s">
        <v>878</v>
      </c>
    </row>
    <row r="44" spans="1:6" x14ac:dyDescent="0.25">
      <c r="A44" s="19" t="s">
        <v>143</v>
      </c>
      <c r="B44" s="44" t="s">
        <v>879</v>
      </c>
      <c r="C44" s="44" t="s">
        <v>880</v>
      </c>
      <c r="D44" s="45" t="s">
        <v>881</v>
      </c>
    </row>
    <row r="45" spans="1:6" x14ac:dyDescent="0.25">
      <c r="A45" s="19" t="s">
        <v>144</v>
      </c>
      <c r="B45" s="44" t="s">
        <v>882</v>
      </c>
      <c r="C45" s="44" t="s">
        <v>883</v>
      </c>
      <c r="D45" s="45" t="s">
        <v>884</v>
      </c>
    </row>
    <row r="46" spans="1:6" x14ac:dyDescent="0.25">
      <c r="A46" s="19" t="s">
        <v>913</v>
      </c>
      <c r="B46" s="44" t="s">
        <v>901</v>
      </c>
      <c r="C46" s="44" t="s">
        <v>902</v>
      </c>
      <c r="D46" s="45" t="s">
        <v>903</v>
      </c>
    </row>
    <row r="47" spans="1:6" ht="15.75" thickBot="1" x14ac:dyDescent="0.3">
      <c r="A47" s="31"/>
      <c r="B47" s="32"/>
      <c r="C47" s="32"/>
      <c r="D47" s="18"/>
    </row>
  </sheetData>
  <sortState xmlns:xlrd2="http://schemas.microsoft.com/office/spreadsheetml/2017/richdata2" ref="A28:D29">
    <sortCondition ref="A27:A29"/>
  </sortState>
  <mergeCells count="3">
    <mergeCell ref="F1:G1"/>
    <mergeCell ref="A1:D1"/>
    <mergeCell ref="A20:D2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352</vt:i4>
      </vt:variant>
      <vt:variant>
        <vt:lpstr>Named Ranges</vt:lpstr>
      </vt:variant>
      <vt:variant>
        <vt:i4>34</vt:i4>
      </vt:variant>
    </vt:vector>
  </HeadingPairs>
  <TitlesOfParts>
    <vt:vector size="386" baseType="lpstr">
      <vt:lpstr>HoyoLab Chest Count</vt:lpstr>
      <vt:lpstr>Overview</vt:lpstr>
      <vt:lpstr>Traveller Lookups</vt:lpstr>
      <vt:lpstr>Calculator Lookups</vt:lpstr>
      <vt:lpstr>Talent Book Lookups</vt:lpstr>
      <vt:lpstr>Char Drop Materials Lookups</vt:lpstr>
      <vt:lpstr>Weapon Ascension Mat Lookup</vt:lpstr>
      <vt:lpstr>Wep Drop Materials Lookups</vt:lpstr>
      <vt:lpstr>Weekly Boss Talent Lookups</vt:lpstr>
      <vt:lpstr>Character Progress Tracker</vt:lpstr>
      <vt:lpstr>Weapon Progress Tracker</vt:lpstr>
      <vt:lpstr>Traveller Level</vt:lpstr>
      <vt:lpstr>Traveller Anemo</vt:lpstr>
      <vt:lpstr>Traveller Geo</vt:lpstr>
      <vt:lpstr>Traveller Electro</vt:lpstr>
      <vt:lpstr>Traveller Dendro</vt:lpstr>
      <vt:lpstr>Traveller Hydro</vt:lpstr>
      <vt:lpstr>Traveller Pyro</vt:lpstr>
      <vt:lpstr>Character Upgrade Template</vt:lpstr>
      <vt:lpstr>Amber</vt:lpstr>
      <vt:lpstr>Lisa</vt:lpstr>
      <vt:lpstr>Razor</vt:lpstr>
      <vt:lpstr>Xiangling</vt:lpstr>
      <vt:lpstr>Beidou</vt:lpstr>
      <vt:lpstr>Bennett</vt:lpstr>
      <vt:lpstr>Noelle</vt:lpstr>
      <vt:lpstr>Chongyun</vt:lpstr>
      <vt:lpstr>Jean</vt:lpstr>
      <vt:lpstr>Diluc</vt:lpstr>
      <vt:lpstr>Kaeya</vt:lpstr>
      <vt:lpstr>Barbara</vt:lpstr>
      <vt:lpstr>Xingqiu</vt:lpstr>
      <vt:lpstr>Ningguang</vt:lpstr>
      <vt:lpstr>Fischl</vt:lpstr>
      <vt:lpstr>Sucrose</vt:lpstr>
      <vt:lpstr>Qiqi</vt:lpstr>
      <vt:lpstr>Mona</vt:lpstr>
      <vt:lpstr>Keqing</vt:lpstr>
      <vt:lpstr>Venti</vt:lpstr>
      <vt:lpstr>Klee</vt:lpstr>
      <vt:lpstr>Diona</vt:lpstr>
      <vt:lpstr>Tartaglia</vt:lpstr>
      <vt:lpstr>Xinyan</vt:lpstr>
      <vt:lpstr>Zhongli</vt:lpstr>
      <vt:lpstr>Albedo</vt:lpstr>
      <vt:lpstr>Ganyu</vt:lpstr>
      <vt:lpstr>Xiao</vt:lpstr>
      <vt:lpstr>Hutao</vt:lpstr>
      <vt:lpstr>Rosaria</vt:lpstr>
      <vt:lpstr>Yanfei</vt:lpstr>
      <vt:lpstr>Eula</vt:lpstr>
      <vt:lpstr>Kaedehara Kazuha</vt:lpstr>
      <vt:lpstr>Kamisato Ayaka</vt:lpstr>
      <vt:lpstr>Yoimiya</vt:lpstr>
      <vt:lpstr>Sayu</vt:lpstr>
      <vt:lpstr>Raiden Shogun</vt:lpstr>
      <vt:lpstr>Kujou Sara</vt:lpstr>
      <vt:lpstr>Sangonomiya Kokomi</vt:lpstr>
      <vt:lpstr>Thoma</vt:lpstr>
      <vt:lpstr>Aloy</vt:lpstr>
      <vt:lpstr>Arataki Itto</vt:lpstr>
      <vt:lpstr>Gorou</vt:lpstr>
      <vt:lpstr>Shenhe</vt:lpstr>
      <vt:lpstr>Yunjin</vt:lpstr>
      <vt:lpstr>Yae Miko</vt:lpstr>
      <vt:lpstr>Kamisato Ayato</vt:lpstr>
      <vt:lpstr>Yelan</vt:lpstr>
      <vt:lpstr>Kuki Shinobu</vt:lpstr>
      <vt:lpstr>Shikanoin Heizou</vt:lpstr>
      <vt:lpstr>Tighnari</vt:lpstr>
      <vt:lpstr>Collei</vt:lpstr>
      <vt:lpstr>Dori</vt:lpstr>
      <vt:lpstr>Cyno</vt:lpstr>
      <vt:lpstr>Candace</vt:lpstr>
      <vt:lpstr>Nilou</vt:lpstr>
      <vt:lpstr>Nahida</vt:lpstr>
      <vt:lpstr>Layla</vt:lpstr>
      <vt:lpstr>Wanderer</vt:lpstr>
      <vt:lpstr>Faruzan</vt:lpstr>
      <vt:lpstr>Alhaitham</vt:lpstr>
      <vt:lpstr>Yaoyao</vt:lpstr>
      <vt:lpstr>Dehya</vt:lpstr>
      <vt:lpstr>Mika</vt:lpstr>
      <vt:lpstr>Baizhu</vt:lpstr>
      <vt:lpstr>Kaveh</vt:lpstr>
      <vt:lpstr>Kirara</vt:lpstr>
      <vt:lpstr>Lyney</vt:lpstr>
      <vt:lpstr>Lynette</vt:lpstr>
      <vt:lpstr>Freminet</vt:lpstr>
      <vt:lpstr>Neuvillette</vt:lpstr>
      <vt:lpstr>Wriothesley</vt:lpstr>
      <vt:lpstr>Furina</vt:lpstr>
      <vt:lpstr>Charlotte</vt:lpstr>
      <vt:lpstr>Navia</vt:lpstr>
      <vt:lpstr>Chevreuse</vt:lpstr>
      <vt:lpstr>Xianyun</vt:lpstr>
      <vt:lpstr>Gaming</vt:lpstr>
      <vt:lpstr>Chiori</vt:lpstr>
      <vt:lpstr>Arlecchino</vt:lpstr>
      <vt:lpstr>Clorinde</vt:lpstr>
      <vt:lpstr>Sethos</vt:lpstr>
      <vt:lpstr>Sigewinne</vt:lpstr>
      <vt:lpstr>Emilie</vt:lpstr>
      <vt:lpstr>Mualani</vt:lpstr>
      <vt:lpstr>Kachina</vt:lpstr>
      <vt:lpstr>Kinich</vt:lpstr>
      <vt:lpstr>Xilonen</vt:lpstr>
      <vt:lpstr>Chasca</vt:lpstr>
      <vt:lpstr>Ororon</vt:lpstr>
      <vt:lpstr>Mavuika</vt:lpstr>
      <vt:lpstr>Citlali</vt:lpstr>
      <vt:lpstr>Lan Yan</vt:lpstr>
      <vt:lpstr>Yumemizuki Mizuki</vt:lpstr>
      <vt:lpstr>Varesa</vt:lpstr>
      <vt:lpstr>Iansan</vt:lpstr>
      <vt:lpstr>Escoffier</vt:lpstr>
      <vt:lpstr>Ifa</vt:lpstr>
      <vt:lpstr>Skirk</vt:lpstr>
      <vt:lpstr>Dahlia</vt:lpstr>
      <vt:lpstr>Ineffa</vt:lpstr>
      <vt:lpstr>Lauma</vt:lpstr>
      <vt:lpstr>Flins</vt:lpstr>
      <vt:lpstr>Aino</vt:lpstr>
      <vt:lpstr>Weapon Upgrade Template</vt:lpstr>
      <vt:lpstr>Dull Blade</vt:lpstr>
      <vt:lpstr>Waster Greatsword</vt:lpstr>
      <vt:lpstr>Beginner's Protector</vt:lpstr>
      <vt:lpstr>Apprentice's Notes</vt:lpstr>
      <vt:lpstr>Hunter's Bow</vt:lpstr>
      <vt:lpstr>Silver Sword</vt:lpstr>
      <vt:lpstr>Old Merc's Pal</vt:lpstr>
      <vt:lpstr>Iron Point</vt:lpstr>
      <vt:lpstr>Pocket Grimoire</vt:lpstr>
      <vt:lpstr>Seasoned Hunter's Bow</vt:lpstr>
      <vt:lpstr>Cool Steel</vt:lpstr>
      <vt:lpstr>Dark Iron Sword</vt:lpstr>
      <vt:lpstr>Fillet Blade</vt:lpstr>
      <vt:lpstr>Harbinger of Dawn</vt:lpstr>
      <vt:lpstr>Skyrider Sword</vt:lpstr>
      <vt:lpstr>Traveler's Handy Sword</vt:lpstr>
      <vt:lpstr>Bloodtainted Greatsword</vt:lpstr>
      <vt:lpstr>Debate Club</vt:lpstr>
      <vt:lpstr>Ferrous Shadow</vt:lpstr>
      <vt:lpstr>Skyrider Greatsword</vt:lpstr>
      <vt:lpstr>White Iron Greatsword</vt:lpstr>
      <vt:lpstr>Black Tassel</vt:lpstr>
      <vt:lpstr>Halberd</vt:lpstr>
      <vt:lpstr>White Tassel</vt:lpstr>
      <vt:lpstr>Emerald Orb</vt:lpstr>
      <vt:lpstr>Magic Guide</vt:lpstr>
      <vt:lpstr>Otherworldly Story</vt:lpstr>
      <vt:lpstr>TTDS</vt:lpstr>
      <vt:lpstr>Twin Nephrite</vt:lpstr>
      <vt:lpstr>Messenger</vt:lpstr>
      <vt:lpstr>Raven Bow</vt:lpstr>
      <vt:lpstr>Recurve Bow</vt:lpstr>
      <vt:lpstr>Sharpshooter's Oath</vt:lpstr>
      <vt:lpstr>Slingshot</vt:lpstr>
      <vt:lpstr>Royal Longsword</vt:lpstr>
      <vt:lpstr>Royal Greatsword</vt:lpstr>
      <vt:lpstr>Royal Spear</vt:lpstr>
      <vt:lpstr>Royal Grimoire</vt:lpstr>
      <vt:lpstr>Royal Bow</vt:lpstr>
      <vt:lpstr>Blackcliff Longsword</vt:lpstr>
      <vt:lpstr>Blackcliff Slasher</vt:lpstr>
      <vt:lpstr>Blackcliff Pole</vt:lpstr>
      <vt:lpstr>Blackcliff Agate</vt:lpstr>
      <vt:lpstr>Blackcliff Warbow</vt:lpstr>
      <vt:lpstr>The Black Sword</vt:lpstr>
      <vt:lpstr>Serpent Spine</vt:lpstr>
      <vt:lpstr>Deathmatch</vt:lpstr>
      <vt:lpstr>Solar Pearl</vt:lpstr>
      <vt:lpstr>The Veridescent Hunt</vt:lpstr>
      <vt:lpstr>Prototype Rancour</vt:lpstr>
      <vt:lpstr>Prototype Archaic</vt:lpstr>
      <vt:lpstr>Prototype Starglitter</vt:lpstr>
      <vt:lpstr>Prototype Amber</vt:lpstr>
      <vt:lpstr>Iron Sting</vt:lpstr>
      <vt:lpstr>Whiteblind</vt:lpstr>
      <vt:lpstr>Prototype Crescent</vt:lpstr>
      <vt:lpstr>Crescent Pike</vt:lpstr>
      <vt:lpstr>Mappa Mare</vt:lpstr>
      <vt:lpstr>Compound Bow</vt:lpstr>
      <vt:lpstr>Favonius Sword</vt:lpstr>
      <vt:lpstr>The Flute</vt:lpstr>
      <vt:lpstr>Sacrificial Sword</vt:lpstr>
      <vt:lpstr>Lion's Roar</vt:lpstr>
      <vt:lpstr>Favonius Greatsword</vt:lpstr>
      <vt:lpstr>The Bell</vt:lpstr>
      <vt:lpstr>Sacrificial Greatsword</vt:lpstr>
      <vt:lpstr>Rainslasher</vt:lpstr>
      <vt:lpstr>Dragon's Bane</vt:lpstr>
      <vt:lpstr>Favonius Lance</vt:lpstr>
      <vt:lpstr>Favonius Codex</vt:lpstr>
      <vt:lpstr>The Widsith</vt:lpstr>
      <vt:lpstr>Sacrificial Fragments</vt:lpstr>
      <vt:lpstr>Eye of Perception</vt:lpstr>
      <vt:lpstr>Favonius Warbow</vt:lpstr>
      <vt:lpstr>The Stringless</vt:lpstr>
      <vt:lpstr>Sacrificial Bow</vt:lpstr>
      <vt:lpstr>Rust</vt:lpstr>
      <vt:lpstr>Sword of Descension</vt:lpstr>
      <vt:lpstr>Aquila Favonia</vt:lpstr>
      <vt:lpstr>Skyward Blade</vt:lpstr>
      <vt:lpstr>Skyward Pride</vt:lpstr>
      <vt:lpstr>Wolf's Gravestone</vt:lpstr>
      <vt:lpstr>Primordial Jade Winged-Spear</vt:lpstr>
      <vt:lpstr>Skyward Spine</vt:lpstr>
      <vt:lpstr>Skyward Atlas</vt:lpstr>
      <vt:lpstr>Lost Prayer to the Sacred Winds</vt:lpstr>
      <vt:lpstr>Skyward Harp</vt:lpstr>
      <vt:lpstr>Amos' Bow</vt:lpstr>
      <vt:lpstr>Festering Desire</vt:lpstr>
      <vt:lpstr>Memory of Dust</vt:lpstr>
      <vt:lpstr>The Unforged</vt:lpstr>
      <vt:lpstr>Vortex Vanquisher</vt:lpstr>
      <vt:lpstr>Snow-Tombed Starsilver</vt:lpstr>
      <vt:lpstr>Dragonspine Spear</vt:lpstr>
      <vt:lpstr>Frostbearer</vt:lpstr>
      <vt:lpstr>Summit Shaper</vt:lpstr>
      <vt:lpstr>Windblume Ode</vt:lpstr>
      <vt:lpstr>Primordial Jade Cutter</vt:lpstr>
      <vt:lpstr>Lithic Blade</vt:lpstr>
      <vt:lpstr>Lithic Spear</vt:lpstr>
      <vt:lpstr>Staff of Homa</vt:lpstr>
      <vt:lpstr>The Alley Flash</vt:lpstr>
      <vt:lpstr>Wine and Song</vt:lpstr>
      <vt:lpstr>Elegy for the End</vt:lpstr>
      <vt:lpstr>Alley Hunter</vt:lpstr>
      <vt:lpstr>Song of Broken Pines</vt:lpstr>
      <vt:lpstr>Dodoco Tales</vt:lpstr>
      <vt:lpstr>Mitternachts Waltz</vt:lpstr>
      <vt:lpstr>Freedom-Sworn</vt:lpstr>
      <vt:lpstr>Amenoma Kageuchi</vt:lpstr>
      <vt:lpstr>Katsuragikiri Nagamasa</vt:lpstr>
      <vt:lpstr>Kitain Cross Spear</vt:lpstr>
      <vt:lpstr>Hakushin Ring</vt:lpstr>
      <vt:lpstr>Hamayumi</vt:lpstr>
      <vt:lpstr>Mistsplitter Reforged</vt:lpstr>
      <vt:lpstr>Thundering Pulse</vt:lpstr>
      <vt:lpstr>"The Catch"</vt:lpstr>
      <vt:lpstr>Luxurious Sea-Lord</vt:lpstr>
      <vt:lpstr>Engulfing Lightning</vt:lpstr>
      <vt:lpstr>Everlasting Moonglow</vt:lpstr>
      <vt:lpstr>Akuoumaru</vt:lpstr>
      <vt:lpstr>Polar Star</vt:lpstr>
      <vt:lpstr>Wavebreaker's Fin</vt:lpstr>
      <vt:lpstr>Mouun's Moon</vt:lpstr>
      <vt:lpstr>Cinnabar Spindle</vt:lpstr>
      <vt:lpstr>Redhorn Stonethresher</vt:lpstr>
      <vt:lpstr>Calamity Queller</vt:lpstr>
      <vt:lpstr>Oathsworn Eye</vt:lpstr>
      <vt:lpstr>Kagura's Verity</vt:lpstr>
      <vt:lpstr>Haran Geppaku Futsu</vt:lpstr>
      <vt:lpstr>Fading Twilight</vt:lpstr>
      <vt:lpstr>Aqua Simulacra</vt:lpstr>
      <vt:lpstr>Kagotsurube Isshin</vt:lpstr>
      <vt:lpstr>Sapwood Blade</vt:lpstr>
      <vt:lpstr>Forest Regalia</vt:lpstr>
      <vt:lpstr>Moonpiercer</vt:lpstr>
      <vt:lpstr>Fruit of Fulfillment</vt:lpstr>
      <vt:lpstr>King's Squire</vt:lpstr>
      <vt:lpstr>End of the Line</vt:lpstr>
      <vt:lpstr>Hunter's Path</vt:lpstr>
      <vt:lpstr>Missive Windspear</vt:lpstr>
      <vt:lpstr>Staff of the Scarlet Sands</vt:lpstr>
      <vt:lpstr>Key of Khaj-Nisat</vt:lpstr>
      <vt:lpstr>Xiphos’ Moonlight</vt:lpstr>
      <vt:lpstr>Makhaira Aquamarine</vt:lpstr>
      <vt:lpstr>Wandering Evenstar</vt:lpstr>
      <vt:lpstr>A Thousand Floating Dreams</vt:lpstr>
      <vt:lpstr>Tullaytullah's Remembrance</vt:lpstr>
      <vt:lpstr>Toukabou Shigure</vt:lpstr>
      <vt:lpstr>Light of Foliar Incision</vt:lpstr>
      <vt:lpstr>Beacon of the Reed Sea</vt:lpstr>
      <vt:lpstr>Mailed Flower</vt:lpstr>
      <vt:lpstr>Jadefall's Splendor</vt:lpstr>
      <vt:lpstr>Ibis Piercer</vt:lpstr>
      <vt:lpstr>Wolf-Fang</vt:lpstr>
      <vt:lpstr>Talking Stick</vt:lpstr>
      <vt:lpstr>Ballad of the Fjords</vt:lpstr>
      <vt:lpstr>Sacrificial Jade</vt:lpstr>
      <vt:lpstr>Scion of the Blazing Sun</vt:lpstr>
      <vt:lpstr>Finale of the Deep</vt:lpstr>
      <vt:lpstr>Tidal Shadow</vt:lpstr>
      <vt:lpstr>Rightful Reward</vt:lpstr>
      <vt:lpstr>Flowing Purity</vt:lpstr>
      <vt:lpstr>Song of Stillness</vt:lpstr>
      <vt:lpstr>The First Great Magic</vt:lpstr>
      <vt:lpstr>Crossing of Fleuve Cendre</vt:lpstr>
      <vt:lpstr>Tome of the Eternal Flow</vt:lpstr>
      <vt:lpstr>The Dockhand's Assistant</vt:lpstr>
      <vt:lpstr>Portable Power Saw</vt:lpstr>
      <vt:lpstr>Cashflow Supervision</vt:lpstr>
      <vt:lpstr>Ballad of the Boundless Blue</vt:lpstr>
      <vt:lpstr>Prospector’s Drill</vt:lpstr>
      <vt:lpstr>Range Gauge</vt:lpstr>
      <vt:lpstr>Splendor of Tranquil Waters</vt:lpstr>
      <vt:lpstr>Sword of Narzissenkreuz</vt:lpstr>
      <vt:lpstr>Verdict</vt:lpstr>
      <vt:lpstr>Ultimate Overlord’s Mega Magic</vt:lpstr>
      <vt:lpstr>Crane’s Echoing Call</vt:lpstr>
      <vt:lpstr>Uraku Misugiri</vt:lpstr>
      <vt:lpstr>Dialogues of the Desert Sages</vt:lpstr>
      <vt:lpstr>Crimson Moon’s Semblance</vt:lpstr>
      <vt:lpstr>Absolution</vt:lpstr>
      <vt:lpstr>Cloudweaver</vt:lpstr>
      <vt:lpstr>Pouring Heartstrings</vt:lpstr>
      <vt:lpstr>Lumidouce Elegy</vt:lpstr>
      <vt:lpstr>Flute of Ezpitzal</vt:lpstr>
      <vt:lpstr>Earth Shaker</vt:lpstr>
      <vt:lpstr>Footprint of the Rainbow</vt:lpstr>
      <vt:lpstr>Ring of Yaxche</vt:lpstr>
      <vt:lpstr>Chain Breaker</vt:lpstr>
      <vt:lpstr>Surf's Up</vt:lpstr>
      <vt:lpstr>Fang of the Mountain King</vt:lpstr>
      <vt:lpstr>Ash-Graven Drinking Horn</vt:lpstr>
      <vt:lpstr>Sturdy Bone</vt:lpstr>
      <vt:lpstr>Peak Patrol Song</vt:lpstr>
      <vt:lpstr>Mountain-Bracing Bolt</vt:lpstr>
      <vt:lpstr>Fruitful Hook</vt:lpstr>
      <vt:lpstr>Astral Vulture’s Crimson</vt:lpstr>
      <vt:lpstr>The Calamity of Eshu</vt:lpstr>
      <vt:lpstr>Waveriding Whirl</vt:lpstr>
      <vt:lpstr>Flower-Wreathed Feathers</vt:lpstr>
      <vt:lpstr>A Thousand Blazing Suns</vt:lpstr>
      <vt:lpstr>Starcaller’s Watch</vt:lpstr>
      <vt:lpstr>Sunny Morning Sleep-In</vt:lpstr>
      <vt:lpstr>Tamayuratei no Ohanashi</vt:lpstr>
      <vt:lpstr>Vivid Notions</vt:lpstr>
      <vt:lpstr>Symphonist of Scents</vt:lpstr>
      <vt:lpstr>Sequence of Solitude</vt:lpstr>
      <vt:lpstr>Azurelight</vt:lpstr>
      <vt:lpstr>Fractured Halo</vt:lpstr>
      <vt:lpstr>Flame-Forged Insight</vt:lpstr>
      <vt:lpstr>6.0 Forge Sword</vt:lpstr>
      <vt:lpstr>6.0 Forge Clayymore</vt:lpstr>
      <vt:lpstr>6.0 Forge Polearm</vt:lpstr>
      <vt:lpstr>6.0 Forge Catalyst</vt:lpstr>
      <vt:lpstr>6.0 Forge Bow</vt:lpstr>
      <vt:lpstr>City Sword</vt:lpstr>
      <vt:lpstr>6.0 Polearm</vt:lpstr>
      <vt:lpstr>6.0 Catalyst</vt:lpstr>
      <vt:lpstr>6.0 Event Catalyst</vt:lpstr>
      <vt:lpstr>Character Data Table</vt:lpstr>
      <vt:lpstr>Weapon Data Table</vt:lpstr>
      <vt:lpstr>Traveller Data Table</vt:lpstr>
      <vt:lpstr>Character Misc Tables</vt:lpstr>
      <vt:lpstr>Weapon Ascension Tables</vt:lpstr>
      <vt:lpstr>Weapon Ascension Mats</vt:lpstr>
      <vt:lpstr>Character Talent Mats</vt:lpstr>
      <vt:lpstr>Enemy Drops Table</vt:lpstr>
      <vt:lpstr>Boss_Mob_Drops</vt:lpstr>
      <vt:lpstr>Character_List</vt:lpstr>
      <vt:lpstr>Character_Materials_Totals</vt:lpstr>
      <vt:lpstr>Character_Name_List</vt:lpstr>
      <vt:lpstr>Character_Talent_Materials</vt:lpstr>
      <vt:lpstr>Common_Mob_Drops</vt:lpstr>
      <vt:lpstr>'Character Progress Tracker'!Criteria</vt:lpstr>
      <vt:lpstr>'Weapon Progress Tracker'!Criteria</vt:lpstr>
      <vt:lpstr>Elite_Mob_Drops</vt:lpstr>
      <vt:lpstr>Levelling_Materials</vt:lpstr>
      <vt:lpstr>Required_Ascension_Materials</vt:lpstr>
      <vt:lpstr>Required_Talent_Materials</vt:lpstr>
      <vt:lpstr>Traveller_List</vt:lpstr>
      <vt:lpstr>Traveller_Talent_Mob_Drops</vt:lpstr>
      <vt:lpstr>Weapon_1_star_expmora</vt:lpstr>
      <vt:lpstr>Weapon_1_star_requirements</vt:lpstr>
      <vt:lpstr>Weapon_2_star_expmora</vt:lpstr>
      <vt:lpstr>Weapon_2_star_requirements</vt:lpstr>
      <vt:lpstr>Weapon_3_star_expmora</vt:lpstr>
      <vt:lpstr>Weapon_3_star_requirements</vt:lpstr>
      <vt:lpstr>Weapon_4_star_expmora</vt:lpstr>
      <vt:lpstr>Weapon_4_star_requirements</vt:lpstr>
      <vt:lpstr>Weapon_5_star_expmora</vt:lpstr>
      <vt:lpstr>Weapon_5_star_requirements</vt:lpstr>
      <vt:lpstr>Weapon_Ascension_High_Rarity</vt:lpstr>
      <vt:lpstr>Weapon_Ascension_Low_Rarity</vt:lpstr>
      <vt:lpstr>Weapon_Ascension_Materials</vt:lpstr>
      <vt:lpstr>Weapon_Common_Materials_Totals</vt:lpstr>
      <vt:lpstr>Weapon_Elite_Materials_Totals</vt:lpstr>
      <vt:lpstr>Weapon_Levels_High_Rarity</vt:lpstr>
      <vt:lpstr>Weapon_Levels_Low_Rarity</vt:lpstr>
      <vt:lpstr>Weapon_List</vt:lpstr>
      <vt:lpstr>Weapon_Name_List</vt:lpstr>
      <vt:lpstr>Weekly_Boss_Mats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Geoffrey Meng</dc:creator>
  <cp:keywords/>
  <dc:description/>
  <cp:lastModifiedBy>Geoffrey Meng</cp:lastModifiedBy>
  <cp:revision/>
  <dcterms:created xsi:type="dcterms:W3CDTF">2021-01-23T05:00:04Z</dcterms:created>
  <dcterms:modified xsi:type="dcterms:W3CDTF">2026-09-27T16:11:25Z</dcterms:modified>
  <cp:category/>
  <cp:contentStatus/>
</cp:coreProperties>
</file>