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99995_tecnico_ulisboa_pt/Documents/FEE/L3/"/>
    </mc:Choice>
  </mc:AlternateContent>
  <xr:revisionPtr revIDLastSave="831" documentId="11_2D2B9A20117B6A5AF3AB8A3424467DA83965DB18" xr6:coauthVersionLast="47" xr6:coauthVersionMax="47" xr10:uidLastSave="{17178BD2-23AC-4A05-AF3F-F1E290B98ED8}"/>
  <bookViews>
    <workbookView xWindow="-120" yWindow="-120" windowWidth="29040" windowHeight="15990" activeTab="2" xr2:uid="{00000000-000D-0000-FFFF-FFFF00000000}"/>
  </bookViews>
  <sheets>
    <sheet name="Máquina de Indução" sheetId="3" r:id="rId1"/>
    <sheet name="A - Vazio &amp; Rotor bloqueado" sheetId="4" r:id="rId2"/>
    <sheet name="B - Máquina em carga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6" l="1"/>
  <c r="H5" i="4" l="1"/>
  <c r="H27" i="4"/>
  <c r="H8" i="4"/>
  <c r="E24" i="4"/>
  <c r="E5" i="4"/>
  <c r="B76" i="6"/>
  <c r="B75" i="6"/>
  <c r="A76" i="6"/>
  <c r="A75" i="6"/>
  <c r="E6" i="6"/>
  <c r="E7" i="6"/>
  <c r="E8" i="6"/>
  <c r="E9" i="6"/>
  <c r="E10" i="6"/>
  <c r="E11" i="6"/>
  <c r="E12" i="6"/>
  <c r="E13" i="6"/>
  <c r="E14" i="6"/>
  <c r="E15" i="6"/>
  <c r="E5" i="6"/>
  <c r="D30" i="6"/>
  <c r="D29" i="6"/>
  <c r="D28" i="6"/>
  <c r="D27" i="6"/>
  <c r="D26" i="6"/>
  <c r="D25" i="6"/>
  <c r="D24" i="6"/>
  <c r="D23" i="6"/>
  <c r="D22" i="6"/>
  <c r="D21" i="6"/>
  <c r="D20" i="6"/>
  <c r="B30" i="6"/>
  <c r="B29" i="6"/>
  <c r="B28" i="6"/>
  <c r="B74" i="6" s="1"/>
  <c r="B27" i="6"/>
  <c r="B26" i="6"/>
  <c r="B25" i="6"/>
  <c r="B71" i="6" s="1"/>
  <c r="B24" i="6"/>
  <c r="A70" i="6" s="1"/>
  <c r="B23" i="6"/>
  <c r="B22" i="6"/>
  <c r="B21" i="6"/>
  <c r="A30" i="6"/>
  <c r="A29" i="6"/>
  <c r="A28" i="6"/>
  <c r="A27" i="6"/>
  <c r="A26" i="6"/>
  <c r="A25" i="6"/>
  <c r="A24" i="6"/>
  <c r="A23" i="6"/>
  <c r="A22" i="6"/>
  <c r="A21" i="6"/>
  <c r="B20" i="6"/>
  <c r="B66" i="6" s="1"/>
  <c r="A20" i="6"/>
  <c r="J8" i="6"/>
  <c r="J9" i="6"/>
  <c r="J10" i="6"/>
  <c r="G23" i="6" s="1"/>
  <c r="J14" i="6"/>
  <c r="G24" i="6" s="1"/>
  <c r="J13" i="6"/>
  <c r="H25" i="6" s="1"/>
  <c r="J12" i="6"/>
  <c r="J7" i="6"/>
  <c r="I7" i="6" s="1"/>
  <c r="J6" i="6"/>
  <c r="H28" i="6" s="1"/>
  <c r="J15" i="6"/>
  <c r="H29" i="6" s="1"/>
  <c r="J11" i="6"/>
  <c r="H30" i="6" s="1"/>
  <c r="I8" i="6"/>
  <c r="I9" i="6"/>
  <c r="E22" i="6" s="1"/>
  <c r="I6" i="6"/>
  <c r="I11" i="6"/>
  <c r="J5" i="6"/>
  <c r="G46" i="4"/>
  <c r="E46" i="4"/>
  <c r="G43" i="4"/>
  <c r="E43" i="4"/>
  <c r="D27" i="4"/>
  <c r="E27" i="4" s="1"/>
  <c r="B27" i="4"/>
  <c r="A27" i="4"/>
  <c r="D8" i="4"/>
  <c r="E8" i="4" s="1"/>
  <c r="B8" i="4"/>
  <c r="A8" i="4"/>
  <c r="B67" i="6"/>
  <c r="B68" i="6"/>
  <c r="B69" i="6"/>
  <c r="B70" i="6"/>
  <c r="B72" i="6"/>
  <c r="B73" i="6"/>
  <c r="A67" i="6"/>
  <c r="A68" i="6"/>
  <c r="A69" i="6"/>
  <c r="A72" i="6"/>
  <c r="A73" i="6"/>
  <c r="A74" i="6"/>
  <c r="B21" i="3"/>
  <c r="B24" i="3"/>
  <c r="F26" i="6" s="1"/>
  <c r="E20" i="6" l="1"/>
  <c r="H20" i="6"/>
  <c r="E21" i="6"/>
  <c r="H26" i="6"/>
  <c r="H22" i="6"/>
  <c r="H21" i="6"/>
  <c r="G30" i="6"/>
  <c r="I15" i="6"/>
  <c r="I12" i="6"/>
  <c r="I13" i="6"/>
  <c r="A71" i="6"/>
  <c r="A66" i="6"/>
  <c r="F46" i="4"/>
  <c r="F43" i="4"/>
  <c r="C27" i="4"/>
  <c r="C26" i="6"/>
  <c r="F27" i="6"/>
  <c r="G25" i="6"/>
  <c r="H27" i="6"/>
  <c r="C27" i="6"/>
  <c r="F28" i="6"/>
  <c r="G26" i="6"/>
  <c r="C8" i="4"/>
  <c r="I14" i="6"/>
  <c r="E24" i="6" s="1"/>
  <c r="C20" i="6"/>
  <c r="C28" i="6"/>
  <c r="F21" i="6"/>
  <c r="F29" i="6"/>
  <c r="G27" i="6"/>
  <c r="F27" i="4"/>
  <c r="I10" i="6"/>
  <c r="E23" i="6" s="1"/>
  <c r="F20" i="6"/>
  <c r="C21" i="6"/>
  <c r="C29" i="6"/>
  <c r="F22" i="6"/>
  <c r="F30" i="6"/>
  <c r="G28" i="6"/>
  <c r="H24" i="6"/>
  <c r="G20" i="6"/>
  <c r="C22" i="6"/>
  <c r="C30" i="6"/>
  <c r="F23" i="6"/>
  <c r="G21" i="6"/>
  <c r="G29" i="6"/>
  <c r="H23" i="6"/>
  <c r="F8" i="4"/>
  <c r="C23" i="6"/>
  <c r="F24" i="6"/>
  <c r="G22" i="6"/>
  <c r="J46" i="4"/>
  <c r="A46" i="4" s="1"/>
  <c r="C24" i="6"/>
  <c r="F25" i="6"/>
  <c r="J43" i="4"/>
  <c r="C25" i="6"/>
  <c r="B43" i="4" l="1"/>
  <c r="C43" i="4"/>
  <c r="B46" i="4"/>
  <c r="E25" i="6"/>
  <c r="E28" i="6"/>
  <c r="E26" i="6"/>
  <c r="E27" i="6"/>
  <c r="E29" i="6"/>
  <c r="E30" i="6"/>
  <c r="A43" i="4"/>
  <c r="C46" i="4"/>
</calcChain>
</file>

<file path=xl/sharedStrings.xml><?xml version="1.0" encoding="utf-8"?>
<sst xmlns="http://schemas.openxmlformats.org/spreadsheetml/2006/main" count="107" uniqueCount="74">
  <si>
    <t>Fundamentos de Energia Eléctrica</t>
  </si>
  <si>
    <t>Máquina de Indução trifásica</t>
  </si>
  <si>
    <t>Docente:</t>
  </si>
  <si>
    <t>Gil Marques</t>
  </si>
  <si>
    <t>Data:</t>
  </si>
  <si>
    <t>Turno:</t>
  </si>
  <si>
    <t>Sexta-feira 11:30-13:30</t>
  </si>
  <si>
    <t>Grupo:</t>
  </si>
  <si>
    <t>D</t>
  </si>
  <si>
    <t>Identificação:</t>
  </si>
  <si>
    <t>Número</t>
  </si>
  <si>
    <t>Nome</t>
  </si>
  <si>
    <t>João Gonçalves</t>
  </si>
  <si>
    <t>Teresa Nogueira</t>
  </si>
  <si>
    <t>Pedro Martins</t>
  </si>
  <si>
    <t>Frederico Paula</t>
  </si>
  <si>
    <t>Gonçalo Teixeira</t>
  </si>
  <si>
    <t>Valores nominais da máquina de indução utilizada</t>
  </si>
  <si>
    <r>
      <t>P</t>
    </r>
    <r>
      <rPr>
        <vertAlign val="subscript"/>
        <sz val="12"/>
        <rFont val="Arial"/>
        <family val="2"/>
      </rPr>
      <t>N</t>
    </r>
    <r>
      <rPr>
        <vertAlign val="superscript"/>
        <sz val="12"/>
        <rFont val="Arial"/>
        <family val="2"/>
      </rPr>
      <t>mec</t>
    </r>
    <r>
      <rPr>
        <sz val="12"/>
        <rFont val="Arial"/>
        <family val="2"/>
      </rPr>
      <t xml:space="preserve"> (kW)</t>
    </r>
  </si>
  <si>
    <r>
      <rPr>
        <i/>
        <sz val="12"/>
        <rFont val="Arial"/>
        <family val="2"/>
      </rPr>
      <t>V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(V)</t>
    </r>
  </si>
  <si>
    <r>
      <rPr>
        <i/>
        <sz val="12"/>
        <rFont val="Arial"/>
        <family val="2"/>
      </rPr>
      <t>N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(rpm)</t>
    </r>
  </si>
  <si>
    <r>
      <rPr>
        <i/>
        <sz val="12"/>
        <rFont val="Arial"/>
        <family val="2"/>
      </rPr>
      <t>η</t>
    </r>
    <r>
      <rPr>
        <vertAlign val="subscript"/>
        <sz val="12"/>
        <rFont val="Arial"/>
        <family val="2"/>
      </rPr>
      <t>N</t>
    </r>
  </si>
  <si>
    <r>
      <t>FP</t>
    </r>
    <r>
      <rPr>
        <vertAlign val="subscript"/>
        <sz val="12"/>
        <rFont val="Arial"/>
        <family val="2"/>
      </rPr>
      <t>N</t>
    </r>
  </si>
  <si>
    <r>
      <rPr>
        <i/>
        <sz val="12"/>
        <rFont val="Arial"/>
        <family val="2"/>
      </rPr>
      <t>I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(A)</t>
    </r>
  </si>
  <si>
    <r>
      <rPr>
        <i/>
        <sz val="12"/>
        <rFont val="Arial"/>
        <family val="2"/>
      </rPr>
      <t>T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(Nm)</t>
    </r>
  </si>
  <si>
    <r>
      <t>S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(kVA)</t>
    </r>
  </si>
  <si>
    <t>A.1) Ensaio em vazio</t>
  </si>
  <si>
    <r>
      <t>V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(V)</t>
    </r>
  </si>
  <si>
    <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(A)</t>
    </r>
  </si>
  <si>
    <r>
      <t>P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(W)</t>
    </r>
  </si>
  <si>
    <r>
      <t>S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(VA)</t>
    </r>
  </si>
  <si>
    <r>
      <rPr>
        <sz val="12"/>
        <rFont val="Arial"/>
        <family val="2"/>
      </rPr>
      <t>cos</t>
    </r>
    <r>
      <rPr>
        <i/>
        <sz val="12"/>
        <rFont val="Arial"/>
        <family val="2"/>
      </rPr>
      <t xml:space="preserve"> </t>
    </r>
    <r>
      <rPr>
        <i/>
        <sz val="12"/>
        <rFont val="Calibri"/>
        <family val="2"/>
      </rPr>
      <t>φ</t>
    </r>
  </si>
  <si>
    <r>
      <t>N</t>
    </r>
    <r>
      <rPr>
        <vertAlign val="subscript"/>
        <sz val="12"/>
        <rFont val="Arial"/>
        <family val="2"/>
      </rPr>
      <t>r</t>
    </r>
    <r>
      <rPr>
        <sz val="12"/>
        <rFont val="Arial"/>
        <family val="2"/>
      </rPr>
      <t xml:space="preserve"> (rpm)</t>
    </r>
  </si>
  <si>
    <r>
      <t>V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</si>
  <si>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</si>
  <si>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P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</si>
  <si>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rPr>
        <i/>
        <sz val="12"/>
        <color rgb="FF000000"/>
        <rFont val="Arial"/>
      </rPr>
      <t>Q</t>
    </r>
    <r>
      <rPr>
        <vertAlign val="subscript"/>
        <sz val="12"/>
        <color rgb="FF000000"/>
        <rFont val="Arial"/>
      </rPr>
      <t>s</t>
    </r>
    <r>
      <rPr>
        <sz val="12"/>
        <color rgb="FF000000"/>
        <rFont val="Arial"/>
      </rPr>
      <t xml:space="preserve"> (var)</t>
    </r>
  </si>
  <si>
    <r>
      <t>Q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</si>
  <si>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S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</si>
  <si>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t>Qs / Ps =</t>
  </si>
  <si>
    <t>Comentários aos resultados obtidos:</t>
  </si>
  <si>
    <t>A.2) Ensaio com rotor bloqueado</t>
  </si>
  <si>
    <r>
      <rPr>
        <i/>
        <sz val="12"/>
        <color rgb="FF000000"/>
        <rFont val="Arial"/>
      </rPr>
      <t>P</t>
    </r>
    <r>
      <rPr>
        <vertAlign val="subscript"/>
        <sz val="12"/>
        <color rgb="FF000000"/>
        <rFont val="Arial"/>
      </rPr>
      <t>s</t>
    </r>
    <r>
      <rPr>
        <sz val="12"/>
        <color rgb="FF000000"/>
        <rFont val="Arial"/>
      </rPr>
      <t xml:space="preserve"> (W)</t>
    </r>
  </si>
  <si>
    <r>
      <t>Q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(var)</t>
    </r>
  </si>
  <si>
    <t>Determinação dos valores dos parâmetros do esquema equivalente:</t>
  </si>
  <si>
    <r>
      <t>G</t>
    </r>
    <r>
      <rPr>
        <vertAlign val="subscript"/>
        <sz val="12"/>
        <rFont val="Arial"/>
        <family val="2"/>
      </rPr>
      <t>m</t>
    </r>
  </si>
  <si>
    <r>
      <t>B</t>
    </r>
    <r>
      <rPr>
        <vertAlign val="subscript"/>
        <sz val="12"/>
        <rFont val="Arial"/>
        <family val="2"/>
      </rPr>
      <t>m</t>
    </r>
  </si>
  <si>
    <r>
      <t>Y</t>
    </r>
    <r>
      <rPr>
        <vertAlign val="subscript"/>
        <sz val="12"/>
        <rFont val="Arial"/>
        <family val="2"/>
      </rPr>
      <t>m</t>
    </r>
  </si>
  <si>
    <t>ref. estator</t>
  </si>
  <si>
    <r>
      <rPr>
        <i/>
        <sz val="12"/>
        <rFont val="Arial"/>
        <family val="2"/>
      </rPr>
      <t>Y</t>
    </r>
    <r>
      <rPr>
        <vertAlign val="subscript"/>
        <sz val="12"/>
        <rFont val="Arial"/>
        <family val="2"/>
      </rPr>
      <t>b</t>
    </r>
  </si>
  <si>
    <t>Siemens</t>
  </si>
  <si>
    <r>
      <t>R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+</t>
    </r>
    <r>
      <rPr>
        <i/>
        <sz val="12"/>
        <rFont val="Arial"/>
        <family val="2"/>
      </rPr>
      <t>R</t>
    </r>
    <r>
      <rPr>
        <vertAlign val="subscript"/>
        <sz val="12"/>
        <rFont val="Arial"/>
        <family val="2"/>
      </rPr>
      <t>r</t>
    </r>
  </si>
  <si>
    <r>
      <t>X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+</t>
    </r>
    <r>
      <rPr>
        <i/>
        <sz val="12"/>
        <rFont val="Arial"/>
        <family val="2"/>
      </rPr>
      <t>X</t>
    </r>
    <r>
      <rPr>
        <vertAlign val="subscript"/>
        <sz val="12"/>
        <rFont val="Arial"/>
        <family val="2"/>
      </rPr>
      <t>r</t>
    </r>
  </si>
  <si>
    <r>
      <t>Z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+Z</t>
    </r>
    <r>
      <rPr>
        <vertAlign val="subscript"/>
        <sz val="12"/>
        <rFont val="Arial"/>
        <family val="2"/>
      </rPr>
      <t>r</t>
    </r>
  </si>
  <si>
    <r>
      <rPr>
        <i/>
        <sz val="12"/>
        <rFont val="Arial"/>
        <family val="2"/>
      </rPr>
      <t>Z</t>
    </r>
    <r>
      <rPr>
        <vertAlign val="subscript"/>
        <sz val="12"/>
        <rFont val="Arial"/>
        <family val="2"/>
      </rPr>
      <t>b</t>
    </r>
  </si>
  <si>
    <t>Ω</t>
  </si>
  <si>
    <t>B) - Ensaio em carga</t>
  </si>
  <si>
    <r>
      <rPr>
        <i/>
        <sz val="12"/>
        <rFont val="Arial"/>
        <family val="2"/>
      </rPr>
      <t>V</t>
    </r>
    <r>
      <rPr>
        <vertAlign val="subscript"/>
        <sz val="12"/>
        <rFont val="Arial"/>
        <family val="2"/>
      </rPr>
      <t>DC</t>
    </r>
    <r>
      <rPr>
        <sz val="12"/>
        <rFont val="Arial"/>
        <family val="2"/>
      </rPr>
      <t xml:space="preserve"> (V)</t>
    </r>
  </si>
  <si>
    <r>
      <rPr>
        <i/>
        <sz val="12"/>
        <rFont val="Arial"/>
        <family val="2"/>
      </rPr>
      <t>I</t>
    </r>
    <r>
      <rPr>
        <vertAlign val="subscript"/>
        <sz val="12"/>
        <rFont val="Arial"/>
        <family val="2"/>
      </rPr>
      <t>DC</t>
    </r>
    <r>
      <rPr>
        <sz val="12"/>
        <rFont val="Arial"/>
        <family val="2"/>
      </rPr>
      <t xml:space="preserve"> (A)</t>
    </r>
  </si>
  <si>
    <r>
      <rPr>
        <i/>
        <sz val="12"/>
        <rFont val="Arial"/>
        <family val="2"/>
      </rPr>
      <t>T</t>
    </r>
    <r>
      <rPr>
        <sz val="12"/>
        <rFont val="Arial"/>
        <family val="2"/>
      </rPr>
      <t xml:space="preserve"> (Nm)</t>
    </r>
  </si>
  <si>
    <r>
      <rPr>
        <i/>
        <sz val="12"/>
        <rFont val="Arial"/>
        <family val="2"/>
      </rPr>
      <t>P</t>
    </r>
    <r>
      <rPr>
        <vertAlign val="subscript"/>
        <sz val="12"/>
        <rFont val="Arial"/>
        <family val="2"/>
      </rPr>
      <t>mec</t>
    </r>
    <r>
      <rPr>
        <sz val="12"/>
        <rFont val="Arial"/>
        <family val="2"/>
      </rPr>
      <t xml:space="preserve"> (W)</t>
    </r>
  </si>
  <si>
    <r>
      <t>V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</si>
  <si>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</si>
  <si>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rPr>
        <i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</si>
  <si>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rPr>
        <i/>
        <sz val="12"/>
        <rFont val="Arial"/>
        <family val="2"/>
      </rPr>
      <t>T</t>
    </r>
    <r>
      <rPr>
        <sz val="12"/>
        <rFont val="Arial"/>
        <family val="2"/>
      </rPr>
      <t xml:space="preserve"> (pu)</t>
    </r>
  </si>
  <si>
    <r>
      <rPr>
        <i/>
        <sz val="12"/>
        <rFont val="Arial"/>
        <family val="2"/>
      </rPr>
      <t>P</t>
    </r>
    <r>
      <rPr>
        <vertAlign val="subscript"/>
        <sz val="12"/>
        <rFont val="Arial"/>
        <family val="2"/>
      </rPr>
      <t>mec</t>
    </r>
    <r>
      <rPr>
        <sz val="12"/>
        <rFont val="Arial"/>
        <family val="2"/>
      </rPr>
      <t xml:space="preserve"> (pu)</t>
    </r>
  </si>
  <si>
    <r>
      <rPr>
        <i/>
        <sz val="12"/>
        <rFont val="Arial"/>
        <family val="2"/>
      </rPr>
      <t>η</t>
    </r>
    <r>
      <rPr>
        <sz val="12"/>
        <rFont val="Arial"/>
        <family val="2"/>
      </rPr>
      <t xml:space="preserve"> (pu)</t>
    </r>
  </si>
  <si>
    <r>
      <rPr>
        <i/>
        <sz val="12"/>
        <color rgb="FF000000"/>
        <rFont val="Arial"/>
      </rPr>
      <t>Ns</t>
    </r>
    <r>
      <rPr>
        <sz val="12"/>
        <color rgb="FF000000"/>
        <rFont val="Arial"/>
      </rPr>
      <t xml:space="preserve"> (rpm)</t>
    </r>
  </si>
  <si>
    <t>Representação do lugar geométrico das correntes do estator em função da carga.</t>
  </si>
  <si>
    <r>
      <t>Re{</t>
    </r>
    <r>
      <rPr>
        <i/>
        <sz val="12"/>
        <rFont val="Arial"/>
        <family val="2"/>
      </rP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}</t>
    </r>
  </si>
  <si>
    <r>
      <t>Im{</t>
    </r>
    <r>
      <rPr>
        <i/>
        <sz val="12"/>
        <rFont val="Arial"/>
        <family val="2"/>
      </rP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}</t>
    </r>
  </si>
  <si>
    <t>(simples)</t>
  </si>
  <si>
    <t>Escorregamento real (%)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</si>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</sst>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0"/>
      <name val="Arial"/>
    </font>
    <font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0"/>
      <color indexed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vertAlign val="subscript"/>
      <sz val="12"/>
      <name val="Arial"/>
      <family val="2"/>
    </font>
    <font>
      <i/>
      <sz val="12"/>
      <name val="Calibri"/>
      <family val="2"/>
    </font>
    <font>
      <b/>
      <sz val="13.5"/>
      <name val="Arial"/>
      <family val="2"/>
    </font>
    <font>
      <vertAlign val="superscript"/>
      <sz val="12"/>
      <name val="Arial"/>
      <family val="2"/>
    </font>
    <font>
      <i/>
      <sz val="12"/>
      <color rgb="FF000000"/>
      <name val="Arial"/>
    </font>
    <font>
      <sz val="12"/>
      <color rgb="FF000000"/>
      <name val="Arial"/>
    </font>
    <font>
      <vertAlign val="subscript"/>
      <sz val="12"/>
      <color rgb="FF000000"/>
      <name val="Arial"/>
    </font>
    <font>
      <sz val="12"/>
      <name val="Arial"/>
    </font>
    <font>
      <sz val="12"/>
      <color rgb="FF444444"/>
      <name val="Arial"/>
    </font>
    <font>
      <sz val="11"/>
      <color rgb="FF9C5700"/>
      <name val="Calibri"/>
      <family val="2"/>
      <scheme val="minor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 applyFill="0"/>
    <xf numFmtId="0" fontId="4" fillId="0" borderId="0" applyFill="0"/>
    <xf numFmtId="0" fontId="18" fillId="6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0" xfId="0" applyFill="1"/>
    <xf numFmtId="0" fontId="5" fillId="2" borderId="1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0" fillId="4" borderId="0" xfId="0" applyFill="1"/>
    <xf numFmtId="0" fontId="0" fillId="4" borderId="0" xfId="0" applyFill="1" applyAlignment="1">
      <alignment vertical="top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 wrapText="1"/>
    </xf>
    <xf numFmtId="0" fontId="7" fillId="4" borderId="6" xfId="0" applyFont="1" applyFill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vertical="center"/>
    </xf>
    <xf numFmtId="0" fontId="7" fillId="0" borderId="0" xfId="0" applyFont="1"/>
    <xf numFmtId="0" fontId="2" fillId="4" borderId="0" xfId="0" applyFont="1" applyFill="1"/>
    <xf numFmtId="0" fontId="5" fillId="4" borderId="0" xfId="0" applyFont="1" applyFill="1"/>
    <xf numFmtId="0" fontId="1" fillId="4" borderId="0" xfId="0" applyFont="1" applyFill="1"/>
    <xf numFmtId="0" fontId="7" fillId="4" borderId="8" xfId="0" applyFont="1" applyFill="1" applyBorder="1" applyAlignment="1">
      <alignment horizontal="right" vertical="center"/>
    </xf>
    <xf numFmtId="0" fontId="7" fillId="4" borderId="0" xfId="1" applyFont="1" applyFill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5" fillId="4" borderId="7" xfId="0" applyFont="1" applyFill="1" applyBorder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Fill="1"/>
    <xf numFmtId="2" fontId="5" fillId="2" borderId="1" xfId="0" applyNumberFormat="1" applyFont="1" applyFill="1" applyBorder="1"/>
    <xf numFmtId="165" fontId="5" fillId="3" borderId="1" xfId="0" applyNumberFormat="1" applyFont="1" applyFill="1" applyBorder="1"/>
    <xf numFmtId="0" fontId="5" fillId="3" borderId="1" xfId="0" applyFont="1" applyFill="1" applyBorder="1"/>
    <xf numFmtId="165" fontId="5" fillId="2" borderId="1" xfId="0" applyNumberFormat="1" applyFont="1" applyFill="1" applyBorder="1"/>
    <xf numFmtId="0" fontId="4" fillId="4" borderId="0" xfId="0" applyFont="1" applyFill="1"/>
    <xf numFmtId="0" fontId="5" fillId="0" borderId="1" xfId="0" applyFont="1" applyBorder="1"/>
    <xf numFmtId="164" fontId="5" fillId="3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Fill="1" applyBorder="1"/>
    <xf numFmtId="0" fontId="13" fillId="0" borderId="17" xfId="0" applyFont="1" applyBorder="1"/>
    <xf numFmtId="0" fontId="5" fillId="5" borderId="5" xfId="0" applyFont="1" applyFill="1" applyBorder="1"/>
    <xf numFmtId="0" fontId="13" fillId="0" borderId="1" xfId="0" applyFont="1" applyBorder="1" applyAlignment="1">
      <alignment horizontal="center"/>
    </xf>
    <xf numFmtId="2" fontId="16" fillId="3" borderId="18" xfId="0" applyNumberFormat="1" applyFont="1" applyFill="1" applyBorder="1"/>
    <xf numFmtId="0" fontId="17" fillId="0" borderId="18" xfId="0" applyFont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14" fontId="7" fillId="4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18" fillId="3" borderId="12" xfId="2" applyFill="1" applyBorder="1" applyAlignment="1">
      <alignment horizontal="center" vertical="top"/>
    </xf>
    <xf numFmtId="0" fontId="18" fillId="3" borderId="7" xfId="2" applyFill="1" applyBorder="1" applyAlignment="1">
      <alignment horizontal="center" vertical="top"/>
    </xf>
    <xf numFmtId="0" fontId="18" fillId="3" borderId="13" xfId="2" applyFill="1" applyBorder="1" applyAlignment="1">
      <alignment horizontal="center" vertical="top"/>
    </xf>
    <xf numFmtId="0" fontId="18" fillId="3" borderId="6" xfId="2" applyFill="1" applyBorder="1" applyAlignment="1">
      <alignment horizontal="center" vertical="top"/>
    </xf>
    <xf numFmtId="0" fontId="18" fillId="3" borderId="0" xfId="2" applyFill="1" applyBorder="1" applyAlignment="1">
      <alignment horizontal="center" vertical="top"/>
    </xf>
    <xf numFmtId="0" fontId="18" fillId="3" borderId="8" xfId="2" applyFill="1" applyBorder="1" applyAlignment="1">
      <alignment horizontal="center" vertical="top"/>
    </xf>
    <xf numFmtId="0" fontId="18" fillId="3" borderId="14" xfId="2" applyFill="1" applyBorder="1" applyAlignment="1">
      <alignment horizontal="center" vertical="top"/>
    </xf>
    <xf numFmtId="0" fontId="18" fillId="3" borderId="15" xfId="2" applyFill="1" applyBorder="1" applyAlignment="1">
      <alignment horizontal="center" vertical="top"/>
    </xf>
    <xf numFmtId="0" fontId="18" fillId="3" borderId="16" xfId="2" applyFill="1" applyBorder="1" applyAlignment="1">
      <alignment horizontal="center" vertical="top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5" fontId="5" fillId="3" borderId="16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</cellXfs>
  <cellStyles count="3">
    <cellStyle name="Neutral" xfId="2" builtinId="2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Ensaio em carga - curvas características da Máquina de Indução</a:t>
            </a:r>
          </a:p>
        </c:rich>
      </c:tx>
      <c:layout>
        <c:manualLayout>
          <c:xMode val="edge"/>
          <c:yMode val="edge"/>
          <c:x val="8.9673205384993099E-2"/>
          <c:y val="4.4672036132783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18181818181818E-2"/>
          <c:y val="0.1720777174781096"/>
          <c:w val="0.70909090909090911"/>
          <c:h val="0.66558362420778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- Máquina em carga'!$H$19</c:f>
              <c:strCache>
                <c:ptCount val="1"/>
                <c:pt idx="0">
                  <c:v>η (pu)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carga'!$H$20:$H$30</c:f>
              <c:numCache>
                <c:formatCode>0.000</c:formatCode>
                <c:ptCount val="11"/>
                <c:pt idx="0">
                  <c:v>0.74422018348623853</c:v>
                </c:pt>
                <c:pt idx="1">
                  <c:v>0.77012420022581862</c:v>
                </c:pt>
                <c:pt idx="2">
                  <c:v>0.76351614157915204</c:v>
                </c:pt>
                <c:pt idx="3">
                  <c:v>0.85281478298238078</c:v>
                </c:pt>
                <c:pt idx="4">
                  <c:v>0.7896382313532827</c:v>
                </c:pt>
                <c:pt idx="5">
                  <c:v>0.79801488833746903</c:v>
                </c:pt>
                <c:pt idx="6">
                  <c:v>0.78486486486486484</c:v>
                </c:pt>
                <c:pt idx="7">
                  <c:v>0.7857142857142857</c:v>
                </c:pt>
                <c:pt idx="8">
                  <c:v>0.77545515846257584</c:v>
                </c:pt>
                <c:pt idx="9">
                  <c:v>0.7834757834757835</c:v>
                </c:pt>
                <c:pt idx="10">
                  <c:v>0.71385281385281385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1-4947-B873-CD2919898831}"/>
            </c:ext>
          </c:extLst>
        </c:ser>
        <c:ser>
          <c:idx val="1"/>
          <c:order val="1"/>
          <c:tx>
            <c:v>FP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carga'!$E$5:$E$15</c:f>
              <c:numCache>
                <c:formatCode>General</c:formatCode>
                <c:ptCount val="11"/>
                <c:pt idx="0">
                  <c:v>0.83820362965241468</c:v>
                </c:pt>
                <c:pt idx="1">
                  <c:v>0.82285537318055124</c:v>
                </c:pt>
                <c:pt idx="2">
                  <c:v>0.81878980891719744</c:v>
                </c:pt>
                <c:pt idx="3">
                  <c:v>0.79993124785149539</c:v>
                </c:pt>
                <c:pt idx="4">
                  <c:v>0.78893587033121915</c:v>
                </c:pt>
                <c:pt idx="5">
                  <c:v>0.7592313489073097</c:v>
                </c:pt>
                <c:pt idx="6">
                  <c:v>0.72720125786163525</c:v>
                </c:pt>
                <c:pt idx="7">
                  <c:v>0.7186742118027486</c:v>
                </c:pt>
                <c:pt idx="8">
                  <c:v>0.64534377719756308</c:v>
                </c:pt>
                <c:pt idx="9">
                  <c:v>0.624</c:v>
                </c:pt>
                <c:pt idx="10">
                  <c:v>0.54739336492891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1-4947-B873-CD2919898831}"/>
            </c:ext>
          </c:extLst>
        </c:ser>
        <c:ser>
          <c:idx val="2"/>
          <c:order val="2"/>
          <c:tx>
            <c:v>s</c:v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DD0806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carga'!$D$20:$D$30</c:f>
              <c:numCache>
                <c:formatCode>0.0000</c:formatCode>
                <c:ptCount val="11"/>
                <c:pt idx="0">
                  <c:v>4.7333333333333331E-2</c:v>
                </c:pt>
                <c:pt idx="1">
                  <c:v>4.9333333333333333E-2</c:v>
                </c:pt>
                <c:pt idx="2">
                  <c:v>4.6666666666666669E-2</c:v>
                </c:pt>
                <c:pt idx="3">
                  <c:v>4.1333333333333333E-2</c:v>
                </c:pt>
                <c:pt idx="4">
                  <c:v>3.9333333333333331E-2</c:v>
                </c:pt>
                <c:pt idx="5">
                  <c:v>3.4666666666666665E-2</c:v>
                </c:pt>
                <c:pt idx="6">
                  <c:v>3.1333333333333331E-2</c:v>
                </c:pt>
                <c:pt idx="7">
                  <c:v>0.03</c:v>
                </c:pt>
                <c:pt idx="8">
                  <c:v>2.3333333333333334E-2</c:v>
                </c:pt>
                <c:pt idx="9">
                  <c:v>2.1333333333333333E-2</c:v>
                </c:pt>
                <c:pt idx="10">
                  <c:v>1.7333333333333333E-2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21-4947-B873-CD2919898831}"/>
            </c:ext>
          </c:extLst>
        </c:ser>
        <c:ser>
          <c:idx val="3"/>
          <c:order val="3"/>
          <c:tx>
            <c:v>T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carga'!$E$20:$E$30</c:f>
              <c:numCache>
                <c:formatCode>0.000</c:formatCode>
                <c:ptCount val="11"/>
                <c:pt idx="0">
                  <c:v>0.90347438653705747</c:v>
                </c:pt>
                <c:pt idx="1">
                  <c:v>0.9135091939789568</c:v>
                </c:pt>
                <c:pt idx="2">
                  <c:v>0.87390532388640729</c:v>
                </c:pt>
                <c:pt idx="3">
                  <c:v>0.87856184858377284</c:v>
                </c:pt>
                <c:pt idx="4">
                  <c:v>0.78108518913663016</c:v>
                </c:pt>
                <c:pt idx="5">
                  <c:v>0.70696449859604338</c:v>
                </c:pt>
                <c:pt idx="6">
                  <c:v>0.63618163074860845</c:v>
                </c:pt>
                <c:pt idx="7">
                  <c:v>0.61124248934536851</c:v>
                </c:pt>
                <c:pt idx="8">
                  <c:v>0.49973565748991028</c:v>
                </c:pt>
                <c:pt idx="9">
                  <c:v>0.47703116458061273</c:v>
                </c:pt>
                <c:pt idx="10">
                  <c:v>0.35610108705364374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21-4947-B873-CD2919898831}"/>
            </c:ext>
          </c:extLst>
        </c:ser>
        <c:ser>
          <c:idx val="4"/>
          <c:order val="4"/>
          <c:tx>
            <c:v>Is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carga'!$B$20:$B$30</c:f>
              <c:numCache>
                <c:formatCode>General</c:formatCode>
                <c:ptCount val="11"/>
                <c:pt idx="0">
                  <c:v>1.0265306122448978</c:v>
                </c:pt>
                <c:pt idx="1">
                  <c:v>0.96571428571428564</c:v>
                </c:pt>
                <c:pt idx="2">
                  <c:v>0.92040816326530606</c:v>
                </c:pt>
                <c:pt idx="3">
                  <c:v>0.85367346938775501</c:v>
                </c:pt>
                <c:pt idx="4">
                  <c:v>0.82408163265306122</c:v>
                </c:pt>
                <c:pt idx="5">
                  <c:v>0.77163265306122442</c:v>
                </c:pt>
                <c:pt idx="6">
                  <c:v>0.73897959183673467</c:v>
                </c:pt>
                <c:pt idx="7">
                  <c:v>0.69387755102040805</c:v>
                </c:pt>
                <c:pt idx="8">
                  <c:v>0.66122448979591841</c:v>
                </c:pt>
                <c:pt idx="9">
                  <c:v>0.63285714285714278</c:v>
                </c:pt>
                <c:pt idx="10">
                  <c:v>0.61632653061224485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21-4947-B873-CD291989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03984"/>
        <c:axId val="677404528"/>
      </c:scatterChart>
      <c:valAx>
        <c:axId val="6774039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75" b="1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</a:t>
                </a:r>
                <a:r>
                  <a:rPr lang="en-US" sz="9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mec</a:t>
                </a:r>
                <a:r>
                  <a:rPr lang="en-US" sz="9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[pu]</a:t>
                </a:r>
              </a:p>
            </c:rich>
          </c:tx>
          <c:layout>
            <c:manualLayout>
              <c:xMode val="edge"/>
              <c:yMode val="edge"/>
              <c:x val="0.39090923863319238"/>
              <c:y val="0.9090897733893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404528"/>
        <c:crosses val="autoZero"/>
        <c:crossBetween val="midCat"/>
      </c:valAx>
      <c:valAx>
        <c:axId val="6774045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4039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627466149503858"/>
          <c:y val="0.44395010120302469"/>
          <c:w val="0.17602144953953436"/>
          <c:h val="0.196802585031562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Amplitude complexa de Is no ensaio em carga</a:t>
            </a:r>
          </a:p>
        </c:rich>
      </c:tx>
      <c:layout>
        <c:manualLayout>
          <c:xMode val="edge"/>
          <c:yMode val="edge"/>
          <c:x val="0.24151366478171551"/>
          <c:y val="6.7990216393229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02260771944646"/>
          <c:y val="0.26262658645363113"/>
          <c:w val="0.71067488836212678"/>
          <c:h val="0.57070777440885223"/>
        </c:manualLayout>
      </c:layout>
      <c:scatterChart>
        <c:scatterStyle val="smoothMarker"/>
        <c:varyColors val="0"/>
        <c:ser>
          <c:idx val="0"/>
          <c:order val="0"/>
          <c:tx>
            <c:v>Is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- Máquina em carga'!$A$66:$A$76</c:f>
              <c:numCache>
                <c:formatCode>0.000</c:formatCode>
                <c:ptCount val="11"/>
                <c:pt idx="0">
                  <c:v>0.8604416851329888</c:v>
                </c:pt>
                <c:pt idx="1">
                  <c:v>0.79464318895721797</c:v>
                </c:pt>
                <c:pt idx="2">
                  <c:v>0.75362082412582865</c:v>
                </c:pt>
                <c:pt idx="3">
                  <c:v>0.68288008362506225</c:v>
                </c:pt>
                <c:pt idx="4">
                  <c:v>0.65014756008111485</c:v>
                </c:pt>
                <c:pt idx="5">
                  <c:v>0.58584770004459952</c:v>
                </c:pt>
                <c:pt idx="6">
                  <c:v>0.53738688871775131</c:v>
                </c:pt>
                <c:pt idx="7">
                  <c:v>0.49867190206721324</c:v>
                </c:pt>
                <c:pt idx="8">
                  <c:v>0.42671710982042949</c:v>
                </c:pt>
                <c:pt idx="9">
                  <c:v>0.39490285714285711</c:v>
                </c:pt>
                <c:pt idx="10">
                  <c:v>0.33737305348679758</c:v>
                </c:pt>
              </c:numCache>
            </c:numRef>
          </c:xVal>
          <c:yVal>
            <c:numRef>
              <c:f>'B - Máquina em carga'!$B$66:$B$76</c:f>
              <c:numCache>
                <c:formatCode>0.000</c:formatCode>
                <c:ptCount val="11"/>
                <c:pt idx="0">
                  <c:v>-0.5598260483055314</c:v>
                </c:pt>
                <c:pt idx="1">
                  <c:v>-0.54876796906940184</c:v>
                </c:pt>
                <c:pt idx="2">
                  <c:v>-0.52840026537589968</c:v>
                </c:pt>
                <c:pt idx="3">
                  <c:v>-0.51228232814021046</c:v>
                </c:pt>
                <c:pt idx="4">
                  <c:v>-0.50637800840548763</c:v>
                </c:pt>
                <c:pt idx="5">
                  <c:v>-0.50219460732146148</c:v>
                </c:pt>
                <c:pt idx="6">
                  <c:v>-0.50725355492637225</c:v>
                </c:pt>
                <c:pt idx="7">
                  <c:v>-0.48248563698699531</c:v>
                </c:pt>
                <c:pt idx="8">
                  <c:v>-0.50510428041382915</c:v>
                </c:pt>
                <c:pt idx="9">
                  <c:v>-0.49452997551787914</c:v>
                </c:pt>
                <c:pt idx="10">
                  <c:v>-0.5157885372102804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3-43D1-9D56-3E158B87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91472"/>
        <c:axId val="677399088"/>
      </c:scatterChart>
      <c:valAx>
        <c:axId val="677391472"/>
        <c:scaling>
          <c:orientation val="minMax"/>
          <c:min val="0.3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Re{</a:t>
                </a:r>
                <a:r>
                  <a:rPr lang="en-US" sz="800" b="1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8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}</a:t>
                </a:r>
              </a:p>
            </c:rich>
          </c:tx>
          <c:layout>
            <c:manualLayout>
              <c:xMode val="edge"/>
              <c:yMode val="edge"/>
              <c:x val="0.43539358938366995"/>
              <c:y val="0.868688070337957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399088"/>
        <c:crosses val="autoZero"/>
        <c:crossBetween val="midCat"/>
      </c:valAx>
      <c:valAx>
        <c:axId val="677399088"/>
        <c:scaling>
          <c:orientation val="minMax"/>
          <c:max val="-0.47"/>
          <c:min val="-0.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Im{</a:t>
                </a:r>
                <a:r>
                  <a:rPr lang="en-US" sz="800" b="1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8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}</a:t>
                </a:r>
              </a:p>
            </c:rich>
          </c:tx>
          <c:layout>
            <c:manualLayout>
              <c:xMode val="edge"/>
              <c:yMode val="edge"/>
              <c:x val="3.6516895489931332E-2"/>
              <c:y val="0.444444877826804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3914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41263942177006"/>
          <c:y val="0.56585391222382031"/>
          <c:w val="0.1052667228141474"/>
          <c:h val="5.6941241477942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Ensaio em carga - curvas características da Máquina de Indução</a:t>
            </a:r>
          </a:p>
        </c:rich>
      </c:tx>
      <c:layout>
        <c:manualLayout>
          <c:xMode val="edge"/>
          <c:yMode val="edge"/>
          <c:x val="8.9673205384993099E-2"/>
          <c:y val="4.4672036132783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18181818181818E-2"/>
          <c:y val="0.1720777174781096"/>
          <c:w val="0.70909090909090911"/>
          <c:h val="0.66558362420778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 - Máquina em carga'!$H$19</c:f>
              <c:strCache>
                <c:ptCount val="1"/>
                <c:pt idx="0">
                  <c:v>η (pu)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carga'!$H$20:$H$30</c:f>
              <c:numCache>
                <c:formatCode>0.000</c:formatCode>
                <c:ptCount val="11"/>
                <c:pt idx="0">
                  <c:v>0.74422018348623853</c:v>
                </c:pt>
                <c:pt idx="1">
                  <c:v>0.77012420022581862</c:v>
                </c:pt>
                <c:pt idx="2">
                  <c:v>0.76351614157915204</c:v>
                </c:pt>
                <c:pt idx="3">
                  <c:v>0.85281478298238078</c:v>
                </c:pt>
                <c:pt idx="4">
                  <c:v>0.7896382313532827</c:v>
                </c:pt>
                <c:pt idx="5">
                  <c:v>0.79801488833746903</c:v>
                </c:pt>
                <c:pt idx="6">
                  <c:v>0.78486486486486484</c:v>
                </c:pt>
                <c:pt idx="7">
                  <c:v>0.7857142857142857</c:v>
                </c:pt>
                <c:pt idx="8">
                  <c:v>0.77545515846257584</c:v>
                </c:pt>
                <c:pt idx="9">
                  <c:v>0.7834757834757835</c:v>
                </c:pt>
                <c:pt idx="10">
                  <c:v>0.71385281385281385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7-4FED-8D64-A0DC88F93218}"/>
            </c:ext>
          </c:extLst>
        </c:ser>
        <c:ser>
          <c:idx val="1"/>
          <c:order val="1"/>
          <c:tx>
            <c:v>FP</c:v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carga'!$E$5:$E$15</c:f>
              <c:numCache>
                <c:formatCode>General</c:formatCode>
                <c:ptCount val="11"/>
                <c:pt idx="0">
                  <c:v>0.83820362965241468</c:v>
                </c:pt>
                <c:pt idx="1">
                  <c:v>0.82285537318055124</c:v>
                </c:pt>
                <c:pt idx="2">
                  <c:v>0.81878980891719744</c:v>
                </c:pt>
                <c:pt idx="3">
                  <c:v>0.79993124785149539</c:v>
                </c:pt>
                <c:pt idx="4">
                  <c:v>0.78893587033121915</c:v>
                </c:pt>
                <c:pt idx="5">
                  <c:v>0.7592313489073097</c:v>
                </c:pt>
                <c:pt idx="6">
                  <c:v>0.72720125786163525</c:v>
                </c:pt>
                <c:pt idx="7">
                  <c:v>0.7186742118027486</c:v>
                </c:pt>
                <c:pt idx="8">
                  <c:v>0.64534377719756308</c:v>
                </c:pt>
                <c:pt idx="9">
                  <c:v>0.624</c:v>
                </c:pt>
                <c:pt idx="10">
                  <c:v>0.54739336492891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7-4FED-8D64-A0DC88F93218}"/>
            </c:ext>
          </c:extLst>
        </c:ser>
        <c:ser>
          <c:idx val="2"/>
          <c:order val="2"/>
          <c:tx>
            <c:v>s</c:v>
          </c:tx>
          <c:spPr>
            <a:ln w="25400">
              <a:noFill/>
            </a:ln>
          </c:spPr>
          <c:marker>
            <c:symbol val="triangle"/>
            <c:size val="5"/>
            <c:spPr>
              <a:solidFill>
                <a:srgbClr val="DD0806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carga'!$D$20:$D$30</c:f>
              <c:numCache>
                <c:formatCode>0.0000</c:formatCode>
                <c:ptCount val="11"/>
                <c:pt idx="0">
                  <c:v>4.7333333333333331E-2</c:v>
                </c:pt>
                <c:pt idx="1">
                  <c:v>4.9333333333333333E-2</c:v>
                </c:pt>
                <c:pt idx="2">
                  <c:v>4.6666666666666669E-2</c:v>
                </c:pt>
                <c:pt idx="3">
                  <c:v>4.1333333333333333E-2</c:v>
                </c:pt>
                <c:pt idx="4">
                  <c:v>3.9333333333333331E-2</c:v>
                </c:pt>
                <c:pt idx="5">
                  <c:v>3.4666666666666665E-2</c:v>
                </c:pt>
                <c:pt idx="6">
                  <c:v>3.1333333333333331E-2</c:v>
                </c:pt>
                <c:pt idx="7">
                  <c:v>0.03</c:v>
                </c:pt>
                <c:pt idx="8">
                  <c:v>2.3333333333333334E-2</c:v>
                </c:pt>
                <c:pt idx="9">
                  <c:v>2.1333333333333333E-2</c:v>
                </c:pt>
                <c:pt idx="10">
                  <c:v>1.7333333333333333E-2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7-4FED-8D64-A0DC88F93218}"/>
            </c:ext>
          </c:extLst>
        </c:ser>
        <c:ser>
          <c:idx val="3"/>
          <c:order val="3"/>
          <c:tx>
            <c:v>T</c:v>
          </c:tx>
          <c:spPr>
            <a:ln w="2540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carga'!$E$20:$E$30</c:f>
              <c:numCache>
                <c:formatCode>0.000</c:formatCode>
                <c:ptCount val="11"/>
                <c:pt idx="0">
                  <c:v>0.90347438653705747</c:v>
                </c:pt>
                <c:pt idx="1">
                  <c:v>0.9135091939789568</c:v>
                </c:pt>
                <c:pt idx="2">
                  <c:v>0.87390532388640729</c:v>
                </c:pt>
                <c:pt idx="3">
                  <c:v>0.87856184858377284</c:v>
                </c:pt>
                <c:pt idx="4">
                  <c:v>0.78108518913663016</c:v>
                </c:pt>
                <c:pt idx="5">
                  <c:v>0.70696449859604338</c:v>
                </c:pt>
                <c:pt idx="6">
                  <c:v>0.63618163074860845</c:v>
                </c:pt>
                <c:pt idx="7">
                  <c:v>0.61124248934536851</c:v>
                </c:pt>
                <c:pt idx="8">
                  <c:v>0.49973565748991028</c:v>
                </c:pt>
                <c:pt idx="9">
                  <c:v>0.47703116458061273</c:v>
                </c:pt>
                <c:pt idx="10">
                  <c:v>0.35610108705364374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7-4FED-8D64-A0DC88F93218}"/>
            </c:ext>
          </c:extLst>
        </c:ser>
        <c:ser>
          <c:idx val="4"/>
          <c:order val="4"/>
          <c:tx>
            <c:v>Is</c:v>
          </c:tx>
          <c:spPr>
            <a:ln w="2540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  <c:pt idx="0">
                  <c:v>0.92181818181818187</c:v>
                </c:pt>
                <c:pt idx="1">
                  <c:v>0.93010000000000004</c:v>
                </c:pt>
                <c:pt idx="2">
                  <c:v>0.89227272727272722</c:v>
                </c:pt>
                <c:pt idx="3">
                  <c:v>0.90204545454545459</c:v>
                </c:pt>
                <c:pt idx="4">
                  <c:v>0.80363636363636359</c:v>
                </c:pt>
                <c:pt idx="5">
                  <c:v>0.73090909090909095</c:v>
                </c:pt>
                <c:pt idx="6">
                  <c:v>0.66</c:v>
                </c:pt>
                <c:pt idx="7">
                  <c:v>0.63500000000000001</c:v>
                </c:pt>
                <c:pt idx="8">
                  <c:v>0.52272727272727271</c:v>
                </c:pt>
                <c:pt idx="9">
                  <c:v>0.5</c:v>
                </c:pt>
                <c:pt idx="10">
                  <c:v>0.37477272727272726</c:v>
                </c:pt>
              </c:numCache>
            </c:numRef>
          </c:xVal>
          <c:yVal>
            <c:numRef>
              <c:f>'B - Máquina em carga'!$B$20:$B$30</c:f>
              <c:numCache>
                <c:formatCode>General</c:formatCode>
                <c:ptCount val="11"/>
                <c:pt idx="0">
                  <c:v>1.0265306122448978</c:v>
                </c:pt>
                <c:pt idx="1">
                  <c:v>0.96571428571428564</c:v>
                </c:pt>
                <c:pt idx="2">
                  <c:v>0.92040816326530606</c:v>
                </c:pt>
                <c:pt idx="3">
                  <c:v>0.85367346938775501</c:v>
                </c:pt>
                <c:pt idx="4">
                  <c:v>0.82408163265306122</c:v>
                </c:pt>
                <c:pt idx="5">
                  <c:v>0.77163265306122442</c:v>
                </c:pt>
                <c:pt idx="6">
                  <c:v>0.73897959183673467</c:v>
                </c:pt>
                <c:pt idx="7">
                  <c:v>0.69387755102040805</c:v>
                </c:pt>
                <c:pt idx="8">
                  <c:v>0.66122448979591841</c:v>
                </c:pt>
                <c:pt idx="9">
                  <c:v>0.63285714285714278</c:v>
                </c:pt>
                <c:pt idx="10">
                  <c:v>0.61632653061224485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7-4FED-8D64-A0DC88F9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03984"/>
        <c:axId val="677404528"/>
      </c:scatterChart>
      <c:valAx>
        <c:axId val="6774039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75" b="1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</a:t>
                </a:r>
                <a:r>
                  <a:rPr lang="en-US" sz="9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mec</a:t>
                </a:r>
                <a:r>
                  <a:rPr lang="en-US" sz="9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[pu]</a:t>
                </a:r>
              </a:p>
            </c:rich>
          </c:tx>
          <c:layout>
            <c:manualLayout>
              <c:xMode val="edge"/>
              <c:yMode val="edge"/>
              <c:x val="0.39090923863319238"/>
              <c:y val="0.9090897733893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404528"/>
        <c:crosses val="autoZero"/>
        <c:crossBetween val="midCat"/>
      </c:valAx>
      <c:valAx>
        <c:axId val="6774045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4039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627466149503858"/>
          <c:y val="0.44395010120302469"/>
          <c:w val="6.3580220921582678E-2"/>
          <c:h val="0.18396103233091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85725</xdr:rowOff>
    </xdr:from>
    <xdr:to>
      <xdr:col>13</xdr:col>
      <xdr:colOff>9525</xdr:colOff>
      <xdr:row>19</xdr:row>
      <xdr:rowOff>2142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CE879492-7119-205B-56C7-2FF4AFA27A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t="8230"/>
        <a:stretch/>
      </xdr:blipFill>
      <xdr:spPr>
        <a:xfrm>
          <a:off x="0" y="2200275"/>
          <a:ext cx="8553450" cy="50980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13</xdr:col>
      <xdr:colOff>6227</xdr:colOff>
      <xdr:row>36</xdr:row>
      <xdr:rowOff>47625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79A9FB4B-1992-1EA9-855F-E05CDA6212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 t="7547"/>
        <a:stretch/>
      </xdr:blipFill>
      <xdr:spPr>
        <a:xfrm>
          <a:off x="0" y="9429750"/>
          <a:ext cx="8550152" cy="5133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9525</xdr:rowOff>
    </xdr:from>
    <xdr:to>
      <xdr:col>10</xdr:col>
      <xdr:colOff>600075</xdr:colOff>
      <xdr:row>59</xdr:row>
      <xdr:rowOff>123825</xdr:rowOff>
    </xdr:to>
    <xdr:graphicFrame macro="">
      <xdr:nvGraphicFramePr>
        <xdr:cNvPr id="31" name="Chart 11">
          <a:extLst>
            <a:ext uri="{FF2B5EF4-FFF2-40B4-BE49-F238E27FC236}">
              <a16:creationId xmlns:a16="http://schemas.microsoft.com/office/drawing/2014/main" id="{00000000-0008-0000-0200-0000579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64</xdr:row>
      <xdr:rowOff>0</xdr:rowOff>
    </xdr:from>
    <xdr:to>
      <xdr:col>10</xdr:col>
      <xdr:colOff>438150</xdr:colOff>
      <xdr:row>80</xdr:row>
      <xdr:rowOff>85725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200-000058990000}"/>
            </a:ext>
            <a:ext uri="{147F2762-F138-4A5C-976F-8EAC2B608ADB}">
              <a16:predDERef xmlns:a16="http://schemas.microsoft.com/office/drawing/2014/main" pred="{00000000-0008-0000-0200-0000579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23</xdr:col>
      <xdr:colOff>419100</xdr:colOff>
      <xdr:row>59</xdr:row>
      <xdr:rowOff>114300</xdr:rowOff>
    </xdr:to>
    <xdr:graphicFrame macro="">
      <xdr:nvGraphicFramePr>
        <xdr:cNvPr id="63" name="Chart 11">
          <a:extLst>
            <a:ext uri="{FF2B5EF4-FFF2-40B4-BE49-F238E27FC236}">
              <a16:creationId xmlns:a16="http://schemas.microsoft.com/office/drawing/2014/main" id="{D397E919-A2A3-4A72-90CE-A0DF07131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43</xdr:row>
      <xdr:rowOff>104775</xdr:rowOff>
    </xdr:from>
    <xdr:to>
      <xdr:col>20</xdr:col>
      <xdr:colOff>447675</xdr:colOff>
      <xdr:row>55</xdr:row>
      <xdr:rowOff>66675</xdr:rowOff>
    </xdr:to>
    <xdr:sp macro="" textlink="">
      <xdr:nvSpPr>
        <xdr:cNvPr id="43" name="Freeform: Shape 42">
          <a:extLst>
            <a:ext uri="{FF2B5EF4-FFF2-40B4-BE49-F238E27FC236}">
              <a16:creationId xmlns:a16="http://schemas.microsoft.com/office/drawing/2014/main" id="{83AA3D26-7C69-03E8-4C78-B5704A2BABD1}"/>
            </a:ext>
          </a:extLst>
        </xdr:cNvPr>
        <xdr:cNvSpPr/>
      </xdr:nvSpPr>
      <xdr:spPr bwMode="auto">
        <a:xfrm>
          <a:off x="8315325" y="7934325"/>
          <a:ext cx="4752975" cy="1905000"/>
        </a:xfrm>
        <a:custGeom>
          <a:avLst/>
          <a:gdLst>
            <a:gd name="connsiteX0" fmla="*/ 0 w 4752975"/>
            <a:gd name="connsiteY0" fmla="*/ 1905000 h 1905000"/>
            <a:gd name="connsiteX1" fmla="*/ 457200 w 4752975"/>
            <a:gd name="connsiteY1" fmla="*/ 1276350 h 1905000"/>
            <a:gd name="connsiteX2" fmla="*/ 933450 w 4752975"/>
            <a:gd name="connsiteY2" fmla="*/ 933450 h 1905000"/>
            <a:gd name="connsiteX3" fmla="*/ 1647825 w 4752975"/>
            <a:gd name="connsiteY3" fmla="*/ 666750 h 1905000"/>
            <a:gd name="connsiteX4" fmla="*/ 2771775 w 4752975"/>
            <a:gd name="connsiteY4" fmla="*/ 409575 h 1905000"/>
            <a:gd name="connsiteX5" fmla="*/ 4343400 w 4752975"/>
            <a:gd name="connsiteY5" fmla="*/ 76200 h 1905000"/>
            <a:gd name="connsiteX6" fmla="*/ 4752975 w 4752975"/>
            <a:gd name="connsiteY6" fmla="*/ 0 h 1905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4752975" h="1905000">
              <a:moveTo>
                <a:pt x="0" y="1905000"/>
              </a:moveTo>
              <a:cubicBezTo>
                <a:pt x="150812" y="1671637"/>
                <a:pt x="301625" y="1438275"/>
                <a:pt x="457200" y="1276350"/>
              </a:cubicBezTo>
              <a:cubicBezTo>
                <a:pt x="612775" y="1114425"/>
                <a:pt x="735013" y="1035050"/>
                <a:pt x="933450" y="933450"/>
              </a:cubicBezTo>
              <a:cubicBezTo>
                <a:pt x="1131887" y="831850"/>
                <a:pt x="1341438" y="754062"/>
                <a:pt x="1647825" y="666750"/>
              </a:cubicBezTo>
              <a:cubicBezTo>
                <a:pt x="1954212" y="579438"/>
                <a:pt x="2771775" y="409575"/>
                <a:pt x="2771775" y="409575"/>
              </a:cubicBezTo>
              <a:lnTo>
                <a:pt x="4343400" y="76200"/>
              </a:lnTo>
              <a:cubicBezTo>
                <a:pt x="4673600" y="7937"/>
                <a:pt x="4606925" y="39687"/>
                <a:pt x="4752975" y="0"/>
              </a:cubicBezTo>
            </a:path>
          </a:pathLst>
        </a:custGeom>
        <a:noFill/>
        <a:ln w="19050" cap="flat" cmpd="sng" algn="ctr">
          <a:solidFill>
            <a:srgbClr val="FF33CC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581025</xdr:colOff>
      <xdr:row>41</xdr:row>
      <xdr:rowOff>142875</xdr:rowOff>
    </xdr:from>
    <xdr:to>
      <xdr:col>21</xdr:col>
      <xdr:colOff>47625</xdr:colOff>
      <xdr:row>55</xdr:row>
      <xdr:rowOff>85725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15408BE7-6A80-BCDD-D3AD-19A78720A608}"/>
            </a:ext>
          </a:extLst>
        </xdr:cNvPr>
        <xdr:cNvCxnSpPr/>
      </xdr:nvCxnSpPr>
      <xdr:spPr bwMode="auto">
        <a:xfrm flipV="1">
          <a:off x="8324850" y="7648575"/>
          <a:ext cx="4953000" cy="22098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chemeClr val="accent5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581025</xdr:colOff>
      <xdr:row>54</xdr:row>
      <xdr:rowOff>123825</xdr:rowOff>
    </xdr:from>
    <xdr:to>
      <xdr:col>21</xdr:col>
      <xdr:colOff>76200</xdr:colOff>
      <xdr:row>55</xdr:row>
      <xdr:rowOff>95250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B19C6D48-2BB4-9B25-ED3C-ECFE82CC49CE}"/>
            </a:ext>
          </a:extLst>
        </xdr:cNvPr>
        <xdr:cNvCxnSpPr/>
      </xdr:nvCxnSpPr>
      <xdr:spPr bwMode="auto">
        <a:xfrm flipV="1">
          <a:off x="8324850" y="9734550"/>
          <a:ext cx="4981575" cy="133350"/>
        </a:xfrm>
        <a:prstGeom prst="line">
          <a:avLst/>
        </a:prstGeom>
        <a:ln>
          <a:headEnd type="none" w="med" len="med"/>
          <a:tailEnd type="none" w="med" len="med"/>
        </a:ln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84</xdr:row>
      <xdr:rowOff>85725</xdr:rowOff>
    </xdr:from>
    <xdr:to>
      <xdr:col>11</xdr:col>
      <xdr:colOff>66675</xdr:colOff>
      <xdr:row>90</xdr:row>
      <xdr:rowOff>0</xdr:rowOff>
    </xdr:to>
    <xdr:pic>
      <xdr:nvPicPr>
        <xdr:cNvPr id="39233" name="Graphic 39232">
          <a:extLst>
            <a:ext uri="{FF2B5EF4-FFF2-40B4-BE49-F238E27FC236}">
              <a16:creationId xmlns:a16="http://schemas.microsoft.com/office/drawing/2014/main" id="{72BDF267-1D7E-9275-42F4-8920C1F490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rcRect t="4143"/>
        <a:stretch/>
      </xdr:blipFill>
      <xdr:spPr>
        <a:xfrm>
          <a:off x="0" y="14992350"/>
          <a:ext cx="7200900" cy="7934325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0.08289</cdr:x>
      <cdr:y>0.38902</cdr:y>
    </cdr:from>
    <cdr:to>
      <cdr:x>0.68583</cdr:x>
      <cdr:y>0.83524</cdr:y>
    </cdr:to>
    <cdr:sp macro="" textlink="">
      <cdr:nvSpPr>
        <cdr:cNvPr id="2" name="Freeform: Shape 1">
          <a:extLst xmlns:a="http://schemas.openxmlformats.org/drawingml/2006/main">
            <a:ext uri="{FF2B5EF4-FFF2-40B4-BE49-F238E27FC236}">
              <a16:creationId xmlns:a16="http://schemas.microsoft.com/office/drawing/2014/main" id="{EE37FADE-8E43-5E34-78C8-234E6D73A508}"/>
            </a:ext>
          </a:extLst>
        </cdr:cNvPr>
        <cdr:cNvSpPr/>
      </cdr:nvSpPr>
      <cdr:spPr bwMode="auto">
        <a:xfrm xmlns:a="http://schemas.openxmlformats.org/drawingml/2006/main">
          <a:off x="590550" y="1619250"/>
          <a:ext cx="4295775" cy="1857375"/>
        </a:xfrm>
        <a:custGeom xmlns:a="http://schemas.openxmlformats.org/drawingml/2006/main">
          <a:avLst/>
          <a:gdLst>
            <a:gd name="connsiteX0" fmla="*/ 0 w 4295775"/>
            <a:gd name="connsiteY0" fmla="*/ 1895475 h 1895475"/>
            <a:gd name="connsiteX1" fmla="*/ 142875 w 4295775"/>
            <a:gd name="connsiteY1" fmla="*/ 762000 h 1895475"/>
            <a:gd name="connsiteX2" fmla="*/ 600075 w 4295775"/>
            <a:gd name="connsiteY2" fmla="*/ 361950 h 1895475"/>
            <a:gd name="connsiteX3" fmla="*/ 2257425 w 4295775"/>
            <a:gd name="connsiteY3" fmla="*/ 133350 h 1895475"/>
            <a:gd name="connsiteX4" fmla="*/ 4295775 w 4295775"/>
            <a:gd name="connsiteY4" fmla="*/ 0 h 1895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295775" h="1895475">
              <a:moveTo>
                <a:pt x="0" y="1895475"/>
              </a:moveTo>
              <a:cubicBezTo>
                <a:pt x="21431" y="1456531"/>
                <a:pt x="42863" y="1017587"/>
                <a:pt x="142875" y="762000"/>
              </a:cubicBezTo>
              <a:cubicBezTo>
                <a:pt x="242887" y="506413"/>
                <a:pt x="247650" y="466725"/>
                <a:pt x="600075" y="361950"/>
              </a:cubicBezTo>
              <a:cubicBezTo>
                <a:pt x="952500" y="257175"/>
                <a:pt x="1641475" y="193675"/>
                <a:pt x="2257425" y="133350"/>
              </a:cubicBezTo>
              <a:cubicBezTo>
                <a:pt x="2873375" y="73025"/>
                <a:pt x="3856038" y="38100"/>
                <a:pt x="4295775" y="0"/>
              </a:cubicBezTo>
            </a:path>
          </a:pathLst>
        </a:custGeom>
        <a:noFill xmlns:a="http://schemas.openxmlformats.org/drawingml/2006/main"/>
        <a:ln xmlns:a="http://schemas.openxmlformats.org/drawingml/2006/main" w="19050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>
            <a:ln w="19050">
              <a:solidFill>
                <a:schemeClr val="accent1"/>
              </a:solidFill>
            </a:ln>
          </a:endParaRPr>
        </a:p>
      </cdr:txBody>
    </cdr:sp>
  </cdr:relSizeAnchor>
  <cdr:relSizeAnchor xmlns:cdr="http://schemas.openxmlformats.org/drawingml/2006/chartDrawing">
    <cdr:from>
      <cdr:x>0.24599</cdr:x>
      <cdr:y>0.28833</cdr:y>
    </cdr:from>
    <cdr:to>
      <cdr:x>0.75802</cdr:x>
      <cdr:y>0.49886</cdr:y>
    </cdr:to>
    <cdr:sp macro="" textlink="">
      <cdr:nvSpPr>
        <cdr:cNvPr id="3" name="Freeform: Shape 2">
          <a:extLst xmlns:a="http://schemas.openxmlformats.org/drawingml/2006/main">
            <a:ext uri="{FF2B5EF4-FFF2-40B4-BE49-F238E27FC236}">
              <a16:creationId xmlns:a16="http://schemas.microsoft.com/office/drawing/2014/main" id="{8856BD46-CFED-110D-4154-FEBE7E913537}"/>
            </a:ext>
          </a:extLst>
        </cdr:cNvPr>
        <cdr:cNvSpPr/>
      </cdr:nvSpPr>
      <cdr:spPr bwMode="auto">
        <a:xfrm xmlns:a="http://schemas.openxmlformats.org/drawingml/2006/main">
          <a:off x="1752600" y="1200150"/>
          <a:ext cx="3648075" cy="876300"/>
        </a:xfrm>
        <a:custGeom xmlns:a="http://schemas.openxmlformats.org/drawingml/2006/main">
          <a:avLst/>
          <a:gdLst>
            <a:gd name="connsiteX0" fmla="*/ 0 w 3648075"/>
            <a:gd name="connsiteY0" fmla="*/ 876300 h 876300"/>
            <a:gd name="connsiteX1" fmla="*/ 1333500 w 3648075"/>
            <a:gd name="connsiteY1" fmla="*/ 781050 h 876300"/>
            <a:gd name="connsiteX2" fmla="*/ 2609850 w 3648075"/>
            <a:gd name="connsiteY2" fmla="*/ 457200 h 876300"/>
            <a:gd name="connsiteX3" fmla="*/ 3648075 w 3648075"/>
            <a:gd name="connsiteY3" fmla="*/ 0 h 876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648075" h="876300">
              <a:moveTo>
                <a:pt x="0" y="876300"/>
              </a:moveTo>
              <a:cubicBezTo>
                <a:pt x="449262" y="863600"/>
                <a:pt x="898525" y="850900"/>
                <a:pt x="1333500" y="781050"/>
              </a:cubicBezTo>
              <a:cubicBezTo>
                <a:pt x="1768475" y="711200"/>
                <a:pt x="2224088" y="587375"/>
                <a:pt x="2609850" y="457200"/>
              </a:cubicBezTo>
              <a:cubicBezTo>
                <a:pt x="2995612" y="327025"/>
                <a:pt x="3444875" y="103187"/>
                <a:pt x="3648075" y="0"/>
              </a:cubicBezTo>
            </a:path>
          </a:pathLst>
        </a:custGeom>
        <a:noFill xmlns:a="http://schemas.openxmlformats.org/drawingml/2006/main"/>
        <a:ln xmlns:a="http://schemas.openxmlformats.org/drawingml/2006/main" w="19050" cap="flat" cmpd="sng" algn="ctr">
          <a:solidFill>
            <a:schemeClr val="accent4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H21" sqref="H21"/>
    </sheetView>
  </sheetViews>
  <sheetFormatPr defaultRowHeight="12.75" x14ac:dyDescent="0.2"/>
  <cols>
    <col min="2" max="2" width="12.85546875" customWidth="1"/>
    <col min="4" max="4" width="10.140625" bestFit="1" customWidth="1"/>
  </cols>
  <sheetData>
    <row r="1" spans="1:10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10" ht="25.5" x14ac:dyDescent="0.2">
      <c r="A2" s="14"/>
      <c r="B2" s="48" t="s">
        <v>0</v>
      </c>
      <c r="C2" s="49"/>
      <c r="D2" s="49"/>
      <c r="E2" s="49"/>
      <c r="F2" s="49"/>
      <c r="G2" s="49"/>
      <c r="H2" s="50"/>
      <c r="I2" s="14"/>
    </row>
    <row r="3" spans="1:10" ht="20.25" x14ac:dyDescent="0.2">
      <c r="A3" s="14"/>
      <c r="B3" s="51" t="s">
        <v>1</v>
      </c>
      <c r="C3" s="52"/>
      <c r="D3" s="52"/>
      <c r="E3" s="52"/>
      <c r="F3" s="52"/>
      <c r="G3" s="52"/>
      <c r="H3" s="53"/>
      <c r="I3" s="14"/>
    </row>
    <row r="4" spans="1:10" ht="20.25" x14ac:dyDescent="0.3">
      <c r="A4" s="14"/>
      <c r="B4" s="24"/>
      <c r="C4" s="14"/>
      <c r="D4" s="14"/>
      <c r="E4" s="14"/>
      <c r="F4" s="14"/>
      <c r="G4" s="14"/>
      <c r="H4" s="14"/>
      <c r="I4" s="14"/>
    </row>
    <row r="5" spans="1:10" ht="15.75" x14ac:dyDescent="0.25">
      <c r="A5" s="14"/>
      <c r="B5" s="25" t="s">
        <v>2</v>
      </c>
      <c r="C5" s="60" t="s">
        <v>3</v>
      </c>
      <c r="D5" s="61"/>
      <c r="E5" s="61"/>
      <c r="F5" s="61"/>
      <c r="G5" s="61"/>
      <c r="H5" s="62"/>
      <c r="I5" s="14"/>
    </row>
    <row r="6" spans="1:10" ht="15.75" x14ac:dyDescent="0.25">
      <c r="A6" s="14"/>
      <c r="B6" s="25" t="s">
        <v>4</v>
      </c>
      <c r="C6" s="63">
        <v>45205</v>
      </c>
      <c r="D6" s="61"/>
      <c r="E6" s="61"/>
      <c r="F6" s="61"/>
      <c r="G6" s="61"/>
      <c r="H6" s="62"/>
      <c r="I6" s="14"/>
    </row>
    <row r="7" spans="1:10" ht="15.75" x14ac:dyDescent="0.2">
      <c r="A7" s="14"/>
      <c r="B7" s="25" t="s">
        <v>5</v>
      </c>
      <c r="C7" s="64" t="s">
        <v>6</v>
      </c>
      <c r="D7" s="65"/>
      <c r="E7" s="65"/>
      <c r="F7" s="65"/>
      <c r="G7" s="65"/>
      <c r="H7" s="66"/>
      <c r="I7" s="14"/>
    </row>
    <row r="8" spans="1:10" ht="15.75" x14ac:dyDescent="0.2">
      <c r="A8" s="14"/>
      <c r="B8" s="26" t="s">
        <v>7</v>
      </c>
      <c r="C8" s="64" t="s">
        <v>8</v>
      </c>
      <c r="D8" s="65"/>
      <c r="E8" s="65"/>
      <c r="F8" s="65"/>
      <c r="G8" s="65"/>
      <c r="H8" s="66"/>
      <c r="I8" s="14"/>
    </row>
    <row r="9" spans="1:10" ht="20.25" x14ac:dyDescent="0.3">
      <c r="A9" s="23"/>
      <c r="B9" s="24"/>
      <c r="C9" s="14"/>
      <c r="D9" s="14"/>
      <c r="E9" s="14"/>
      <c r="F9" s="14"/>
      <c r="G9" s="14"/>
      <c r="H9" s="14"/>
      <c r="I9" s="14"/>
    </row>
    <row r="10" spans="1:10" ht="15.75" x14ac:dyDescent="0.2">
      <c r="A10" s="23"/>
      <c r="B10" s="28" t="s">
        <v>9</v>
      </c>
      <c r="C10" s="23"/>
      <c r="D10" s="23"/>
      <c r="E10" s="23"/>
      <c r="F10" s="23"/>
      <c r="G10" s="23"/>
      <c r="H10" s="23"/>
      <c r="I10" s="23"/>
      <c r="J10" s="2"/>
    </row>
    <row r="11" spans="1:10" ht="15.75" x14ac:dyDescent="0.25">
      <c r="A11" s="29"/>
      <c r="B11" s="3" t="s">
        <v>10</v>
      </c>
      <c r="C11" s="54" t="s">
        <v>11</v>
      </c>
      <c r="D11" s="55"/>
      <c r="E11" s="55"/>
      <c r="F11" s="55"/>
      <c r="G11" s="55"/>
      <c r="H11" s="56"/>
      <c r="I11" s="23"/>
      <c r="J11" s="2"/>
    </row>
    <row r="12" spans="1:10" ht="15" x14ac:dyDescent="0.2">
      <c r="A12" s="23"/>
      <c r="B12" s="4">
        <v>99995</v>
      </c>
      <c r="C12" s="5" t="s">
        <v>12</v>
      </c>
      <c r="D12" s="6"/>
      <c r="E12" s="6"/>
      <c r="F12" s="6"/>
      <c r="G12" s="6"/>
      <c r="H12" s="7"/>
      <c r="I12" s="23"/>
      <c r="J12" s="2"/>
    </row>
    <row r="13" spans="1:10" ht="15" x14ac:dyDescent="0.2">
      <c r="A13" s="23"/>
      <c r="B13" s="4">
        <v>100029</v>
      </c>
      <c r="C13" s="5" t="s">
        <v>13</v>
      </c>
      <c r="D13" s="6"/>
      <c r="E13" s="6"/>
      <c r="F13" s="6"/>
      <c r="G13" s="6"/>
      <c r="H13" s="7"/>
      <c r="I13" s="23"/>
      <c r="J13" s="2"/>
    </row>
    <row r="14" spans="1:10" ht="15" x14ac:dyDescent="0.2">
      <c r="A14" s="23"/>
      <c r="B14" s="4">
        <v>103767</v>
      </c>
      <c r="C14" s="5" t="s">
        <v>14</v>
      </c>
      <c r="D14" s="6"/>
      <c r="E14" s="6"/>
      <c r="F14" s="6"/>
      <c r="G14" s="6"/>
      <c r="H14" s="7"/>
      <c r="I14" s="23"/>
      <c r="J14" s="2"/>
    </row>
    <row r="15" spans="1:10" ht="15" x14ac:dyDescent="0.2">
      <c r="A15" s="23"/>
      <c r="B15" s="4">
        <v>103817</v>
      </c>
      <c r="C15" s="5" t="s">
        <v>15</v>
      </c>
      <c r="D15" s="6"/>
      <c r="E15" s="6"/>
      <c r="F15" s="6"/>
      <c r="G15" s="6"/>
      <c r="H15" s="7"/>
      <c r="I15" s="23"/>
      <c r="J15" s="2"/>
    </row>
    <row r="16" spans="1:10" ht="15" x14ac:dyDescent="0.2">
      <c r="A16" s="23"/>
      <c r="B16" s="4">
        <v>103870</v>
      </c>
      <c r="C16" s="5" t="s">
        <v>16</v>
      </c>
      <c r="D16" s="6"/>
      <c r="E16" s="6"/>
      <c r="F16" s="6"/>
      <c r="G16" s="6"/>
      <c r="H16" s="7"/>
      <c r="I16" s="23"/>
      <c r="J16" s="2"/>
    </row>
    <row r="17" spans="1:10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10" ht="13.5" thickBot="1" x14ac:dyDescent="0.25">
      <c r="A18" s="14"/>
      <c r="B18" s="14"/>
      <c r="C18" s="14"/>
      <c r="D18" s="14"/>
      <c r="E18" s="14"/>
      <c r="F18" s="14"/>
      <c r="G18" s="14"/>
      <c r="H18" s="14"/>
      <c r="I18" s="14"/>
    </row>
    <row r="19" spans="1:10" ht="18" thickBot="1" x14ac:dyDescent="0.3">
      <c r="A19" s="23"/>
      <c r="B19" s="57" t="s">
        <v>17</v>
      </c>
      <c r="C19" s="58"/>
      <c r="D19" s="58"/>
      <c r="E19" s="58"/>
      <c r="F19" s="58"/>
      <c r="G19" s="58"/>
      <c r="H19" s="59"/>
      <c r="I19" s="23"/>
      <c r="J19" s="2"/>
    </row>
    <row r="20" spans="1:10" ht="19.5" x14ac:dyDescent="0.2">
      <c r="A20" s="23"/>
      <c r="B20" s="10" t="s">
        <v>18</v>
      </c>
      <c r="C20" s="27" t="s">
        <v>19</v>
      </c>
      <c r="D20" s="27" t="s">
        <v>20</v>
      </c>
      <c r="E20" s="27" t="s">
        <v>21</v>
      </c>
      <c r="F20" s="27" t="s">
        <v>22</v>
      </c>
      <c r="G20" s="27" t="s">
        <v>23</v>
      </c>
      <c r="H20" s="27" t="s">
        <v>24</v>
      </c>
      <c r="I20" s="23"/>
      <c r="J20" s="2"/>
    </row>
    <row r="21" spans="1:10" ht="15" x14ac:dyDescent="0.2">
      <c r="A21" s="23"/>
      <c r="B21" s="9">
        <f>2.2</f>
        <v>2.2000000000000002</v>
      </c>
      <c r="C21" s="9">
        <v>400</v>
      </c>
      <c r="D21" s="9">
        <v>1420</v>
      </c>
      <c r="E21" s="9">
        <v>0.8</v>
      </c>
      <c r="F21" s="9">
        <v>0.82</v>
      </c>
      <c r="G21" s="9">
        <v>4.9000000000000004</v>
      </c>
      <c r="H21" s="9">
        <v>15</v>
      </c>
      <c r="I21" s="23"/>
      <c r="J21" s="2"/>
    </row>
    <row r="22" spans="1:10" ht="15" x14ac:dyDescent="0.2">
      <c r="A22" s="14"/>
      <c r="B22" s="30"/>
      <c r="C22" s="14"/>
      <c r="D22" s="14"/>
      <c r="E22" s="23"/>
      <c r="F22" s="14"/>
      <c r="G22" s="14"/>
      <c r="H22" s="14"/>
      <c r="I22" s="14"/>
    </row>
    <row r="23" spans="1:10" ht="19.5" x14ac:dyDescent="0.2">
      <c r="A23" s="14"/>
      <c r="B23" s="19" t="s">
        <v>25</v>
      </c>
      <c r="C23" s="14"/>
      <c r="D23" s="14"/>
      <c r="E23" s="23"/>
      <c r="F23" s="14"/>
      <c r="G23" s="14"/>
      <c r="H23" s="14"/>
      <c r="I23" s="14"/>
    </row>
    <row r="24" spans="1:10" ht="15" x14ac:dyDescent="0.2">
      <c r="A24" s="14"/>
      <c r="B24" s="20">
        <f>B21/(E21*F21)</f>
        <v>3.3536585365853662</v>
      </c>
      <c r="C24" s="23"/>
      <c r="D24" s="14"/>
      <c r="E24" s="14"/>
      <c r="F24" s="14"/>
      <c r="G24" s="14"/>
      <c r="H24" s="14"/>
      <c r="I24" s="14"/>
    </row>
    <row r="25" spans="1:10" ht="15" x14ac:dyDescent="0.2">
      <c r="A25" s="14"/>
      <c r="B25" s="31"/>
      <c r="C25" s="23"/>
      <c r="D25" s="14"/>
      <c r="E25" s="14"/>
      <c r="F25" s="14"/>
      <c r="G25" s="14"/>
      <c r="H25" s="14"/>
      <c r="I25" s="14"/>
    </row>
    <row r="26" spans="1:10" x14ac:dyDescent="0.2">
      <c r="B26" s="32"/>
      <c r="C26" s="8"/>
      <c r="D26" s="8"/>
      <c r="E26" s="8"/>
      <c r="F26" s="8"/>
    </row>
    <row r="27" spans="1:10" x14ac:dyDescent="0.2">
      <c r="B27" s="8"/>
      <c r="C27" s="8"/>
      <c r="D27" s="8"/>
      <c r="E27" s="8"/>
      <c r="F27" s="8"/>
    </row>
  </sheetData>
  <mergeCells count="8">
    <mergeCell ref="B2:H2"/>
    <mergeCell ref="B3:H3"/>
    <mergeCell ref="C11:H11"/>
    <mergeCell ref="B19:H19"/>
    <mergeCell ref="C5:H5"/>
    <mergeCell ref="C6:H6"/>
    <mergeCell ref="C7:H7"/>
    <mergeCell ref="C8:H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opLeftCell="A11" zoomScaleNormal="100" workbookViewId="0">
      <selection activeCell="O17" sqref="O17"/>
    </sheetView>
  </sheetViews>
  <sheetFormatPr defaultRowHeight="12.75" customHeight="1" x14ac:dyDescent="0.2"/>
  <cols>
    <col min="1" max="1" width="9.140625" customWidth="1"/>
    <col min="3" max="3" width="9.140625" customWidth="1"/>
    <col min="8" max="8" width="10.7109375" bestFit="1" customWidth="1"/>
    <col min="9" max="9" width="15.85546875" bestFit="1" customWidth="1"/>
    <col min="10" max="10" width="10.140625" bestFit="1" customWidth="1"/>
  </cols>
  <sheetData>
    <row r="1" spans="1:16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18" x14ac:dyDescent="0.2">
      <c r="A2" s="91" t="s">
        <v>26</v>
      </c>
      <c r="B2" s="92"/>
      <c r="C2" s="92"/>
      <c r="D2" s="92"/>
      <c r="E2" s="92"/>
      <c r="F2" s="93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ht="19.5" x14ac:dyDescent="0.35">
      <c r="A4" s="11" t="s">
        <v>27</v>
      </c>
      <c r="B4" s="11" t="s">
        <v>28</v>
      </c>
      <c r="C4" s="11" t="s">
        <v>29</v>
      </c>
      <c r="D4" s="11" t="s">
        <v>30</v>
      </c>
      <c r="E4" s="11" t="s">
        <v>31</v>
      </c>
      <c r="F4" s="12" t="s">
        <v>32</v>
      </c>
      <c r="G4" s="14"/>
      <c r="H4" s="94" t="s">
        <v>72</v>
      </c>
      <c r="I4" s="95"/>
      <c r="J4" s="14"/>
      <c r="K4" s="14"/>
      <c r="L4" s="14"/>
      <c r="M4" s="14"/>
      <c r="N4" s="14"/>
      <c r="O4" s="14"/>
      <c r="P4" s="14"/>
    </row>
    <row r="5" spans="1:16" ht="15" x14ac:dyDescent="0.2">
      <c r="A5" s="4">
        <v>230</v>
      </c>
      <c r="B5" s="33">
        <v>3.0390000000000001</v>
      </c>
      <c r="C5" s="4">
        <v>364</v>
      </c>
      <c r="D5" s="4">
        <v>2009</v>
      </c>
      <c r="E5" s="4">
        <f>C5/D5</f>
        <v>0.18118466898954705</v>
      </c>
      <c r="F5" s="4">
        <v>1498</v>
      </c>
      <c r="G5" s="14"/>
      <c r="H5" s="96">
        <f xml:space="preserve"> (1500 - F5)/1500 * 100</f>
        <v>0.13333333333333333</v>
      </c>
      <c r="I5" s="97"/>
      <c r="J5" s="14"/>
      <c r="K5" s="14"/>
      <c r="L5" s="14"/>
      <c r="M5" s="14"/>
      <c r="N5" s="14"/>
      <c r="O5" s="14"/>
      <c r="P5" s="14"/>
    </row>
    <row r="6" spans="1:16" x14ac:dyDescent="0.2">
      <c r="A6" s="47" t="s">
        <v>71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ht="19.5" x14ac:dyDescent="0.35">
      <c r="A7" s="11" t="s">
        <v>33</v>
      </c>
      <c r="B7" s="11" t="s">
        <v>34</v>
      </c>
      <c r="C7" s="11" t="s">
        <v>35</v>
      </c>
      <c r="D7" s="44" t="s">
        <v>36</v>
      </c>
      <c r="E7" s="11" t="s">
        <v>37</v>
      </c>
      <c r="F7" s="11" t="s">
        <v>38</v>
      </c>
      <c r="G7" s="14"/>
      <c r="H7" s="46" t="s">
        <v>39</v>
      </c>
      <c r="I7" s="23"/>
      <c r="J7" s="14"/>
      <c r="K7" s="14"/>
      <c r="L7" s="14"/>
      <c r="M7" s="14"/>
      <c r="N7" s="14"/>
      <c r="O7" s="14"/>
      <c r="P7" s="14"/>
    </row>
    <row r="8" spans="1:16" ht="15" x14ac:dyDescent="0.2">
      <c r="A8" s="34">
        <f xml:space="preserve"> A5/('Máquina de Indução'!C21 / SQRT(3))</f>
        <v>0.99592921435210435</v>
      </c>
      <c r="B8" s="34">
        <f>B5 /( 'Máquina de Indução'!G21)</f>
        <v>0.62020408163265306</v>
      </c>
      <c r="C8" s="34">
        <f xml:space="preserve"> C5 / ('Máquina de Indução'!B24 * 1000)</f>
        <v>0.10853818181818181</v>
      </c>
      <c r="D8" s="35">
        <f xml:space="preserve"> SQRT(D5*D5 - C5*C5)</f>
        <v>1975.7492249777044</v>
      </c>
      <c r="E8" s="34">
        <f xml:space="preserve"> D8 /('Máquina de Indução'!B24 * 1000)</f>
        <v>0.58913249617517005</v>
      </c>
      <c r="F8" s="34">
        <f xml:space="preserve"> D5 / ('Máquina de Indução'!B24 * 1000)</f>
        <v>0.59904727272727265</v>
      </c>
      <c r="G8" s="14"/>
      <c r="H8" s="45">
        <f xml:space="preserve"> D8/C5</f>
        <v>5.4278824862024848</v>
      </c>
      <c r="I8" s="14"/>
      <c r="J8" s="14"/>
      <c r="K8" s="14"/>
      <c r="L8" s="14"/>
      <c r="M8" s="14"/>
      <c r="N8" s="14"/>
      <c r="O8" s="14"/>
      <c r="P8" s="14"/>
    </row>
    <row r="9" spans="1:16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15.75" x14ac:dyDescent="0.25">
      <c r="A11" s="76" t="s">
        <v>40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8"/>
      <c r="N11" s="14"/>
      <c r="O11" s="14"/>
      <c r="P11" s="14"/>
    </row>
    <row r="12" spans="1:16" x14ac:dyDescent="0.2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9"/>
      <c r="N12" s="14"/>
      <c r="O12" s="14"/>
      <c r="P12" s="14"/>
    </row>
    <row r="13" spans="1:16" x14ac:dyDescent="0.2">
      <c r="A13" s="70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2"/>
      <c r="N13" s="15"/>
      <c r="O13" s="15"/>
      <c r="P13" s="15"/>
    </row>
    <row r="14" spans="1:16" x14ac:dyDescent="0.2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2"/>
      <c r="N14" s="15"/>
      <c r="O14" s="15"/>
      <c r="P14" s="15"/>
    </row>
    <row r="15" spans="1:16" x14ac:dyDescent="0.2">
      <c r="A15" s="7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2"/>
      <c r="N15" s="15"/>
      <c r="O15" s="15"/>
      <c r="P15" s="15"/>
    </row>
    <row r="16" spans="1:16" x14ac:dyDescent="0.2">
      <c r="A16" s="7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2"/>
      <c r="N16" s="14"/>
      <c r="O16" s="14"/>
      <c r="P16" s="14"/>
    </row>
    <row r="17" spans="1:16" ht="318.75" customHeight="1" x14ac:dyDescent="0.2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4"/>
      <c r="O17" s="14"/>
      <c r="P17" s="14"/>
    </row>
    <row r="18" spans="1:16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8" x14ac:dyDescent="0.2">
      <c r="A21" s="91" t="s">
        <v>41</v>
      </c>
      <c r="B21" s="92"/>
      <c r="C21" s="92"/>
      <c r="D21" s="92"/>
      <c r="E21" s="92"/>
      <c r="F21" s="93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ht="19.5" x14ac:dyDescent="0.35">
      <c r="A23" s="11" t="s">
        <v>27</v>
      </c>
      <c r="B23" s="11" t="s">
        <v>28</v>
      </c>
      <c r="C23" s="44" t="s">
        <v>42</v>
      </c>
      <c r="D23" s="11" t="s">
        <v>30</v>
      </c>
      <c r="E23" s="11" t="s">
        <v>31</v>
      </c>
      <c r="F23" s="12" t="s">
        <v>32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t="15" x14ac:dyDescent="0.2">
      <c r="A24" s="4">
        <v>58.4</v>
      </c>
      <c r="B24" s="33">
        <v>5.0289999999999999</v>
      </c>
      <c r="C24" s="4">
        <v>526.6</v>
      </c>
      <c r="D24" s="4">
        <v>897</v>
      </c>
      <c r="E24" s="36">
        <f>C24/D24</f>
        <v>0.58706800445930885</v>
      </c>
      <c r="F24" s="4">
        <v>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x14ac:dyDescent="0.2">
      <c r="A25" s="47" t="s">
        <v>71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9.5" x14ac:dyDescent="0.35">
      <c r="A26" s="11" t="s">
        <v>33</v>
      </c>
      <c r="B26" s="11" t="s">
        <v>34</v>
      </c>
      <c r="C26" s="11" t="s">
        <v>35</v>
      </c>
      <c r="D26" s="11" t="s">
        <v>43</v>
      </c>
      <c r="E26" s="11" t="s">
        <v>37</v>
      </c>
      <c r="F26" s="11" t="s">
        <v>38</v>
      </c>
      <c r="G26" s="14"/>
      <c r="H26" s="46" t="s">
        <v>39</v>
      </c>
      <c r="I26" s="14"/>
      <c r="J26" s="14"/>
      <c r="K26" s="14"/>
      <c r="L26" s="14"/>
      <c r="M26" s="14"/>
      <c r="N26" s="14"/>
      <c r="O26" s="14"/>
      <c r="P26" s="14"/>
    </row>
    <row r="27" spans="1:16" ht="15" x14ac:dyDescent="0.2">
      <c r="A27" s="34">
        <f xml:space="preserve"> A24 / ('Máquina de Indução'!C21 / SQRT(3))</f>
        <v>0.25287941790505608</v>
      </c>
      <c r="B27" s="34">
        <f>B24 / ('Máquina de Indução'!G21)</f>
        <v>1.0263265306122449</v>
      </c>
      <c r="C27" s="34">
        <f xml:space="preserve"> C24 / ('Máquina de Indução'!B24 * 1000)</f>
        <v>0.15702254545454544</v>
      </c>
      <c r="D27" s="35">
        <f xml:space="preserve"> SQRT(D24*D24 - C24*C24)</f>
        <v>726.15524510947375</v>
      </c>
      <c r="E27" s="34">
        <f>D27 / ('Máquina de Indução'!B24 * 1000)</f>
        <v>0.21652629126900669</v>
      </c>
      <c r="F27" s="34">
        <f xml:space="preserve"> D24 / ('Máquina de Indução'!B24 * 1000)</f>
        <v>0.26746909090909088</v>
      </c>
      <c r="G27" s="14"/>
      <c r="H27" s="45">
        <f xml:space="preserve"> D27/C24</f>
        <v>1.3789503325284347</v>
      </c>
      <c r="I27" s="14"/>
      <c r="J27" s="14"/>
      <c r="K27" s="14"/>
      <c r="L27" s="14"/>
      <c r="M27" s="14"/>
      <c r="N27" s="14"/>
      <c r="O27" s="14"/>
      <c r="P27" s="14"/>
    </row>
    <row r="28" spans="1:16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t="15.75" x14ac:dyDescent="0.25">
      <c r="A30" s="76" t="s">
        <v>40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8"/>
      <c r="N30" s="14"/>
      <c r="O30" s="14"/>
      <c r="P30" s="14"/>
    </row>
    <row r="31" spans="1:16" x14ac:dyDescent="0.2">
      <c r="A31" s="79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1"/>
      <c r="N31" s="15"/>
      <c r="O31" s="15"/>
      <c r="P31" s="15"/>
    </row>
    <row r="32" spans="1:16" x14ac:dyDescent="0.2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4"/>
      <c r="N32" s="15"/>
      <c r="O32" s="15"/>
      <c r="P32" s="15"/>
    </row>
    <row r="33" spans="1:16" x14ac:dyDescent="0.2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4"/>
      <c r="N33" s="15"/>
      <c r="O33" s="15"/>
      <c r="P33" s="15"/>
    </row>
    <row r="34" spans="1:16" x14ac:dyDescent="0.2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4"/>
      <c r="N34" s="14"/>
      <c r="O34" s="14"/>
      <c r="P34" s="14"/>
    </row>
    <row r="35" spans="1:16" x14ac:dyDescent="0.2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4"/>
      <c r="N35" s="14"/>
      <c r="O35" s="14"/>
      <c r="P35" s="14"/>
    </row>
    <row r="36" spans="1:16" ht="338.25" customHeight="1" x14ac:dyDescent="0.2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7"/>
      <c r="N36" s="14"/>
      <c r="O36" s="14"/>
      <c r="P36" s="14"/>
    </row>
    <row r="37" spans="1:16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ht="12.75" customHeight="1" x14ac:dyDescent="0.2">
      <c r="A40" s="88" t="s">
        <v>44</v>
      </c>
      <c r="B40" s="89"/>
      <c r="C40" s="89"/>
      <c r="D40" s="89"/>
      <c r="E40" s="89"/>
      <c r="F40" s="89"/>
      <c r="G40" s="89"/>
      <c r="H40" s="89"/>
      <c r="I40" s="90"/>
      <c r="J40" s="18"/>
      <c r="K40" s="16"/>
      <c r="L40" s="16"/>
      <c r="M40" s="16"/>
      <c r="N40" s="16"/>
      <c r="O40" s="16"/>
      <c r="P40" s="16"/>
    </row>
    <row r="41" spans="1:16" ht="15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37"/>
      <c r="K41" s="14"/>
      <c r="L41" s="14"/>
      <c r="M41" s="14"/>
      <c r="N41" s="14"/>
      <c r="O41" s="14"/>
      <c r="P41" s="14"/>
    </row>
    <row r="42" spans="1:16" ht="19.5" x14ac:dyDescent="0.35">
      <c r="A42" s="13" t="s">
        <v>45</v>
      </c>
      <c r="B42" s="13" t="s">
        <v>46</v>
      </c>
      <c r="C42" s="13" t="s">
        <v>47</v>
      </c>
      <c r="D42" s="14"/>
      <c r="E42" s="13" t="s">
        <v>45</v>
      </c>
      <c r="F42" s="13" t="s">
        <v>46</v>
      </c>
      <c r="G42" s="13" t="s">
        <v>47</v>
      </c>
      <c r="H42" s="37" t="s">
        <v>48</v>
      </c>
      <c r="I42" s="14"/>
      <c r="J42" s="38" t="s">
        <v>49</v>
      </c>
      <c r="K42" s="23"/>
      <c r="L42" s="14"/>
      <c r="M42" s="14"/>
      <c r="N42" s="14"/>
      <c r="O42" s="14"/>
      <c r="P42" s="14"/>
    </row>
    <row r="43" spans="1:16" ht="15" x14ac:dyDescent="0.2">
      <c r="A43" s="34">
        <f>E43/J43</f>
        <v>0.10942727845563384</v>
      </c>
      <c r="B43" s="34">
        <f>F43/J43</f>
        <v>-0.62081197267360322</v>
      </c>
      <c r="C43" s="34">
        <f>G43/J43</f>
        <v>0.63038229249011857</v>
      </c>
      <c r="D43" s="23" t="s">
        <v>73</v>
      </c>
      <c r="E43" s="39">
        <f>C5 /(3*A5^2)</f>
        <v>2.2936357908002521E-3</v>
      </c>
      <c r="F43" s="39">
        <f xml:space="preserve"> -1 * SQRT(G43^2 - E43^2)</f>
        <v>-1.301244607357019E-2</v>
      </c>
      <c r="G43" s="39">
        <f>B5 /A5</f>
        <v>1.3213043478260871E-2</v>
      </c>
      <c r="H43" s="23" t="s">
        <v>50</v>
      </c>
      <c r="I43" s="14"/>
      <c r="J43" s="34">
        <f>'Máquina de Indução'!B24 * 1000 / ('Máquina de Indução'!C21^2)</f>
        <v>2.0960365853658538E-2</v>
      </c>
      <c r="K43" s="23" t="s">
        <v>50</v>
      </c>
      <c r="L43" s="14"/>
      <c r="M43" s="14"/>
      <c r="N43" s="14"/>
      <c r="O43" s="14"/>
      <c r="P43" s="14"/>
    </row>
    <row r="44" spans="1:16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ht="19.5" x14ac:dyDescent="0.35">
      <c r="A45" s="13" t="s">
        <v>51</v>
      </c>
      <c r="B45" s="13" t="s">
        <v>52</v>
      </c>
      <c r="C45" s="13" t="s">
        <v>53</v>
      </c>
      <c r="D45" s="14"/>
      <c r="E45" s="13" t="s">
        <v>51</v>
      </c>
      <c r="F45" s="13" t="s">
        <v>52</v>
      </c>
      <c r="G45" s="13" t="s">
        <v>53</v>
      </c>
      <c r="H45" s="37" t="s">
        <v>48</v>
      </c>
      <c r="I45" s="14"/>
      <c r="J45" s="38" t="s">
        <v>54</v>
      </c>
      <c r="K45" s="23"/>
      <c r="L45" s="14"/>
      <c r="M45" s="14"/>
      <c r="N45" s="14"/>
      <c r="O45" s="14"/>
      <c r="P45" s="14"/>
    </row>
    <row r="46" spans="1:16" ht="15" x14ac:dyDescent="0.2">
      <c r="A46" s="34">
        <f>E46/J46</f>
        <v>0.1454772850843063</v>
      </c>
      <c r="B46" s="34">
        <f>F46/J46</f>
        <v>0.19514740697518876</v>
      </c>
      <c r="C46" s="34">
        <f>G46/J46</f>
        <v>0.24340532230138373</v>
      </c>
      <c r="D46" s="23" t="s">
        <v>73</v>
      </c>
      <c r="E46" s="34">
        <f>C24 / (3*B24^2)</f>
        <v>6.9405890192949036</v>
      </c>
      <c r="F46" s="34">
        <f xml:space="preserve"> SQRT(G46^2 - E46^2)</f>
        <v>9.3103053800526414</v>
      </c>
      <c r="G46" s="34">
        <f xml:space="preserve"> A24 /B24</f>
        <v>11.612646649433287</v>
      </c>
      <c r="H46" s="23" t="s">
        <v>55</v>
      </c>
      <c r="I46" s="14"/>
      <c r="J46" s="34">
        <f>'Máquina de Indução'!C21^2 / ('Máquina de Indução'!B24*1000)</f>
        <v>47.709090909090904</v>
      </c>
      <c r="K46" s="23" t="s">
        <v>55</v>
      </c>
      <c r="L46" s="14"/>
      <c r="M46" s="14"/>
      <c r="N46" s="14"/>
      <c r="O46" s="14"/>
      <c r="P46" s="14"/>
    </row>
    <row r="47" spans="1:16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</sheetData>
  <mergeCells count="9">
    <mergeCell ref="A2:F2"/>
    <mergeCell ref="A21:F21"/>
    <mergeCell ref="H4:I4"/>
    <mergeCell ref="H5:I5"/>
    <mergeCell ref="A12:M17"/>
    <mergeCell ref="A11:M11"/>
    <mergeCell ref="A31:M36"/>
    <mergeCell ref="A30:M30"/>
    <mergeCell ref="A40:I4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"/>
  <sheetViews>
    <sheetView tabSelected="1" topLeftCell="A88" zoomScaleNormal="100" workbookViewId="0">
      <selection activeCell="O88" sqref="O88"/>
    </sheetView>
  </sheetViews>
  <sheetFormatPr defaultRowHeight="12.75" x14ac:dyDescent="0.2"/>
  <cols>
    <col min="1" max="1" width="9.42578125" bestFit="1" customWidth="1"/>
    <col min="2" max="2" width="10.28515625" bestFit="1" customWidth="1"/>
    <col min="3" max="3" width="9.42578125" bestFit="1" customWidth="1"/>
    <col min="4" max="4" width="10.7109375" bestFit="1" customWidth="1"/>
    <col min="5" max="6" width="9.42578125" bestFit="1" customWidth="1"/>
    <col min="7" max="7" width="10.85546875" bestFit="1" customWidth="1"/>
    <col min="8" max="8" width="9.42578125" bestFit="1" customWidth="1"/>
    <col min="9" max="9" width="8.5703125" bestFit="1" customWidth="1"/>
    <col min="10" max="10" width="10.28515625" bestFit="1" customWidth="1"/>
  </cols>
  <sheetData>
    <row r="1" spans="1:12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8" x14ac:dyDescent="0.2">
      <c r="A2" s="91" t="s">
        <v>56</v>
      </c>
      <c r="B2" s="92"/>
      <c r="C2" s="92"/>
      <c r="D2" s="92"/>
      <c r="E2" s="92"/>
      <c r="F2" s="93"/>
      <c r="G2" s="14"/>
      <c r="H2" s="14"/>
      <c r="I2" s="14"/>
      <c r="J2" s="14"/>
      <c r="K2" s="14"/>
      <c r="L2" s="14"/>
    </row>
    <row r="3" spans="1:12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19.5" x14ac:dyDescent="0.35">
      <c r="A4" s="11" t="s">
        <v>27</v>
      </c>
      <c r="B4" s="11" t="s">
        <v>28</v>
      </c>
      <c r="C4" s="11" t="s">
        <v>29</v>
      </c>
      <c r="D4" s="11" t="s">
        <v>30</v>
      </c>
      <c r="E4" s="11" t="s">
        <v>31</v>
      </c>
      <c r="F4" s="12" t="s">
        <v>32</v>
      </c>
      <c r="G4" s="40" t="s">
        <v>57</v>
      </c>
      <c r="H4" s="40" t="s">
        <v>58</v>
      </c>
      <c r="I4" s="40" t="s">
        <v>59</v>
      </c>
      <c r="J4" s="40" t="s">
        <v>60</v>
      </c>
      <c r="K4" s="14"/>
      <c r="L4" s="14"/>
    </row>
    <row r="5" spans="1:12" ht="15" x14ac:dyDescent="0.2">
      <c r="A5" s="4">
        <v>229.4</v>
      </c>
      <c r="B5" s="33">
        <v>5.03</v>
      </c>
      <c r="C5" s="4">
        <v>2725</v>
      </c>
      <c r="D5" s="4">
        <v>3251</v>
      </c>
      <c r="E5" s="4">
        <f>C5/D5</f>
        <v>0.83820362965241468</v>
      </c>
      <c r="F5" s="4">
        <v>1429</v>
      </c>
      <c r="G5" s="4">
        <v>130</v>
      </c>
      <c r="H5" s="4">
        <v>13</v>
      </c>
      <c r="I5" s="34">
        <f>J5 / ((2*PI() / 60) *F5)</f>
        <v>13.552115798055862</v>
      </c>
      <c r="J5" s="35">
        <f t="shared" ref="J5:J15" si="0">G5*H5 + 2*H5^2</f>
        <v>2028</v>
      </c>
      <c r="K5" s="14"/>
      <c r="L5" s="14"/>
    </row>
    <row r="6" spans="1:12" ht="15" x14ac:dyDescent="0.2">
      <c r="A6" s="4">
        <v>227.1</v>
      </c>
      <c r="B6" s="33">
        <v>4.7320000000000002</v>
      </c>
      <c r="C6" s="4">
        <v>2657</v>
      </c>
      <c r="D6" s="4">
        <v>3229</v>
      </c>
      <c r="E6" s="4">
        <f t="shared" ref="E6:E15" si="1">C6/D6</f>
        <v>0.82285537318055124</v>
      </c>
      <c r="F6" s="4">
        <v>1426</v>
      </c>
      <c r="G6" s="4">
        <v>130</v>
      </c>
      <c r="H6" s="4">
        <v>13.1</v>
      </c>
      <c r="I6" s="34">
        <f t="shared" ref="I6:I15" si="2">J6 / ((2*PI() / 60) *F6)</f>
        <v>13.702637909684352</v>
      </c>
      <c r="J6" s="35">
        <f t="shared" si="0"/>
        <v>2046.22</v>
      </c>
      <c r="K6" s="14"/>
      <c r="L6" s="14"/>
    </row>
    <row r="7" spans="1:12" ht="15" x14ac:dyDescent="0.2">
      <c r="A7" s="4">
        <v>227.4</v>
      </c>
      <c r="B7" s="33">
        <v>4.51</v>
      </c>
      <c r="C7" s="4">
        <v>2571</v>
      </c>
      <c r="D7" s="4">
        <v>3140</v>
      </c>
      <c r="E7" s="4">
        <f t="shared" si="1"/>
        <v>0.81878980891719744</v>
      </c>
      <c r="F7" s="4">
        <v>1430</v>
      </c>
      <c r="G7" s="4">
        <v>125</v>
      </c>
      <c r="H7" s="4">
        <v>13</v>
      </c>
      <c r="I7" s="34">
        <f t="shared" si="2"/>
        <v>13.108579858296109</v>
      </c>
      <c r="J7" s="35">
        <f t="shared" si="0"/>
        <v>1963</v>
      </c>
      <c r="K7" s="14"/>
      <c r="L7" s="14"/>
    </row>
    <row r="8" spans="1:12" ht="15" x14ac:dyDescent="0.2">
      <c r="A8" s="4">
        <v>226.1</v>
      </c>
      <c r="B8" s="33">
        <v>4.1829999999999998</v>
      </c>
      <c r="C8" s="4">
        <v>2327</v>
      </c>
      <c r="D8" s="4">
        <v>2909</v>
      </c>
      <c r="E8" s="4">
        <f t="shared" si="1"/>
        <v>0.79993124785149539</v>
      </c>
      <c r="F8" s="4">
        <v>1438</v>
      </c>
      <c r="G8" s="4">
        <v>120</v>
      </c>
      <c r="H8" s="4">
        <v>13.5</v>
      </c>
      <c r="I8" s="34">
        <f t="shared" si="2"/>
        <v>13.178427728756592</v>
      </c>
      <c r="J8" s="35">
        <f t="shared" si="0"/>
        <v>1984.5</v>
      </c>
      <c r="K8" s="14"/>
      <c r="L8" s="14"/>
    </row>
    <row r="9" spans="1:12" ht="15" x14ac:dyDescent="0.2">
      <c r="A9" s="4">
        <v>226.6</v>
      </c>
      <c r="B9" s="33">
        <v>4.0380000000000003</v>
      </c>
      <c r="C9" s="4">
        <v>2239</v>
      </c>
      <c r="D9" s="4">
        <v>2838</v>
      </c>
      <c r="E9" s="4">
        <f t="shared" si="1"/>
        <v>0.78893587033121915</v>
      </c>
      <c r="F9" s="4">
        <v>1441</v>
      </c>
      <c r="G9" s="4">
        <v>110</v>
      </c>
      <c r="H9" s="4">
        <v>13</v>
      </c>
      <c r="I9" s="34">
        <f t="shared" si="2"/>
        <v>11.716277837049452</v>
      </c>
      <c r="J9" s="35">
        <f t="shared" si="0"/>
        <v>1768</v>
      </c>
      <c r="K9" s="14"/>
      <c r="L9" s="14"/>
    </row>
    <row r="10" spans="1:12" ht="15" x14ac:dyDescent="0.2">
      <c r="A10" s="4">
        <v>226.7</v>
      </c>
      <c r="B10" s="33">
        <v>3.7810000000000001</v>
      </c>
      <c r="C10" s="4">
        <v>2015</v>
      </c>
      <c r="D10" s="4">
        <v>2654</v>
      </c>
      <c r="E10" s="4">
        <f t="shared" si="1"/>
        <v>0.7592313489073097</v>
      </c>
      <c r="F10" s="4">
        <v>1448</v>
      </c>
      <c r="G10" s="4">
        <v>110</v>
      </c>
      <c r="H10" s="4">
        <v>12</v>
      </c>
      <c r="I10" s="34">
        <f t="shared" si="2"/>
        <v>10.60446747894065</v>
      </c>
      <c r="J10" s="35">
        <f t="shared" si="0"/>
        <v>1608</v>
      </c>
      <c r="K10" s="14"/>
      <c r="L10" s="14"/>
    </row>
    <row r="11" spans="1:12" ht="15" x14ac:dyDescent="0.2">
      <c r="A11" s="4">
        <v>227.8</v>
      </c>
      <c r="B11" s="33">
        <v>3.621</v>
      </c>
      <c r="C11" s="4">
        <v>1850</v>
      </c>
      <c r="D11" s="4">
        <v>2544</v>
      </c>
      <c r="E11" s="4">
        <f t="shared" si="1"/>
        <v>0.72720125786163525</v>
      </c>
      <c r="F11" s="4">
        <v>1453</v>
      </c>
      <c r="G11" s="4">
        <v>110</v>
      </c>
      <c r="H11" s="4">
        <v>11</v>
      </c>
      <c r="I11" s="34">
        <f t="shared" si="2"/>
        <v>9.5427244612291275</v>
      </c>
      <c r="J11" s="35">
        <f t="shared" si="0"/>
        <v>1452</v>
      </c>
      <c r="K11" s="14"/>
      <c r="L11" s="14"/>
    </row>
    <row r="12" spans="1:12" ht="15" x14ac:dyDescent="0.2">
      <c r="A12" s="4">
        <v>226.7</v>
      </c>
      <c r="B12" s="33">
        <v>3.4</v>
      </c>
      <c r="C12" s="4">
        <v>1778</v>
      </c>
      <c r="D12" s="4">
        <v>2474</v>
      </c>
      <c r="E12" s="4">
        <f t="shared" si="1"/>
        <v>0.7186742118027486</v>
      </c>
      <c r="F12" s="4">
        <v>1455</v>
      </c>
      <c r="G12" s="4">
        <v>105</v>
      </c>
      <c r="H12" s="4">
        <v>11</v>
      </c>
      <c r="I12" s="34">
        <f t="shared" si="2"/>
        <v>9.1686373401805277</v>
      </c>
      <c r="J12" s="35">
        <f t="shared" si="0"/>
        <v>1397</v>
      </c>
      <c r="K12" s="14"/>
      <c r="L12" s="14"/>
    </row>
    <row r="13" spans="1:12" ht="15" x14ac:dyDescent="0.2">
      <c r="A13" s="4">
        <v>228.5</v>
      </c>
      <c r="B13" s="33">
        <v>3.24</v>
      </c>
      <c r="C13" s="4">
        <v>1483</v>
      </c>
      <c r="D13" s="4">
        <v>2298</v>
      </c>
      <c r="E13" s="4">
        <f t="shared" si="1"/>
        <v>0.64534377719756308</v>
      </c>
      <c r="F13" s="4">
        <v>1465</v>
      </c>
      <c r="G13" s="4">
        <v>95</v>
      </c>
      <c r="H13" s="4">
        <v>10</v>
      </c>
      <c r="I13" s="34">
        <f t="shared" si="2"/>
        <v>7.4960348623486546</v>
      </c>
      <c r="J13" s="35">
        <f t="shared" si="0"/>
        <v>1150</v>
      </c>
      <c r="K13" s="14"/>
      <c r="L13" s="14"/>
    </row>
    <row r="14" spans="1:12" ht="15" x14ac:dyDescent="0.2">
      <c r="A14" s="4">
        <v>227.1</v>
      </c>
      <c r="B14" s="33">
        <v>3.101</v>
      </c>
      <c r="C14" s="4">
        <v>1404</v>
      </c>
      <c r="D14" s="4">
        <v>2250</v>
      </c>
      <c r="E14" s="4">
        <f t="shared" si="1"/>
        <v>0.624</v>
      </c>
      <c r="F14" s="4">
        <v>1468</v>
      </c>
      <c r="G14" s="4">
        <v>90</v>
      </c>
      <c r="H14" s="4">
        <v>10</v>
      </c>
      <c r="I14" s="34">
        <f t="shared" si="2"/>
        <v>7.1554674687091913</v>
      </c>
      <c r="J14" s="35">
        <f t="shared" si="0"/>
        <v>1100</v>
      </c>
      <c r="K14" s="14"/>
      <c r="L14" s="14"/>
    </row>
    <row r="15" spans="1:12" ht="15" x14ac:dyDescent="0.2">
      <c r="A15" s="4">
        <v>228</v>
      </c>
      <c r="B15" s="33">
        <v>3.02</v>
      </c>
      <c r="C15" s="4">
        <v>1155</v>
      </c>
      <c r="D15" s="4">
        <v>2110</v>
      </c>
      <c r="E15" s="4">
        <f t="shared" si="1"/>
        <v>0.54739336492891</v>
      </c>
      <c r="F15" s="4">
        <v>1474</v>
      </c>
      <c r="G15" s="4">
        <v>80</v>
      </c>
      <c r="H15" s="4">
        <v>8.5</v>
      </c>
      <c r="I15" s="34">
        <f t="shared" si="2"/>
        <v>5.3415163058046558</v>
      </c>
      <c r="J15" s="35">
        <f t="shared" si="0"/>
        <v>824.5</v>
      </c>
      <c r="K15" s="14"/>
      <c r="L15" s="14"/>
    </row>
    <row r="16" spans="1:12" x14ac:dyDescent="0.2">
      <c r="A16" s="47" t="s">
        <v>71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ht="19.5" x14ac:dyDescent="0.2">
      <c r="A19" s="12" t="s">
        <v>61</v>
      </c>
      <c r="B19" s="12" t="s">
        <v>62</v>
      </c>
      <c r="C19" s="12" t="s">
        <v>35</v>
      </c>
      <c r="D19" s="40" t="s">
        <v>63</v>
      </c>
      <c r="E19" s="40" t="s">
        <v>64</v>
      </c>
      <c r="F19" s="12" t="s">
        <v>38</v>
      </c>
      <c r="G19" s="40" t="s">
        <v>65</v>
      </c>
      <c r="H19" s="40" t="s">
        <v>66</v>
      </c>
      <c r="I19" s="42" t="s">
        <v>67</v>
      </c>
      <c r="J19" s="14"/>
      <c r="K19" s="14"/>
      <c r="L19" s="14"/>
    </row>
    <row r="20" spans="1:12" ht="15" x14ac:dyDescent="0.2">
      <c r="A20" s="34">
        <f xml:space="preserve"> A5 /('Máquina de Indução'!C21 / SQRT(3))</f>
        <v>0.99333113814075102</v>
      </c>
      <c r="B20" s="35">
        <f>B5 / 'Máquina de Indução'!G21</f>
        <v>1.0265306122448978</v>
      </c>
      <c r="C20" s="35">
        <f>C5/('Máquina de Indução'!B24 * 1000)</f>
        <v>0.81254545454545446</v>
      </c>
      <c r="D20" s="39">
        <f>(I20 - F5) /I20</f>
        <v>4.7333333333333331E-2</v>
      </c>
      <c r="E20" s="34">
        <f>I5 /('Máquina de Indução'!H21)</f>
        <v>0.90347438653705747</v>
      </c>
      <c r="F20" s="34">
        <f>D5 / ('Máquina de Indução'!B24 * 1000)</f>
        <v>0.96938909090909087</v>
      </c>
      <c r="G20" s="35">
        <f xml:space="preserve"> J5 / ('Máquina de Indução'!B21 * 1000)</f>
        <v>0.92181818181818187</v>
      </c>
      <c r="H20" s="34">
        <f>J5/C5</f>
        <v>0.74422018348623853</v>
      </c>
      <c r="I20" s="43">
        <v>1500</v>
      </c>
      <c r="J20" s="14"/>
      <c r="K20" s="14"/>
      <c r="L20" s="14"/>
    </row>
    <row r="21" spans="1:12" ht="15" x14ac:dyDescent="0.2">
      <c r="A21" s="34">
        <f xml:space="preserve"> A6 /('Máquina de Indução'!C21 / SQRT(3))</f>
        <v>0.98337184599722993</v>
      </c>
      <c r="B21" s="35">
        <f>B6 / 'Máquina de Indução'!G21</f>
        <v>0.96571428571428564</v>
      </c>
      <c r="C21" s="35">
        <f>C6/('Máquina de Indução'!B24 * 1000)</f>
        <v>0.79226909090909081</v>
      </c>
      <c r="D21" s="39">
        <f>(I20 - F6) /I20</f>
        <v>4.9333333333333333E-2</v>
      </c>
      <c r="E21" s="34">
        <f>I6 /('Máquina de Indução'!H21)</f>
        <v>0.9135091939789568</v>
      </c>
      <c r="F21" s="34">
        <f>D6 / ('Máquina de Indução'!B24 * 1000)</f>
        <v>0.96282909090909086</v>
      </c>
      <c r="G21" s="35">
        <f xml:space="preserve"> J6 / ('Máquina de Indução'!B21 * 1000)</f>
        <v>0.93010000000000004</v>
      </c>
      <c r="H21" s="34">
        <f t="shared" ref="H21:H29" si="3">J6/C6</f>
        <v>0.77012420022581862</v>
      </c>
      <c r="I21" s="14"/>
      <c r="J21" s="14"/>
      <c r="K21" s="14"/>
      <c r="L21" s="14"/>
    </row>
    <row r="22" spans="1:12" ht="15" x14ac:dyDescent="0.2">
      <c r="A22" s="34">
        <f xml:space="preserve"> A7 /('Máquina de Indução'!C21 / SQRT(3))</f>
        <v>0.98467088410290671</v>
      </c>
      <c r="B22" s="35">
        <f>B7 / 'Máquina de Indução'!G21</f>
        <v>0.92040816326530606</v>
      </c>
      <c r="C22" s="35">
        <f>C7/('Máquina de Indução'!B24 * 1000)</f>
        <v>0.7666254545454545</v>
      </c>
      <c r="D22" s="39">
        <f>(I20 - F7) /I20</f>
        <v>4.6666666666666669E-2</v>
      </c>
      <c r="E22" s="34">
        <f>I7 /('Máquina de Indução'!H21)</f>
        <v>0.87390532388640729</v>
      </c>
      <c r="F22" s="34">
        <f>D7 / ('Máquina de Indução'!B24 * 1000)</f>
        <v>0.93629090909090895</v>
      </c>
      <c r="G22" s="35">
        <f xml:space="preserve"> J7 / ('Máquina de Indução'!B21 * 1000)</f>
        <v>0.89227272727272722</v>
      </c>
      <c r="H22" s="34">
        <f t="shared" si="3"/>
        <v>0.76351614157915204</v>
      </c>
      <c r="I22" s="14"/>
      <c r="J22" s="14"/>
      <c r="K22" s="14"/>
      <c r="L22" s="14"/>
    </row>
    <row r="23" spans="1:12" ht="15" x14ac:dyDescent="0.2">
      <c r="A23" s="34">
        <f xml:space="preserve"> A8 /('Máquina de Indução'!C21 / SQRT(3))</f>
        <v>0.97904171897830772</v>
      </c>
      <c r="B23" s="35">
        <f>B8 / 'Máquina de Indução'!G21</f>
        <v>0.85367346938775501</v>
      </c>
      <c r="C23" s="35">
        <f>C8/('Máquina de Indução'!B24 * 1000)</f>
        <v>0.69386909090909088</v>
      </c>
      <c r="D23" s="39">
        <f>(I20 - F8) /I20</f>
        <v>4.1333333333333333E-2</v>
      </c>
      <c r="E23" s="34">
        <f>I8 /('Máquina de Indução'!H21)</f>
        <v>0.87856184858377284</v>
      </c>
      <c r="F23" s="34">
        <f>D8 / ('Máquina de Indução'!B24 * 1000)</f>
        <v>0.86741090909090901</v>
      </c>
      <c r="G23" s="35">
        <f xml:space="preserve"> J8 / ('Máquina de Indução'!B21 * 1000)</f>
        <v>0.90204545454545459</v>
      </c>
      <c r="H23" s="34">
        <f t="shared" si="3"/>
        <v>0.85281478298238078</v>
      </c>
      <c r="I23" s="14"/>
      <c r="J23" s="14"/>
      <c r="K23" s="14"/>
      <c r="L23" s="14"/>
    </row>
    <row r="24" spans="1:12" ht="15" x14ac:dyDescent="0.2">
      <c r="A24" s="34">
        <f xml:space="preserve"> A9 /('Máquina de Indução'!C21 / SQRT(3))</f>
        <v>0.98120678248776882</v>
      </c>
      <c r="B24" s="35">
        <f>B9 / 'Máquina de Indução'!G21</f>
        <v>0.82408163265306122</v>
      </c>
      <c r="C24" s="35">
        <f>C9/('Máquina de Indução'!B24 * 1000)</f>
        <v>0.66762909090909084</v>
      </c>
      <c r="D24" s="39">
        <f>(I20 - F9) /I20</f>
        <v>3.9333333333333331E-2</v>
      </c>
      <c r="E24" s="34">
        <f>I9 /('Máquina de Indução'!H21)</f>
        <v>0.78108518913663016</v>
      </c>
      <c r="F24" s="34">
        <f>D9 / ('Máquina de Indução'!B24 * 1000)</f>
        <v>0.84623999999999988</v>
      </c>
      <c r="G24" s="35">
        <f xml:space="preserve"> J9 / ('Máquina de Indução'!B21 * 1000)</f>
        <v>0.80363636363636359</v>
      </c>
      <c r="H24" s="34">
        <f t="shared" si="3"/>
        <v>0.7896382313532827</v>
      </c>
      <c r="I24" s="14"/>
      <c r="J24" s="14"/>
      <c r="K24" s="14"/>
      <c r="L24" s="14"/>
    </row>
    <row r="25" spans="1:12" ht="15" x14ac:dyDescent="0.2">
      <c r="A25" s="34">
        <f xml:space="preserve"> A10 /('Máquina de Indução'!C21 / SQRT(3))</f>
        <v>0.98163979518966105</v>
      </c>
      <c r="B25" s="35">
        <f>B10 / 'Máquina de Indução'!G21</f>
        <v>0.77163265306122442</v>
      </c>
      <c r="C25" s="35">
        <f>C10/('Máquina de Indução'!B24 * 1000)</f>
        <v>0.60083636363636361</v>
      </c>
      <c r="D25" s="39">
        <f>(I20 - F10) /I20</f>
        <v>3.4666666666666665E-2</v>
      </c>
      <c r="E25" s="34">
        <f>I10 /('Máquina de Indução'!H21)</f>
        <v>0.70696449859604338</v>
      </c>
      <c r="F25" s="34">
        <f>D10 / ('Máquina de Indução'!B24 * 1000)</f>
        <v>0.79137454545454533</v>
      </c>
      <c r="G25" s="35">
        <f xml:space="preserve"> J10 / ('Máquina de Indução'!B21 * 1000)</f>
        <v>0.73090909090909095</v>
      </c>
      <c r="H25" s="34">
        <f t="shared" si="3"/>
        <v>0.79801488833746903</v>
      </c>
      <c r="I25" s="14"/>
      <c r="J25" s="14"/>
      <c r="K25" s="14"/>
      <c r="L25" s="14"/>
    </row>
    <row r="26" spans="1:12" ht="15" x14ac:dyDescent="0.2">
      <c r="A26" s="34">
        <f xml:space="preserve"> A11 /('Máquina de Indução'!C21 / SQRT(3))</f>
        <v>0.98640293491047559</v>
      </c>
      <c r="B26" s="35">
        <f>B11 / 'Máquina de Indução'!G21</f>
        <v>0.73897959183673467</v>
      </c>
      <c r="C26" s="35">
        <f>C11/('Máquina de Indução'!B24 * 1000)</f>
        <v>0.55163636363636359</v>
      </c>
      <c r="D26" s="39">
        <f>(I20 - F11) /I20</f>
        <v>3.1333333333333331E-2</v>
      </c>
      <c r="E26" s="34">
        <f>I11 /('Máquina de Indução'!H21)</f>
        <v>0.63618163074860845</v>
      </c>
      <c r="F26" s="34">
        <f>D11 / ('Máquina de Indução'!B24 * 1000)</f>
        <v>0.75857454545454539</v>
      </c>
      <c r="G26" s="35">
        <f xml:space="preserve"> J11 / ('Máquina de Indução'!B21 * 1000)</f>
        <v>0.66</v>
      </c>
      <c r="H26" s="34">
        <f t="shared" si="3"/>
        <v>0.78486486486486484</v>
      </c>
      <c r="I26" s="14"/>
      <c r="J26" s="14"/>
      <c r="K26" s="14"/>
      <c r="L26" s="14"/>
    </row>
    <row r="27" spans="1:12" ht="15" x14ac:dyDescent="0.2">
      <c r="A27" s="34">
        <f xml:space="preserve"> A12 /('Máquina de Indução'!C21 / SQRT(3))</f>
        <v>0.98163979518966105</v>
      </c>
      <c r="B27" s="35">
        <f>B12 / 'Máquina de Indução'!G21</f>
        <v>0.69387755102040805</v>
      </c>
      <c r="C27" s="35">
        <f>C12/('Máquina de Indução'!B24 * 1000)</f>
        <v>0.53016727272727271</v>
      </c>
      <c r="D27" s="39">
        <f>(I20 - F12) /I20</f>
        <v>0.03</v>
      </c>
      <c r="E27" s="34">
        <f>I12 /('Máquina de Indução'!H21)</f>
        <v>0.61124248934536851</v>
      </c>
      <c r="F27" s="34">
        <f>D12 / ('Máquina de Indução'!B24 * 1000)</f>
        <v>0.73770181818181813</v>
      </c>
      <c r="G27" s="35">
        <f xml:space="preserve"> J12 / ('Máquina de Indução'!B21 * 1000)</f>
        <v>0.63500000000000001</v>
      </c>
      <c r="H27" s="34">
        <f t="shared" si="3"/>
        <v>0.7857142857142857</v>
      </c>
      <c r="I27" s="14"/>
      <c r="J27" s="14"/>
      <c r="K27" s="14"/>
      <c r="L27" s="14"/>
    </row>
    <row r="28" spans="1:12" ht="15" x14ac:dyDescent="0.2">
      <c r="A28" s="34">
        <f xml:space="preserve"> A13 /('Máquina de Indução'!C21 / SQRT(3))</f>
        <v>0.98943402382372103</v>
      </c>
      <c r="B28" s="35">
        <f>B13 / 'Máquina de Indução'!G21</f>
        <v>0.66122448979591841</v>
      </c>
      <c r="C28" s="35">
        <f>C13/('Máquina de Indução'!B24 * 1000)</f>
        <v>0.4422036363636363</v>
      </c>
      <c r="D28" s="39">
        <f>(I20 - F13) /I20</f>
        <v>2.3333333333333334E-2</v>
      </c>
      <c r="E28" s="34">
        <f>I13 /('Máquina de Indução'!H21)</f>
        <v>0.49973565748991028</v>
      </c>
      <c r="F28" s="34">
        <f>D13 / ('Máquina de Indução'!B24 * 1000)</f>
        <v>0.68522181818181815</v>
      </c>
      <c r="G28" s="35">
        <f xml:space="preserve"> J13 / ('Máquina de Indução'!B21 * 1000)</f>
        <v>0.52272727272727271</v>
      </c>
      <c r="H28" s="34">
        <f t="shared" si="3"/>
        <v>0.77545515846257584</v>
      </c>
      <c r="I28" s="14"/>
      <c r="J28" s="14"/>
      <c r="K28" s="14"/>
      <c r="L28" s="14"/>
    </row>
    <row r="29" spans="1:12" ht="15" x14ac:dyDescent="0.2">
      <c r="A29" s="34">
        <f xml:space="preserve"> A14 /('Máquina de Indução'!C21 / SQRT(3))</f>
        <v>0.98337184599722993</v>
      </c>
      <c r="B29" s="35">
        <f>B14 / 'Máquina de Indução'!G21</f>
        <v>0.63285714285714278</v>
      </c>
      <c r="C29" s="35">
        <f>C14/('Máquina de Indução'!B24 * 1000)</f>
        <v>0.4186472727272727</v>
      </c>
      <c r="D29" s="39">
        <f>(I20 - F14) /I20</f>
        <v>2.1333333333333333E-2</v>
      </c>
      <c r="E29" s="34">
        <f>I14 /('Máquina de Indução'!H21)</f>
        <v>0.47703116458061273</v>
      </c>
      <c r="F29" s="34">
        <f>D14 / ('Máquina de Indução'!B24 * 1000)</f>
        <v>0.6709090909090909</v>
      </c>
      <c r="G29" s="35">
        <f xml:space="preserve"> J14 / ('Máquina de Indução'!B21 * 1000)</f>
        <v>0.5</v>
      </c>
      <c r="H29" s="34">
        <f t="shared" si="3"/>
        <v>0.7834757834757835</v>
      </c>
      <c r="I29" s="14"/>
      <c r="J29" s="14"/>
      <c r="K29" s="14"/>
      <c r="L29" s="14"/>
    </row>
    <row r="30" spans="1:12" ht="15" x14ac:dyDescent="0.2">
      <c r="A30" s="34">
        <f xml:space="preserve"> A15 /('Máquina de Indução'!C21 / SQRT(3))</f>
        <v>0.98726896031425992</v>
      </c>
      <c r="B30" s="35">
        <f>B15 / 'Máquina de Indução'!G21</f>
        <v>0.61632653061224485</v>
      </c>
      <c r="C30" s="35">
        <f>C15/('Máquina de Indução'!B24 * 1000)</f>
        <v>0.34439999999999998</v>
      </c>
      <c r="D30" s="39">
        <f>(I20 - F15) /I20</f>
        <v>1.7333333333333333E-2</v>
      </c>
      <c r="E30" s="34">
        <f>I15 /('Máquina de Indução'!H21)</f>
        <v>0.35610108705364374</v>
      </c>
      <c r="F30" s="34">
        <f>D15 / ('Máquina de Indução'!B24 * 1000)</f>
        <v>0.62916363636363626</v>
      </c>
      <c r="G30" s="35">
        <f xml:space="preserve"> J15 / ('Máquina de Indução'!B21 * 1000)</f>
        <v>0.37477272727272726</v>
      </c>
      <c r="H30" s="34">
        <f>J15/C15</f>
        <v>0.71385281385281385</v>
      </c>
      <c r="I30" s="14"/>
      <c r="J30" s="14"/>
      <c r="K30" s="14"/>
      <c r="L30" s="14"/>
    </row>
    <row r="31" spans="1:12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">
      <c r="L35" s="14"/>
    </row>
    <row r="36" spans="1:12" x14ac:dyDescent="0.2">
      <c r="L36" s="14"/>
    </row>
    <row r="37" spans="1:12" x14ac:dyDescent="0.2">
      <c r="L37" s="14"/>
    </row>
    <row r="38" spans="1:12" x14ac:dyDescent="0.2">
      <c r="L38" s="14"/>
    </row>
    <row r="39" spans="1:12" x14ac:dyDescent="0.2">
      <c r="L39" s="14"/>
    </row>
    <row r="40" spans="1:12" x14ac:dyDescent="0.2">
      <c r="L40" s="14"/>
    </row>
    <row r="41" spans="1:12" x14ac:dyDescent="0.2">
      <c r="L41" s="14"/>
    </row>
    <row r="42" spans="1:12" x14ac:dyDescent="0.2">
      <c r="L42" s="14"/>
    </row>
    <row r="43" spans="1:12" x14ac:dyDescent="0.2">
      <c r="L43" s="14"/>
    </row>
    <row r="44" spans="1:12" x14ac:dyDescent="0.2">
      <c r="L44" s="14"/>
    </row>
    <row r="45" spans="1:12" x14ac:dyDescent="0.2">
      <c r="L45" s="14"/>
    </row>
    <row r="46" spans="1:12" x14ac:dyDescent="0.2">
      <c r="L46" s="14"/>
    </row>
    <row r="47" spans="1:12" x14ac:dyDescent="0.2">
      <c r="L47" s="14"/>
    </row>
    <row r="48" spans="1:12" x14ac:dyDescent="0.2">
      <c r="L48" s="14"/>
    </row>
    <row r="49" spans="1:12" x14ac:dyDescent="0.2">
      <c r="L49" s="14"/>
    </row>
    <row r="50" spans="1:12" x14ac:dyDescent="0.2">
      <c r="L50" s="14"/>
    </row>
    <row r="51" spans="1:12" x14ac:dyDescent="0.2">
      <c r="L51" s="14"/>
    </row>
    <row r="52" spans="1:12" x14ac:dyDescent="0.2">
      <c r="L52" s="14"/>
    </row>
    <row r="53" spans="1:12" x14ac:dyDescent="0.2">
      <c r="L53" s="14"/>
    </row>
    <row r="54" spans="1:12" x14ac:dyDescent="0.2">
      <c r="L54" s="14"/>
    </row>
    <row r="55" spans="1:12" x14ac:dyDescent="0.2">
      <c r="L55" s="14"/>
    </row>
    <row r="56" spans="1:12" x14ac:dyDescent="0.2">
      <c r="L56" s="14"/>
    </row>
    <row r="57" spans="1:12" x14ac:dyDescent="0.2">
      <c r="L57" s="14"/>
    </row>
    <row r="58" spans="1:12" x14ac:dyDescent="0.2">
      <c r="L58" s="14"/>
    </row>
    <row r="59" spans="1:12" x14ac:dyDescent="0.2">
      <c r="L59" s="14"/>
    </row>
    <row r="60" spans="1:12" x14ac:dyDescent="0.2">
      <c r="A60" s="1"/>
      <c r="L60" s="14"/>
    </row>
    <row r="61" spans="1:12" x14ac:dyDescent="0.2">
      <c r="A61" s="22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spans="1:12" x14ac:dyDescent="0.2">
      <c r="A62" s="22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spans="1:12" ht="15.75" x14ac:dyDescent="0.25">
      <c r="A63" s="21" t="s">
        <v>68</v>
      </c>
      <c r="L63" s="14"/>
    </row>
    <row r="64" spans="1:12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 spans="1:12" ht="19.5" x14ac:dyDescent="0.35">
      <c r="A65" s="38" t="s">
        <v>69</v>
      </c>
      <c r="B65" s="38" t="s">
        <v>70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spans="1:12" ht="15" x14ac:dyDescent="0.2">
      <c r="A66" s="41">
        <f t="shared" ref="A66:A74" si="4">B20*E5</f>
        <v>0.8604416851329888</v>
      </c>
      <c r="B66" s="41">
        <f t="shared" ref="B66:B74" si="5">B20*SIN(-ACOS(E5))</f>
        <v>-0.5598260483055314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spans="1:12" ht="15" x14ac:dyDescent="0.2">
      <c r="A67" s="41">
        <f t="shared" si="4"/>
        <v>0.79464318895721797</v>
      </c>
      <c r="B67" s="41">
        <f t="shared" si="5"/>
        <v>-0.54876796906940184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spans="1:12" ht="15" x14ac:dyDescent="0.2">
      <c r="A68" s="41">
        <f t="shared" si="4"/>
        <v>0.75362082412582865</v>
      </c>
      <c r="B68" s="41">
        <f t="shared" si="5"/>
        <v>-0.52840026537589968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spans="1:12" ht="15" x14ac:dyDescent="0.2">
      <c r="A69" s="41">
        <f t="shared" si="4"/>
        <v>0.68288008362506225</v>
      </c>
      <c r="B69" s="41">
        <f t="shared" si="5"/>
        <v>-0.51228232814021046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pans="1:12" ht="15" x14ac:dyDescent="0.2">
      <c r="A70" s="41">
        <f t="shared" si="4"/>
        <v>0.65014756008111485</v>
      </c>
      <c r="B70" s="41">
        <f t="shared" si="5"/>
        <v>-0.50637800840548763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pans="1:12" ht="15" x14ac:dyDescent="0.2">
      <c r="A71" s="41">
        <f t="shared" si="4"/>
        <v>0.58584770004459952</v>
      </c>
      <c r="B71" s="41">
        <f t="shared" si="5"/>
        <v>-0.50219460732146148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spans="1:12" ht="15" x14ac:dyDescent="0.2">
      <c r="A72" s="41">
        <f t="shared" si="4"/>
        <v>0.53738688871775131</v>
      </c>
      <c r="B72" s="41">
        <f t="shared" si="5"/>
        <v>-0.50725355492637225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spans="1:12" ht="15" x14ac:dyDescent="0.2">
      <c r="A73" s="41">
        <f t="shared" si="4"/>
        <v>0.49867190206721324</v>
      </c>
      <c r="B73" s="41">
        <f t="shared" si="5"/>
        <v>-0.48248563698699531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spans="1:12" ht="15" x14ac:dyDescent="0.2">
      <c r="A74" s="41">
        <f t="shared" si="4"/>
        <v>0.42671710982042949</v>
      </c>
      <c r="B74" s="41">
        <f t="shared" si="5"/>
        <v>-0.50510428041382915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spans="1:12" ht="15" x14ac:dyDescent="0.2">
      <c r="A75" s="41">
        <f>B29*E14</f>
        <v>0.39490285714285711</v>
      </c>
      <c r="B75" s="41">
        <f>B29*SIN(-ACOS(E14))</f>
        <v>-0.49452997551787914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spans="1:12" ht="15" x14ac:dyDescent="0.2">
      <c r="A76" s="41">
        <f>B30*E15</f>
        <v>0.33737305348679758</v>
      </c>
      <c r="B76" s="41">
        <f>B30*SIN(-ACOS(E15))</f>
        <v>-0.5157885372102804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spans="1:12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1:12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spans="1:12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12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1:12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1:12" x14ac:dyDescent="0.2">
      <c r="A82" s="22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1:12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1:12" x14ac:dyDescent="0.2">
      <c r="A84" s="98" t="s">
        <v>40</v>
      </c>
      <c r="B84" s="99"/>
      <c r="C84" s="99"/>
      <c r="D84" s="99"/>
      <c r="E84" s="99"/>
      <c r="F84" s="99"/>
      <c r="G84" s="99"/>
      <c r="H84" s="99"/>
      <c r="I84" s="99"/>
      <c r="J84" s="99"/>
      <c r="K84" s="100"/>
      <c r="L84" s="14"/>
    </row>
    <row r="85" spans="1:12" x14ac:dyDescent="0.2">
      <c r="A85" s="101"/>
      <c r="B85" s="102"/>
      <c r="C85" s="102"/>
      <c r="D85" s="102"/>
      <c r="E85" s="102"/>
      <c r="F85" s="102"/>
      <c r="G85" s="102"/>
      <c r="H85" s="102"/>
      <c r="I85" s="102"/>
      <c r="J85" s="102"/>
      <c r="K85" s="103"/>
      <c r="L85" s="14"/>
    </row>
    <row r="86" spans="1:12" x14ac:dyDescent="0.2">
      <c r="A86" s="101"/>
      <c r="B86" s="102"/>
      <c r="C86" s="102"/>
      <c r="D86" s="102"/>
      <c r="E86" s="102"/>
      <c r="F86" s="102"/>
      <c r="G86" s="102"/>
      <c r="H86" s="102"/>
      <c r="I86" s="102"/>
      <c r="J86" s="102"/>
      <c r="K86" s="103"/>
      <c r="L86" s="14"/>
    </row>
    <row r="87" spans="1:12" x14ac:dyDescent="0.2">
      <c r="A87" s="101"/>
      <c r="B87" s="102"/>
      <c r="C87" s="102"/>
      <c r="D87" s="102"/>
      <c r="E87" s="102"/>
      <c r="F87" s="102"/>
      <c r="G87" s="102"/>
      <c r="H87" s="102"/>
      <c r="I87" s="102"/>
      <c r="J87" s="102"/>
      <c r="K87" s="103"/>
      <c r="L87" s="14"/>
    </row>
    <row r="88" spans="1:12" ht="267.75" customHeight="1" x14ac:dyDescent="0.2">
      <c r="A88" s="101"/>
      <c r="B88" s="102"/>
      <c r="C88" s="102"/>
      <c r="D88" s="102"/>
      <c r="E88" s="102"/>
      <c r="F88" s="102"/>
      <c r="G88" s="102"/>
      <c r="H88" s="102"/>
      <c r="I88" s="102"/>
      <c r="J88" s="102"/>
      <c r="K88" s="103"/>
      <c r="L88" s="14"/>
    </row>
    <row r="89" spans="1:12" ht="312.75" customHeight="1" x14ac:dyDescent="0.2">
      <c r="A89" s="101"/>
      <c r="B89" s="102"/>
      <c r="C89" s="102"/>
      <c r="D89" s="102"/>
      <c r="E89" s="102"/>
      <c r="F89" s="102"/>
      <c r="G89" s="102"/>
      <c r="H89" s="102"/>
      <c r="I89" s="102"/>
      <c r="J89" s="102"/>
      <c r="K89" s="103"/>
      <c r="L89" s="14"/>
    </row>
    <row r="90" spans="1:12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1:12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</sheetData>
  <sortState xmlns:xlrd2="http://schemas.microsoft.com/office/spreadsheetml/2017/richdata2" ref="A5:J15">
    <sortCondition descending="1" ref="B5:B15"/>
  </sortState>
  <mergeCells count="3">
    <mergeCell ref="A2:F2"/>
    <mergeCell ref="A84:K84"/>
    <mergeCell ref="A85:K8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Máquina de Indução</vt:lpstr>
      <vt:lpstr>A - Vazio &amp; Rotor bloqueado</vt:lpstr>
      <vt:lpstr>B - Máquina em carga</vt:lpstr>
    </vt:vector>
  </TitlesOfParts>
  <Manager/>
  <Company>IST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 Marques</dc:creator>
  <cp:keywords/>
  <dc:description/>
  <cp:lastModifiedBy>Joao Rafael Azevedo Gonçalves</cp:lastModifiedBy>
  <cp:revision/>
  <dcterms:created xsi:type="dcterms:W3CDTF">2001-09-26T09:18:22Z</dcterms:created>
  <dcterms:modified xsi:type="dcterms:W3CDTF">2023-10-06T23:32:56Z</dcterms:modified>
  <cp:category/>
  <cp:contentStatus/>
</cp:coreProperties>
</file>