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python\enpz2\"/>
    </mc:Choice>
  </mc:AlternateContent>
  <xr:revisionPtr revIDLastSave="0" documentId="13_ncr:1_{DDD4D339-3A5D-470C-A3C2-5F4FFBDBF792}" xr6:coauthVersionLast="47" xr6:coauthVersionMax="47" xr10:uidLastSave="{00000000-0000-0000-0000-000000000000}"/>
  <bookViews>
    <workbookView xWindow="-108" yWindow="-108" windowWidth="30936" windowHeight="16896" activeTab="3" xr2:uid="{00000000-000D-0000-FFFF-FFFF00000000}"/>
  </bookViews>
  <sheets>
    <sheet name="Емкость(одорант)" sheetId="6" r:id="rId1"/>
    <sheet name="ГАЗОПРОВОД НАРУЖНЫЙ" sheetId="9" r:id="rId2"/>
    <sheet name="ГАЗОПРОВОД ВНУТРЕННИЙ" sheetId="3" r:id="rId3"/>
    <sheet name="Сценарии" sheetId="2" r:id="rId4"/>
    <sheet name="Лист3" sheetId="8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29" i="2" l="1"/>
  <c r="AA18" i="2"/>
  <c r="AA22" i="2"/>
  <c r="L15" i="2"/>
  <c r="L16" i="2"/>
  <c r="L17" i="2"/>
  <c r="L14" i="2"/>
  <c r="L11" i="2"/>
  <c r="L12" i="2"/>
  <c r="L13" i="2"/>
  <c r="L10" i="2"/>
  <c r="L7" i="2"/>
  <c r="L8" i="2"/>
  <c r="L9" i="2"/>
  <c r="L6" i="2"/>
  <c r="L5" i="2"/>
  <c r="L4" i="2"/>
  <c r="L3" i="2"/>
  <c r="L2" i="2"/>
  <c r="AO26" i="2"/>
  <c r="AO27" i="2"/>
  <c r="AO28" i="2"/>
  <c r="L18" i="2" l="1"/>
  <c r="M18" i="2"/>
  <c r="M17" i="2"/>
  <c r="M16" i="2"/>
  <c r="N16" i="2" s="1"/>
  <c r="I16" i="2" s="1"/>
  <c r="AO16" i="2" s="1"/>
  <c r="M15" i="2"/>
  <c r="M14" i="2"/>
  <c r="M13" i="2"/>
  <c r="M12" i="2"/>
  <c r="N12" i="2" s="1"/>
  <c r="I12" i="2" s="1"/>
  <c r="AO12" i="2" s="1"/>
  <c r="M11" i="2"/>
  <c r="M10" i="2"/>
  <c r="M9" i="2"/>
  <c r="M8" i="2"/>
  <c r="M7" i="2"/>
  <c r="M6" i="2"/>
  <c r="M3" i="2"/>
  <c r="N3" i="2" s="1"/>
  <c r="M4" i="2"/>
  <c r="M5" i="2"/>
  <c r="N5" i="2" s="1"/>
  <c r="M2" i="2"/>
  <c r="N8" i="2" l="1"/>
  <c r="I8" i="2" s="1"/>
  <c r="AO8" i="2" s="1"/>
  <c r="N6" i="2"/>
  <c r="I6" i="2" s="1"/>
  <c r="N14" i="2"/>
  <c r="I14" i="2" s="1"/>
  <c r="AO14" i="2" s="1"/>
  <c r="N2" i="2"/>
  <c r="I2" i="2" s="1"/>
  <c r="I3" i="2" s="1"/>
  <c r="AO3" i="2" s="1"/>
  <c r="I9" i="2"/>
  <c r="AO9" i="2" s="1"/>
  <c r="AO6" i="2"/>
  <c r="I7" i="2"/>
  <c r="AO7" i="2" s="1"/>
  <c r="N15" i="2"/>
  <c r="N11" i="2"/>
  <c r="N10" i="2"/>
  <c r="I10" i="2" s="1"/>
  <c r="AO10" i="2" s="1"/>
  <c r="N4" i="2"/>
  <c r="I4" i="2" s="1"/>
  <c r="AO4" i="2" s="1"/>
  <c r="N7" i="2"/>
  <c r="N18" i="2"/>
  <c r="N17" i="2"/>
  <c r="N13" i="2"/>
  <c r="N9" i="2"/>
  <c r="H26" i="2"/>
  <c r="AR26" i="2" l="1"/>
  <c r="AQ26" i="2"/>
  <c r="AO2" i="2"/>
  <c r="AK26" i="2"/>
  <c r="AL26" i="2" s="1"/>
  <c r="AK27" i="2"/>
  <c r="AL27" i="2" s="1"/>
  <c r="AK28" i="2"/>
  <c r="AL28" i="2" s="1"/>
  <c r="AM27" i="2"/>
  <c r="AM28" i="2"/>
  <c r="AM2" i="2"/>
  <c r="AN28" i="2"/>
  <c r="AN27" i="2"/>
  <c r="AN26" i="2"/>
  <c r="AH25" i="2"/>
  <c r="AH24" i="2"/>
  <c r="AH23" i="2"/>
  <c r="AH22" i="2"/>
  <c r="AH21" i="2"/>
  <c r="AH20" i="2"/>
  <c r="AH19" i="2"/>
  <c r="AH18" i="2"/>
  <c r="AH17" i="2"/>
  <c r="AH16" i="2"/>
  <c r="AK16" i="2" s="1"/>
  <c r="AH15" i="2"/>
  <c r="AH14" i="2"/>
  <c r="AK14" i="2" s="1"/>
  <c r="AL14" i="2" s="1"/>
  <c r="AH13" i="2"/>
  <c r="AH12" i="2"/>
  <c r="AK12" i="2" s="1"/>
  <c r="AH11" i="2"/>
  <c r="AH10" i="2"/>
  <c r="AK10" i="2" s="1"/>
  <c r="AH6" i="2"/>
  <c r="AK6" i="2" s="1"/>
  <c r="AL6" i="2" s="1"/>
  <c r="AH9" i="2"/>
  <c r="AK9" i="2" s="1"/>
  <c r="AL9" i="2" s="1"/>
  <c r="AH8" i="2"/>
  <c r="AK8" i="2" s="1"/>
  <c r="AH7" i="2"/>
  <c r="AK7" i="2" s="1"/>
  <c r="AH5" i="2"/>
  <c r="AH4" i="2"/>
  <c r="AK4" i="2" s="1"/>
  <c r="AH3" i="2"/>
  <c r="AH2" i="2"/>
  <c r="AK2" i="2" s="1"/>
  <c r="AM26" i="2"/>
  <c r="AB22" i="2"/>
  <c r="AB18" i="2"/>
  <c r="AA16" i="2"/>
  <c r="AB16" i="2" s="1"/>
  <c r="AA14" i="2"/>
  <c r="AB14" i="2" s="1"/>
  <c r="AA12" i="2"/>
  <c r="AB12" i="2" s="1"/>
  <c r="AA10" i="2"/>
  <c r="AB10" i="2" s="1"/>
  <c r="AA8" i="2"/>
  <c r="AB8" i="2" s="1"/>
  <c r="AA6" i="2"/>
  <c r="AB6" i="2" s="1"/>
  <c r="AA4" i="2"/>
  <c r="AB4" i="2" s="1"/>
  <c r="AA2" i="2"/>
  <c r="AB2" i="2" s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P27" i="2"/>
  <c r="P28" i="2"/>
  <c r="H28" i="2"/>
  <c r="AR28" i="2" s="1"/>
  <c r="H27" i="2"/>
  <c r="Q28" i="2"/>
  <c r="Q27" i="2"/>
  <c r="Q26" i="2"/>
  <c r="P26" i="2"/>
  <c r="I5" i="2"/>
  <c r="I13" i="2"/>
  <c r="I17" i="2"/>
  <c r="I18" i="2"/>
  <c r="AN25" i="2"/>
  <c r="AM25" i="2"/>
  <c r="Q25" i="2"/>
  <c r="P25" i="2"/>
  <c r="H25" i="2"/>
  <c r="AR25" i="2" s="1"/>
  <c r="AN24" i="2"/>
  <c r="AM24" i="2"/>
  <c r="Q24" i="2"/>
  <c r="P24" i="2"/>
  <c r="H24" i="2"/>
  <c r="AR24" i="2" s="1"/>
  <c r="AN23" i="2"/>
  <c r="AM23" i="2"/>
  <c r="Q23" i="2"/>
  <c r="P23" i="2"/>
  <c r="H23" i="2"/>
  <c r="AQ23" i="2" s="1"/>
  <c r="AN22" i="2"/>
  <c r="AM22" i="2"/>
  <c r="Q22" i="2"/>
  <c r="P22" i="2"/>
  <c r="I22" i="2"/>
  <c r="H22" i="2"/>
  <c r="AQ22" i="2" s="1"/>
  <c r="AN21" i="2"/>
  <c r="AM21" i="2"/>
  <c r="Q21" i="2"/>
  <c r="P21" i="2"/>
  <c r="H21" i="2"/>
  <c r="AQ21" i="2" s="1"/>
  <c r="AN20" i="2"/>
  <c r="AM20" i="2"/>
  <c r="Q20" i="2"/>
  <c r="P20" i="2"/>
  <c r="H20" i="2"/>
  <c r="AR20" i="2" s="1"/>
  <c r="AN19" i="2"/>
  <c r="AM19" i="2"/>
  <c r="Q19" i="2"/>
  <c r="P19" i="2"/>
  <c r="H19" i="2"/>
  <c r="AQ19" i="2" s="1"/>
  <c r="AN18" i="2"/>
  <c r="AM18" i="2"/>
  <c r="Q18" i="2"/>
  <c r="P18" i="2"/>
  <c r="H18" i="2"/>
  <c r="AQ18" i="2" s="1"/>
  <c r="G22" i="9"/>
  <c r="G16" i="9"/>
  <c r="G9" i="9"/>
  <c r="H9" i="9" s="1"/>
  <c r="B15" i="9"/>
  <c r="H22" i="9" s="1"/>
  <c r="B14" i="9"/>
  <c r="G3" i="9"/>
  <c r="H3" i="9" s="1"/>
  <c r="B15" i="3"/>
  <c r="I16" i="3" s="1"/>
  <c r="H26" i="3"/>
  <c r="I26" i="3" s="1"/>
  <c r="H24" i="3"/>
  <c r="H20" i="3"/>
  <c r="H16" i="3"/>
  <c r="H13" i="3"/>
  <c r="H11" i="3"/>
  <c r="H7" i="3"/>
  <c r="H3" i="3"/>
  <c r="B14" i="3"/>
  <c r="I13" i="3" s="1"/>
  <c r="AN17" i="2"/>
  <c r="AM17" i="2"/>
  <c r="Q17" i="2"/>
  <c r="P17" i="2"/>
  <c r="G17" i="2"/>
  <c r="H17" i="2" s="1"/>
  <c r="AQ17" i="2" s="1"/>
  <c r="AN16" i="2"/>
  <c r="AM16" i="2"/>
  <c r="Q16" i="2"/>
  <c r="P16" i="2"/>
  <c r="H16" i="2"/>
  <c r="AR16" i="2" s="1"/>
  <c r="AN15" i="2"/>
  <c r="AM15" i="2"/>
  <c r="Q15" i="2"/>
  <c r="P15" i="2"/>
  <c r="J15" i="2"/>
  <c r="G15" i="2"/>
  <c r="H15" i="2" s="1"/>
  <c r="AQ15" i="2" s="1"/>
  <c r="AN14" i="2"/>
  <c r="AM14" i="2"/>
  <c r="Q14" i="2"/>
  <c r="P14" i="2"/>
  <c r="H14" i="2"/>
  <c r="AQ14" i="2" s="1"/>
  <c r="AN13" i="2"/>
  <c r="AM13" i="2"/>
  <c r="Q13" i="2"/>
  <c r="P13" i="2"/>
  <c r="G13" i="2"/>
  <c r="H13" i="2" s="1"/>
  <c r="AQ13" i="2" s="1"/>
  <c r="AN12" i="2"/>
  <c r="AM12" i="2"/>
  <c r="Q12" i="2"/>
  <c r="P12" i="2"/>
  <c r="H12" i="2"/>
  <c r="AR12" i="2" s="1"/>
  <c r="AN11" i="2"/>
  <c r="AM11" i="2"/>
  <c r="Q11" i="2"/>
  <c r="P11" i="2"/>
  <c r="J11" i="2"/>
  <c r="G11" i="2"/>
  <c r="H11" i="2" s="1"/>
  <c r="AQ11" i="2" s="1"/>
  <c r="AN10" i="2"/>
  <c r="AM10" i="2"/>
  <c r="Q10" i="2"/>
  <c r="P10" i="2"/>
  <c r="J10" i="2"/>
  <c r="H10" i="2"/>
  <c r="AQ10" i="2" s="1"/>
  <c r="AN9" i="2"/>
  <c r="AM9" i="2"/>
  <c r="Q9" i="2"/>
  <c r="P9" i="2"/>
  <c r="G9" i="2"/>
  <c r="H9" i="2" s="1"/>
  <c r="AQ9" i="2" s="1"/>
  <c r="AN8" i="2"/>
  <c r="AM8" i="2"/>
  <c r="Q8" i="2"/>
  <c r="P8" i="2"/>
  <c r="H8" i="2"/>
  <c r="AR8" i="2" s="1"/>
  <c r="AN7" i="2"/>
  <c r="AM7" i="2"/>
  <c r="Q7" i="2"/>
  <c r="P7" i="2"/>
  <c r="J7" i="2"/>
  <c r="G7" i="2"/>
  <c r="H7" i="2" s="1"/>
  <c r="AQ7" i="2" s="1"/>
  <c r="AN6" i="2"/>
  <c r="AM6" i="2"/>
  <c r="Q6" i="2"/>
  <c r="P6" i="2"/>
  <c r="H6" i="2"/>
  <c r="AQ6" i="2" s="1"/>
  <c r="G5" i="2"/>
  <c r="G3" i="2"/>
  <c r="AP14" i="2" l="1"/>
  <c r="AS14" i="2" s="1"/>
  <c r="AK17" i="2"/>
  <c r="AL17" i="2" s="1"/>
  <c r="I20" i="3"/>
  <c r="AQ16" i="2"/>
  <c r="I24" i="3"/>
  <c r="AQ8" i="2"/>
  <c r="AP26" i="2"/>
  <c r="AS26" i="2" s="1"/>
  <c r="AP27" i="2"/>
  <c r="AS27" i="2" s="1"/>
  <c r="AR23" i="2"/>
  <c r="AP28" i="2"/>
  <c r="AS28" i="2" s="1"/>
  <c r="H16" i="9"/>
  <c r="AQ24" i="2"/>
  <c r="AQ20" i="2"/>
  <c r="AR11" i="2"/>
  <c r="I24" i="2"/>
  <c r="AO22" i="2"/>
  <c r="AQ12" i="2"/>
  <c r="AR19" i="2"/>
  <c r="AR15" i="2"/>
  <c r="AR7" i="2"/>
  <c r="AK5" i="2"/>
  <c r="AO5" i="2"/>
  <c r="AR22" i="2"/>
  <c r="AR18" i="2"/>
  <c r="AR14" i="2"/>
  <c r="AR10" i="2"/>
  <c r="AR6" i="2"/>
  <c r="AK13" i="2"/>
  <c r="AL13" i="2" s="1"/>
  <c r="AO13" i="2"/>
  <c r="I20" i="2"/>
  <c r="AO18" i="2"/>
  <c r="AP18" i="2" s="1"/>
  <c r="AS18" i="2" s="1"/>
  <c r="AR21" i="2"/>
  <c r="AR17" i="2"/>
  <c r="AR13" i="2"/>
  <c r="AR9" i="2"/>
  <c r="AO17" i="2"/>
  <c r="AP6" i="2"/>
  <c r="AS6" i="2" s="1"/>
  <c r="AP9" i="2"/>
  <c r="AS9" i="2" s="1"/>
  <c r="AQ27" i="2"/>
  <c r="AR27" i="2"/>
  <c r="AQ25" i="2"/>
  <c r="AQ28" i="2"/>
  <c r="I11" i="2"/>
  <c r="AO11" i="2" s="1"/>
  <c r="AL10" i="2"/>
  <c r="AP10" i="2" s="1"/>
  <c r="AS10" i="2" s="1"/>
  <c r="I15" i="2"/>
  <c r="AO15" i="2" s="1"/>
  <c r="J14" i="2"/>
  <c r="J4" i="2"/>
  <c r="J16" i="2"/>
  <c r="AL16" i="2" s="1"/>
  <c r="AP16" i="2" s="1"/>
  <c r="AS16" i="2" s="1"/>
  <c r="J18" i="2"/>
  <c r="I23" i="2"/>
  <c r="I19" i="2"/>
  <c r="AO19" i="2" s="1"/>
  <c r="AK18" i="2"/>
  <c r="AL18" i="2" s="1"/>
  <c r="J22" i="2"/>
  <c r="AK22" i="2"/>
  <c r="AL22" i="2" s="1"/>
  <c r="I3" i="3"/>
  <c r="I7" i="3"/>
  <c r="J12" i="2"/>
  <c r="AL12" i="2" s="1"/>
  <c r="AP12" i="2" s="1"/>
  <c r="AS12" i="2" s="1"/>
  <c r="J6" i="2"/>
  <c r="AL7" i="2"/>
  <c r="AP7" i="2" s="1"/>
  <c r="AS7" i="2" s="1"/>
  <c r="J8" i="2"/>
  <c r="AL8" i="2" s="1"/>
  <c r="AP8" i="2" s="1"/>
  <c r="AS8" i="2" s="1"/>
  <c r="J2" i="2"/>
  <c r="AP22" i="2" l="1"/>
  <c r="AS22" i="2" s="1"/>
  <c r="AP17" i="2"/>
  <c r="AS17" i="2" s="1"/>
  <c r="AP13" i="2"/>
  <c r="AS13" i="2" s="1"/>
  <c r="J24" i="2"/>
  <c r="AO24" i="2"/>
  <c r="AK24" i="2"/>
  <c r="AL24" i="2" s="1"/>
  <c r="J20" i="2"/>
  <c r="AK20" i="2" s="1"/>
  <c r="AL20" i="2" s="1"/>
  <c r="AO20" i="2"/>
  <c r="AO23" i="2"/>
  <c r="AK23" i="2"/>
  <c r="AK15" i="2"/>
  <c r="AL15" i="2" s="1"/>
  <c r="AK11" i="2"/>
  <c r="AL11" i="2" s="1"/>
  <c r="AK19" i="2"/>
  <c r="AL19" i="2" s="1"/>
  <c r="AP19" i="2" s="1"/>
  <c r="AS19" i="2" s="1"/>
  <c r="J19" i="2"/>
  <c r="I21" i="2"/>
  <c r="I25" i="2"/>
  <c r="J23" i="2"/>
  <c r="J3" i="2"/>
  <c r="AK3" i="2"/>
  <c r="AP20" i="2" l="1"/>
  <c r="AS20" i="2" s="1"/>
  <c r="AP24" i="2"/>
  <c r="AS24" i="2" s="1"/>
  <c r="AL23" i="2"/>
  <c r="AP23" i="2" s="1"/>
  <c r="AS23" i="2" s="1"/>
  <c r="AO25" i="2"/>
  <c r="AK25" i="2"/>
  <c r="AL25" i="2" s="1"/>
  <c r="AK21" i="2"/>
  <c r="AL21" i="2" s="1"/>
  <c r="AO21" i="2"/>
  <c r="AP15" i="2"/>
  <c r="AS15" i="2" s="1"/>
  <c r="AP11" i="2"/>
  <c r="AS11" i="2" s="1"/>
  <c r="H2" i="2"/>
  <c r="AR2" i="2" s="1"/>
  <c r="AL2" i="2"/>
  <c r="AN2" i="2"/>
  <c r="AL3" i="2"/>
  <c r="AM3" i="2"/>
  <c r="AN3" i="2"/>
  <c r="AL4" i="2"/>
  <c r="AM4" i="2"/>
  <c r="AN4" i="2"/>
  <c r="AM5" i="2"/>
  <c r="AN5" i="2"/>
  <c r="AP4" i="2" l="1"/>
  <c r="AP25" i="2"/>
  <c r="AS25" i="2" s="1"/>
  <c r="AP3" i="2"/>
  <c r="AP2" i="2"/>
  <c r="AP21" i="2"/>
  <c r="AS21" i="2" s="1"/>
  <c r="AQ2" i="2"/>
  <c r="G15" i="8"/>
  <c r="G4" i="8"/>
  <c r="G5" i="8"/>
  <c r="G6" i="8"/>
  <c r="G7" i="8"/>
  <c r="G8" i="8"/>
  <c r="G9" i="8"/>
  <c r="G10" i="8"/>
  <c r="G3" i="8"/>
  <c r="G11" i="8" l="1"/>
  <c r="G17" i="6" l="1"/>
  <c r="G13" i="6"/>
  <c r="G9" i="6"/>
  <c r="G5" i="6"/>
  <c r="G3" i="6"/>
  <c r="AL5" i="2" l="1"/>
  <c r="AP5" i="2" s="1"/>
  <c r="Q2" i="2"/>
  <c r="Q3" i="2"/>
  <c r="Q4" i="2"/>
  <c r="Q5" i="2"/>
  <c r="Q1" i="2"/>
  <c r="P3" i="2"/>
  <c r="P4" i="2"/>
  <c r="P5" i="2"/>
  <c r="O2" i="2"/>
  <c r="P2" i="2"/>
  <c r="P1" i="2"/>
  <c r="O1" i="2"/>
  <c r="H5" i="2" l="1"/>
  <c r="H4" i="2"/>
  <c r="H3" i="2"/>
  <c r="AQ5" i="2" l="1"/>
  <c r="AR5" i="2"/>
  <c r="AQ3" i="2"/>
  <c r="AR3" i="2"/>
  <c r="AS3" i="2"/>
  <c r="AR4" i="2"/>
  <c r="AQ4" i="2"/>
  <c r="AS4" i="2"/>
  <c r="AS5" i="2"/>
  <c r="AS2" i="2"/>
  <c r="I11" i="3"/>
  <c r="AR29" i="2" l="1"/>
  <c r="AR30" i="2" s="1"/>
  <c r="AQ30" i="2"/>
</calcChain>
</file>

<file path=xl/sharedStrings.xml><?xml version="1.0" encoding="utf-8"?>
<sst xmlns="http://schemas.openxmlformats.org/spreadsheetml/2006/main" count="575" uniqueCount="151">
  <si>
    <t>Оборудование</t>
  </si>
  <si>
    <t>№ сценария</t>
  </si>
  <si>
    <t>Описание</t>
  </si>
  <si>
    <t>Частота инициирующего события, 1/год</t>
  </si>
  <si>
    <t>Кол-во оборудования, ед.</t>
  </si>
  <si>
    <t>Условная вероятность</t>
  </si>
  <si>
    <t>Частота сценария, 1/год</t>
  </si>
  <si>
    <t>Количество ОВ участвующего в аварии, т</t>
  </si>
  <si>
    <t>Количество ОВ в создании поражающего фактора, т</t>
  </si>
  <si>
    <t>С1</t>
  </si>
  <si>
    <t>С2</t>
  </si>
  <si>
    <t>С3</t>
  </si>
  <si>
    <t>С4</t>
  </si>
  <si>
    <t>С5</t>
  </si>
  <si>
    <t>С6</t>
  </si>
  <si>
    <t>С7</t>
  </si>
  <si>
    <t>С8</t>
  </si>
  <si>
    <t>С9</t>
  </si>
  <si>
    <t>С10</t>
  </si>
  <si>
    <t>С11</t>
  </si>
  <si>
    <t>С12</t>
  </si>
  <si>
    <t>С13</t>
  </si>
  <si>
    <t>С14</t>
  </si>
  <si>
    <t>С15</t>
  </si>
  <si>
    <t>С16</t>
  </si>
  <si>
    <t>С17</t>
  </si>
  <si>
    <t>С18</t>
  </si>
  <si>
    <t>Полное разрушение</t>
  </si>
  <si>
    <t>Возможность мгновенного воспламенения</t>
  </si>
  <si>
    <t>Возможность образования взрывоопасного облака</t>
  </si>
  <si>
    <t>Возможность отсроченного воспламенения</t>
  </si>
  <si>
    <t>Результирующее событие</t>
  </si>
  <si>
    <t>Частота возникновения, 1/год</t>
  </si>
  <si>
    <t>Пожар пролива</t>
  </si>
  <si>
    <t>да(0,05)</t>
  </si>
  <si>
    <t>да(0,2)</t>
  </si>
  <si>
    <t>нет(0,95)</t>
  </si>
  <si>
    <t>да (*)</t>
  </si>
  <si>
    <t>да(1)</t>
  </si>
  <si>
    <t>нет(0,8)</t>
  </si>
  <si>
    <t>Прекращение аварии</t>
  </si>
  <si>
    <t>нет(0)</t>
  </si>
  <si>
    <t>нет(*)</t>
  </si>
  <si>
    <t>Кратко сценарий</t>
  </si>
  <si>
    <t>Полное-пожар</t>
  </si>
  <si>
    <t>Полное-ликвидация</t>
  </si>
  <si>
    <t>Частичное-ликвидация</t>
  </si>
  <si>
    <t>q=10,5</t>
  </si>
  <si>
    <t>q=7,0</t>
  </si>
  <si>
    <t>q=4,2</t>
  </si>
  <si>
    <t>q=1,4</t>
  </si>
  <si>
    <t>P=5</t>
  </si>
  <si>
    <t>Rвсп</t>
  </si>
  <si>
    <t>LPt</t>
  </si>
  <si>
    <t>PPt</t>
  </si>
  <si>
    <t>-</t>
  </si>
  <si>
    <t>Взрыв облака ТВС</t>
  </si>
  <si>
    <t>Кол-во погиших, чел</t>
  </si>
  <si>
    <t>Кол-во пострадавших, чел</t>
  </si>
  <si>
    <t>Прямые потери, млн.руб</t>
  </si>
  <si>
    <t>Затраты на ликвидацию, млн.руб</t>
  </si>
  <si>
    <t>Социальные потери, млн.руб</t>
  </si>
  <si>
    <t>Косвенный ущерб, млн.руб</t>
  </si>
  <si>
    <t>Суммарный экологический ущерб, млн.руб</t>
  </si>
  <si>
    <t>Суммарный ущерб, млн.руб</t>
  </si>
  <si>
    <t>Мат.ожидание, млн.руб/год</t>
  </si>
  <si>
    <t>Остаточная стоимость оборудования, млн.руб</t>
  </si>
  <si>
    <t>Стоимость вещества, млн.руб/т</t>
  </si>
  <si>
    <t>Дни простоя, сут.</t>
  </si>
  <si>
    <t>при горении 1 тонны нефти</t>
  </si>
  <si>
    <t>№, п/п</t>
  </si>
  <si>
    <t>Загрязняющее вещество</t>
  </si>
  <si>
    <t>Масса выброса, т</t>
  </si>
  <si>
    <t>Сумма ущерба,  руб.</t>
  </si>
  <si>
    <t>Оксид углерода (СО)*</t>
  </si>
  <si>
    <r>
      <t>Оксиды азота (NО</t>
    </r>
    <r>
      <rPr>
        <vertAlign val="subscript"/>
        <sz val="12"/>
        <color rgb="FF000000"/>
        <rFont val="Times New Roman"/>
        <family val="1"/>
        <charset val="204"/>
      </rPr>
      <t>x</t>
    </r>
    <r>
      <rPr>
        <sz val="12"/>
        <color rgb="FF000000"/>
        <rFont val="Times New Roman"/>
        <family val="1"/>
        <charset val="204"/>
      </rPr>
      <t>)*</t>
    </r>
  </si>
  <si>
    <r>
      <t>Оксиды серы (SO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)**</t>
    </r>
  </si>
  <si>
    <r>
      <t>Сероводород (H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S)*</t>
    </r>
  </si>
  <si>
    <t>Сажа (С)**</t>
  </si>
  <si>
    <t>Синильная кислота (НСN)*</t>
  </si>
  <si>
    <t>Формальдегид (HCHO)*</t>
  </si>
  <si>
    <r>
      <t>Органич. к-ты (на СН</t>
    </r>
    <r>
      <rPr>
        <vertAlign val="subscript"/>
        <sz val="12"/>
        <color rgb="FF000000"/>
        <rFont val="Times New Roman"/>
        <family val="1"/>
        <charset val="204"/>
      </rPr>
      <t>3</t>
    </r>
    <r>
      <rPr>
        <sz val="12"/>
        <color rgb="FF000000"/>
        <rFont val="Times New Roman"/>
        <family val="1"/>
        <charset val="204"/>
      </rPr>
      <t>СООН)*</t>
    </r>
  </si>
  <si>
    <t>Итого с 1 т нефти</t>
  </si>
  <si>
    <t>Норматив платы, руб./т (Hi)</t>
  </si>
  <si>
    <t>Коэффициент особой охраны. (Кохр)</t>
  </si>
  <si>
    <t>Коэффициент Кин</t>
  </si>
  <si>
    <t>Углеводороды С1-С5</t>
  </si>
  <si>
    <r>
      <t>при расчете ущерба от загрязнения почвы при расчете ущерба принимались следующие коэффициенты СЗ =1,5 (</t>
    </r>
    <r>
      <rPr>
        <sz val="14"/>
        <color rgb="FF000000"/>
        <rFont val="Times New Roman"/>
        <family val="1"/>
        <charset val="204"/>
      </rPr>
      <t>степень загрязнения), Kr = 1 (показатель в зависимости от глубины загрязнения), Кисх=1,6 (показатель в зависимости от кат.земель и целевого назначения), Тх = 500 руб/м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 xml:space="preserve"> (расценка для исчисления размера вреда). Итого за 1 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: 1200 руб.</t>
    </r>
  </si>
  <si>
    <t>Полное-токси</t>
  </si>
  <si>
    <t>Кол.риск гибели, чел/год</t>
  </si>
  <si>
    <t>Кол риск, поражения</t>
  </si>
  <si>
    <t>Полное-факел</t>
  </si>
  <si>
    <t>Частичное-факел</t>
  </si>
  <si>
    <t>Факельное горение</t>
  </si>
  <si>
    <t>да(0,24)</t>
  </si>
  <si>
    <t>нет(0,76)</t>
  </si>
  <si>
    <t>Сгорание с образованием избыточного давления</t>
  </si>
  <si>
    <t>да(0,6)</t>
  </si>
  <si>
    <t>нет(0,4)</t>
  </si>
  <si>
    <t>Взрыв в объеме помещения</t>
  </si>
  <si>
    <t>Вспышка в объеме помещения</t>
  </si>
  <si>
    <t>да(0,035)</t>
  </si>
  <si>
    <t>нет(0,965)</t>
  </si>
  <si>
    <t>да(0,036)</t>
  </si>
  <si>
    <t>нет(0,964)</t>
  </si>
  <si>
    <t>Полное-вспышка</t>
  </si>
  <si>
    <t>Частичное-вспышка</t>
  </si>
  <si>
    <t>С19</t>
  </si>
  <si>
    <t>С20</t>
  </si>
  <si>
    <t>С21</t>
  </si>
  <si>
    <t>С22</t>
  </si>
  <si>
    <t>С23</t>
  </si>
  <si>
    <t>С24</t>
  </si>
  <si>
    <t>Возможность  воспламенения</t>
  </si>
  <si>
    <t>С25</t>
  </si>
  <si>
    <t>С26</t>
  </si>
  <si>
    <t>С27</t>
  </si>
  <si>
    <t>Токсическое поражение</t>
  </si>
  <si>
    <t>Подземная емкость хранения одоранта</t>
  </si>
  <si>
    <t>Lф</t>
  </si>
  <si>
    <t>Дф</t>
  </si>
  <si>
    <t>P=100</t>
  </si>
  <si>
    <t>P=53</t>
  </si>
  <si>
    <t>P=28</t>
  </si>
  <si>
    <t>Р=14</t>
  </si>
  <si>
    <t>Полное разрушение→ наличие источника воспламенения → факельное горение</t>
  </si>
  <si>
    <t>Полное разрушение→ отсутствие источника воспламенения → ликвидация аварии</t>
  </si>
  <si>
    <t>Частичное разрушение→ наличие источника воспламенения → факельное горение</t>
  </si>
  <si>
    <t>Частичное разрушение→ отсутствие источника воспламенения → ликвидация аварии</t>
  </si>
  <si>
    <t>Полное разрушение→ наличие мгновенного источника воспламенения → факельное горение</t>
  </si>
  <si>
    <t>Полное разрушение→ отсутствие мгновенного источника воспламенения → наличие отложенного источника воспламенения →вспышка</t>
  </si>
  <si>
    <t>Частичное разрушение→ наличие мгновенного источника воспламенения → факельное горение</t>
  </si>
  <si>
    <t>Частичное разрушение→ отсутствие мгновенного источника воспламенения → наличие отложенного источника воспламенения →вспышка</t>
  </si>
  <si>
    <t>Полное разрушение/перелив→ наличие мгновенного источника воспламенения → пожар пролива</t>
  </si>
  <si>
    <t>Полное разрушение/перелив→ отсутствие  источника воспламенения → токсическое поражение</t>
  </si>
  <si>
    <t>Полное разрушение→ отсутствие мгновенного источника воспламенения → наличие отложенного источника воспламенения → взрыв</t>
  </si>
  <si>
    <t>Полное- взрыв</t>
  </si>
  <si>
    <t>Частичное разрушение→ отсутствие мгновенного источника воспламенения → наличие отложенного источника воспламенения → взрыв</t>
  </si>
  <si>
    <t>Частичное- взрыв</t>
  </si>
  <si>
    <t>Полное разрушение/перелив→ отсутствие мгновенного источника воспламенения → наличие отложенного источника воспламенения  →  взрыв</t>
  </si>
  <si>
    <t>Полное  взрыв</t>
  </si>
  <si>
    <t>Масса в ТРУБЕ</t>
  </si>
  <si>
    <t>кг/м3</t>
  </si>
  <si>
    <t>м3</t>
  </si>
  <si>
    <t>Колл</t>
  </si>
  <si>
    <t>Инд</t>
  </si>
  <si>
    <t>Технологический трубопровод наземный (Ду = 219; P=5,4; L=35)</t>
  </si>
  <si>
    <t>Технологический трубопровод подземный (Ду = 50; P=5,4; L=31)</t>
  </si>
  <si>
    <t>Технологический трубопровод наземный (Ду = 219; P=5,4; L=53)</t>
  </si>
  <si>
    <t>Технологический трубопровод подземный (Ду = 57; P=5,4; L=256)</t>
  </si>
  <si>
    <t>Технологический трубопровод блока редуцирования (Ду = 325; P=1,2; L=12)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</si>
</sst>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2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sz val="11"/>
      <color theme="0"/>
      <name val="Arial Narrow"/>
      <family val="2"/>
      <charset val="204"/>
    </font>
    <font>
      <sz val="11"/>
      <name val="Arial Narrow"/>
      <family val="2"/>
      <charset val="204"/>
    </font>
    <font>
      <sz val="1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vertAlign val="superscript"/>
      <sz val="14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FF0000"/>
      <name val="Arial Narrow"/>
      <family val="2"/>
      <charset val="204"/>
    </font>
    <font>
      <b/>
      <sz val="11"/>
      <color rgb="FFFF0000"/>
      <name val="Arial Narrow"/>
      <family val="2"/>
      <charset val="204"/>
    </font>
    <font>
      <b/>
      <sz val="11"/>
      <name val="Arial Narrow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wrapText="1"/>
    </xf>
    <xf numFmtId="0" fontId="5" fillId="2" borderId="1" xfId="0" applyFont="1" applyFill="1" applyBorder="1" applyAlignment="1">
      <alignment wrapText="1"/>
    </xf>
    <xf numFmtId="0" fontId="5" fillId="2" borderId="0" xfId="0" applyFont="1" applyFill="1"/>
    <xf numFmtId="0" fontId="0" fillId="2" borderId="0" xfId="0" applyFill="1"/>
    <xf numFmtId="0" fontId="6" fillId="2" borderId="4" xfId="0" applyFont="1" applyFill="1" applyBorder="1" applyAlignment="1">
      <alignment horizontal="left"/>
    </xf>
    <xf numFmtId="0" fontId="6" fillId="2" borderId="7" xfId="0" applyFont="1" applyFill="1" applyBorder="1" applyAlignment="1">
      <alignment horizontal="left"/>
    </xf>
    <xf numFmtId="0" fontId="6" fillId="2" borderId="0" xfId="0" applyFont="1" applyFill="1" applyAlignment="1">
      <alignment horizontal="left"/>
    </xf>
    <xf numFmtId="0" fontId="7" fillId="2" borderId="0" xfId="0" applyFont="1" applyFill="1" applyAlignment="1">
      <alignment horizontal="right"/>
    </xf>
    <xf numFmtId="0" fontId="7" fillId="2" borderId="0" xfId="0" applyFont="1" applyFill="1"/>
    <xf numFmtId="0" fontId="8" fillId="2" borderId="0" xfId="0" applyFont="1" applyFill="1"/>
    <xf numFmtId="0" fontId="7" fillId="0" borderId="0" xfId="0" applyFont="1"/>
    <xf numFmtId="0" fontId="7" fillId="2" borderId="1" xfId="0" applyFont="1" applyFill="1" applyBorder="1"/>
    <xf numFmtId="164" fontId="8" fillId="2" borderId="1" xfId="0" applyNumberFormat="1" applyFont="1" applyFill="1" applyBorder="1"/>
    <xf numFmtId="11" fontId="7" fillId="0" borderId="1" xfId="0" applyNumberFormat="1" applyFont="1" applyBorder="1"/>
    <xf numFmtId="0" fontId="7" fillId="2" borderId="5" xfId="0" applyFont="1" applyFill="1" applyBorder="1"/>
    <xf numFmtId="164" fontId="8" fillId="2" borderId="0" xfId="0" applyNumberFormat="1" applyFont="1" applyFill="1"/>
    <xf numFmtId="0" fontId="7" fillId="2" borderId="6" xfId="0" applyFont="1" applyFill="1" applyBorder="1"/>
    <xf numFmtId="0" fontId="7" fillId="2" borderId="7" xfId="0" applyFont="1" applyFill="1" applyBorder="1"/>
    <xf numFmtId="11" fontId="7" fillId="0" borderId="0" xfId="0" applyNumberFormat="1" applyFont="1"/>
    <xf numFmtId="0" fontId="7" fillId="2" borderId="7" xfId="0" applyFont="1" applyFill="1" applyBorder="1" applyAlignment="1">
      <alignment horizontal="right"/>
    </xf>
    <xf numFmtId="0" fontId="7" fillId="2" borderId="8" xfId="0" applyFont="1" applyFill="1" applyBorder="1" applyAlignment="1">
      <alignment horizontal="right"/>
    </xf>
    <xf numFmtId="0" fontId="7" fillId="2" borderId="8" xfId="0" applyFont="1" applyFill="1" applyBorder="1"/>
    <xf numFmtId="0" fontId="7" fillId="2" borderId="9" xfId="0" applyFont="1" applyFill="1" applyBorder="1" applyAlignment="1">
      <alignment horizontal="right"/>
    </xf>
    <xf numFmtId="164" fontId="5" fillId="0" borderId="0" xfId="0" applyNumberFormat="1" applyFont="1"/>
    <xf numFmtId="0" fontId="4" fillId="2" borderId="0" xfId="0" applyFont="1" applyFill="1"/>
    <xf numFmtId="0" fontId="5" fillId="2" borderId="12" xfId="0" applyFont="1" applyFill="1" applyBorder="1" applyAlignment="1">
      <alignment wrapText="1"/>
    </xf>
    <xf numFmtId="165" fontId="5" fillId="2" borderId="1" xfId="0" applyNumberFormat="1" applyFont="1" applyFill="1" applyBorder="1" applyAlignment="1">
      <alignment wrapText="1"/>
    </xf>
    <xf numFmtId="165" fontId="8" fillId="2" borderId="0" xfId="0" applyNumberFormat="1" applyFont="1" applyFill="1"/>
    <xf numFmtId="165" fontId="8" fillId="2" borderId="1" xfId="0" applyNumberFormat="1" applyFont="1" applyFill="1" applyBorder="1"/>
    <xf numFmtId="165" fontId="0" fillId="0" borderId="0" xfId="0" applyNumberFormat="1"/>
    <xf numFmtId="0" fontId="4" fillId="2" borderId="0" xfId="0" applyFont="1" applyFill="1" applyAlignment="1">
      <alignment wrapText="1"/>
    </xf>
    <xf numFmtId="0" fontId="0" fillId="0" borderId="16" xfId="0" applyBorder="1"/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9" fillId="0" borderId="17" xfId="0" applyFont="1" applyBorder="1" applyAlignment="1">
      <alignment vertical="center"/>
    </xf>
    <xf numFmtId="0" fontId="9" fillId="0" borderId="17" xfId="0" applyFont="1" applyBorder="1" applyAlignment="1">
      <alignment horizontal="center" vertical="center"/>
    </xf>
    <xf numFmtId="166" fontId="9" fillId="0" borderId="17" xfId="0" applyNumberFormat="1" applyFont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166" fontId="9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wrapText="1"/>
    </xf>
    <xf numFmtId="11" fontId="0" fillId="0" borderId="0" xfId="0" applyNumberFormat="1"/>
    <xf numFmtId="11" fontId="3" fillId="0" borderId="20" xfId="0" applyNumberFormat="1" applyFont="1" applyBorder="1" applyAlignment="1">
      <alignment horizontal="center" vertical="center" wrapText="1"/>
    </xf>
    <xf numFmtId="11" fontId="3" fillId="0" borderId="21" xfId="0" applyNumberFormat="1" applyFont="1" applyBorder="1" applyAlignment="1">
      <alignment horizontal="center" vertical="center" wrapText="1"/>
    </xf>
    <xf numFmtId="11" fontId="1" fillId="0" borderId="0" xfId="0" applyNumberFormat="1" applyFont="1"/>
    <xf numFmtId="0" fontId="17" fillId="2" borderId="0" xfId="0" applyFont="1" applyFill="1"/>
    <xf numFmtId="164" fontId="15" fillId="2" borderId="0" xfId="0" applyNumberFormat="1" applyFont="1" applyFill="1"/>
    <xf numFmtId="11" fontId="17" fillId="0" borderId="0" xfId="0" applyNumberFormat="1" applyFont="1"/>
    <xf numFmtId="0" fontId="17" fillId="2" borderId="0" xfId="0" applyFont="1" applyFill="1" applyAlignment="1">
      <alignment horizontal="left"/>
    </xf>
    <xf numFmtId="0" fontId="17" fillId="2" borderId="0" xfId="0" applyFont="1" applyFill="1" applyAlignment="1">
      <alignment horizontal="right"/>
    </xf>
    <xf numFmtId="0" fontId="17" fillId="0" borderId="0" xfId="0" applyFont="1"/>
    <xf numFmtId="11" fontId="18" fillId="2" borderId="0" xfId="0" applyNumberFormat="1" applyFont="1" applyFill="1"/>
    <xf numFmtId="0" fontId="7" fillId="2" borderId="1" xfId="0" applyFont="1" applyFill="1" applyBorder="1" applyAlignment="1">
      <alignment wrapText="1"/>
    </xf>
    <xf numFmtId="0" fontId="7" fillId="2" borderId="1" xfId="0" applyFont="1" applyFill="1" applyBorder="1" applyAlignment="1">
      <alignment horizontal="right" wrapText="1"/>
    </xf>
    <xf numFmtId="0" fontId="7" fillId="0" borderId="13" xfId="0" applyFont="1" applyBorder="1" applyAlignment="1">
      <alignment horizontal="right" wrapText="1"/>
    </xf>
    <xf numFmtId="0" fontId="8" fillId="0" borderId="13" xfId="0" applyFont="1" applyBorder="1"/>
    <xf numFmtId="0" fontId="7" fillId="2" borderId="12" xfId="0" applyFont="1" applyFill="1" applyBorder="1" applyAlignment="1">
      <alignment wrapText="1"/>
    </xf>
    <xf numFmtId="0" fontId="7" fillId="0" borderId="1" xfId="0" applyFont="1" applyBorder="1" applyAlignment="1">
      <alignment wrapText="1"/>
    </xf>
    <xf numFmtId="0" fontId="7" fillId="2" borderId="6" xfId="0" applyFont="1" applyFill="1" applyBorder="1" applyAlignment="1">
      <alignment horizontal="right"/>
    </xf>
    <xf numFmtId="0" fontId="8" fillId="2" borderId="6" xfId="0" applyFont="1" applyFill="1" applyBorder="1"/>
    <xf numFmtId="0" fontId="7" fillId="2" borderId="10" xfId="0" applyFont="1" applyFill="1" applyBorder="1"/>
    <xf numFmtId="0" fontId="8" fillId="0" borderId="0" xfId="0" applyFont="1"/>
    <xf numFmtId="0" fontId="7" fillId="2" borderId="4" xfId="0" applyFont="1" applyFill="1" applyBorder="1"/>
    <xf numFmtId="0" fontId="8" fillId="2" borderId="7" xfId="0" applyFont="1" applyFill="1" applyBorder="1"/>
    <xf numFmtId="0" fontId="7" fillId="2" borderId="11" xfId="0" applyFont="1" applyFill="1" applyBorder="1"/>
    <xf numFmtId="0" fontId="7" fillId="2" borderId="0" xfId="0" applyFont="1" applyFill="1" applyAlignment="1">
      <alignment horizontal="left"/>
    </xf>
    <xf numFmtId="11" fontId="19" fillId="2" borderId="10" xfId="0" applyNumberFormat="1" applyFont="1" applyFill="1" applyBorder="1"/>
    <xf numFmtId="11" fontId="19" fillId="2" borderId="0" xfId="0" applyNumberFormat="1" applyFont="1" applyFill="1"/>
    <xf numFmtId="0" fontId="16" fillId="2" borderId="8" xfId="0" applyFont="1" applyFill="1" applyBorder="1" applyAlignment="1">
      <alignment horizontal="left"/>
    </xf>
    <xf numFmtId="0" fontId="16" fillId="2" borderId="4" xfId="0" applyFont="1" applyFill="1" applyBorder="1" applyAlignment="1">
      <alignment horizontal="left"/>
    </xf>
    <xf numFmtId="0" fontId="15" fillId="2" borderId="0" xfId="0" applyFont="1" applyFill="1"/>
    <xf numFmtId="0" fontId="15" fillId="2" borderId="0" xfId="0" applyFont="1" applyFill="1" applyAlignment="1">
      <alignment horizontal="left"/>
    </xf>
    <xf numFmtId="0" fontId="7" fillId="2" borderId="13" xfId="0" applyFont="1" applyFill="1" applyBorder="1" applyAlignment="1">
      <alignment horizontal="right" wrapText="1"/>
    </xf>
    <xf numFmtId="0" fontId="8" fillId="0" borderId="22" xfId="0" applyFont="1" applyBorder="1"/>
    <xf numFmtId="0" fontId="8" fillId="2" borderId="0" xfId="0" applyFont="1" applyFill="1" applyAlignment="1">
      <alignment horizontal="left"/>
    </xf>
    <xf numFmtId="0" fontId="5" fillId="3" borderId="1" xfId="0" applyFont="1" applyFill="1" applyBorder="1"/>
    <xf numFmtId="0" fontId="14" fillId="3" borderId="2" xfId="0" applyFont="1" applyFill="1" applyBorder="1" applyAlignment="1">
      <alignment vertic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11" fontId="5" fillId="3" borderId="1" xfId="0" applyNumberFormat="1" applyFont="1" applyFill="1" applyBorder="1"/>
    <xf numFmtId="164" fontId="5" fillId="3" borderId="1" xfId="0" applyNumberFormat="1" applyFont="1" applyFill="1" applyBorder="1"/>
    <xf numFmtId="164" fontId="0" fillId="3" borderId="1" xfId="0" applyNumberFormat="1" applyFill="1" applyBorder="1"/>
    <xf numFmtId="0" fontId="0" fillId="3" borderId="0" xfId="0" applyFill="1"/>
    <xf numFmtId="0" fontId="5" fillId="3" borderId="0" xfId="0" applyFont="1" applyFill="1"/>
    <xf numFmtId="165" fontId="5" fillId="3" borderId="0" xfId="0" applyNumberFormat="1" applyFont="1" applyFill="1"/>
    <xf numFmtId="2" fontId="5" fillId="3" borderId="0" xfId="0" applyNumberFormat="1" applyFont="1" applyFill="1"/>
    <xf numFmtId="0" fontId="0" fillId="4" borderId="1" xfId="0" applyFill="1" applyBorder="1"/>
    <xf numFmtId="1" fontId="0" fillId="4" borderId="1" xfId="0" applyNumberFormat="1" applyFill="1" applyBorder="1"/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8" xfId="0" applyBorder="1" applyAlignment="1">
      <alignment horizontal="right"/>
    </xf>
    <xf numFmtId="0" fontId="0" fillId="0" borderId="19" xfId="0" applyBorder="1" applyAlignment="1">
      <alignment horizontal="right"/>
    </xf>
    <xf numFmtId="0" fontId="5" fillId="4" borderId="1" xfId="0" applyFont="1" applyFill="1" applyBorder="1"/>
    <xf numFmtId="0" fontId="14" fillId="4" borderId="2" xfId="0" applyFont="1" applyFill="1" applyBorder="1" applyAlignment="1">
      <alignment vertical="center"/>
    </xf>
    <xf numFmtId="0" fontId="0" fillId="4" borderId="1" xfId="0" applyFill="1" applyBorder="1" applyAlignment="1">
      <alignment wrapText="1"/>
    </xf>
    <xf numFmtId="11" fontId="5" fillId="4" borderId="1" xfId="0" applyNumberFormat="1" applyFont="1" applyFill="1" applyBorder="1"/>
    <xf numFmtId="164" fontId="5" fillId="4" borderId="1" xfId="0" applyNumberFormat="1" applyFont="1" applyFill="1" applyBorder="1"/>
    <xf numFmtId="164" fontId="0" fillId="4" borderId="1" xfId="0" applyNumberFormat="1" applyFill="1" applyBorder="1"/>
    <xf numFmtId="164" fontId="0" fillId="4" borderId="0" xfId="0" applyNumberFormat="1" applyFill="1"/>
    <xf numFmtId="0" fontId="0" fillId="4" borderId="0" xfId="0" applyFill="1"/>
    <xf numFmtId="0" fontId="5" fillId="4" borderId="0" xfId="0" applyFont="1" applyFill="1"/>
    <xf numFmtId="165" fontId="5" fillId="4" borderId="0" xfId="0" applyNumberFormat="1" applyFont="1" applyFill="1"/>
    <xf numFmtId="2" fontId="5" fillId="4" borderId="0" xfId="0" applyNumberFormat="1" applyFont="1" applyFill="1"/>
    <xf numFmtId="11" fontId="5" fillId="4" borderId="0" xfId="0" applyNumberFormat="1" applyFont="1" applyFill="1"/>
    <xf numFmtId="0" fontId="5" fillId="5" borderId="1" xfId="0" applyFont="1" applyFill="1" applyBorder="1"/>
    <xf numFmtId="0" fontId="14" fillId="5" borderId="2" xfId="0" applyFont="1" applyFill="1" applyBorder="1" applyAlignment="1">
      <alignment vertical="center"/>
    </xf>
    <xf numFmtId="0" fontId="0" fillId="5" borderId="1" xfId="0" applyFill="1" applyBorder="1"/>
    <xf numFmtId="0" fontId="0" fillId="5" borderId="1" xfId="0" applyFill="1" applyBorder="1" applyAlignment="1">
      <alignment wrapText="1"/>
    </xf>
    <xf numFmtId="11" fontId="5" fillId="5" borderId="1" xfId="0" applyNumberFormat="1" applyFont="1" applyFill="1" applyBorder="1"/>
    <xf numFmtId="164" fontId="5" fillId="5" borderId="1" xfId="0" applyNumberFormat="1" applyFont="1" applyFill="1" applyBorder="1"/>
    <xf numFmtId="164" fontId="0" fillId="5" borderId="1" xfId="0" applyNumberFormat="1" applyFill="1" applyBorder="1"/>
    <xf numFmtId="164" fontId="0" fillId="5" borderId="0" xfId="0" applyNumberFormat="1" applyFill="1"/>
    <xf numFmtId="0" fontId="0" fillId="5" borderId="0" xfId="0" applyFill="1"/>
    <xf numFmtId="1" fontId="0" fillId="5" borderId="1" xfId="0" applyNumberFormat="1" applyFill="1" applyBorder="1"/>
    <xf numFmtId="0" fontId="5" fillId="5" borderId="0" xfId="0" applyFont="1" applyFill="1"/>
    <xf numFmtId="165" fontId="5" fillId="5" borderId="0" xfId="0" applyNumberFormat="1" applyFont="1" applyFill="1"/>
    <xf numFmtId="2" fontId="5" fillId="5" borderId="0" xfId="0" applyNumberFormat="1" applyFont="1" applyFill="1"/>
    <xf numFmtId="11" fontId="5" fillId="5" borderId="0" xfId="0" applyNumberFormat="1" applyFont="1" applyFill="1"/>
    <xf numFmtId="164" fontId="0" fillId="3" borderId="0" xfId="0" applyNumberFormat="1" applyFill="1"/>
    <xf numFmtId="1" fontId="0" fillId="3" borderId="1" xfId="0" applyNumberFormat="1" applyFill="1" applyBorder="1"/>
    <xf numFmtId="11" fontId="5" fillId="3" borderId="0" xfId="0" applyNumberFormat="1" applyFont="1" applyFill="1"/>
  </cellXfs>
  <cellStyles count="1">
    <cellStyle name="Обычный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9"/>
  <sheetViews>
    <sheetView workbookViewId="0">
      <pane ySplit="1" topLeftCell="A2" activePane="bottomLeft" state="frozen"/>
      <selection pane="bottomLeft" activeCell="G3" sqref="G3:G9"/>
    </sheetView>
  </sheetViews>
  <sheetFormatPr defaultColWidth="8.88671875" defaultRowHeight="14.4" x14ac:dyDescent="0.3"/>
  <cols>
    <col min="1" max="1" width="8.88671875" style="5"/>
    <col min="2" max="2" width="18.33203125" style="5" customWidth="1"/>
    <col min="3" max="3" width="21.6640625" style="5" customWidth="1"/>
    <col min="4" max="4" width="17.33203125" style="5" customWidth="1"/>
    <col min="5" max="5" width="28.44140625" style="5" customWidth="1"/>
    <col min="6" max="6" width="12" style="5" hidden="1" customWidth="1"/>
    <col min="7" max="7" width="12.109375" style="35" customWidth="1"/>
    <col min="8" max="11" width="8.88671875" style="5"/>
    <col min="12" max="12" width="8.88671875" style="29"/>
    <col min="13" max="16384" width="8.88671875" style="5"/>
  </cols>
  <sheetData>
    <row r="1" spans="2:12" ht="58.95" customHeight="1" x14ac:dyDescent="0.25">
      <c r="B1" s="31" t="s">
        <v>28</v>
      </c>
      <c r="C1" s="7" t="s">
        <v>29</v>
      </c>
      <c r="D1" s="7" t="s">
        <v>30</v>
      </c>
      <c r="E1" s="7" t="s">
        <v>31</v>
      </c>
      <c r="F1" s="7" t="s">
        <v>1</v>
      </c>
      <c r="G1" s="32" t="s">
        <v>5</v>
      </c>
    </row>
    <row r="2" spans="2:12" ht="16.5" x14ac:dyDescent="0.3">
      <c r="B2" s="14"/>
      <c r="C2" s="14"/>
      <c r="D2" s="14"/>
      <c r="E2" s="14"/>
      <c r="F2" s="14"/>
      <c r="G2" s="33"/>
    </row>
    <row r="3" spans="2:12" x14ac:dyDescent="0.3">
      <c r="B3" s="14"/>
      <c r="C3" s="14"/>
      <c r="D3" s="14"/>
      <c r="E3" s="13" t="s">
        <v>33</v>
      </c>
      <c r="F3" s="17"/>
      <c r="G3" s="34">
        <f>B9*C4</f>
        <v>0.05</v>
      </c>
    </row>
    <row r="4" spans="2:12" x14ac:dyDescent="0.3">
      <c r="B4" s="13" t="s">
        <v>34</v>
      </c>
      <c r="C4" s="10">
        <v>0.05</v>
      </c>
      <c r="D4" s="20"/>
      <c r="E4" s="20"/>
      <c r="F4" s="14"/>
      <c r="G4" s="33"/>
    </row>
    <row r="5" spans="2:12" x14ac:dyDescent="0.3">
      <c r="B5" s="22"/>
      <c r="C5" s="23"/>
      <c r="D5" s="14"/>
      <c r="E5" s="13" t="s">
        <v>56</v>
      </c>
      <c r="F5" s="17"/>
      <c r="G5" s="34">
        <f>B9*C7*E6</f>
        <v>4.7500000000000001E-2</v>
      </c>
    </row>
    <row r="6" spans="2:12" x14ac:dyDescent="0.3">
      <c r="B6" s="14"/>
      <c r="C6" s="23"/>
      <c r="D6" s="13" t="s">
        <v>34</v>
      </c>
      <c r="E6" s="10">
        <v>0.05</v>
      </c>
      <c r="F6" s="14"/>
      <c r="G6" s="33"/>
    </row>
    <row r="7" spans="2:12" x14ac:dyDescent="0.3">
      <c r="B7" s="13" t="s">
        <v>36</v>
      </c>
      <c r="C7" s="11">
        <v>0.95</v>
      </c>
      <c r="D7" s="14"/>
      <c r="E7" s="23"/>
      <c r="F7" s="14"/>
      <c r="G7" s="33"/>
    </row>
    <row r="8" spans="2:12" ht="16.5" x14ac:dyDescent="0.3">
      <c r="B8" s="14"/>
      <c r="C8" s="23"/>
      <c r="D8" s="10">
        <v>1</v>
      </c>
      <c r="E8" s="11">
        <v>0.95</v>
      </c>
      <c r="F8" s="14"/>
      <c r="G8" s="33"/>
    </row>
    <row r="9" spans="2:12" x14ac:dyDescent="0.3">
      <c r="B9" s="12">
        <v>1</v>
      </c>
      <c r="C9" s="25" t="s">
        <v>38</v>
      </c>
      <c r="D9" s="25" t="s">
        <v>36</v>
      </c>
      <c r="E9" s="26" t="s">
        <v>117</v>
      </c>
      <c r="F9" s="17"/>
      <c r="G9" s="34">
        <f>B9*C7*D8*E8</f>
        <v>0.90249999999999997</v>
      </c>
    </row>
    <row r="10" spans="2:12" ht="16.5" x14ac:dyDescent="0.3">
      <c r="B10" s="14"/>
      <c r="C10" s="23"/>
      <c r="D10" s="23"/>
      <c r="E10" s="14"/>
      <c r="F10" s="14"/>
      <c r="G10" s="33"/>
    </row>
    <row r="11" spans="2:12" ht="16.5" x14ac:dyDescent="0.3">
      <c r="B11" s="14"/>
      <c r="C11" s="27"/>
      <c r="D11" s="23"/>
      <c r="E11" s="14"/>
      <c r="F11" s="14"/>
      <c r="G11" s="33"/>
    </row>
    <row r="12" spans="2:12" ht="16.5" x14ac:dyDescent="0.3">
      <c r="B12" s="14"/>
      <c r="C12" s="14"/>
      <c r="D12" s="23"/>
      <c r="E12" s="14"/>
      <c r="F12" s="14"/>
      <c r="G12" s="33"/>
    </row>
    <row r="13" spans="2:12" x14ac:dyDescent="0.3">
      <c r="B13" s="14"/>
      <c r="C13" s="14"/>
      <c r="D13" s="11">
        <v>0</v>
      </c>
      <c r="E13" s="13" t="s">
        <v>33</v>
      </c>
      <c r="F13" s="17"/>
      <c r="G13" s="34">
        <f>E14*D13*C7*B9</f>
        <v>0</v>
      </c>
    </row>
    <row r="14" spans="2:12" x14ac:dyDescent="0.3">
      <c r="B14" s="14"/>
      <c r="C14" s="13" t="s">
        <v>41</v>
      </c>
      <c r="D14" s="28" t="s">
        <v>34</v>
      </c>
      <c r="E14" s="10">
        <v>0.05</v>
      </c>
      <c r="F14" s="14"/>
      <c r="G14" s="33"/>
    </row>
    <row r="15" spans="2:12" ht="16.5" x14ac:dyDescent="0.3">
      <c r="B15" s="14"/>
      <c r="C15" s="14"/>
      <c r="D15" s="27"/>
      <c r="E15" s="23"/>
      <c r="F15" s="14"/>
      <c r="G15" s="33"/>
    </row>
    <row r="16" spans="2:12" ht="16.5" x14ac:dyDescent="0.3">
      <c r="B16" s="14"/>
      <c r="C16" s="14"/>
      <c r="D16" s="14"/>
      <c r="E16" s="11">
        <v>0.95</v>
      </c>
      <c r="F16" s="14"/>
      <c r="G16" s="33"/>
      <c r="L16" s="29">
        <v>0.05</v>
      </c>
    </row>
    <row r="17" spans="2:12" x14ac:dyDescent="0.3">
      <c r="B17" s="14"/>
      <c r="C17" s="14"/>
      <c r="D17" s="13" t="s">
        <v>36</v>
      </c>
      <c r="E17" s="26" t="s">
        <v>117</v>
      </c>
      <c r="F17" s="17"/>
      <c r="G17" s="34">
        <f>E16*D13*C7*B9</f>
        <v>0</v>
      </c>
      <c r="L17" s="29">
        <v>4.7500000000000001E-2</v>
      </c>
    </row>
    <row r="18" spans="2:12" ht="16.5" x14ac:dyDescent="0.3">
      <c r="B18" s="12">
        <v>1</v>
      </c>
      <c r="C18" s="14"/>
      <c r="D18" s="14"/>
      <c r="E18" s="14"/>
      <c r="F18" s="14"/>
      <c r="G18" s="33"/>
      <c r="L18" s="29">
        <v>0.90249999999999997</v>
      </c>
    </row>
    <row r="19" spans="2:12" ht="16.5" x14ac:dyDescent="0.3">
      <c r="B19" s="14"/>
      <c r="C19" s="14"/>
      <c r="D19" s="14"/>
      <c r="E19" s="14"/>
      <c r="F19" s="14"/>
      <c r="G19" s="33"/>
      <c r="L19" s="29">
        <v>0.05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35"/>
  <sheetViews>
    <sheetView workbookViewId="0">
      <pane ySplit="1" topLeftCell="A2" activePane="bottomLeft" state="frozen"/>
      <selection pane="bottomLeft" activeCell="H23" sqref="H23"/>
    </sheetView>
  </sheetViews>
  <sheetFormatPr defaultColWidth="8.88671875" defaultRowHeight="14.4" x14ac:dyDescent="0.3"/>
  <cols>
    <col min="1" max="1" width="8.88671875" style="5"/>
    <col min="2" max="2" width="14" style="5" customWidth="1"/>
    <col min="3" max="3" width="18.33203125" style="5" customWidth="1"/>
    <col min="4" max="4" width="17.33203125" style="5" customWidth="1"/>
    <col min="6" max="6" width="28" style="5" customWidth="1"/>
    <col min="7" max="7" width="12.109375" customWidth="1"/>
    <col min="8" max="8" width="16.6640625" style="5" customWidth="1"/>
    <col min="9" max="16384" width="8.88671875" style="5"/>
  </cols>
  <sheetData>
    <row r="1" spans="2:9" ht="58.95" customHeight="1" x14ac:dyDescent="0.3">
      <c r="B1" s="60" t="s">
        <v>27</v>
      </c>
      <c r="C1" s="80" t="s">
        <v>113</v>
      </c>
      <c r="D1" s="80"/>
      <c r="E1" s="81"/>
      <c r="F1" s="64" t="s">
        <v>31</v>
      </c>
      <c r="G1" s="64" t="s">
        <v>5</v>
      </c>
      <c r="H1" s="65" t="s">
        <v>32</v>
      </c>
      <c r="I1" s="16"/>
    </row>
    <row r="2" spans="2:9" ht="16.5" x14ac:dyDescent="0.3">
      <c r="B2" s="14"/>
      <c r="C2" s="14"/>
      <c r="D2" s="14"/>
      <c r="E2" s="15"/>
      <c r="F2" s="14"/>
      <c r="G2" s="15"/>
      <c r="H2" s="16"/>
      <c r="I2" s="16"/>
    </row>
    <row r="3" spans="2:9" x14ac:dyDescent="0.3">
      <c r="B3" s="14"/>
      <c r="C3" s="14"/>
      <c r="D3" s="14"/>
      <c r="E3" s="67"/>
      <c r="F3" s="68" t="s">
        <v>93</v>
      </c>
      <c r="G3" s="18">
        <f>D4</f>
        <v>0.24</v>
      </c>
      <c r="H3" s="19">
        <f>B14*G3</f>
        <v>2.3999999999999997E-8</v>
      </c>
      <c r="I3" s="16"/>
    </row>
    <row r="4" spans="2:9" x14ac:dyDescent="0.3">
      <c r="B4" s="14"/>
      <c r="C4" s="13" t="s">
        <v>94</v>
      </c>
      <c r="D4" s="10">
        <v>0.24</v>
      </c>
      <c r="E4" s="15"/>
      <c r="F4" s="14"/>
      <c r="G4" s="21"/>
      <c r="H4" s="16"/>
      <c r="I4" s="16"/>
    </row>
    <row r="5" spans="2:9" ht="16.5" x14ac:dyDescent="0.3">
      <c r="B5" s="14"/>
      <c r="C5" s="22"/>
      <c r="D5" s="23"/>
      <c r="E5" s="15"/>
      <c r="F5" s="14"/>
      <c r="G5" s="69"/>
      <c r="H5" s="16"/>
      <c r="I5" s="16"/>
    </row>
    <row r="6" spans="2:9" ht="16.5" x14ac:dyDescent="0.3">
      <c r="B6" s="14"/>
      <c r="C6" s="70"/>
      <c r="D6" s="23"/>
      <c r="E6" s="15"/>
      <c r="F6" s="14"/>
      <c r="G6" s="21"/>
      <c r="H6" s="24"/>
      <c r="I6" s="16"/>
    </row>
    <row r="7" spans="2:9" x14ac:dyDescent="0.3">
      <c r="B7" s="14"/>
      <c r="C7" s="25" t="s">
        <v>95</v>
      </c>
      <c r="D7" s="11">
        <v>0.76</v>
      </c>
      <c r="E7" s="15"/>
      <c r="F7" s="14"/>
      <c r="G7" s="21"/>
      <c r="H7" s="24"/>
      <c r="I7" s="16"/>
    </row>
    <row r="8" spans="2:9" ht="16.5" x14ac:dyDescent="0.3">
      <c r="B8" s="14"/>
      <c r="C8" s="23"/>
      <c r="D8" s="23"/>
      <c r="E8" s="82"/>
      <c r="F8" s="14"/>
      <c r="G8" s="21"/>
      <c r="H8" s="24"/>
      <c r="I8" s="16"/>
    </row>
    <row r="9" spans="2:9" x14ac:dyDescent="0.3">
      <c r="B9" s="13" t="s">
        <v>37</v>
      </c>
      <c r="C9" s="23"/>
      <c r="D9" s="26"/>
      <c r="E9" s="67"/>
      <c r="F9" s="22" t="s">
        <v>40</v>
      </c>
      <c r="G9" s="18">
        <f>D7</f>
        <v>0.76</v>
      </c>
      <c r="H9" s="19">
        <f>G9*B14</f>
        <v>7.5999999999999992E-8</v>
      </c>
      <c r="I9" s="16"/>
    </row>
    <row r="10" spans="2:9" ht="16.5" x14ac:dyDescent="0.3">
      <c r="B10" s="14"/>
      <c r="C10" s="23"/>
      <c r="D10" s="13"/>
      <c r="E10" s="15"/>
      <c r="F10" s="14"/>
      <c r="G10" s="21"/>
      <c r="H10" s="24"/>
      <c r="I10" s="16"/>
    </row>
    <row r="11" spans="2:9" ht="16.5" x14ac:dyDescent="0.3">
      <c r="B11" s="14"/>
      <c r="C11" s="23"/>
      <c r="D11" s="14"/>
      <c r="E11" s="82"/>
      <c r="F11" s="14"/>
      <c r="G11" s="21"/>
      <c r="H11" s="24"/>
      <c r="I11" s="16"/>
    </row>
    <row r="12" spans="2:9" ht="16.5" x14ac:dyDescent="0.3">
      <c r="B12" s="14"/>
      <c r="C12" s="23"/>
      <c r="D12" s="73"/>
      <c r="E12" s="15"/>
      <c r="F12" s="14"/>
      <c r="G12" s="21"/>
      <c r="H12" s="24"/>
      <c r="I12" s="16"/>
    </row>
    <row r="13" spans="2:9" ht="16.5" x14ac:dyDescent="0.3">
      <c r="B13" s="14"/>
      <c r="C13" s="23"/>
      <c r="D13" s="14"/>
      <c r="E13" s="15"/>
      <c r="F13" s="14"/>
      <c r="G13" s="15"/>
      <c r="H13" s="16"/>
      <c r="I13" s="16"/>
    </row>
    <row r="14" spans="2:9" ht="16.5" x14ac:dyDescent="0.3">
      <c r="B14" s="74">
        <f>0.0000001</f>
        <v>9.9999999999999995E-8</v>
      </c>
      <c r="C14" s="23"/>
      <c r="D14" s="14"/>
      <c r="E14" s="15"/>
      <c r="F14" s="14"/>
      <c r="G14" s="21"/>
      <c r="H14" s="24"/>
      <c r="I14" s="16"/>
    </row>
    <row r="15" spans="2:9" ht="16.5" x14ac:dyDescent="0.3">
      <c r="B15" s="75">
        <f>0.0000005</f>
        <v>4.9999999999999998E-7</v>
      </c>
      <c r="C15" s="23"/>
      <c r="D15" s="14"/>
      <c r="E15" s="15"/>
      <c r="F15" s="14"/>
      <c r="G15" s="15"/>
      <c r="H15" s="16"/>
      <c r="I15" s="16"/>
    </row>
    <row r="16" spans="2:9" x14ac:dyDescent="0.3">
      <c r="B16" s="13" t="s">
        <v>42</v>
      </c>
      <c r="C16" s="23"/>
      <c r="D16" s="14"/>
      <c r="E16" s="67"/>
      <c r="F16" s="68" t="s">
        <v>93</v>
      </c>
      <c r="G16" s="18">
        <f>D17</f>
        <v>3.5999999999999997E-2</v>
      </c>
      <c r="H16" s="19">
        <f>B15*G16</f>
        <v>1.7999999999999999E-8</v>
      </c>
      <c r="I16" s="16"/>
    </row>
    <row r="17" spans="2:9" x14ac:dyDescent="0.3">
      <c r="B17" s="14"/>
      <c r="C17" s="25" t="s">
        <v>103</v>
      </c>
      <c r="D17" s="10">
        <v>3.5999999999999997E-2</v>
      </c>
      <c r="E17" s="15"/>
      <c r="F17" s="14"/>
      <c r="G17" s="21"/>
      <c r="H17" s="16"/>
      <c r="I17" s="16"/>
    </row>
    <row r="18" spans="2:9" ht="16.5" x14ac:dyDescent="0.3">
      <c r="B18" s="14"/>
      <c r="C18" s="27"/>
      <c r="D18" s="23"/>
      <c r="E18" s="15"/>
      <c r="F18" s="14"/>
      <c r="G18" s="69"/>
      <c r="H18" s="16"/>
      <c r="I18" s="16"/>
    </row>
    <row r="19" spans="2:9" ht="16.5" x14ac:dyDescent="0.3">
      <c r="B19" s="14"/>
      <c r="C19" s="20"/>
      <c r="D19" s="23"/>
      <c r="E19" s="15"/>
      <c r="F19" s="14"/>
      <c r="G19" s="21"/>
      <c r="H19" s="24"/>
      <c r="I19" s="16"/>
    </row>
    <row r="20" spans="2:9" x14ac:dyDescent="0.3">
      <c r="B20" s="14"/>
      <c r="C20" s="13" t="s">
        <v>104</v>
      </c>
      <c r="D20" s="11">
        <v>0.96430000000000005</v>
      </c>
      <c r="E20" s="15"/>
      <c r="F20" s="14"/>
      <c r="G20" s="21"/>
      <c r="H20" s="24"/>
      <c r="I20" s="16"/>
    </row>
    <row r="21" spans="2:9" ht="16.5" x14ac:dyDescent="0.3">
      <c r="B21" s="14"/>
      <c r="C21" s="14"/>
      <c r="D21" s="23"/>
      <c r="E21" s="82"/>
      <c r="F21" s="14"/>
      <c r="G21" s="21"/>
      <c r="H21" s="24"/>
      <c r="I21" s="16"/>
    </row>
    <row r="22" spans="2:9" x14ac:dyDescent="0.3">
      <c r="B22" s="13"/>
      <c r="C22" s="14"/>
      <c r="D22" s="26"/>
      <c r="E22" s="67"/>
      <c r="F22" s="22" t="s">
        <v>40</v>
      </c>
      <c r="G22" s="18">
        <f>D20</f>
        <v>0.96430000000000005</v>
      </c>
      <c r="H22" s="19">
        <f>G22*B15</f>
        <v>4.8215000000000001E-7</v>
      </c>
      <c r="I22" s="16"/>
    </row>
    <row r="23" spans="2:9" ht="16.5" x14ac:dyDescent="0.3">
      <c r="B23" s="14"/>
      <c r="C23" s="14"/>
      <c r="D23" s="13"/>
      <c r="E23" s="15"/>
      <c r="F23" s="14"/>
      <c r="G23" s="21"/>
      <c r="H23" s="24"/>
      <c r="I23" s="16"/>
    </row>
    <row r="24" spans="2:9" ht="16.5" x14ac:dyDescent="0.3">
      <c r="B24" s="53"/>
      <c r="C24" s="53"/>
      <c r="D24" s="53"/>
      <c r="E24" s="79"/>
      <c r="F24" s="53"/>
      <c r="G24" s="54"/>
      <c r="H24" s="55"/>
      <c r="I24" s="16"/>
    </row>
    <row r="25" spans="2:9" ht="16.5" x14ac:dyDescent="0.3">
      <c r="B25" s="53"/>
      <c r="C25" s="53"/>
      <c r="D25" s="56"/>
      <c r="E25" s="78"/>
      <c r="F25" s="53"/>
      <c r="G25" s="54"/>
      <c r="H25" s="55"/>
      <c r="I25" s="16"/>
    </row>
    <row r="26" spans="2:9" ht="16.5" x14ac:dyDescent="0.3">
      <c r="B26" s="53"/>
      <c r="C26" s="53"/>
      <c r="D26" s="57"/>
      <c r="E26" s="78"/>
      <c r="F26" s="53"/>
      <c r="G26" s="54"/>
      <c r="H26" s="55"/>
      <c r="I26" s="16"/>
    </row>
    <row r="27" spans="2:9" ht="16.5" x14ac:dyDescent="0.3">
      <c r="B27" s="59"/>
      <c r="C27" s="53"/>
      <c r="D27" s="53"/>
      <c r="E27" s="78"/>
      <c r="F27" s="53"/>
      <c r="G27" s="54"/>
      <c r="H27" s="55"/>
      <c r="I27" s="16"/>
    </row>
    <row r="28" spans="2:9" ht="16.5" x14ac:dyDescent="0.3">
      <c r="B28" s="14"/>
      <c r="C28" s="14"/>
      <c r="D28" s="14"/>
      <c r="E28" s="15"/>
      <c r="F28" s="14"/>
      <c r="G28" s="21"/>
      <c r="H28" s="24"/>
      <c r="I28" s="16"/>
    </row>
    <row r="29" spans="2:9" ht="16.5" x14ac:dyDescent="0.3">
      <c r="B29" s="14"/>
      <c r="C29" s="13"/>
      <c r="D29" s="14"/>
      <c r="E29" s="15"/>
      <c r="F29" s="14"/>
      <c r="G29" s="21"/>
      <c r="H29" s="24"/>
      <c r="I29" s="16"/>
    </row>
    <row r="30" spans="2:9" ht="16.5" x14ac:dyDescent="0.3">
      <c r="B30" s="14"/>
      <c r="C30" s="73"/>
      <c r="D30" s="14"/>
      <c r="E30" s="15"/>
      <c r="F30" s="14"/>
      <c r="G30" s="21"/>
      <c r="H30" s="24"/>
      <c r="I30" s="16"/>
    </row>
    <row r="31" spans="2:9" ht="16.5" x14ac:dyDescent="0.3">
      <c r="B31" s="53"/>
      <c r="C31" s="53"/>
      <c r="D31" s="57"/>
      <c r="E31" s="9"/>
      <c r="F31" s="8"/>
      <c r="G31" s="54"/>
      <c r="H31" s="58"/>
    </row>
    <row r="32" spans="2:9" ht="16.5" x14ac:dyDescent="0.3">
      <c r="B32" s="53"/>
      <c r="C32" s="57"/>
      <c r="D32" s="53"/>
      <c r="E32" s="9"/>
      <c r="F32" s="8"/>
      <c r="G32" s="54"/>
      <c r="H32" s="58"/>
    </row>
    <row r="33" spans="2:8" ht="16.5" x14ac:dyDescent="0.3">
      <c r="B33" s="53"/>
      <c r="C33" s="53"/>
      <c r="D33" s="53"/>
      <c r="E33" s="9"/>
      <c r="F33" s="8"/>
      <c r="G33" s="54"/>
      <c r="H33" s="58"/>
    </row>
    <row r="34" spans="2:8" ht="16.5" x14ac:dyDescent="0.3">
      <c r="B34" s="53"/>
      <c r="C34" s="53"/>
      <c r="D34" s="57"/>
      <c r="E34" s="9"/>
      <c r="F34" s="8"/>
      <c r="G34" s="54"/>
      <c r="H34" s="55"/>
    </row>
    <row r="35" spans="2:8" ht="16.5" x14ac:dyDescent="0.3">
      <c r="E35" s="9"/>
      <c r="F35" s="8"/>
    </row>
  </sheetData>
  <conditionalFormatting sqref="H3:H4 H6:H12 H14 H16:H17 H19:H34">
    <cfRule type="cellIs" dxfId="4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N35"/>
  <sheetViews>
    <sheetView workbookViewId="0">
      <pane ySplit="1" topLeftCell="A2" activePane="bottomLeft" state="frozen"/>
      <selection pane="bottomLeft" activeCell="G31" sqref="G31"/>
    </sheetView>
  </sheetViews>
  <sheetFormatPr defaultColWidth="8.88671875" defaultRowHeight="14.4" x14ac:dyDescent="0.3"/>
  <cols>
    <col min="1" max="1" width="8.88671875" style="5"/>
    <col min="2" max="2" width="14" style="5" customWidth="1"/>
    <col min="3" max="3" width="18.33203125" style="5" customWidth="1"/>
    <col min="4" max="4" width="17.33203125" style="5" customWidth="1"/>
    <col min="5" max="5" width="28.44140625" style="5" customWidth="1"/>
    <col min="7" max="7" width="28" style="5" customWidth="1"/>
    <col min="8" max="8" width="12.109375" customWidth="1"/>
    <col min="9" max="9" width="16.6640625" style="5" customWidth="1"/>
    <col min="10" max="16384" width="8.88671875" style="5"/>
  </cols>
  <sheetData>
    <row r="1" spans="2:10" ht="58.95" customHeight="1" x14ac:dyDescent="0.3">
      <c r="B1" s="60" t="s">
        <v>27</v>
      </c>
      <c r="C1" s="61" t="s">
        <v>28</v>
      </c>
      <c r="D1" s="61" t="s">
        <v>30</v>
      </c>
      <c r="E1" s="62" t="s">
        <v>96</v>
      </c>
      <c r="F1" s="63"/>
      <c r="G1" s="64" t="s">
        <v>31</v>
      </c>
      <c r="H1" s="64" t="s">
        <v>5</v>
      </c>
      <c r="I1" s="65" t="s">
        <v>32</v>
      </c>
      <c r="J1" s="16"/>
    </row>
    <row r="2" spans="2:10" ht="16.5" x14ac:dyDescent="0.3">
      <c r="B2" s="14"/>
      <c r="C2" s="14"/>
      <c r="D2" s="14"/>
      <c r="E2" s="14"/>
      <c r="F2" s="15"/>
      <c r="G2" s="14"/>
      <c r="H2" s="15"/>
      <c r="I2" s="16"/>
      <c r="J2" s="16"/>
    </row>
    <row r="3" spans="2:10" x14ac:dyDescent="0.3">
      <c r="B3" s="14"/>
      <c r="C3" s="14"/>
      <c r="D3" s="14"/>
      <c r="E3" s="66"/>
      <c r="F3" s="67"/>
      <c r="G3" s="68" t="s">
        <v>93</v>
      </c>
      <c r="H3" s="18">
        <f>D4</f>
        <v>0.2</v>
      </c>
      <c r="I3" s="19">
        <f>B14*H3</f>
        <v>2E-8</v>
      </c>
      <c r="J3" s="16"/>
    </row>
    <row r="4" spans="2:10" x14ac:dyDescent="0.3">
      <c r="B4" s="14"/>
      <c r="C4" s="13" t="s">
        <v>35</v>
      </c>
      <c r="D4" s="10">
        <v>0.2</v>
      </c>
      <c r="E4" s="14"/>
      <c r="F4" s="15"/>
      <c r="G4" s="14"/>
      <c r="H4" s="21"/>
      <c r="I4" s="16"/>
      <c r="J4" s="16"/>
    </row>
    <row r="5" spans="2:10" ht="16.5" x14ac:dyDescent="0.3">
      <c r="B5" s="14"/>
      <c r="C5" s="22"/>
      <c r="D5" s="23"/>
      <c r="E5" s="14"/>
      <c r="F5" s="15"/>
      <c r="G5" s="14"/>
      <c r="H5" s="69"/>
      <c r="I5" s="16"/>
      <c r="J5" s="16"/>
    </row>
    <row r="6" spans="2:10" ht="16.5" x14ac:dyDescent="0.3">
      <c r="B6" s="14"/>
      <c r="C6" s="70"/>
      <c r="D6" s="23"/>
      <c r="E6" s="14"/>
      <c r="F6" s="15"/>
      <c r="G6" s="14"/>
      <c r="H6" s="21"/>
      <c r="I6" s="24"/>
      <c r="J6" s="16"/>
    </row>
    <row r="7" spans="2:10" x14ac:dyDescent="0.3">
      <c r="B7" s="14"/>
      <c r="C7" s="25" t="s">
        <v>39</v>
      </c>
      <c r="D7" s="11">
        <v>0.8</v>
      </c>
      <c r="E7" s="14"/>
      <c r="F7" s="15"/>
      <c r="G7" s="14" t="s">
        <v>99</v>
      </c>
      <c r="H7" s="18">
        <f>F8*E10*D7</f>
        <v>0.1152</v>
      </c>
      <c r="I7" s="19">
        <f>B14*H7</f>
        <v>1.152E-8</v>
      </c>
      <c r="J7" s="16"/>
    </row>
    <row r="8" spans="2:10" x14ac:dyDescent="0.3">
      <c r="B8" s="14"/>
      <c r="C8" s="23"/>
      <c r="D8" s="23"/>
      <c r="E8" s="13" t="s">
        <v>97</v>
      </c>
      <c r="F8" s="77">
        <v>0.6</v>
      </c>
      <c r="G8" s="20"/>
      <c r="H8" s="21"/>
      <c r="I8" s="24"/>
      <c r="J8" s="16"/>
    </row>
    <row r="9" spans="2:10" x14ac:dyDescent="0.3">
      <c r="B9" s="13" t="s">
        <v>37</v>
      </c>
      <c r="C9" s="23"/>
      <c r="D9" s="23"/>
      <c r="E9" s="13"/>
      <c r="F9" s="71"/>
      <c r="G9" s="14"/>
      <c r="H9" s="69"/>
      <c r="I9" s="16"/>
      <c r="J9" s="16"/>
    </row>
    <row r="10" spans="2:10" x14ac:dyDescent="0.3">
      <c r="B10" s="14"/>
      <c r="C10" s="23"/>
      <c r="D10" s="25" t="s">
        <v>94</v>
      </c>
      <c r="E10" s="10">
        <v>0.24</v>
      </c>
      <c r="F10" s="71"/>
      <c r="G10" s="14"/>
      <c r="H10" s="21"/>
      <c r="I10" s="24"/>
      <c r="J10" s="16"/>
    </row>
    <row r="11" spans="2:10" x14ac:dyDescent="0.3">
      <c r="B11" s="14"/>
      <c r="C11" s="23"/>
      <c r="D11" s="72"/>
      <c r="E11" s="25" t="s">
        <v>98</v>
      </c>
      <c r="F11" s="76">
        <v>0.4</v>
      </c>
      <c r="G11" s="22" t="s">
        <v>100</v>
      </c>
      <c r="H11" s="18">
        <f>F11*E10*D7</f>
        <v>7.6800000000000007E-2</v>
      </c>
      <c r="I11" s="19">
        <f>B14*H11</f>
        <v>7.6799999999999999E-9</v>
      </c>
      <c r="J11" s="16"/>
    </row>
    <row r="12" spans="2:10" ht="16.5" x14ac:dyDescent="0.3">
      <c r="B12" s="14"/>
      <c r="C12" s="23"/>
      <c r="D12" s="73"/>
      <c r="E12" s="11">
        <v>0.76</v>
      </c>
      <c r="F12" s="15"/>
      <c r="G12" s="14"/>
      <c r="H12" s="21"/>
      <c r="I12" s="24"/>
      <c r="J12" s="16"/>
    </row>
    <row r="13" spans="2:10" x14ac:dyDescent="0.3">
      <c r="B13" s="14"/>
      <c r="C13" s="23"/>
      <c r="D13" s="13" t="s">
        <v>95</v>
      </c>
      <c r="E13" s="26"/>
      <c r="F13" s="67"/>
      <c r="G13" s="22" t="s">
        <v>40</v>
      </c>
      <c r="H13" s="18">
        <f>E12*D7</f>
        <v>0.6080000000000001</v>
      </c>
      <c r="I13" s="19">
        <f>H13*B14</f>
        <v>6.0800000000000002E-8</v>
      </c>
      <c r="J13" s="16"/>
    </row>
    <row r="14" spans="2:10" ht="16.5" x14ac:dyDescent="0.3">
      <c r="B14" s="74">
        <f>0.0000001</f>
        <v>9.9999999999999995E-8</v>
      </c>
      <c r="C14" s="23"/>
      <c r="D14" s="14"/>
      <c r="E14" s="14"/>
      <c r="F14" s="15"/>
      <c r="G14" s="14"/>
      <c r="H14" s="21"/>
      <c r="I14" s="24"/>
      <c r="J14" s="16"/>
    </row>
    <row r="15" spans="2:10" ht="16.5" x14ac:dyDescent="0.3">
      <c r="B15" s="75">
        <f>0.0000005</f>
        <v>4.9999999999999998E-7</v>
      </c>
      <c r="C15" s="23"/>
      <c r="D15" s="14"/>
      <c r="E15" s="14"/>
      <c r="F15" s="15"/>
      <c r="G15" s="14"/>
      <c r="H15" s="15"/>
      <c r="I15" s="16"/>
      <c r="J15" s="16"/>
    </row>
    <row r="16" spans="2:10" x14ac:dyDescent="0.3">
      <c r="B16" s="13" t="s">
        <v>42</v>
      </c>
      <c r="C16" s="23"/>
      <c r="D16" s="14"/>
      <c r="E16" s="66"/>
      <c r="F16" s="67"/>
      <c r="G16" s="68" t="s">
        <v>93</v>
      </c>
      <c r="H16" s="18">
        <f>D17</f>
        <v>3.5000000000000003E-2</v>
      </c>
      <c r="I16" s="19">
        <f>B15*H16</f>
        <v>1.7500000000000001E-8</v>
      </c>
      <c r="J16" s="16"/>
    </row>
    <row r="17" spans="2:14" x14ac:dyDescent="0.3">
      <c r="B17" s="14"/>
      <c r="C17" s="25" t="s">
        <v>101</v>
      </c>
      <c r="D17" s="10">
        <v>3.5000000000000003E-2</v>
      </c>
      <c r="E17" s="14"/>
      <c r="F17" s="15"/>
      <c r="G17" s="14"/>
      <c r="H17" s="21"/>
      <c r="I17" s="16"/>
      <c r="J17" s="16"/>
    </row>
    <row r="18" spans="2:14" ht="16.5" x14ac:dyDescent="0.3">
      <c r="B18" s="14"/>
      <c r="C18" s="27"/>
      <c r="D18" s="23"/>
      <c r="E18" s="14"/>
      <c r="F18" s="15"/>
      <c r="G18" s="14"/>
      <c r="H18" s="69"/>
      <c r="I18" s="16"/>
      <c r="J18" s="16"/>
    </row>
    <row r="19" spans="2:14" ht="16.5" x14ac:dyDescent="0.3">
      <c r="B19" s="14"/>
      <c r="C19" s="20"/>
      <c r="D19" s="23"/>
      <c r="E19" s="14"/>
      <c r="F19" s="15"/>
      <c r="G19" s="14"/>
      <c r="H19" s="21"/>
      <c r="I19" s="24"/>
      <c r="J19" s="16"/>
      <c r="N19" s="5">
        <v>0.2</v>
      </c>
    </row>
    <row r="20" spans="2:14" x14ac:dyDescent="0.3">
      <c r="B20" s="14"/>
      <c r="C20" s="13" t="s">
        <v>102</v>
      </c>
      <c r="D20" s="11">
        <v>0.96499999999999997</v>
      </c>
      <c r="E20" s="14"/>
      <c r="F20" s="15"/>
      <c r="G20" s="14" t="s">
        <v>99</v>
      </c>
      <c r="H20" s="18">
        <f>F21*E23*D20</f>
        <v>8.3375999999999988E-3</v>
      </c>
      <c r="I20" s="19">
        <f>B15*H20</f>
        <v>4.1687999999999991E-9</v>
      </c>
      <c r="J20" s="16"/>
      <c r="N20" s="5">
        <v>0.1152</v>
      </c>
    </row>
    <row r="21" spans="2:14" x14ac:dyDescent="0.3">
      <c r="B21" s="14"/>
      <c r="C21" s="14"/>
      <c r="D21" s="23"/>
      <c r="E21" s="13" t="s">
        <v>94</v>
      </c>
      <c r="F21" s="77">
        <v>0.24</v>
      </c>
      <c r="G21" s="20"/>
      <c r="H21" s="21"/>
      <c r="I21" s="24"/>
      <c r="J21" s="16"/>
      <c r="N21" s="5">
        <v>7.6800000000000007E-2</v>
      </c>
    </row>
    <row r="22" spans="2:14" ht="16.5" x14ac:dyDescent="0.3">
      <c r="B22" s="13"/>
      <c r="C22" s="14"/>
      <c r="D22" s="23"/>
      <c r="E22" s="13"/>
      <c r="F22" s="71"/>
      <c r="G22" s="14"/>
      <c r="H22" s="69"/>
      <c r="I22" s="16"/>
      <c r="J22" s="16"/>
      <c r="N22" s="5">
        <v>0.6080000000000001</v>
      </c>
    </row>
    <row r="23" spans="2:14" x14ac:dyDescent="0.3">
      <c r="B23" s="14"/>
      <c r="C23" s="14"/>
      <c r="D23" s="25" t="s">
        <v>103</v>
      </c>
      <c r="E23" s="10">
        <v>3.5999999999999997E-2</v>
      </c>
      <c r="F23" s="71"/>
      <c r="G23" s="14"/>
      <c r="H23" s="21"/>
      <c r="I23" s="24"/>
      <c r="J23" s="16"/>
      <c r="N23" s="5">
        <v>3.5000000000000003E-2</v>
      </c>
    </row>
    <row r="24" spans="2:14" x14ac:dyDescent="0.3">
      <c r="B24" s="14"/>
      <c r="C24" s="14"/>
      <c r="D24" s="72"/>
      <c r="E24" s="25" t="s">
        <v>95</v>
      </c>
      <c r="F24" s="76">
        <v>0.76</v>
      </c>
      <c r="G24" s="22" t="s">
        <v>100</v>
      </c>
      <c r="H24" s="18">
        <f>F24*E23*D20</f>
        <v>2.6402399999999999E-2</v>
      </c>
      <c r="I24" s="19">
        <f>B15*H24</f>
        <v>1.3201199999999999E-8</v>
      </c>
      <c r="J24" s="16"/>
      <c r="N24" s="5">
        <v>8.3375999999999988E-3</v>
      </c>
    </row>
    <row r="25" spans="2:14" ht="16.5" x14ac:dyDescent="0.3">
      <c r="B25" s="14"/>
      <c r="C25" s="14"/>
      <c r="D25" s="73"/>
      <c r="E25" s="11">
        <v>0.96399999999999997</v>
      </c>
      <c r="F25" s="15"/>
      <c r="G25" s="14"/>
      <c r="H25" s="21"/>
      <c r="I25" s="24"/>
      <c r="J25" s="16"/>
      <c r="N25" s="5">
        <v>2.6402399999999999E-2</v>
      </c>
    </row>
    <row r="26" spans="2:14" x14ac:dyDescent="0.3">
      <c r="B26" s="14"/>
      <c r="C26" s="14"/>
      <c r="D26" s="13" t="s">
        <v>104</v>
      </c>
      <c r="E26" s="26"/>
      <c r="F26" s="67"/>
      <c r="G26" s="22" t="s">
        <v>40</v>
      </c>
      <c r="H26" s="18">
        <f>E25*D20</f>
        <v>0.93025999999999998</v>
      </c>
      <c r="I26" s="19">
        <f>H26*B15</f>
        <v>4.6512999999999998E-7</v>
      </c>
      <c r="J26" s="16"/>
      <c r="N26" s="5">
        <v>0.93025999999999998</v>
      </c>
    </row>
    <row r="27" spans="2:14" ht="16.5" x14ac:dyDescent="0.3">
      <c r="B27" s="75"/>
      <c r="C27" s="14"/>
      <c r="D27" s="14"/>
      <c r="E27" s="14"/>
      <c r="F27" s="15"/>
      <c r="G27" s="14"/>
      <c r="H27" s="21"/>
      <c r="I27" s="24"/>
      <c r="J27" s="16"/>
    </row>
    <row r="28" spans="2:14" ht="16.5" x14ac:dyDescent="0.3">
      <c r="B28" s="14"/>
      <c r="C28" s="14"/>
      <c r="D28" s="14"/>
      <c r="E28" s="13"/>
      <c r="F28" s="15"/>
      <c r="G28" s="14"/>
      <c r="H28" s="21"/>
      <c r="I28" s="24"/>
      <c r="J28" s="16"/>
    </row>
    <row r="29" spans="2:14" ht="16.5" x14ac:dyDescent="0.3">
      <c r="B29" s="14"/>
      <c r="C29" s="13"/>
      <c r="D29" s="14"/>
      <c r="E29" s="14"/>
      <c r="F29" s="15"/>
      <c r="G29" s="14"/>
      <c r="H29" s="21"/>
      <c r="I29" s="24"/>
      <c r="J29" s="16"/>
    </row>
    <row r="30" spans="2:14" ht="16.5" x14ac:dyDescent="0.3">
      <c r="B30" s="14"/>
      <c r="C30" s="73"/>
      <c r="D30" s="14"/>
      <c r="E30" s="13"/>
      <c r="F30" s="15"/>
      <c r="G30" s="14"/>
      <c r="H30" s="21"/>
      <c r="I30" s="24"/>
      <c r="J30" s="16"/>
    </row>
    <row r="31" spans="2:14" ht="16.5" x14ac:dyDescent="0.3">
      <c r="B31" s="53"/>
      <c r="C31" s="53"/>
      <c r="D31" s="57"/>
      <c r="E31" s="56"/>
      <c r="F31" s="9"/>
      <c r="G31" s="8"/>
      <c r="H31" s="54"/>
      <c r="I31" s="58"/>
    </row>
    <row r="32" spans="2:14" ht="16.5" x14ac:dyDescent="0.3">
      <c r="B32" s="53"/>
      <c r="C32" s="57"/>
      <c r="D32" s="53"/>
      <c r="E32" s="56"/>
      <c r="F32" s="9"/>
      <c r="G32" s="8"/>
      <c r="H32" s="54"/>
      <c r="I32" s="58"/>
    </row>
    <row r="33" spans="2:9" ht="16.5" x14ac:dyDescent="0.3">
      <c r="B33" s="53"/>
      <c r="C33" s="53"/>
      <c r="D33" s="53"/>
      <c r="E33" s="56"/>
      <c r="F33" s="9"/>
      <c r="G33" s="8"/>
      <c r="H33" s="54"/>
      <c r="I33" s="58"/>
    </row>
    <row r="34" spans="2:9" ht="16.5" x14ac:dyDescent="0.3">
      <c r="B34" s="53"/>
      <c r="C34" s="53"/>
      <c r="D34" s="57"/>
      <c r="E34" s="57"/>
      <c r="F34" s="9"/>
      <c r="G34" s="8"/>
      <c r="H34" s="54"/>
      <c r="I34" s="55"/>
    </row>
    <row r="35" spans="2:9" ht="16.5" x14ac:dyDescent="0.3">
      <c r="F35" s="9"/>
      <c r="G35" s="8"/>
    </row>
  </sheetData>
  <conditionalFormatting sqref="I3:I4 I6:I8 I10:I14 I16:I17 I19:I21 I23:I34">
    <cfRule type="cellIs" dxfId="3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30"/>
  <sheetViews>
    <sheetView tabSelected="1" zoomScale="85" zoomScaleNormal="85" workbookViewId="0">
      <pane ySplit="1" topLeftCell="A2" activePane="bottomLeft" state="frozen"/>
      <selection pane="bottomLeft" activeCell="A19" sqref="A19:XFD19"/>
    </sheetView>
  </sheetViews>
  <sheetFormatPr defaultRowHeight="14.4" x14ac:dyDescent="0.3"/>
  <cols>
    <col min="1" max="1" width="12" style="5" customWidth="1"/>
    <col min="2" max="2" width="60.109375" style="5" customWidth="1"/>
    <col min="3" max="3" width="34.6640625" style="6" customWidth="1"/>
    <col min="4" max="4" width="33.88671875" style="6" customWidth="1"/>
    <col min="5" max="5" width="16.5546875" style="5" customWidth="1"/>
    <col min="6" max="6" width="16.33203125" style="5" customWidth="1"/>
    <col min="7" max="7" width="11.5546875" style="5" customWidth="1"/>
    <col min="8" max="8" width="16.5546875" style="5" customWidth="1"/>
    <col min="9" max="9" width="14.6640625" style="5" customWidth="1"/>
    <col min="10" max="10" width="20.6640625" style="5" customWidth="1"/>
    <col min="11" max="15" width="13.33203125" customWidth="1"/>
    <col min="16" max="16" width="35.5546875" customWidth="1"/>
    <col min="17" max="17" width="31" customWidth="1"/>
    <col min="18" max="33" width="8.88671875" customWidth="1"/>
    <col min="34" max="34" width="17" customWidth="1"/>
    <col min="35" max="35" width="17.88671875" customWidth="1"/>
    <col min="36" max="36" width="13.33203125" customWidth="1"/>
    <col min="37" max="37" width="8.88671875" customWidth="1"/>
    <col min="38" max="38" width="12.33203125" customWidth="1"/>
    <col min="39" max="39" width="11.88671875" customWidth="1"/>
    <col min="40" max="40" width="10.44140625" customWidth="1"/>
    <col min="41" max="41" width="11.44140625" customWidth="1"/>
    <col min="42" max="43" width="12" customWidth="1"/>
    <col min="45" max="45" width="13.6640625" customWidth="1"/>
  </cols>
  <sheetData>
    <row r="1" spans="1:45" ht="54" customHeight="1" thickBot="1" x14ac:dyDescent="0.35">
      <c r="A1" s="3" t="s">
        <v>1</v>
      </c>
      <c r="B1" s="3" t="s">
        <v>0</v>
      </c>
      <c r="C1" s="4" t="s">
        <v>2</v>
      </c>
      <c r="D1" s="4" t="s">
        <v>43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L1" s="4" t="s">
        <v>143</v>
      </c>
      <c r="M1" s="4" t="s">
        <v>142</v>
      </c>
      <c r="N1" s="4" t="s">
        <v>141</v>
      </c>
      <c r="O1" s="1" t="str">
        <f>A1</f>
        <v>№ сценария</v>
      </c>
      <c r="P1" s="1" t="str">
        <f>B1</f>
        <v>Оборудование</v>
      </c>
      <c r="Q1" s="1" t="str">
        <f>D1</f>
        <v>Кратко сценарий</v>
      </c>
      <c r="R1" s="30" t="s">
        <v>47</v>
      </c>
      <c r="S1" s="30" t="s">
        <v>48</v>
      </c>
      <c r="T1" s="30" t="s">
        <v>49</v>
      </c>
      <c r="U1" s="30" t="s">
        <v>50</v>
      </c>
      <c r="V1" s="30" t="s">
        <v>121</v>
      </c>
      <c r="W1" s="30" t="s">
        <v>122</v>
      </c>
      <c r="X1" s="30" t="s">
        <v>123</v>
      </c>
      <c r="Y1" s="30" t="s">
        <v>124</v>
      </c>
      <c r="Z1" s="30" t="s">
        <v>51</v>
      </c>
      <c r="AA1" s="30" t="s">
        <v>119</v>
      </c>
      <c r="AB1" s="30" t="s">
        <v>120</v>
      </c>
      <c r="AC1" s="3" t="s">
        <v>53</v>
      </c>
      <c r="AD1" s="3" t="s">
        <v>54</v>
      </c>
      <c r="AE1" s="30" t="s">
        <v>52</v>
      </c>
      <c r="AF1" s="4" t="s">
        <v>57</v>
      </c>
      <c r="AG1" s="4" t="s">
        <v>58</v>
      </c>
      <c r="AH1" s="36" t="s">
        <v>66</v>
      </c>
      <c r="AI1" s="2" t="s">
        <v>67</v>
      </c>
      <c r="AJ1" s="2" t="s">
        <v>68</v>
      </c>
      <c r="AK1" s="4" t="s">
        <v>59</v>
      </c>
      <c r="AL1" s="4" t="s">
        <v>60</v>
      </c>
      <c r="AM1" s="4" t="s">
        <v>61</v>
      </c>
      <c r="AN1" s="4" t="s">
        <v>62</v>
      </c>
      <c r="AO1" s="4" t="s">
        <v>63</v>
      </c>
      <c r="AP1" s="4" t="s">
        <v>64</v>
      </c>
      <c r="AQ1" s="4" t="s">
        <v>89</v>
      </c>
      <c r="AR1" s="4" t="s">
        <v>90</v>
      </c>
      <c r="AS1" s="4" t="s">
        <v>65</v>
      </c>
    </row>
    <row r="2" spans="1:45" s="107" customFormat="1" ht="15" thickBot="1" x14ac:dyDescent="0.35">
      <c r="A2" s="100" t="s">
        <v>9</v>
      </c>
      <c r="B2" s="101" t="s">
        <v>146</v>
      </c>
      <c r="C2" s="94" t="s">
        <v>125</v>
      </c>
      <c r="D2" s="102" t="s">
        <v>91</v>
      </c>
      <c r="E2" s="103">
        <v>9.9999999999999995E-8</v>
      </c>
      <c r="F2" s="100">
        <v>35</v>
      </c>
      <c r="G2" s="100">
        <v>0.24</v>
      </c>
      <c r="H2" s="103">
        <f>E2*F2*G2</f>
        <v>8.4E-7</v>
      </c>
      <c r="I2" s="104">
        <f>(K2*12/1000)+N2/1000</f>
        <v>3.227211563777312</v>
      </c>
      <c r="J2" s="104">
        <f>I2</f>
        <v>3.227211563777312</v>
      </c>
      <c r="K2" s="105">
        <v>265</v>
      </c>
      <c r="L2" s="106">
        <f>PI()*POWER(0.11,2)*35</f>
        <v>1.3304644887952775</v>
      </c>
      <c r="M2" s="106">
        <f>(0.016*5.4*POWER(10,6)/(8.31*(20+273)))</f>
        <v>35.485023595076456</v>
      </c>
      <c r="N2" s="106">
        <f>M2*L2</f>
        <v>47.211563777311753</v>
      </c>
      <c r="O2" s="107" t="str">
        <f>A2</f>
        <v>С1</v>
      </c>
      <c r="P2" s="107" t="str">
        <f>B2</f>
        <v>Технологический трубопровод наземный (Ду = 219; P=5,4; L=35)</v>
      </c>
      <c r="Q2" s="107" t="str">
        <f t="shared" ref="Q2:Q5" si="0">D2</f>
        <v>Полное-факел</v>
      </c>
      <c r="R2" s="94" t="s">
        <v>55</v>
      </c>
      <c r="S2" s="94" t="s">
        <v>55</v>
      </c>
      <c r="T2" s="94" t="s">
        <v>55</v>
      </c>
      <c r="U2" s="94" t="s">
        <v>55</v>
      </c>
      <c r="V2" s="94" t="s">
        <v>55</v>
      </c>
      <c r="W2" s="94" t="s">
        <v>55</v>
      </c>
      <c r="X2" s="94" t="s">
        <v>55</v>
      </c>
      <c r="Y2" s="94" t="s">
        <v>55</v>
      </c>
      <c r="Z2" s="94" t="s">
        <v>55</v>
      </c>
      <c r="AA2" s="95">
        <f>12.5*POWER(K2,0.4)</f>
        <v>116.46846791573265</v>
      </c>
      <c r="AB2" s="95">
        <f>AA2*0.15</f>
        <v>17.470270187359898</v>
      </c>
      <c r="AC2" s="94" t="s">
        <v>55</v>
      </c>
      <c r="AD2" s="94" t="s">
        <v>55</v>
      </c>
      <c r="AE2" s="94" t="s">
        <v>55</v>
      </c>
      <c r="AF2" s="108">
        <v>1</v>
      </c>
      <c r="AG2" s="108">
        <v>1</v>
      </c>
      <c r="AH2" s="107">
        <f>0.005*F2</f>
        <v>0.17500000000000002</v>
      </c>
      <c r="AI2" s="107">
        <v>0.02</v>
      </c>
      <c r="AJ2" s="107">
        <v>10</v>
      </c>
      <c r="AK2" s="109">
        <f t="shared" ref="AK2:AK17" si="1">AI2*I2+AH2</f>
        <v>0.23954423127554625</v>
      </c>
      <c r="AL2" s="109">
        <f>0.1*AK2</f>
        <v>2.3954423127554626E-2</v>
      </c>
      <c r="AM2" s="110">
        <f t="shared" ref="AM2:AM26" si="2">AF2*1.72+115*0.012*AG2</f>
        <v>3.1</v>
      </c>
      <c r="AN2" s="110">
        <f t="shared" ref="AN2:AN28" si="3">AJ2*0.1</f>
        <v>1</v>
      </c>
      <c r="AO2" s="109">
        <f>10068.2*I2*POWER(10,-6)</f>
        <v>3.2492211466422734E-2</v>
      </c>
      <c r="AP2" s="110">
        <f>AO2+AN2+AM2+AL2+AK2</f>
        <v>4.3959908658695248</v>
      </c>
      <c r="AQ2" s="111">
        <f t="shared" ref="AQ2:AQ28" si="4">AF2*H2</f>
        <v>8.4E-7</v>
      </c>
      <c r="AR2" s="111">
        <f t="shared" ref="AR2:AR28" si="5">AG2*H2</f>
        <v>8.4E-7</v>
      </c>
      <c r="AS2" s="111">
        <f t="shared" ref="AS2:AS28" si="6">H2*AP2</f>
        <v>3.6926323273304009E-6</v>
      </c>
    </row>
    <row r="3" spans="1:45" s="107" customFormat="1" ht="15" thickBot="1" x14ac:dyDescent="0.35">
      <c r="A3" s="100" t="s">
        <v>10</v>
      </c>
      <c r="B3" s="101" t="s">
        <v>146</v>
      </c>
      <c r="C3" s="94" t="s">
        <v>126</v>
      </c>
      <c r="D3" s="102" t="s">
        <v>45</v>
      </c>
      <c r="E3" s="103">
        <v>9.9999999999999995E-8</v>
      </c>
      <c r="F3" s="100">
        <v>35</v>
      </c>
      <c r="G3" s="100">
        <f>1-0.24</f>
        <v>0.76</v>
      </c>
      <c r="H3" s="103">
        <f t="shared" ref="H3:H5" si="7">E3*F3*G3</f>
        <v>2.6599999999999999E-6</v>
      </c>
      <c r="I3" s="104">
        <f>I2</f>
        <v>3.227211563777312</v>
      </c>
      <c r="J3" s="104">
        <f>0.1*K3</f>
        <v>0</v>
      </c>
      <c r="K3" s="105"/>
      <c r="L3" s="106">
        <f>PI()*POWER(0.11,2)*35</f>
        <v>1.3304644887952775</v>
      </c>
      <c r="M3" s="106">
        <f t="shared" ref="M3:M17" si="8">(0.016*5.4*POWER(10,6)/(8.31*(20+273)))</f>
        <v>35.485023595076456</v>
      </c>
      <c r="N3" s="106">
        <f t="shared" ref="N3:N5" si="9">M3*L3</f>
        <v>47.211563777311753</v>
      </c>
      <c r="O3" s="107" t="str">
        <f t="shared" ref="O3:O28" si="10">A3</f>
        <v>С2</v>
      </c>
      <c r="P3" s="107" t="str">
        <f t="shared" ref="P3:P5" si="11">B3</f>
        <v>Технологический трубопровод наземный (Ду = 219; P=5,4; L=35)</v>
      </c>
      <c r="Q3" s="107" t="str">
        <f t="shared" si="0"/>
        <v>Полное-ликвидация</v>
      </c>
      <c r="R3" s="94" t="s">
        <v>55</v>
      </c>
      <c r="S3" s="94" t="s">
        <v>55</v>
      </c>
      <c r="T3" s="94" t="s">
        <v>55</v>
      </c>
      <c r="U3" s="94" t="s">
        <v>55</v>
      </c>
      <c r="V3" s="94" t="s">
        <v>55</v>
      </c>
      <c r="W3" s="94" t="s">
        <v>55</v>
      </c>
      <c r="X3" s="94" t="s">
        <v>55</v>
      </c>
      <c r="Y3" s="94" t="s">
        <v>55</v>
      </c>
      <c r="Z3" s="94" t="s">
        <v>55</v>
      </c>
      <c r="AA3" s="94" t="s">
        <v>55</v>
      </c>
      <c r="AB3" s="94" t="s">
        <v>55</v>
      </c>
      <c r="AC3" s="94" t="s">
        <v>55</v>
      </c>
      <c r="AD3" s="94" t="s">
        <v>55</v>
      </c>
      <c r="AE3" s="94" t="s">
        <v>55</v>
      </c>
      <c r="AF3" s="108">
        <v>0</v>
      </c>
      <c r="AG3" s="108">
        <v>0</v>
      </c>
      <c r="AH3" s="107">
        <f>0.005*F3</f>
        <v>0.17500000000000002</v>
      </c>
      <c r="AI3" s="107">
        <v>0.02</v>
      </c>
      <c r="AJ3" s="107">
        <v>10</v>
      </c>
      <c r="AK3" s="109">
        <f t="shared" si="1"/>
        <v>0.23954423127554625</v>
      </c>
      <c r="AL3" s="109">
        <f t="shared" ref="AL3:AL5" si="12">0.1*AK3</f>
        <v>2.3954423127554626E-2</v>
      </c>
      <c r="AM3" s="110">
        <f t="shared" si="2"/>
        <v>0</v>
      </c>
      <c r="AN3" s="110">
        <f t="shared" si="3"/>
        <v>1</v>
      </c>
      <c r="AO3" s="109">
        <f>1333*I3*POWER(10,-6)</f>
        <v>4.3018730145151568E-3</v>
      </c>
      <c r="AP3" s="110">
        <f t="shared" ref="AP3:AP28" si="13">AO3+AN3+AM3+AL3+AK3</f>
        <v>1.2678005274176161</v>
      </c>
      <c r="AQ3" s="111">
        <f t="shared" si="4"/>
        <v>0</v>
      </c>
      <c r="AR3" s="111">
        <f t="shared" si="5"/>
        <v>0</v>
      </c>
      <c r="AS3" s="111">
        <f t="shared" si="6"/>
        <v>3.3723494029308584E-6</v>
      </c>
    </row>
    <row r="4" spans="1:45" s="107" customFormat="1" ht="15" thickBot="1" x14ac:dyDescent="0.35">
      <c r="A4" s="100" t="s">
        <v>11</v>
      </c>
      <c r="B4" s="101" t="s">
        <v>146</v>
      </c>
      <c r="C4" s="94" t="s">
        <v>127</v>
      </c>
      <c r="D4" s="102" t="s">
        <v>92</v>
      </c>
      <c r="E4" s="103">
        <v>4.9999999999999998E-7</v>
      </c>
      <c r="F4" s="100">
        <v>35</v>
      </c>
      <c r="G4" s="100">
        <v>3.5999999999999997E-2</v>
      </c>
      <c r="H4" s="103">
        <f t="shared" si="7"/>
        <v>6.299999999999999E-7</v>
      </c>
      <c r="I4" s="104">
        <f>(K4*120/1000)+(N4/1000)</f>
        <v>0.31121156377731174</v>
      </c>
      <c r="J4" s="104">
        <f>I4</f>
        <v>0.31121156377731174</v>
      </c>
      <c r="K4" s="105">
        <v>2.2000000000000002</v>
      </c>
      <c r="L4" s="106">
        <f>PI()*POWER(0.11,2)*35</f>
        <v>1.3304644887952775</v>
      </c>
      <c r="M4" s="106">
        <f t="shared" si="8"/>
        <v>35.485023595076456</v>
      </c>
      <c r="N4" s="106">
        <f t="shared" si="9"/>
        <v>47.211563777311753</v>
      </c>
      <c r="O4" s="107" t="str">
        <f t="shared" si="10"/>
        <v>С3</v>
      </c>
      <c r="P4" s="107" t="str">
        <f t="shared" si="11"/>
        <v>Технологический трубопровод наземный (Ду = 219; P=5,4; L=35)</v>
      </c>
      <c r="Q4" s="107" t="str">
        <f t="shared" si="0"/>
        <v>Частичное-факел</v>
      </c>
      <c r="R4" s="94" t="s">
        <v>55</v>
      </c>
      <c r="S4" s="94" t="s">
        <v>55</v>
      </c>
      <c r="T4" s="94" t="s">
        <v>55</v>
      </c>
      <c r="U4" s="94" t="s">
        <v>55</v>
      </c>
      <c r="V4" s="94" t="s">
        <v>55</v>
      </c>
      <c r="W4" s="94" t="s">
        <v>55</v>
      </c>
      <c r="X4" s="94" t="s">
        <v>55</v>
      </c>
      <c r="Y4" s="94" t="s">
        <v>55</v>
      </c>
      <c r="Z4" s="94" t="s">
        <v>55</v>
      </c>
      <c r="AA4" s="95">
        <f>12.5*POWER(K4,0.4)</f>
        <v>17.134801802784114</v>
      </c>
      <c r="AB4" s="95">
        <f>AA4*0.15</f>
        <v>2.5702202704176171</v>
      </c>
      <c r="AC4" s="94" t="s">
        <v>55</v>
      </c>
      <c r="AD4" s="94" t="s">
        <v>55</v>
      </c>
      <c r="AE4" s="94" t="s">
        <v>55</v>
      </c>
      <c r="AF4" s="107">
        <v>0</v>
      </c>
      <c r="AG4" s="107">
        <v>1</v>
      </c>
      <c r="AH4" s="107">
        <f>0.0005*F4</f>
        <v>1.7500000000000002E-2</v>
      </c>
      <c r="AI4" s="107">
        <v>0.02</v>
      </c>
      <c r="AJ4" s="107">
        <v>2</v>
      </c>
      <c r="AK4" s="109">
        <f t="shared" si="1"/>
        <v>2.3724231275546237E-2</v>
      </c>
      <c r="AL4" s="109">
        <f t="shared" si="12"/>
        <v>2.3724231275546238E-3</v>
      </c>
      <c r="AM4" s="110">
        <f t="shared" si="2"/>
        <v>1.3800000000000001</v>
      </c>
      <c r="AN4" s="110">
        <f t="shared" si="3"/>
        <v>0.2</v>
      </c>
      <c r="AO4" s="109">
        <f>10068.2*I4*POWER(10,-6)</f>
        <v>3.1333402664227299E-3</v>
      </c>
      <c r="AP4" s="110">
        <f t="shared" si="13"/>
        <v>1.6092299946695237</v>
      </c>
      <c r="AQ4" s="111">
        <f t="shared" si="4"/>
        <v>0</v>
      </c>
      <c r="AR4" s="111">
        <f t="shared" si="5"/>
        <v>6.299999999999999E-7</v>
      </c>
      <c r="AS4" s="111">
        <f t="shared" si="6"/>
        <v>1.0138148966417998E-6</v>
      </c>
    </row>
    <row r="5" spans="1:45" s="107" customFormat="1" ht="15" thickBot="1" x14ac:dyDescent="0.35">
      <c r="A5" s="100" t="s">
        <v>12</v>
      </c>
      <c r="B5" s="101" t="s">
        <v>146</v>
      </c>
      <c r="C5" s="94" t="s">
        <v>128</v>
      </c>
      <c r="D5" s="102" t="s">
        <v>46</v>
      </c>
      <c r="E5" s="103">
        <v>4.9999999999999998E-7</v>
      </c>
      <c r="F5" s="100">
        <v>35</v>
      </c>
      <c r="G5" s="100">
        <f>1-G4</f>
        <v>0.96399999999999997</v>
      </c>
      <c r="H5" s="103">
        <f t="shared" si="7"/>
        <v>1.6869999999999999E-5</v>
      </c>
      <c r="I5" s="104">
        <f>I4</f>
        <v>0.31121156377731174</v>
      </c>
      <c r="J5" s="104">
        <v>0</v>
      </c>
      <c r="K5" s="105"/>
      <c r="L5" s="106">
        <f>PI()*POWER(0.11,2)*35</f>
        <v>1.3304644887952775</v>
      </c>
      <c r="M5" s="106">
        <f t="shared" si="8"/>
        <v>35.485023595076456</v>
      </c>
      <c r="N5" s="106">
        <f t="shared" si="9"/>
        <v>47.211563777311753</v>
      </c>
      <c r="O5" s="107" t="str">
        <f t="shared" si="10"/>
        <v>С4</v>
      </c>
      <c r="P5" s="107" t="str">
        <f t="shared" si="11"/>
        <v>Технологический трубопровод наземный (Ду = 219; P=5,4; L=35)</v>
      </c>
      <c r="Q5" s="107" t="str">
        <f t="shared" si="0"/>
        <v>Частичное-ликвидация</v>
      </c>
      <c r="R5" s="94" t="s">
        <v>55</v>
      </c>
      <c r="S5" s="94" t="s">
        <v>55</v>
      </c>
      <c r="T5" s="94" t="s">
        <v>55</v>
      </c>
      <c r="U5" s="94" t="s">
        <v>55</v>
      </c>
      <c r="V5" s="94" t="s">
        <v>55</v>
      </c>
      <c r="W5" s="94" t="s">
        <v>55</v>
      </c>
      <c r="X5" s="94" t="s">
        <v>55</v>
      </c>
      <c r="Y5" s="94" t="s">
        <v>55</v>
      </c>
      <c r="Z5" s="94" t="s">
        <v>55</v>
      </c>
      <c r="AA5" s="94" t="s">
        <v>55</v>
      </c>
      <c r="AB5" s="94" t="s">
        <v>55</v>
      </c>
      <c r="AC5" s="94" t="s">
        <v>55</v>
      </c>
      <c r="AD5" s="94" t="s">
        <v>55</v>
      </c>
      <c r="AE5" s="94" t="s">
        <v>55</v>
      </c>
      <c r="AF5" s="107">
        <v>0</v>
      </c>
      <c r="AG5" s="107">
        <v>1</v>
      </c>
      <c r="AH5" s="107">
        <f>0.0005*F5</f>
        <v>1.7500000000000002E-2</v>
      </c>
      <c r="AI5" s="107">
        <v>0.02</v>
      </c>
      <c r="AJ5" s="107">
        <v>2</v>
      </c>
      <c r="AK5" s="109">
        <f t="shared" si="1"/>
        <v>2.3724231275546237E-2</v>
      </c>
      <c r="AL5" s="109">
        <f t="shared" si="12"/>
        <v>2.3724231275546238E-3</v>
      </c>
      <c r="AM5" s="110">
        <f t="shared" si="2"/>
        <v>1.3800000000000001</v>
      </c>
      <c r="AN5" s="110">
        <f t="shared" si="3"/>
        <v>0.2</v>
      </c>
      <c r="AO5" s="109">
        <f>1333*I5*POWER(10,-6)</f>
        <v>4.1484501451515655E-4</v>
      </c>
      <c r="AP5" s="110">
        <f t="shared" si="13"/>
        <v>1.606511499417616</v>
      </c>
      <c r="AQ5" s="111">
        <f t="shared" si="4"/>
        <v>0</v>
      </c>
      <c r="AR5" s="111">
        <f t="shared" si="5"/>
        <v>1.6869999999999999E-5</v>
      </c>
      <c r="AS5" s="111">
        <f t="shared" si="6"/>
        <v>2.7101848995175181E-5</v>
      </c>
    </row>
    <row r="6" spans="1:45" s="120" customFormat="1" ht="15" thickBot="1" x14ac:dyDescent="0.35">
      <c r="A6" s="100" t="s">
        <v>13</v>
      </c>
      <c r="B6" s="113" t="s">
        <v>147</v>
      </c>
      <c r="C6" s="114" t="s">
        <v>125</v>
      </c>
      <c r="D6" s="115" t="s">
        <v>91</v>
      </c>
      <c r="E6" s="116">
        <v>9.9999999999999995E-8</v>
      </c>
      <c r="F6" s="112">
        <v>31</v>
      </c>
      <c r="G6" s="112">
        <v>0.24</v>
      </c>
      <c r="H6" s="116">
        <f>E6*F6*G6</f>
        <v>7.4399999999999999E-7</v>
      </c>
      <c r="I6" s="117">
        <f>(K6*12/1000)+(N6/1000)</f>
        <v>0.21815991510787583</v>
      </c>
      <c r="J6" s="117">
        <f>I6</f>
        <v>0.21815991510787583</v>
      </c>
      <c r="K6" s="118">
        <v>18</v>
      </c>
      <c r="L6" s="119">
        <f>PI()*POWER(0.025,2)*31</f>
        <v>6.0868357663302244E-2</v>
      </c>
      <c r="M6" s="119">
        <f>(0.016*5.4*POWER(10,6)/(8.31*(20+273)))</f>
        <v>35.485023595076456</v>
      </c>
      <c r="N6" s="119">
        <f>M6*L6</f>
        <v>2.159915107875833</v>
      </c>
      <c r="O6" s="120" t="str">
        <f t="shared" si="10"/>
        <v>С5</v>
      </c>
      <c r="P6" s="120" t="str">
        <f>B6</f>
        <v>Технологический трубопровод подземный (Ду = 50; P=5,4; L=31)</v>
      </c>
      <c r="Q6" s="120" t="str">
        <f t="shared" ref="Q6:Q13" si="14">D6</f>
        <v>Полное-факел</v>
      </c>
      <c r="R6" s="114" t="s">
        <v>55</v>
      </c>
      <c r="S6" s="114" t="s">
        <v>55</v>
      </c>
      <c r="T6" s="114" t="s">
        <v>55</v>
      </c>
      <c r="U6" s="114" t="s">
        <v>55</v>
      </c>
      <c r="V6" s="114" t="s">
        <v>55</v>
      </c>
      <c r="W6" s="114" t="s">
        <v>55</v>
      </c>
      <c r="X6" s="114" t="s">
        <v>55</v>
      </c>
      <c r="Y6" s="114" t="s">
        <v>55</v>
      </c>
      <c r="Z6" s="114" t="s">
        <v>55</v>
      </c>
      <c r="AA6" s="121">
        <f>12.5*POWER(K6,0.4)</f>
        <v>39.72089403933046</v>
      </c>
      <c r="AB6" s="121">
        <f>AA6*0.15</f>
        <v>5.9581341058995685</v>
      </c>
      <c r="AC6" s="114" t="s">
        <v>55</v>
      </c>
      <c r="AD6" s="114" t="s">
        <v>55</v>
      </c>
      <c r="AE6" s="114" t="s">
        <v>55</v>
      </c>
      <c r="AF6" s="122">
        <v>1</v>
      </c>
      <c r="AG6" s="122">
        <v>1</v>
      </c>
      <c r="AH6" s="120">
        <f>0.005*F6</f>
        <v>0.155</v>
      </c>
      <c r="AI6" s="120">
        <v>0.02</v>
      </c>
      <c r="AJ6" s="120">
        <v>10</v>
      </c>
      <c r="AK6" s="123">
        <f t="shared" si="1"/>
        <v>0.1593631983021575</v>
      </c>
      <c r="AL6" s="123">
        <f>0.1*AK6</f>
        <v>1.5936319830215751E-2</v>
      </c>
      <c r="AM6" s="124">
        <f t="shared" si="2"/>
        <v>3.1</v>
      </c>
      <c r="AN6" s="124">
        <f t="shared" si="3"/>
        <v>1</v>
      </c>
      <c r="AO6" s="123">
        <f>10068.2*I6*POWER(10,-6)</f>
        <v>2.1964776572891156E-3</v>
      </c>
      <c r="AP6" s="124">
        <f t="shared" si="13"/>
        <v>4.2774959957896623</v>
      </c>
      <c r="AQ6" s="125">
        <f t="shared" si="4"/>
        <v>7.4399999999999999E-7</v>
      </c>
      <c r="AR6" s="125">
        <f t="shared" si="5"/>
        <v>7.4399999999999999E-7</v>
      </c>
      <c r="AS6" s="125">
        <f t="shared" si="6"/>
        <v>3.1824570208675087E-6</v>
      </c>
    </row>
    <row r="7" spans="1:45" s="120" customFormat="1" ht="15" thickBot="1" x14ac:dyDescent="0.35">
      <c r="A7" s="100" t="s">
        <v>14</v>
      </c>
      <c r="B7" s="113" t="s">
        <v>147</v>
      </c>
      <c r="C7" s="114" t="s">
        <v>126</v>
      </c>
      <c r="D7" s="115" t="s">
        <v>45</v>
      </c>
      <c r="E7" s="116">
        <v>9.9999999999999995E-8</v>
      </c>
      <c r="F7" s="112">
        <v>31</v>
      </c>
      <c r="G7" s="112">
        <f>1-0.24</f>
        <v>0.76</v>
      </c>
      <c r="H7" s="116">
        <f t="shared" ref="H7:H9" si="15">E7*F7*G7</f>
        <v>2.356E-6</v>
      </c>
      <c r="I7" s="117">
        <f>I6</f>
        <v>0.21815991510787583</v>
      </c>
      <c r="J7" s="117">
        <f>0.1*K7</f>
        <v>0</v>
      </c>
      <c r="K7" s="118"/>
      <c r="L7" s="119">
        <f t="shared" ref="L7:L9" si="16">PI()*POWER(0.025,2)*31</f>
        <v>6.0868357663302244E-2</v>
      </c>
      <c r="M7" s="119">
        <f t="shared" si="8"/>
        <v>35.485023595076456</v>
      </c>
      <c r="N7" s="119">
        <f t="shared" ref="N7:N9" si="17">M7*L7</f>
        <v>2.159915107875833</v>
      </c>
      <c r="O7" s="120" t="str">
        <f t="shared" si="10"/>
        <v>С6</v>
      </c>
      <c r="P7" s="120" t="str">
        <f t="shared" ref="P7:P9" si="18">B7</f>
        <v>Технологический трубопровод подземный (Ду = 50; P=5,4; L=31)</v>
      </c>
      <c r="Q7" s="120" t="str">
        <f t="shared" si="14"/>
        <v>Полное-ликвидация</v>
      </c>
      <c r="R7" s="114" t="s">
        <v>55</v>
      </c>
      <c r="S7" s="114" t="s">
        <v>55</v>
      </c>
      <c r="T7" s="114" t="s">
        <v>55</v>
      </c>
      <c r="U7" s="114" t="s">
        <v>55</v>
      </c>
      <c r="V7" s="114" t="s">
        <v>55</v>
      </c>
      <c r="W7" s="114" t="s">
        <v>55</v>
      </c>
      <c r="X7" s="114" t="s">
        <v>55</v>
      </c>
      <c r="Y7" s="114" t="s">
        <v>55</v>
      </c>
      <c r="Z7" s="114" t="s">
        <v>55</v>
      </c>
      <c r="AA7" s="114" t="s">
        <v>55</v>
      </c>
      <c r="AB7" s="114" t="s">
        <v>55</v>
      </c>
      <c r="AC7" s="114" t="s">
        <v>55</v>
      </c>
      <c r="AD7" s="114" t="s">
        <v>55</v>
      </c>
      <c r="AE7" s="114" t="s">
        <v>55</v>
      </c>
      <c r="AF7" s="122">
        <v>0</v>
      </c>
      <c r="AG7" s="122">
        <v>0</v>
      </c>
      <c r="AH7" s="120">
        <f>0.005*F7</f>
        <v>0.155</v>
      </c>
      <c r="AI7" s="120">
        <v>0.02</v>
      </c>
      <c r="AJ7" s="120">
        <v>10</v>
      </c>
      <c r="AK7" s="123">
        <f t="shared" si="1"/>
        <v>0.1593631983021575</v>
      </c>
      <c r="AL7" s="123">
        <f t="shared" ref="AL7:AL9" si="19">0.1*AK7</f>
        <v>1.5936319830215751E-2</v>
      </c>
      <c r="AM7" s="124">
        <f t="shared" si="2"/>
        <v>0</v>
      </c>
      <c r="AN7" s="124">
        <f t="shared" si="3"/>
        <v>1</v>
      </c>
      <c r="AO7" s="123">
        <f>1333*I7*POWER(10,-6)</f>
        <v>2.9080716683879844E-4</v>
      </c>
      <c r="AP7" s="124">
        <f t="shared" si="13"/>
        <v>1.1755903252992121</v>
      </c>
      <c r="AQ7" s="125">
        <f t="shared" si="4"/>
        <v>0</v>
      </c>
      <c r="AR7" s="125">
        <f t="shared" si="5"/>
        <v>0</v>
      </c>
      <c r="AS7" s="125">
        <f t="shared" si="6"/>
        <v>2.7696908064049438E-6</v>
      </c>
    </row>
    <row r="8" spans="1:45" s="120" customFormat="1" ht="15" thickBot="1" x14ac:dyDescent="0.35">
      <c r="A8" s="100" t="s">
        <v>15</v>
      </c>
      <c r="B8" s="113" t="s">
        <v>147</v>
      </c>
      <c r="C8" s="114" t="s">
        <v>127</v>
      </c>
      <c r="D8" s="115" t="s">
        <v>92</v>
      </c>
      <c r="E8" s="116">
        <v>4.9999999999999998E-7</v>
      </c>
      <c r="F8" s="112">
        <v>31</v>
      </c>
      <c r="G8" s="112">
        <v>3.5999999999999997E-2</v>
      </c>
      <c r="H8" s="116">
        <f t="shared" si="15"/>
        <v>5.5799999999999999E-7</v>
      </c>
      <c r="I8" s="117">
        <f>(K8*120/1000)+(N8/1000)</f>
        <v>2.6159915107875832E-2</v>
      </c>
      <c r="J8" s="117">
        <f>I8</f>
        <v>2.6159915107875832E-2</v>
      </c>
      <c r="K8" s="118">
        <v>0.2</v>
      </c>
      <c r="L8" s="119">
        <f t="shared" si="16"/>
        <v>6.0868357663302244E-2</v>
      </c>
      <c r="M8" s="119">
        <f t="shared" si="8"/>
        <v>35.485023595076456</v>
      </c>
      <c r="N8" s="119">
        <f t="shared" si="17"/>
        <v>2.159915107875833</v>
      </c>
      <c r="O8" s="120" t="str">
        <f t="shared" si="10"/>
        <v>С7</v>
      </c>
      <c r="P8" s="120" t="str">
        <f t="shared" si="18"/>
        <v>Технологический трубопровод подземный (Ду = 50; P=5,4; L=31)</v>
      </c>
      <c r="Q8" s="120" t="str">
        <f t="shared" si="14"/>
        <v>Частичное-факел</v>
      </c>
      <c r="R8" s="114" t="s">
        <v>55</v>
      </c>
      <c r="S8" s="114" t="s">
        <v>55</v>
      </c>
      <c r="T8" s="114" t="s">
        <v>55</v>
      </c>
      <c r="U8" s="114" t="s">
        <v>55</v>
      </c>
      <c r="V8" s="114" t="s">
        <v>55</v>
      </c>
      <c r="W8" s="114" t="s">
        <v>55</v>
      </c>
      <c r="X8" s="114" t="s">
        <v>55</v>
      </c>
      <c r="Y8" s="114" t="s">
        <v>55</v>
      </c>
      <c r="Z8" s="114" t="s">
        <v>55</v>
      </c>
      <c r="AA8" s="121">
        <f>12.5*POWER(K8,0.4)</f>
        <v>6.5663195110094179</v>
      </c>
      <c r="AB8" s="121">
        <f>AA8*0.15</f>
        <v>0.98494792665141262</v>
      </c>
      <c r="AC8" s="114" t="s">
        <v>55</v>
      </c>
      <c r="AD8" s="114" t="s">
        <v>55</v>
      </c>
      <c r="AE8" s="114" t="s">
        <v>55</v>
      </c>
      <c r="AF8" s="120">
        <v>0</v>
      </c>
      <c r="AG8" s="120">
        <v>1</v>
      </c>
      <c r="AH8" s="120">
        <f>0.0005*F8</f>
        <v>1.55E-2</v>
      </c>
      <c r="AI8" s="120">
        <v>0.02</v>
      </c>
      <c r="AJ8" s="120">
        <v>2</v>
      </c>
      <c r="AK8" s="123">
        <f t="shared" si="1"/>
        <v>1.6023198302157517E-2</v>
      </c>
      <c r="AL8" s="123">
        <f t="shared" si="19"/>
        <v>1.6023198302157517E-3</v>
      </c>
      <c r="AM8" s="124">
        <f t="shared" si="2"/>
        <v>1.3800000000000001</v>
      </c>
      <c r="AN8" s="124">
        <f t="shared" si="3"/>
        <v>0.2</v>
      </c>
      <c r="AO8" s="123">
        <f>10068.2*I8*POWER(10,-6)</f>
        <v>2.6338325728911548E-4</v>
      </c>
      <c r="AP8" s="124">
        <f t="shared" si="13"/>
        <v>1.5978889013896624</v>
      </c>
      <c r="AQ8" s="125">
        <f t="shared" si="4"/>
        <v>0</v>
      </c>
      <c r="AR8" s="125">
        <f t="shared" si="5"/>
        <v>5.5799999999999999E-7</v>
      </c>
      <c r="AS8" s="125">
        <f t="shared" si="6"/>
        <v>8.9162200697543166E-7</v>
      </c>
    </row>
    <row r="9" spans="1:45" s="120" customFormat="1" ht="15" thickBot="1" x14ac:dyDescent="0.35">
      <c r="A9" s="100" t="s">
        <v>16</v>
      </c>
      <c r="B9" s="113" t="s">
        <v>147</v>
      </c>
      <c r="C9" s="114" t="s">
        <v>128</v>
      </c>
      <c r="D9" s="115" t="s">
        <v>46</v>
      </c>
      <c r="E9" s="116">
        <v>4.9999999999999998E-7</v>
      </c>
      <c r="F9" s="112">
        <v>31</v>
      </c>
      <c r="G9" s="112">
        <f>1-G8</f>
        <v>0.96399999999999997</v>
      </c>
      <c r="H9" s="116">
        <f t="shared" si="15"/>
        <v>1.4942E-5</v>
      </c>
      <c r="I9" s="117">
        <f>I8</f>
        <v>2.6159915107875832E-2</v>
      </c>
      <c r="J9" s="117">
        <v>0</v>
      </c>
      <c r="K9" s="118"/>
      <c r="L9" s="119">
        <f t="shared" si="16"/>
        <v>6.0868357663302244E-2</v>
      </c>
      <c r="M9" s="119">
        <f t="shared" si="8"/>
        <v>35.485023595076456</v>
      </c>
      <c r="N9" s="119">
        <f t="shared" si="17"/>
        <v>2.159915107875833</v>
      </c>
      <c r="O9" s="120" t="str">
        <f t="shared" si="10"/>
        <v>С8</v>
      </c>
      <c r="P9" s="120" t="str">
        <f t="shared" si="18"/>
        <v>Технологический трубопровод подземный (Ду = 50; P=5,4; L=31)</v>
      </c>
      <c r="Q9" s="120" t="str">
        <f t="shared" si="14"/>
        <v>Частичное-ликвидация</v>
      </c>
      <c r="R9" s="114" t="s">
        <v>55</v>
      </c>
      <c r="S9" s="114" t="s">
        <v>55</v>
      </c>
      <c r="T9" s="114" t="s">
        <v>55</v>
      </c>
      <c r="U9" s="114" t="s">
        <v>55</v>
      </c>
      <c r="V9" s="114" t="s">
        <v>55</v>
      </c>
      <c r="W9" s="114" t="s">
        <v>55</v>
      </c>
      <c r="X9" s="114" t="s">
        <v>55</v>
      </c>
      <c r="Y9" s="114" t="s">
        <v>55</v>
      </c>
      <c r="Z9" s="114" t="s">
        <v>55</v>
      </c>
      <c r="AA9" s="114" t="s">
        <v>55</v>
      </c>
      <c r="AB9" s="114" t="s">
        <v>55</v>
      </c>
      <c r="AC9" s="114" t="s">
        <v>55</v>
      </c>
      <c r="AD9" s="114" t="s">
        <v>55</v>
      </c>
      <c r="AE9" s="114" t="s">
        <v>55</v>
      </c>
      <c r="AF9" s="120">
        <v>0</v>
      </c>
      <c r="AG9" s="120">
        <v>1</v>
      </c>
      <c r="AH9" s="120">
        <f>0.0005*F9</f>
        <v>1.55E-2</v>
      </c>
      <c r="AI9" s="120">
        <v>0.02</v>
      </c>
      <c r="AJ9" s="120">
        <v>2</v>
      </c>
      <c r="AK9" s="123">
        <f t="shared" si="1"/>
        <v>1.6023198302157517E-2</v>
      </c>
      <c r="AL9" s="123">
        <f t="shared" si="19"/>
        <v>1.6023198302157517E-3</v>
      </c>
      <c r="AM9" s="124">
        <f t="shared" si="2"/>
        <v>1.3800000000000001</v>
      </c>
      <c r="AN9" s="124">
        <f t="shared" si="3"/>
        <v>0.2</v>
      </c>
      <c r="AO9" s="123">
        <f>1333*I9*POWER(10,-6)</f>
        <v>3.4871166838798485E-5</v>
      </c>
      <c r="AP9" s="124">
        <f t="shared" si="13"/>
        <v>1.5976603892992121</v>
      </c>
      <c r="AQ9" s="125">
        <f t="shared" si="4"/>
        <v>0</v>
      </c>
      <c r="AR9" s="125">
        <f t="shared" si="5"/>
        <v>1.4942E-5</v>
      </c>
      <c r="AS9" s="125">
        <f t="shared" si="6"/>
        <v>2.3872241536908825E-5</v>
      </c>
    </row>
    <row r="10" spans="1:45" s="90" customFormat="1" ht="15" thickBot="1" x14ac:dyDescent="0.35">
      <c r="A10" s="100" t="s">
        <v>17</v>
      </c>
      <c r="B10" s="84" t="s">
        <v>148</v>
      </c>
      <c r="C10" s="85" t="s">
        <v>125</v>
      </c>
      <c r="D10" s="86" t="s">
        <v>91</v>
      </c>
      <c r="E10" s="87">
        <v>9.9999999999999995E-8</v>
      </c>
      <c r="F10" s="83">
        <v>53</v>
      </c>
      <c r="G10" s="83">
        <v>0.24</v>
      </c>
      <c r="H10" s="87">
        <f>E10*F10*G10</f>
        <v>1.2720000000000001E-6</v>
      </c>
      <c r="I10" s="88">
        <f>(K10*12/1000)+(N10/1000)</f>
        <v>3.2514917965770724</v>
      </c>
      <c r="J10" s="88">
        <f>I10</f>
        <v>3.2514917965770724</v>
      </c>
      <c r="K10" s="89">
        <v>265</v>
      </c>
      <c r="L10" s="126">
        <f>PI()*POWER(0.11,2)*53</f>
        <v>2.0147033687471345</v>
      </c>
      <c r="M10" s="126">
        <f>(0.016*5.4*POWER(10,6)/(8.31*(20+273)))</f>
        <v>35.485023595076456</v>
      </c>
      <c r="N10" s="126">
        <f>M10*L10</f>
        <v>71.491796577072094</v>
      </c>
      <c r="O10" s="90" t="str">
        <f t="shared" si="10"/>
        <v>С9</v>
      </c>
      <c r="P10" s="90" t="str">
        <f>B10</f>
        <v>Технологический трубопровод наземный (Ду = 219; P=5,4; L=53)</v>
      </c>
      <c r="Q10" s="90" t="str">
        <f t="shared" si="14"/>
        <v>Полное-факел</v>
      </c>
      <c r="R10" s="85" t="s">
        <v>55</v>
      </c>
      <c r="S10" s="85" t="s">
        <v>55</v>
      </c>
      <c r="T10" s="85" t="s">
        <v>55</v>
      </c>
      <c r="U10" s="85" t="s">
        <v>55</v>
      </c>
      <c r="V10" s="85" t="s">
        <v>55</v>
      </c>
      <c r="W10" s="85" t="s">
        <v>55</v>
      </c>
      <c r="X10" s="85" t="s">
        <v>55</v>
      </c>
      <c r="Y10" s="85" t="s">
        <v>55</v>
      </c>
      <c r="Z10" s="85" t="s">
        <v>55</v>
      </c>
      <c r="AA10" s="127">
        <f>12.5*POWER(K10,0.4)</f>
        <v>116.46846791573265</v>
      </c>
      <c r="AB10" s="127">
        <f>AA10*0.15</f>
        <v>17.470270187359898</v>
      </c>
      <c r="AC10" s="85" t="s">
        <v>55</v>
      </c>
      <c r="AD10" s="85" t="s">
        <v>55</v>
      </c>
      <c r="AE10" s="85" t="s">
        <v>55</v>
      </c>
      <c r="AF10" s="91">
        <v>1</v>
      </c>
      <c r="AG10" s="91">
        <v>1</v>
      </c>
      <c r="AH10" s="90">
        <f>0.005*F10</f>
        <v>0.26500000000000001</v>
      </c>
      <c r="AI10" s="90">
        <v>0.02</v>
      </c>
      <c r="AJ10" s="90">
        <v>10</v>
      </c>
      <c r="AK10" s="92">
        <f t="shared" si="1"/>
        <v>0.33002983593154145</v>
      </c>
      <c r="AL10" s="92">
        <f>0.1*AK10</f>
        <v>3.3002983593154143E-2</v>
      </c>
      <c r="AM10" s="93">
        <f t="shared" si="2"/>
        <v>3.1</v>
      </c>
      <c r="AN10" s="93">
        <f t="shared" si="3"/>
        <v>1</v>
      </c>
      <c r="AO10" s="92">
        <f>10068.2*I10*POWER(10,-6)</f>
        <v>3.2736669706297281E-2</v>
      </c>
      <c r="AP10" s="93">
        <f t="shared" si="13"/>
        <v>4.4957694892309927</v>
      </c>
      <c r="AQ10" s="128">
        <f t="shared" si="4"/>
        <v>1.2720000000000001E-6</v>
      </c>
      <c r="AR10" s="128">
        <f t="shared" si="5"/>
        <v>1.2720000000000001E-6</v>
      </c>
      <c r="AS10" s="128">
        <f t="shared" si="6"/>
        <v>5.7186187903018228E-6</v>
      </c>
    </row>
    <row r="11" spans="1:45" s="90" customFormat="1" ht="15" thickBot="1" x14ac:dyDescent="0.35">
      <c r="A11" s="100" t="s">
        <v>18</v>
      </c>
      <c r="B11" s="84" t="s">
        <v>148</v>
      </c>
      <c r="C11" s="85" t="s">
        <v>126</v>
      </c>
      <c r="D11" s="86" t="s">
        <v>45</v>
      </c>
      <c r="E11" s="87">
        <v>9.9999999999999995E-8</v>
      </c>
      <c r="F11" s="83">
        <v>53</v>
      </c>
      <c r="G11" s="83">
        <f>1-0.24</f>
        <v>0.76</v>
      </c>
      <c r="H11" s="87">
        <f t="shared" ref="H11:H13" si="20">E11*F11*G11</f>
        <v>4.0280000000000002E-6</v>
      </c>
      <c r="I11" s="88">
        <f>I10</f>
        <v>3.2514917965770724</v>
      </c>
      <c r="J11" s="88">
        <f>0.1*K11</f>
        <v>0</v>
      </c>
      <c r="K11" s="89"/>
      <c r="L11" s="126">
        <f t="shared" ref="L11:L13" si="21">PI()*POWER(0.11,2)*53</f>
        <v>2.0147033687471345</v>
      </c>
      <c r="M11" s="126">
        <f t="shared" si="8"/>
        <v>35.485023595076456</v>
      </c>
      <c r="N11" s="126">
        <f t="shared" ref="N11:N13" si="22">M11*L11</f>
        <v>71.491796577072094</v>
      </c>
      <c r="O11" s="90" t="str">
        <f t="shared" si="10"/>
        <v>С10</v>
      </c>
      <c r="P11" s="90" t="str">
        <f t="shared" ref="P11:P13" si="23">B11</f>
        <v>Технологический трубопровод наземный (Ду = 219; P=5,4; L=53)</v>
      </c>
      <c r="Q11" s="90" t="str">
        <f t="shared" si="14"/>
        <v>Полное-ликвидация</v>
      </c>
      <c r="R11" s="85" t="s">
        <v>55</v>
      </c>
      <c r="S11" s="85" t="s">
        <v>55</v>
      </c>
      <c r="T11" s="85" t="s">
        <v>55</v>
      </c>
      <c r="U11" s="85" t="s">
        <v>55</v>
      </c>
      <c r="V11" s="85" t="s">
        <v>55</v>
      </c>
      <c r="W11" s="85" t="s">
        <v>55</v>
      </c>
      <c r="X11" s="85" t="s">
        <v>55</v>
      </c>
      <c r="Y11" s="85" t="s">
        <v>55</v>
      </c>
      <c r="Z11" s="85" t="s">
        <v>55</v>
      </c>
      <c r="AA11" s="85" t="s">
        <v>55</v>
      </c>
      <c r="AB11" s="85" t="s">
        <v>55</v>
      </c>
      <c r="AC11" s="85" t="s">
        <v>55</v>
      </c>
      <c r="AD11" s="85" t="s">
        <v>55</v>
      </c>
      <c r="AE11" s="85" t="s">
        <v>55</v>
      </c>
      <c r="AF11" s="91">
        <v>0</v>
      </c>
      <c r="AG11" s="91">
        <v>0</v>
      </c>
      <c r="AH11" s="90">
        <f>0.005*F11</f>
        <v>0.26500000000000001</v>
      </c>
      <c r="AI11" s="90">
        <v>0.02</v>
      </c>
      <c r="AJ11" s="90">
        <v>10</v>
      </c>
      <c r="AK11" s="92">
        <f t="shared" si="1"/>
        <v>0.33002983593154145</v>
      </c>
      <c r="AL11" s="92">
        <f t="shared" ref="AL11:AL13" si="24">0.1*AK11</f>
        <v>3.3002983593154143E-2</v>
      </c>
      <c r="AM11" s="93">
        <f t="shared" si="2"/>
        <v>0</v>
      </c>
      <c r="AN11" s="93">
        <f t="shared" si="3"/>
        <v>1</v>
      </c>
      <c r="AO11" s="92">
        <f>1333*I11*POWER(10,-6)</f>
        <v>4.3342385648372376E-3</v>
      </c>
      <c r="AP11" s="93">
        <f t="shared" si="13"/>
        <v>1.367367058089533</v>
      </c>
      <c r="AQ11" s="128">
        <f t="shared" si="4"/>
        <v>0</v>
      </c>
      <c r="AR11" s="128">
        <f t="shared" si="5"/>
        <v>0</v>
      </c>
      <c r="AS11" s="128">
        <f t="shared" si="6"/>
        <v>5.5077545099846394E-6</v>
      </c>
    </row>
    <row r="12" spans="1:45" s="90" customFormat="1" ht="15" thickBot="1" x14ac:dyDescent="0.35">
      <c r="A12" s="100" t="s">
        <v>19</v>
      </c>
      <c r="B12" s="84" t="s">
        <v>148</v>
      </c>
      <c r="C12" s="85" t="s">
        <v>127</v>
      </c>
      <c r="D12" s="86" t="s">
        <v>92</v>
      </c>
      <c r="E12" s="87">
        <v>4.9999999999999998E-7</v>
      </c>
      <c r="F12" s="83">
        <v>53</v>
      </c>
      <c r="G12" s="83">
        <v>3.5999999999999997E-2</v>
      </c>
      <c r="H12" s="87">
        <f t="shared" si="20"/>
        <v>9.5399999999999989E-7</v>
      </c>
      <c r="I12" s="88">
        <f>(K12*120/1000)+(N12/1000)</f>
        <v>0.33549179657707212</v>
      </c>
      <c r="J12" s="88">
        <f>I12</f>
        <v>0.33549179657707212</v>
      </c>
      <c r="K12" s="89">
        <v>2.2000000000000002</v>
      </c>
      <c r="L12" s="126">
        <f t="shared" si="21"/>
        <v>2.0147033687471345</v>
      </c>
      <c r="M12" s="126">
        <f t="shared" si="8"/>
        <v>35.485023595076456</v>
      </c>
      <c r="N12" s="126">
        <f t="shared" si="22"/>
        <v>71.491796577072094</v>
      </c>
      <c r="O12" s="90" t="str">
        <f t="shared" si="10"/>
        <v>С11</v>
      </c>
      <c r="P12" s="90" t="str">
        <f t="shared" si="23"/>
        <v>Технологический трубопровод наземный (Ду = 219; P=5,4; L=53)</v>
      </c>
      <c r="Q12" s="90" t="str">
        <f t="shared" si="14"/>
        <v>Частичное-факел</v>
      </c>
      <c r="R12" s="85" t="s">
        <v>55</v>
      </c>
      <c r="S12" s="85" t="s">
        <v>55</v>
      </c>
      <c r="T12" s="85" t="s">
        <v>55</v>
      </c>
      <c r="U12" s="85" t="s">
        <v>55</v>
      </c>
      <c r="V12" s="85" t="s">
        <v>55</v>
      </c>
      <c r="W12" s="85" t="s">
        <v>55</v>
      </c>
      <c r="X12" s="85" t="s">
        <v>55</v>
      </c>
      <c r="Y12" s="85" t="s">
        <v>55</v>
      </c>
      <c r="Z12" s="85" t="s">
        <v>55</v>
      </c>
      <c r="AA12" s="127">
        <f>12.5*POWER(K12,0.4)</f>
        <v>17.134801802784114</v>
      </c>
      <c r="AB12" s="127">
        <f>AA12*0.15</f>
        <v>2.5702202704176171</v>
      </c>
      <c r="AC12" s="85" t="s">
        <v>55</v>
      </c>
      <c r="AD12" s="85" t="s">
        <v>55</v>
      </c>
      <c r="AE12" s="85" t="s">
        <v>55</v>
      </c>
      <c r="AF12" s="90">
        <v>0</v>
      </c>
      <c r="AG12" s="90">
        <v>1</v>
      </c>
      <c r="AH12" s="90">
        <f>0.0005*F12</f>
        <v>2.6499999999999999E-2</v>
      </c>
      <c r="AI12" s="90">
        <v>0.02</v>
      </c>
      <c r="AJ12" s="90">
        <v>2</v>
      </c>
      <c r="AK12" s="92">
        <f t="shared" si="1"/>
        <v>3.3209835931541441E-2</v>
      </c>
      <c r="AL12" s="92">
        <f t="shared" si="24"/>
        <v>3.3209835931541443E-3</v>
      </c>
      <c r="AM12" s="93">
        <f t="shared" si="2"/>
        <v>1.3800000000000001</v>
      </c>
      <c r="AN12" s="93">
        <f t="shared" si="3"/>
        <v>0.2</v>
      </c>
      <c r="AO12" s="92">
        <f>10068.2*I12*POWER(10,-6)</f>
        <v>3.377798506297278E-3</v>
      </c>
      <c r="AP12" s="93">
        <f t="shared" si="13"/>
        <v>1.619908618030993</v>
      </c>
      <c r="AQ12" s="128">
        <f t="shared" si="4"/>
        <v>0</v>
      </c>
      <c r="AR12" s="128">
        <f t="shared" si="5"/>
        <v>9.5399999999999989E-7</v>
      </c>
      <c r="AS12" s="128">
        <f t="shared" si="6"/>
        <v>1.545392821601567E-6</v>
      </c>
    </row>
    <row r="13" spans="1:45" s="90" customFormat="1" ht="15" thickBot="1" x14ac:dyDescent="0.35">
      <c r="A13" s="100" t="s">
        <v>20</v>
      </c>
      <c r="B13" s="84" t="s">
        <v>148</v>
      </c>
      <c r="C13" s="85" t="s">
        <v>128</v>
      </c>
      <c r="D13" s="86" t="s">
        <v>46</v>
      </c>
      <c r="E13" s="87">
        <v>4.9999999999999998E-7</v>
      </c>
      <c r="F13" s="83">
        <v>53</v>
      </c>
      <c r="G13" s="83">
        <f>1-G12</f>
        <v>0.96399999999999997</v>
      </c>
      <c r="H13" s="87">
        <f t="shared" si="20"/>
        <v>2.5545999999999999E-5</v>
      </c>
      <c r="I13" s="88">
        <f>I12</f>
        <v>0.33549179657707212</v>
      </c>
      <c r="J13" s="88">
        <v>0</v>
      </c>
      <c r="K13" s="89"/>
      <c r="L13" s="126">
        <f t="shared" si="21"/>
        <v>2.0147033687471345</v>
      </c>
      <c r="M13" s="126">
        <f t="shared" si="8"/>
        <v>35.485023595076456</v>
      </c>
      <c r="N13" s="126">
        <f t="shared" si="22"/>
        <v>71.491796577072094</v>
      </c>
      <c r="O13" s="90" t="str">
        <f t="shared" si="10"/>
        <v>С12</v>
      </c>
      <c r="P13" s="90" t="str">
        <f t="shared" si="23"/>
        <v>Технологический трубопровод наземный (Ду = 219; P=5,4; L=53)</v>
      </c>
      <c r="Q13" s="90" t="str">
        <f t="shared" si="14"/>
        <v>Частичное-ликвидация</v>
      </c>
      <c r="R13" s="85" t="s">
        <v>55</v>
      </c>
      <c r="S13" s="85" t="s">
        <v>55</v>
      </c>
      <c r="T13" s="85" t="s">
        <v>55</v>
      </c>
      <c r="U13" s="85" t="s">
        <v>55</v>
      </c>
      <c r="V13" s="85" t="s">
        <v>55</v>
      </c>
      <c r="W13" s="85" t="s">
        <v>55</v>
      </c>
      <c r="X13" s="85" t="s">
        <v>55</v>
      </c>
      <c r="Y13" s="85" t="s">
        <v>55</v>
      </c>
      <c r="Z13" s="85" t="s">
        <v>55</v>
      </c>
      <c r="AA13" s="85" t="s">
        <v>55</v>
      </c>
      <c r="AB13" s="85" t="s">
        <v>55</v>
      </c>
      <c r="AC13" s="85" t="s">
        <v>55</v>
      </c>
      <c r="AD13" s="85" t="s">
        <v>55</v>
      </c>
      <c r="AE13" s="85" t="s">
        <v>55</v>
      </c>
      <c r="AF13" s="90">
        <v>0</v>
      </c>
      <c r="AG13" s="90">
        <v>1</v>
      </c>
      <c r="AH13" s="90">
        <f>0.0005*F13</f>
        <v>2.6499999999999999E-2</v>
      </c>
      <c r="AI13" s="90">
        <v>0.02</v>
      </c>
      <c r="AJ13" s="90">
        <v>2</v>
      </c>
      <c r="AK13" s="92">
        <f t="shared" si="1"/>
        <v>3.3209835931541441E-2</v>
      </c>
      <c r="AL13" s="92">
        <f t="shared" si="24"/>
        <v>3.3209835931541443E-3</v>
      </c>
      <c r="AM13" s="93">
        <f t="shared" si="2"/>
        <v>1.3800000000000001</v>
      </c>
      <c r="AN13" s="93">
        <f t="shared" si="3"/>
        <v>0.2</v>
      </c>
      <c r="AO13" s="92">
        <f>1333*I13*POWER(10,-6)</f>
        <v>4.4721056483723712E-4</v>
      </c>
      <c r="AP13" s="93">
        <f t="shared" si="13"/>
        <v>1.6169780300895329</v>
      </c>
      <c r="AQ13" s="128">
        <f t="shared" si="4"/>
        <v>0</v>
      </c>
      <c r="AR13" s="128">
        <f t="shared" si="5"/>
        <v>2.5545999999999999E-5</v>
      </c>
      <c r="AS13" s="128">
        <f t="shared" si="6"/>
        <v>4.1307320756667208E-5</v>
      </c>
    </row>
    <row r="14" spans="1:45" s="107" customFormat="1" ht="15" thickBot="1" x14ac:dyDescent="0.35">
      <c r="A14" s="100" t="s">
        <v>21</v>
      </c>
      <c r="B14" s="101" t="s">
        <v>149</v>
      </c>
      <c r="C14" s="94" t="s">
        <v>125</v>
      </c>
      <c r="D14" s="102" t="s">
        <v>91</v>
      </c>
      <c r="E14" s="103">
        <v>9.9999999999999995E-8</v>
      </c>
      <c r="F14" s="100">
        <v>256</v>
      </c>
      <c r="G14" s="100">
        <v>0.24</v>
      </c>
      <c r="H14" s="103">
        <f>E14*F14*G14</f>
        <v>6.1439999999999991E-6</v>
      </c>
      <c r="I14" s="104">
        <f>(K14*12/1000)+(N14/1000)</f>
        <v>0.23837437944831541</v>
      </c>
      <c r="J14" s="104">
        <f>I14</f>
        <v>0.23837437944831541</v>
      </c>
      <c r="K14" s="105">
        <v>18</v>
      </c>
      <c r="L14" s="106">
        <f>PI()*POWER(0.028,2)*256</f>
        <v>0.63053021194608594</v>
      </c>
      <c r="M14" s="106">
        <f>(0.016*5.4*POWER(10,6)/(8.31*(20+273)))</f>
        <v>35.485023595076456</v>
      </c>
      <c r="N14" s="106">
        <f>M14*L14</f>
        <v>22.37437944831542</v>
      </c>
      <c r="O14" s="107" t="str">
        <f t="shared" si="10"/>
        <v>С13</v>
      </c>
      <c r="P14" s="107" t="str">
        <f>B14</f>
        <v>Технологический трубопровод подземный (Ду = 57; P=5,4; L=256)</v>
      </c>
      <c r="Q14" s="107" t="str">
        <f t="shared" ref="Q14:Q17" si="25">D14</f>
        <v>Полное-факел</v>
      </c>
      <c r="R14" s="94" t="s">
        <v>55</v>
      </c>
      <c r="S14" s="94" t="s">
        <v>55</v>
      </c>
      <c r="T14" s="94" t="s">
        <v>55</v>
      </c>
      <c r="U14" s="94" t="s">
        <v>55</v>
      </c>
      <c r="V14" s="94" t="s">
        <v>55</v>
      </c>
      <c r="W14" s="94" t="s">
        <v>55</v>
      </c>
      <c r="X14" s="94" t="s">
        <v>55</v>
      </c>
      <c r="Y14" s="94" t="s">
        <v>55</v>
      </c>
      <c r="Z14" s="94" t="s">
        <v>55</v>
      </c>
      <c r="AA14" s="95">
        <f>12.5*POWER(K14,0.4)</f>
        <v>39.72089403933046</v>
      </c>
      <c r="AB14" s="95">
        <f>AA14*0.15</f>
        <v>5.9581341058995685</v>
      </c>
      <c r="AC14" s="94" t="s">
        <v>55</v>
      </c>
      <c r="AD14" s="94" t="s">
        <v>55</v>
      </c>
      <c r="AE14" s="94" t="s">
        <v>55</v>
      </c>
      <c r="AF14" s="108">
        <v>1</v>
      </c>
      <c r="AG14" s="108">
        <v>1</v>
      </c>
      <c r="AH14" s="107">
        <f>0.005*F14</f>
        <v>1.28</v>
      </c>
      <c r="AI14" s="107">
        <v>0.02</v>
      </c>
      <c r="AJ14" s="107">
        <v>10</v>
      </c>
      <c r="AK14" s="109">
        <f t="shared" si="1"/>
        <v>1.2847674875889663</v>
      </c>
      <c r="AL14" s="109">
        <f>0.1*AK14</f>
        <v>0.12847674875889664</v>
      </c>
      <c r="AM14" s="110">
        <f t="shared" si="2"/>
        <v>3.1</v>
      </c>
      <c r="AN14" s="110">
        <f t="shared" si="3"/>
        <v>1</v>
      </c>
      <c r="AO14" s="109">
        <f>10068.2*I14*POWER(10,-6)</f>
        <v>2.4000009271615292E-3</v>
      </c>
      <c r="AP14" s="110">
        <f t="shared" si="13"/>
        <v>5.5156442372750245</v>
      </c>
      <c r="AQ14" s="111">
        <f t="shared" si="4"/>
        <v>6.1439999999999991E-6</v>
      </c>
      <c r="AR14" s="111">
        <f t="shared" si="5"/>
        <v>6.1439999999999991E-6</v>
      </c>
      <c r="AS14" s="111">
        <f t="shared" si="6"/>
        <v>3.3888118193817748E-5</v>
      </c>
    </row>
    <row r="15" spans="1:45" s="107" customFormat="1" ht="15" thickBot="1" x14ac:dyDescent="0.35">
      <c r="A15" s="100" t="s">
        <v>22</v>
      </c>
      <c r="B15" s="101" t="s">
        <v>149</v>
      </c>
      <c r="C15" s="94" t="s">
        <v>126</v>
      </c>
      <c r="D15" s="102" t="s">
        <v>45</v>
      </c>
      <c r="E15" s="103">
        <v>9.9999999999999995E-8</v>
      </c>
      <c r="F15" s="100">
        <v>256</v>
      </c>
      <c r="G15" s="100">
        <f>1-0.24</f>
        <v>0.76</v>
      </c>
      <c r="H15" s="103">
        <f t="shared" ref="H15:H17" si="26">E15*F15*G15</f>
        <v>1.9455999999999998E-5</v>
      </c>
      <c r="I15" s="104">
        <f>I14</f>
        <v>0.23837437944831541</v>
      </c>
      <c r="J15" s="104">
        <f>0.1*K15</f>
        <v>0</v>
      </c>
      <c r="K15" s="105"/>
      <c r="L15" s="106">
        <f t="shared" ref="L15:L17" si="27">PI()*POWER(0.028,2)*256</f>
        <v>0.63053021194608594</v>
      </c>
      <c r="M15" s="106">
        <f t="shared" si="8"/>
        <v>35.485023595076456</v>
      </c>
      <c r="N15" s="106">
        <f t="shared" ref="N15:N17" si="28">M15*L15</f>
        <v>22.37437944831542</v>
      </c>
      <c r="O15" s="107" t="str">
        <f t="shared" si="10"/>
        <v>С14</v>
      </c>
      <c r="P15" s="107" t="str">
        <f t="shared" ref="P15:P17" si="29">B15</f>
        <v>Технологический трубопровод подземный (Ду = 57; P=5,4; L=256)</v>
      </c>
      <c r="Q15" s="107" t="str">
        <f t="shared" si="25"/>
        <v>Полное-ликвидация</v>
      </c>
      <c r="R15" s="94" t="s">
        <v>55</v>
      </c>
      <c r="S15" s="94" t="s">
        <v>55</v>
      </c>
      <c r="T15" s="94" t="s">
        <v>55</v>
      </c>
      <c r="U15" s="94" t="s">
        <v>55</v>
      </c>
      <c r="V15" s="94" t="s">
        <v>55</v>
      </c>
      <c r="W15" s="94" t="s">
        <v>55</v>
      </c>
      <c r="X15" s="94" t="s">
        <v>55</v>
      </c>
      <c r="Y15" s="94" t="s">
        <v>55</v>
      </c>
      <c r="Z15" s="94" t="s">
        <v>55</v>
      </c>
      <c r="AA15" s="94" t="s">
        <v>55</v>
      </c>
      <c r="AB15" s="94" t="s">
        <v>55</v>
      </c>
      <c r="AC15" s="94" t="s">
        <v>55</v>
      </c>
      <c r="AD15" s="94" t="s">
        <v>55</v>
      </c>
      <c r="AE15" s="94" t="s">
        <v>55</v>
      </c>
      <c r="AF15" s="108">
        <v>0</v>
      </c>
      <c r="AG15" s="108">
        <v>0</v>
      </c>
      <c r="AH15" s="107">
        <f>0.005*F15</f>
        <v>1.28</v>
      </c>
      <c r="AI15" s="107">
        <v>0.02</v>
      </c>
      <c r="AJ15" s="107">
        <v>10</v>
      </c>
      <c r="AK15" s="109">
        <f t="shared" si="1"/>
        <v>1.2847674875889663</v>
      </c>
      <c r="AL15" s="109">
        <f t="shared" ref="AL15:AL17" si="30">0.1*AK15</f>
        <v>0.12847674875889664</v>
      </c>
      <c r="AM15" s="110">
        <f t="shared" si="2"/>
        <v>0</v>
      </c>
      <c r="AN15" s="110">
        <f t="shared" si="3"/>
        <v>1</v>
      </c>
      <c r="AO15" s="109">
        <f>1333*I15*POWER(10,-6)</f>
        <v>3.177530478046044E-4</v>
      </c>
      <c r="AP15" s="110">
        <f t="shared" si="13"/>
        <v>2.4135619893956677</v>
      </c>
      <c r="AQ15" s="111">
        <f t="shared" si="4"/>
        <v>0</v>
      </c>
      <c r="AR15" s="111">
        <f t="shared" si="5"/>
        <v>0</v>
      </c>
      <c r="AS15" s="111">
        <f t="shared" si="6"/>
        <v>4.6958262065682103E-5</v>
      </c>
    </row>
    <row r="16" spans="1:45" s="107" customFormat="1" ht="15" thickBot="1" x14ac:dyDescent="0.35">
      <c r="A16" s="100" t="s">
        <v>23</v>
      </c>
      <c r="B16" s="101" t="s">
        <v>149</v>
      </c>
      <c r="C16" s="94" t="s">
        <v>127</v>
      </c>
      <c r="D16" s="102" t="s">
        <v>92</v>
      </c>
      <c r="E16" s="103">
        <v>4.9999999999999998E-7</v>
      </c>
      <c r="F16" s="100">
        <v>256</v>
      </c>
      <c r="G16" s="100">
        <v>3.5999999999999997E-2</v>
      </c>
      <c r="H16" s="103">
        <f t="shared" si="26"/>
        <v>4.6079999999999998E-6</v>
      </c>
      <c r="I16" s="104">
        <f>(K16*120/1000)+(N16/1000)</f>
        <v>4.637437944831542E-2</v>
      </c>
      <c r="J16" s="104">
        <f>I16</f>
        <v>4.637437944831542E-2</v>
      </c>
      <c r="K16" s="105">
        <v>0.2</v>
      </c>
      <c r="L16" s="106">
        <f t="shared" si="27"/>
        <v>0.63053021194608594</v>
      </c>
      <c r="M16" s="106">
        <f t="shared" si="8"/>
        <v>35.485023595076456</v>
      </c>
      <c r="N16" s="106">
        <f t="shared" si="28"/>
        <v>22.37437944831542</v>
      </c>
      <c r="O16" s="107" t="str">
        <f t="shared" si="10"/>
        <v>С15</v>
      </c>
      <c r="P16" s="107" t="str">
        <f t="shared" si="29"/>
        <v>Технологический трубопровод подземный (Ду = 57; P=5,4; L=256)</v>
      </c>
      <c r="Q16" s="107" t="str">
        <f t="shared" si="25"/>
        <v>Частичное-факел</v>
      </c>
      <c r="R16" s="94" t="s">
        <v>55</v>
      </c>
      <c r="S16" s="94" t="s">
        <v>55</v>
      </c>
      <c r="T16" s="94" t="s">
        <v>55</v>
      </c>
      <c r="U16" s="94" t="s">
        <v>55</v>
      </c>
      <c r="V16" s="94" t="s">
        <v>55</v>
      </c>
      <c r="W16" s="94" t="s">
        <v>55</v>
      </c>
      <c r="X16" s="94" t="s">
        <v>55</v>
      </c>
      <c r="Y16" s="94" t="s">
        <v>55</v>
      </c>
      <c r="Z16" s="94" t="s">
        <v>55</v>
      </c>
      <c r="AA16" s="95">
        <f>12.5*POWER(K16,0.4)</f>
        <v>6.5663195110094179</v>
      </c>
      <c r="AB16" s="95">
        <f>AA16*0.15</f>
        <v>0.98494792665141262</v>
      </c>
      <c r="AC16" s="94" t="s">
        <v>55</v>
      </c>
      <c r="AD16" s="94" t="s">
        <v>55</v>
      </c>
      <c r="AE16" s="94" t="s">
        <v>55</v>
      </c>
      <c r="AF16" s="107">
        <v>0</v>
      </c>
      <c r="AG16" s="107">
        <v>1</v>
      </c>
      <c r="AH16" s="107">
        <f>0.0005*F16</f>
        <v>0.128</v>
      </c>
      <c r="AI16" s="107">
        <v>0.02</v>
      </c>
      <c r="AJ16" s="107">
        <v>2</v>
      </c>
      <c r="AK16" s="109">
        <f t="shared" si="1"/>
        <v>0.1289274875889663</v>
      </c>
      <c r="AL16" s="109">
        <f t="shared" si="30"/>
        <v>1.289274875889663E-2</v>
      </c>
      <c r="AM16" s="110">
        <f t="shared" si="2"/>
        <v>1.3800000000000001</v>
      </c>
      <c r="AN16" s="110">
        <f t="shared" si="3"/>
        <v>0.2</v>
      </c>
      <c r="AO16" s="109">
        <f>10068.2*I16*POWER(10,-6)</f>
        <v>4.6690652716152933E-4</v>
      </c>
      <c r="AP16" s="110">
        <f t="shared" si="13"/>
        <v>1.7222871428750246</v>
      </c>
      <c r="AQ16" s="111">
        <f t="shared" si="4"/>
        <v>0</v>
      </c>
      <c r="AR16" s="111">
        <f t="shared" si="5"/>
        <v>4.6079999999999998E-6</v>
      </c>
      <c r="AS16" s="111">
        <f t="shared" si="6"/>
        <v>7.9362991543681136E-6</v>
      </c>
    </row>
    <row r="17" spans="1:45" s="107" customFormat="1" ht="15" thickBot="1" x14ac:dyDescent="0.35">
      <c r="A17" s="100" t="s">
        <v>24</v>
      </c>
      <c r="B17" s="101" t="s">
        <v>149</v>
      </c>
      <c r="C17" s="94" t="s">
        <v>128</v>
      </c>
      <c r="D17" s="102" t="s">
        <v>46</v>
      </c>
      <c r="E17" s="103">
        <v>4.9999999999999998E-7</v>
      </c>
      <c r="F17" s="100">
        <v>256</v>
      </c>
      <c r="G17" s="100">
        <f>1-G16</f>
        <v>0.96399999999999997</v>
      </c>
      <c r="H17" s="103">
        <f t="shared" si="26"/>
        <v>1.23392E-4</v>
      </c>
      <c r="I17" s="104">
        <f>I16</f>
        <v>4.637437944831542E-2</v>
      </c>
      <c r="J17" s="104">
        <v>0</v>
      </c>
      <c r="K17" s="105"/>
      <c r="L17" s="106">
        <f t="shared" si="27"/>
        <v>0.63053021194608594</v>
      </c>
      <c r="M17" s="106">
        <f t="shared" si="8"/>
        <v>35.485023595076456</v>
      </c>
      <c r="N17" s="106">
        <f t="shared" si="28"/>
        <v>22.37437944831542</v>
      </c>
      <c r="O17" s="107" t="str">
        <f t="shared" si="10"/>
        <v>С16</v>
      </c>
      <c r="P17" s="107" t="str">
        <f t="shared" si="29"/>
        <v>Технологический трубопровод подземный (Ду = 57; P=5,4; L=256)</v>
      </c>
      <c r="Q17" s="107" t="str">
        <f t="shared" si="25"/>
        <v>Частичное-ликвидация</v>
      </c>
      <c r="R17" s="94" t="s">
        <v>55</v>
      </c>
      <c r="S17" s="94" t="s">
        <v>55</v>
      </c>
      <c r="T17" s="94" t="s">
        <v>55</v>
      </c>
      <c r="U17" s="94" t="s">
        <v>55</v>
      </c>
      <c r="V17" s="94" t="s">
        <v>55</v>
      </c>
      <c r="W17" s="94" t="s">
        <v>55</v>
      </c>
      <c r="X17" s="94" t="s">
        <v>55</v>
      </c>
      <c r="Y17" s="94" t="s">
        <v>55</v>
      </c>
      <c r="Z17" s="94" t="s">
        <v>55</v>
      </c>
      <c r="AA17" s="94" t="s">
        <v>55</v>
      </c>
      <c r="AB17" s="94" t="s">
        <v>55</v>
      </c>
      <c r="AC17" s="94" t="s">
        <v>55</v>
      </c>
      <c r="AD17" s="94" t="s">
        <v>55</v>
      </c>
      <c r="AE17" s="94" t="s">
        <v>55</v>
      </c>
      <c r="AF17" s="107">
        <v>0</v>
      </c>
      <c r="AG17" s="107">
        <v>1</v>
      </c>
      <c r="AH17" s="107">
        <f>0.0005*F17</f>
        <v>0.128</v>
      </c>
      <c r="AI17" s="107">
        <v>0.02</v>
      </c>
      <c r="AJ17" s="107">
        <v>2</v>
      </c>
      <c r="AK17" s="109">
        <f t="shared" si="1"/>
        <v>0.1289274875889663</v>
      </c>
      <c r="AL17" s="109">
        <f t="shared" si="30"/>
        <v>1.289274875889663E-2</v>
      </c>
      <c r="AM17" s="110">
        <f t="shared" si="2"/>
        <v>1.3800000000000001</v>
      </c>
      <c r="AN17" s="110">
        <f t="shared" si="3"/>
        <v>0.2</v>
      </c>
      <c r="AO17" s="109">
        <f>1333*I17*POWER(10,-6)</f>
        <v>6.1817047804604453E-5</v>
      </c>
      <c r="AP17" s="110">
        <f t="shared" si="13"/>
        <v>1.7218820533956676</v>
      </c>
      <c r="AQ17" s="111">
        <f t="shared" si="4"/>
        <v>0</v>
      </c>
      <c r="AR17" s="111">
        <f t="shared" si="5"/>
        <v>1.23392E-4</v>
      </c>
      <c r="AS17" s="111">
        <f t="shared" si="6"/>
        <v>2.1246647033259822E-4</v>
      </c>
    </row>
    <row r="18" spans="1:45" s="120" customFormat="1" ht="15" thickBot="1" x14ac:dyDescent="0.35">
      <c r="A18" s="100" t="s">
        <v>25</v>
      </c>
      <c r="B18" s="113" t="s">
        <v>150</v>
      </c>
      <c r="C18" s="114" t="s">
        <v>129</v>
      </c>
      <c r="D18" s="115" t="s">
        <v>91</v>
      </c>
      <c r="E18" s="116">
        <v>2.9999999999999999E-7</v>
      </c>
      <c r="F18" s="112">
        <v>12</v>
      </c>
      <c r="G18" s="112">
        <v>0.2</v>
      </c>
      <c r="H18" s="116">
        <f>E18*F18*G18</f>
        <v>7.1999999999999999E-7</v>
      </c>
      <c r="I18" s="117">
        <f>K18*12/1000</f>
        <v>0.64800000000000002</v>
      </c>
      <c r="J18" s="117">
        <f>I18</f>
        <v>0.64800000000000002</v>
      </c>
      <c r="K18" s="118">
        <v>54</v>
      </c>
      <c r="L18" s="119">
        <f>PI()*POWER(0.045,2)*26</f>
        <v>0.16540485321150258</v>
      </c>
      <c r="M18" s="119">
        <f t="shared" ref="M18" si="31">(0.016*1.2*POWER(10,6)/(8.31*(20+273)))</f>
        <v>7.8855607989058782</v>
      </c>
      <c r="N18" s="119">
        <f t="shared" ref="N18" si="32">M18*L18</f>
        <v>1.3043100264334058</v>
      </c>
      <c r="O18" s="120" t="str">
        <f t="shared" si="10"/>
        <v>С17</v>
      </c>
      <c r="P18" s="120" t="str">
        <f>B18</f>
        <v>Технологический трубопровод блока редуцирования (Ду = 325; P=1,2; L=12)</v>
      </c>
      <c r="Q18" s="120" t="str">
        <f t="shared" ref="Q18" si="33">D18</f>
        <v>Полное-факел</v>
      </c>
      <c r="R18" s="114" t="s">
        <v>55</v>
      </c>
      <c r="S18" s="114" t="s">
        <v>55</v>
      </c>
      <c r="T18" s="114" t="s">
        <v>55</v>
      </c>
      <c r="U18" s="114" t="s">
        <v>55</v>
      </c>
      <c r="V18" s="114" t="s">
        <v>55</v>
      </c>
      <c r="W18" s="114" t="s">
        <v>55</v>
      </c>
      <c r="X18" s="114" t="s">
        <v>55</v>
      </c>
      <c r="Y18" s="114" t="s">
        <v>55</v>
      </c>
      <c r="Z18" s="114" t="s">
        <v>55</v>
      </c>
      <c r="AA18" s="121">
        <f>12.5*POWER(K18,0.4)</f>
        <v>61.640693606895965</v>
      </c>
      <c r="AB18" s="121">
        <f>AA18*0.15</f>
        <v>9.2461040410343944</v>
      </c>
      <c r="AC18" s="114" t="s">
        <v>55</v>
      </c>
      <c r="AD18" s="114" t="s">
        <v>55</v>
      </c>
      <c r="AE18" s="114" t="s">
        <v>55</v>
      </c>
      <c r="AF18" s="122">
        <v>1</v>
      </c>
      <c r="AG18" s="122">
        <v>1</v>
      </c>
      <c r="AH18" s="120">
        <f>0.005*F18</f>
        <v>0.06</v>
      </c>
      <c r="AI18" s="120">
        <v>0.02</v>
      </c>
      <c r="AJ18" s="120">
        <v>10</v>
      </c>
      <c r="AK18" s="123">
        <f>AI18*I18+AH18</f>
        <v>7.2959999999999997E-2</v>
      </c>
      <c r="AL18" s="123">
        <f>0.1*AK18</f>
        <v>7.2960000000000004E-3</v>
      </c>
      <c r="AM18" s="124">
        <f t="shared" si="2"/>
        <v>3.1</v>
      </c>
      <c r="AN18" s="124">
        <f t="shared" si="3"/>
        <v>1</v>
      </c>
      <c r="AO18" s="123">
        <f>10068.2*I18*POWER(10,-6)</f>
        <v>6.5241936000000004E-3</v>
      </c>
      <c r="AP18" s="124">
        <f t="shared" si="13"/>
        <v>4.1867801936000006</v>
      </c>
      <c r="AQ18" s="125">
        <f t="shared" si="4"/>
        <v>7.1999999999999999E-7</v>
      </c>
      <c r="AR18" s="125">
        <f t="shared" si="5"/>
        <v>7.1999999999999999E-7</v>
      </c>
      <c r="AS18" s="125">
        <f t="shared" si="6"/>
        <v>3.0144817393920005E-6</v>
      </c>
    </row>
    <row r="19" spans="1:45" s="120" customFormat="1" ht="15" thickBot="1" x14ac:dyDescent="0.35">
      <c r="A19" s="100" t="s">
        <v>26</v>
      </c>
      <c r="B19" s="113" t="s">
        <v>150</v>
      </c>
      <c r="C19" s="114" t="s">
        <v>135</v>
      </c>
      <c r="D19" s="115" t="s">
        <v>136</v>
      </c>
      <c r="E19" s="116">
        <v>2.9999999999999999E-7</v>
      </c>
      <c r="F19" s="112">
        <v>12</v>
      </c>
      <c r="G19" s="112">
        <v>0.1152</v>
      </c>
      <c r="H19" s="116">
        <f t="shared" ref="H19:H20" si="34">E19*F19*G19</f>
        <v>4.1471999999999994E-7</v>
      </c>
      <c r="I19" s="117">
        <f>I18</f>
        <v>0.64800000000000002</v>
      </c>
      <c r="J19" s="117">
        <f>I19*0.5</f>
        <v>0.32400000000000001</v>
      </c>
      <c r="K19" s="118"/>
      <c r="L19" s="119"/>
      <c r="M19" s="119"/>
      <c r="N19" s="119"/>
      <c r="O19" s="120" t="str">
        <f t="shared" si="10"/>
        <v>С18</v>
      </c>
      <c r="P19" s="120" t="str">
        <f t="shared" ref="P19:P28" si="35">B19</f>
        <v>Технологический трубопровод блока редуцирования (Ду = 325; P=1,2; L=12)</v>
      </c>
      <c r="Q19" s="120" t="str">
        <f t="shared" ref="Q19:Q28" si="36">D19</f>
        <v>Полное- взрыв</v>
      </c>
      <c r="R19" s="114" t="s">
        <v>55</v>
      </c>
      <c r="S19" s="114" t="s">
        <v>55</v>
      </c>
      <c r="T19" s="114" t="s">
        <v>55</v>
      </c>
      <c r="U19" s="114" t="s">
        <v>55</v>
      </c>
      <c r="V19" s="114">
        <v>40</v>
      </c>
      <c r="W19" s="114">
        <v>55</v>
      </c>
      <c r="X19" s="114">
        <v>78</v>
      </c>
      <c r="Y19" s="114">
        <v>128</v>
      </c>
      <c r="Z19" s="114">
        <v>204</v>
      </c>
      <c r="AA19" s="114" t="s">
        <v>55</v>
      </c>
      <c r="AB19" s="114" t="s">
        <v>55</v>
      </c>
      <c r="AC19" s="114" t="s">
        <v>55</v>
      </c>
      <c r="AD19" s="114" t="s">
        <v>55</v>
      </c>
      <c r="AE19" s="114" t="s">
        <v>55</v>
      </c>
      <c r="AF19" s="122">
        <v>2</v>
      </c>
      <c r="AG19" s="122">
        <v>1</v>
      </c>
      <c r="AH19" s="120">
        <f>0.005*F19</f>
        <v>0.06</v>
      </c>
      <c r="AI19" s="120">
        <v>0.02</v>
      </c>
      <c r="AJ19" s="120">
        <v>10</v>
      </c>
      <c r="AK19" s="123">
        <f>AI19*I19+AH19</f>
        <v>7.2959999999999997E-2</v>
      </c>
      <c r="AL19" s="123">
        <f t="shared" ref="AL19:AL20" si="37">0.1*AK19</f>
        <v>7.2960000000000004E-3</v>
      </c>
      <c r="AM19" s="124">
        <f t="shared" si="2"/>
        <v>4.82</v>
      </c>
      <c r="AN19" s="124">
        <f t="shared" si="3"/>
        <v>1</v>
      </c>
      <c r="AO19" s="123">
        <f>10068.2*I19*POWER(10,-6)</f>
        <v>6.5241936000000004E-3</v>
      </c>
      <c r="AP19" s="124">
        <f t="shared" si="13"/>
        <v>5.9067801936000004</v>
      </c>
      <c r="AQ19" s="125">
        <f t="shared" si="4"/>
        <v>8.2943999999999989E-7</v>
      </c>
      <c r="AR19" s="125">
        <f t="shared" si="5"/>
        <v>4.1471999999999994E-7</v>
      </c>
      <c r="AS19" s="125">
        <f t="shared" si="6"/>
        <v>2.4496598818897917E-6</v>
      </c>
    </row>
    <row r="20" spans="1:45" s="120" customFormat="1" ht="15" thickBot="1" x14ac:dyDescent="0.35">
      <c r="A20" s="100" t="s">
        <v>107</v>
      </c>
      <c r="B20" s="113" t="s">
        <v>150</v>
      </c>
      <c r="C20" s="114" t="s">
        <v>130</v>
      </c>
      <c r="D20" s="120" t="s">
        <v>105</v>
      </c>
      <c r="E20" s="116">
        <v>2.9999999999999999E-7</v>
      </c>
      <c r="F20" s="112">
        <v>12</v>
      </c>
      <c r="G20" s="112">
        <v>7.6800000000000007E-2</v>
      </c>
      <c r="H20" s="116">
        <f t="shared" si="34"/>
        <v>2.7648E-7</v>
      </c>
      <c r="I20" s="117">
        <f>I18</f>
        <v>0.64800000000000002</v>
      </c>
      <c r="J20" s="117">
        <f>I20</f>
        <v>0.64800000000000002</v>
      </c>
      <c r="K20" s="118"/>
      <c r="L20" s="119"/>
      <c r="M20" s="119"/>
      <c r="N20" s="119"/>
      <c r="O20" s="120" t="str">
        <f t="shared" si="10"/>
        <v>С19</v>
      </c>
      <c r="P20" s="120" t="str">
        <f t="shared" si="35"/>
        <v>Технологический трубопровод блока редуцирования (Ду = 325; P=1,2; L=12)</v>
      </c>
      <c r="Q20" s="120" t="str">
        <f t="shared" si="36"/>
        <v>Полное-вспышка</v>
      </c>
      <c r="R20" s="114" t="s">
        <v>55</v>
      </c>
      <c r="S20" s="114" t="s">
        <v>55</v>
      </c>
      <c r="T20" s="114" t="s">
        <v>55</v>
      </c>
      <c r="U20" s="114" t="s">
        <v>55</v>
      </c>
      <c r="V20" s="114" t="s">
        <v>55</v>
      </c>
      <c r="W20" s="114" t="s">
        <v>55</v>
      </c>
      <c r="X20" s="114" t="s">
        <v>55</v>
      </c>
      <c r="Y20" s="114" t="s">
        <v>55</v>
      </c>
      <c r="Z20" s="114" t="s">
        <v>55</v>
      </c>
      <c r="AA20" s="114" t="s">
        <v>55</v>
      </c>
      <c r="AB20" s="114" t="s">
        <v>55</v>
      </c>
      <c r="AC20" s="114" t="s">
        <v>55</v>
      </c>
      <c r="AD20" s="114" t="s">
        <v>55</v>
      </c>
      <c r="AE20" s="114">
        <v>42</v>
      </c>
      <c r="AF20" s="120">
        <v>1</v>
      </c>
      <c r="AG20" s="120">
        <v>1</v>
      </c>
      <c r="AH20" s="120">
        <f>0.005*F20</f>
        <v>0.06</v>
      </c>
      <c r="AI20" s="120">
        <v>0.02</v>
      </c>
      <c r="AJ20" s="120">
        <v>10</v>
      </c>
      <c r="AK20" s="123">
        <f>AI20*J20+AH20</f>
        <v>7.2959999999999997E-2</v>
      </c>
      <c r="AL20" s="123">
        <f t="shared" si="37"/>
        <v>7.2960000000000004E-3</v>
      </c>
      <c r="AM20" s="124">
        <f t="shared" si="2"/>
        <v>3.1</v>
      </c>
      <c r="AN20" s="124">
        <f t="shared" si="3"/>
        <v>1</v>
      </c>
      <c r="AO20" s="123">
        <f>10068.2*I20*POWER(10,-6)</f>
        <v>6.5241936000000004E-3</v>
      </c>
      <c r="AP20" s="124">
        <f t="shared" si="13"/>
        <v>4.1867801936000006</v>
      </c>
      <c r="AQ20" s="125">
        <f t="shared" si="4"/>
        <v>2.7648E-7</v>
      </c>
      <c r="AR20" s="125">
        <f t="shared" si="5"/>
        <v>2.7648E-7</v>
      </c>
      <c r="AS20" s="125">
        <f t="shared" si="6"/>
        <v>1.1575609879265282E-6</v>
      </c>
    </row>
    <row r="21" spans="1:45" s="120" customFormat="1" ht="15" thickBot="1" x14ac:dyDescent="0.35">
      <c r="A21" s="100" t="s">
        <v>108</v>
      </c>
      <c r="B21" s="113" t="s">
        <v>150</v>
      </c>
      <c r="C21" s="114" t="s">
        <v>126</v>
      </c>
      <c r="D21" s="115" t="s">
        <v>45</v>
      </c>
      <c r="E21" s="116">
        <v>2.9999999999999999E-7</v>
      </c>
      <c r="F21" s="112">
        <v>12</v>
      </c>
      <c r="G21" s="112">
        <v>0.6080000000000001</v>
      </c>
      <c r="H21" s="116">
        <f>E21*F21*G21</f>
        <v>2.1888000000000001E-6</v>
      </c>
      <c r="I21" s="117">
        <f>I19</f>
        <v>0.64800000000000002</v>
      </c>
      <c r="J21" s="117">
        <v>0</v>
      </c>
      <c r="K21" s="118"/>
      <c r="L21" s="119"/>
      <c r="M21" s="119"/>
      <c r="N21" s="119"/>
      <c r="O21" s="120" t="str">
        <f t="shared" si="10"/>
        <v>С20</v>
      </c>
      <c r="P21" s="120" t="str">
        <f t="shared" si="35"/>
        <v>Технологический трубопровод блока редуцирования (Ду = 325; P=1,2; L=12)</v>
      </c>
      <c r="Q21" s="120" t="str">
        <f t="shared" si="36"/>
        <v>Полное-ликвидация</v>
      </c>
      <c r="R21" s="114" t="s">
        <v>55</v>
      </c>
      <c r="S21" s="114" t="s">
        <v>55</v>
      </c>
      <c r="T21" s="114" t="s">
        <v>55</v>
      </c>
      <c r="U21" s="114" t="s">
        <v>55</v>
      </c>
      <c r="V21" s="114" t="s">
        <v>55</v>
      </c>
      <c r="W21" s="114" t="s">
        <v>55</v>
      </c>
      <c r="X21" s="114" t="s">
        <v>55</v>
      </c>
      <c r="Y21" s="114" t="s">
        <v>55</v>
      </c>
      <c r="Z21" s="114" t="s">
        <v>55</v>
      </c>
      <c r="AA21" s="114" t="s">
        <v>55</v>
      </c>
      <c r="AB21" s="114" t="s">
        <v>55</v>
      </c>
      <c r="AC21" s="114" t="s">
        <v>55</v>
      </c>
      <c r="AD21" s="114" t="s">
        <v>55</v>
      </c>
      <c r="AE21" s="114" t="s">
        <v>55</v>
      </c>
      <c r="AF21" s="122">
        <v>0</v>
      </c>
      <c r="AG21" s="122">
        <v>0</v>
      </c>
      <c r="AH21" s="120">
        <f>0.005*F21</f>
        <v>0.06</v>
      </c>
      <c r="AI21" s="120">
        <v>0.02</v>
      </c>
      <c r="AJ21" s="120">
        <v>10</v>
      </c>
      <c r="AK21" s="123">
        <f t="shared" ref="AK21:AK28" si="38">AI21*I21+AH21</f>
        <v>7.2959999999999997E-2</v>
      </c>
      <c r="AL21" s="123">
        <f>0.1*AK21</f>
        <v>7.2960000000000004E-3</v>
      </c>
      <c r="AM21" s="124">
        <f t="shared" si="2"/>
        <v>0</v>
      </c>
      <c r="AN21" s="124">
        <f t="shared" si="3"/>
        <v>1</v>
      </c>
      <c r="AO21" s="123">
        <f>1333*I21*POWER(10,-6)</f>
        <v>8.6378399999999993E-4</v>
      </c>
      <c r="AP21" s="124">
        <f t="shared" si="13"/>
        <v>1.081119784</v>
      </c>
      <c r="AQ21" s="125">
        <f t="shared" si="4"/>
        <v>0</v>
      </c>
      <c r="AR21" s="125">
        <f t="shared" si="5"/>
        <v>0</v>
      </c>
      <c r="AS21" s="125">
        <f t="shared" si="6"/>
        <v>2.3663549832192E-6</v>
      </c>
    </row>
    <row r="22" spans="1:45" s="120" customFormat="1" ht="15" thickBot="1" x14ac:dyDescent="0.35">
      <c r="A22" s="100" t="s">
        <v>109</v>
      </c>
      <c r="B22" s="113" t="s">
        <v>150</v>
      </c>
      <c r="C22" s="114" t="s">
        <v>131</v>
      </c>
      <c r="D22" s="115" t="s">
        <v>92</v>
      </c>
      <c r="E22" s="116">
        <v>1.9999999999999999E-6</v>
      </c>
      <c r="F22" s="112">
        <v>12</v>
      </c>
      <c r="G22" s="112">
        <v>3.5000000000000003E-2</v>
      </c>
      <c r="H22" s="116">
        <f t="shared" ref="H22:H23" si="39">E22*F22*G22</f>
        <v>8.4000000000000011E-7</v>
      </c>
      <c r="I22" s="117">
        <f>K22*120/1000</f>
        <v>0.06</v>
      </c>
      <c r="J22" s="117">
        <f>I22</f>
        <v>0.06</v>
      </c>
      <c r="K22" s="118">
        <v>0.5</v>
      </c>
      <c r="L22" s="119"/>
      <c r="M22" s="119"/>
      <c r="N22" s="119"/>
      <c r="O22" s="120" t="str">
        <f t="shared" si="10"/>
        <v>С21</v>
      </c>
      <c r="P22" s="120" t="str">
        <f t="shared" si="35"/>
        <v>Технологический трубопровод блока редуцирования (Ду = 325; P=1,2; L=12)</v>
      </c>
      <c r="Q22" s="120" t="str">
        <f t="shared" si="36"/>
        <v>Частичное-факел</v>
      </c>
      <c r="R22" s="114" t="s">
        <v>55</v>
      </c>
      <c r="S22" s="114" t="s">
        <v>55</v>
      </c>
      <c r="T22" s="114" t="s">
        <v>55</v>
      </c>
      <c r="U22" s="114" t="s">
        <v>55</v>
      </c>
      <c r="V22" s="114" t="s">
        <v>55</v>
      </c>
      <c r="W22" s="114" t="s">
        <v>55</v>
      </c>
      <c r="X22" s="114" t="s">
        <v>55</v>
      </c>
      <c r="Y22" s="114" t="s">
        <v>55</v>
      </c>
      <c r="Z22" s="114" t="s">
        <v>55</v>
      </c>
      <c r="AA22" s="121">
        <f>12.5*POWER(K22,0.4)</f>
        <v>9.4732285406899894</v>
      </c>
      <c r="AB22" s="121">
        <f>AA22*0.15</f>
        <v>1.4209842811034983</v>
      </c>
      <c r="AC22" s="114" t="s">
        <v>55</v>
      </c>
      <c r="AD22" s="114" t="s">
        <v>55</v>
      </c>
      <c r="AE22" s="114" t="s">
        <v>55</v>
      </c>
      <c r="AF22" s="122">
        <v>1</v>
      </c>
      <c r="AG22" s="122">
        <v>1</v>
      </c>
      <c r="AH22" s="120">
        <f t="shared" ref="AH22:AH25" si="40">0.0005*F22</f>
        <v>6.0000000000000001E-3</v>
      </c>
      <c r="AI22" s="120">
        <v>0.02</v>
      </c>
      <c r="AJ22" s="120">
        <v>2</v>
      </c>
      <c r="AK22" s="123">
        <f t="shared" si="38"/>
        <v>7.1999999999999998E-3</v>
      </c>
      <c r="AL22" s="123">
        <f t="shared" ref="AL22:AL24" si="41">0.1*AK22</f>
        <v>7.2000000000000005E-4</v>
      </c>
      <c r="AM22" s="124">
        <f t="shared" si="2"/>
        <v>3.1</v>
      </c>
      <c r="AN22" s="124">
        <f t="shared" si="3"/>
        <v>0.2</v>
      </c>
      <c r="AO22" s="123">
        <f>10068.2*I22*POWER(10,-6)</f>
        <v>6.0409199999999998E-4</v>
      </c>
      <c r="AP22" s="124">
        <f t="shared" si="13"/>
        <v>3.3085240919999999</v>
      </c>
      <c r="AQ22" s="125">
        <f t="shared" si="4"/>
        <v>8.4000000000000011E-7</v>
      </c>
      <c r="AR22" s="125">
        <f t="shared" si="5"/>
        <v>8.4000000000000011E-7</v>
      </c>
      <c r="AS22" s="125">
        <f t="shared" si="6"/>
        <v>2.7791602372800004E-6</v>
      </c>
    </row>
    <row r="23" spans="1:45" s="120" customFormat="1" ht="15" thickBot="1" x14ac:dyDescent="0.35">
      <c r="A23" s="100" t="s">
        <v>110</v>
      </c>
      <c r="B23" s="113" t="s">
        <v>150</v>
      </c>
      <c r="C23" s="114" t="s">
        <v>137</v>
      </c>
      <c r="D23" s="115" t="s">
        <v>138</v>
      </c>
      <c r="E23" s="116">
        <v>1.9999999999999999E-6</v>
      </c>
      <c r="F23" s="112">
        <v>12</v>
      </c>
      <c r="G23" s="112">
        <v>8.3375999999999988E-3</v>
      </c>
      <c r="H23" s="116">
        <f t="shared" si="39"/>
        <v>2.0010239999999997E-7</v>
      </c>
      <c r="I23" s="117">
        <f>I22</f>
        <v>0.06</v>
      </c>
      <c r="J23" s="117">
        <f>I23*0.5</f>
        <v>0.03</v>
      </c>
      <c r="K23" s="118"/>
      <c r="L23" s="119"/>
      <c r="M23" s="119"/>
      <c r="N23" s="119"/>
      <c r="O23" s="120" t="str">
        <f t="shared" si="10"/>
        <v>С22</v>
      </c>
      <c r="P23" s="120" t="str">
        <f t="shared" si="35"/>
        <v>Технологический трубопровод блока редуцирования (Ду = 325; P=1,2; L=12)</v>
      </c>
      <c r="Q23" s="120" t="str">
        <f t="shared" si="36"/>
        <v>Частичное- взрыв</v>
      </c>
      <c r="R23" s="114" t="s">
        <v>55</v>
      </c>
      <c r="S23" s="114" t="s">
        <v>55</v>
      </c>
      <c r="T23" s="114" t="s">
        <v>55</v>
      </c>
      <c r="U23" s="114" t="s">
        <v>55</v>
      </c>
      <c r="V23" s="114">
        <v>18</v>
      </c>
      <c r="W23" s="114">
        <v>25</v>
      </c>
      <c r="X23" s="114">
        <v>35</v>
      </c>
      <c r="Y23" s="114">
        <v>58</v>
      </c>
      <c r="Z23" s="114">
        <v>103</v>
      </c>
      <c r="AA23" s="114" t="s">
        <v>55</v>
      </c>
      <c r="AB23" s="114" t="s">
        <v>55</v>
      </c>
      <c r="AC23" s="114" t="s">
        <v>55</v>
      </c>
      <c r="AD23" s="114" t="s">
        <v>55</v>
      </c>
      <c r="AE23" s="114" t="s">
        <v>55</v>
      </c>
      <c r="AF23" s="120">
        <v>1</v>
      </c>
      <c r="AG23" s="120">
        <v>1</v>
      </c>
      <c r="AH23" s="120">
        <f t="shared" si="40"/>
        <v>6.0000000000000001E-3</v>
      </c>
      <c r="AI23" s="120">
        <v>0.02</v>
      </c>
      <c r="AJ23" s="120">
        <v>2</v>
      </c>
      <c r="AK23" s="123">
        <f t="shared" si="38"/>
        <v>7.1999999999999998E-3</v>
      </c>
      <c r="AL23" s="123">
        <f t="shared" si="41"/>
        <v>7.2000000000000005E-4</v>
      </c>
      <c r="AM23" s="124">
        <f t="shared" si="2"/>
        <v>3.1</v>
      </c>
      <c r="AN23" s="124">
        <f t="shared" si="3"/>
        <v>0.2</v>
      </c>
      <c r="AO23" s="123">
        <f>10068.2*I23*POWER(10,-6)</f>
        <v>6.0409199999999998E-4</v>
      </c>
      <c r="AP23" s="124">
        <f t="shared" si="13"/>
        <v>3.3085240919999999</v>
      </c>
      <c r="AQ23" s="125">
        <f t="shared" si="4"/>
        <v>2.0010239999999997E-7</v>
      </c>
      <c r="AR23" s="125">
        <f t="shared" si="5"/>
        <v>2.0010239999999997E-7</v>
      </c>
      <c r="AS23" s="125">
        <f t="shared" si="6"/>
        <v>6.6204361126702067E-7</v>
      </c>
    </row>
    <row r="24" spans="1:45" s="120" customFormat="1" ht="15" thickBot="1" x14ac:dyDescent="0.35">
      <c r="A24" s="100" t="s">
        <v>111</v>
      </c>
      <c r="B24" s="113" t="s">
        <v>150</v>
      </c>
      <c r="C24" s="114" t="s">
        <v>132</v>
      </c>
      <c r="D24" s="115" t="s">
        <v>106</v>
      </c>
      <c r="E24" s="116">
        <v>1.9999999999999999E-6</v>
      </c>
      <c r="F24" s="112">
        <v>12</v>
      </c>
      <c r="G24" s="112">
        <v>2.6402399999999999E-2</v>
      </c>
      <c r="H24" s="116">
        <f>E24*F24*G24</f>
        <v>6.336576E-7</v>
      </c>
      <c r="I24" s="117">
        <f>I22</f>
        <v>0.06</v>
      </c>
      <c r="J24" s="117">
        <f>I24</f>
        <v>0.06</v>
      </c>
      <c r="K24" s="118"/>
      <c r="L24" s="119"/>
      <c r="M24" s="119"/>
      <c r="N24" s="119"/>
      <c r="O24" s="120" t="str">
        <f t="shared" si="10"/>
        <v>С23</v>
      </c>
      <c r="P24" s="120" t="str">
        <f t="shared" si="35"/>
        <v>Технологический трубопровод блока редуцирования (Ду = 325; P=1,2; L=12)</v>
      </c>
      <c r="Q24" s="120" t="str">
        <f t="shared" si="36"/>
        <v>Частичное-вспышка</v>
      </c>
      <c r="R24" s="114" t="s">
        <v>55</v>
      </c>
      <c r="S24" s="114" t="s">
        <v>55</v>
      </c>
      <c r="T24" s="114" t="s">
        <v>55</v>
      </c>
      <c r="U24" s="114" t="s">
        <v>55</v>
      </c>
      <c r="V24" s="114" t="s">
        <v>55</v>
      </c>
      <c r="W24" s="114" t="s">
        <v>55</v>
      </c>
      <c r="X24" s="114" t="s">
        <v>55</v>
      </c>
      <c r="Y24" s="114" t="s">
        <v>55</v>
      </c>
      <c r="Z24" s="114" t="s">
        <v>55</v>
      </c>
      <c r="AA24" s="114" t="s">
        <v>55</v>
      </c>
      <c r="AB24" s="114" t="s">
        <v>55</v>
      </c>
      <c r="AC24" s="114" t="s">
        <v>55</v>
      </c>
      <c r="AD24" s="114" t="s">
        <v>55</v>
      </c>
      <c r="AE24" s="114">
        <v>19</v>
      </c>
      <c r="AF24" s="120">
        <v>1</v>
      </c>
      <c r="AG24" s="120">
        <v>0.999999999999999</v>
      </c>
      <c r="AH24" s="120">
        <f t="shared" si="40"/>
        <v>6.0000000000000001E-3</v>
      </c>
      <c r="AI24" s="120">
        <v>0.02</v>
      </c>
      <c r="AJ24" s="120">
        <v>2</v>
      </c>
      <c r="AK24" s="123">
        <f t="shared" si="38"/>
        <v>7.1999999999999998E-3</v>
      </c>
      <c r="AL24" s="123">
        <f t="shared" si="41"/>
        <v>7.2000000000000005E-4</v>
      </c>
      <c r="AM24" s="124">
        <f t="shared" si="2"/>
        <v>3.0999999999999988</v>
      </c>
      <c r="AN24" s="124">
        <f t="shared" si="3"/>
        <v>0.2</v>
      </c>
      <c r="AO24" s="123">
        <f>10068.2*I24*POWER(10,-6)</f>
        <v>6.0409199999999998E-4</v>
      </c>
      <c r="AP24" s="124">
        <f t="shared" si="13"/>
        <v>3.3085240919999985</v>
      </c>
      <c r="AQ24" s="125">
        <f t="shared" si="4"/>
        <v>6.336576E-7</v>
      </c>
      <c r="AR24" s="125">
        <f t="shared" si="5"/>
        <v>6.3365759999999936E-7</v>
      </c>
      <c r="AS24" s="125">
        <f t="shared" si="6"/>
        <v>2.0964714356788982E-6</v>
      </c>
    </row>
    <row r="25" spans="1:45" s="120" customFormat="1" ht="15" thickBot="1" x14ac:dyDescent="0.35">
      <c r="A25" s="100" t="s">
        <v>112</v>
      </c>
      <c r="B25" s="113" t="s">
        <v>150</v>
      </c>
      <c r="C25" s="114" t="s">
        <v>126</v>
      </c>
      <c r="D25" s="115" t="s">
        <v>46</v>
      </c>
      <c r="E25" s="116">
        <v>1.9999999999999999E-6</v>
      </c>
      <c r="F25" s="112">
        <v>12</v>
      </c>
      <c r="G25" s="112">
        <v>0.93025999999999998</v>
      </c>
      <c r="H25" s="116">
        <f t="shared" ref="H25:H28" si="42">E25*F25*G25</f>
        <v>2.2326239999999999E-5</v>
      </c>
      <c r="I25" s="117">
        <f>I23</f>
        <v>0.06</v>
      </c>
      <c r="J25" s="117">
        <v>0</v>
      </c>
      <c r="K25" s="118"/>
      <c r="L25" s="119"/>
      <c r="M25" s="119"/>
      <c r="N25" s="119"/>
      <c r="O25" s="120" t="str">
        <f t="shared" si="10"/>
        <v>С24</v>
      </c>
      <c r="P25" s="120" t="str">
        <f t="shared" si="35"/>
        <v>Технологический трубопровод блока редуцирования (Ду = 325; P=1,2; L=12)</v>
      </c>
      <c r="Q25" s="120" t="str">
        <f t="shared" si="36"/>
        <v>Частичное-ликвидация</v>
      </c>
      <c r="R25" s="114" t="s">
        <v>55</v>
      </c>
      <c r="S25" s="114" t="s">
        <v>55</v>
      </c>
      <c r="T25" s="114" t="s">
        <v>55</v>
      </c>
      <c r="U25" s="114" t="s">
        <v>55</v>
      </c>
      <c r="V25" s="114" t="s">
        <v>55</v>
      </c>
      <c r="W25" s="114" t="s">
        <v>55</v>
      </c>
      <c r="X25" s="114" t="s">
        <v>55</v>
      </c>
      <c r="Y25" s="114" t="s">
        <v>55</v>
      </c>
      <c r="Z25" s="114" t="s">
        <v>55</v>
      </c>
      <c r="AA25" s="114" t="s">
        <v>55</v>
      </c>
      <c r="AB25" s="114" t="s">
        <v>55</v>
      </c>
      <c r="AC25" s="114" t="s">
        <v>55</v>
      </c>
      <c r="AD25" s="114" t="s">
        <v>55</v>
      </c>
      <c r="AE25" s="114" t="s">
        <v>55</v>
      </c>
      <c r="AF25" s="122">
        <v>0</v>
      </c>
      <c r="AG25" s="122">
        <v>0</v>
      </c>
      <c r="AH25" s="120">
        <f t="shared" si="40"/>
        <v>6.0000000000000001E-3</v>
      </c>
      <c r="AI25" s="120">
        <v>0.02</v>
      </c>
      <c r="AJ25" s="120">
        <v>2</v>
      </c>
      <c r="AK25" s="123">
        <f t="shared" si="38"/>
        <v>7.1999999999999998E-3</v>
      </c>
      <c r="AL25" s="123">
        <f>0.1*AK25</f>
        <v>7.2000000000000005E-4</v>
      </c>
      <c r="AM25" s="124">
        <f t="shared" si="2"/>
        <v>0</v>
      </c>
      <c r="AN25" s="124">
        <f t="shared" si="3"/>
        <v>0.2</v>
      </c>
      <c r="AO25" s="123">
        <f>1333*I25*POWER(10,-6)</f>
        <v>7.9980000000000003E-5</v>
      </c>
      <c r="AP25" s="124">
        <f t="shared" si="13"/>
        <v>0.20799998000000003</v>
      </c>
      <c r="AQ25" s="125">
        <f t="shared" si="4"/>
        <v>0</v>
      </c>
      <c r="AR25" s="125">
        <f t="shared" si="5"/>
        <v>0</v>
      </c>
      <c r="AS25" s="125">
        <f t="shared" si="6"/>
        <v>4.6438574734752006E-6</v>
      </c>
    </row>
    <row r="26" spans="1:45" s="107" customFormat="1" ht="15" thickBot="1" x14ac:dyDescent="0.35">
      <c r="A26" s="100" t="s">
        <v>114</v>
      </c>
      <c r="B26" s="101" t="s">
        <v>118</v>
      </c>
      <c r="C26" s="94" t="s">
        <v>133</v>
      </c>
      <c r="D26" s="102" t="s">
        <v>44</v>
      </c>
      <c r="E26" s="103">
        <v>9.9999999999999995E-7</v>
      </c>
      <c r="F26" s="100">
        <v>1</v>
      </c>
      <c r="G26" s="100">
        <v>0.05</v>
      </c>
      <c r="H26" s="103">
        <f>E26*F26*G26</f>
        <v>4.9999999999999998E-8</v>
      </c>
      <c r="I26" s="104">
        <v>1.68</v>
      </c>
      <c r="J26" s="104">
        <v>1.68</v>
      </c>
      <c r="K26" s="105"/>
      <c r="L26" s="106"/>
      <c r="M26" s="106"/>
      <c r="N26" s="106"/>
      <c r="O26" s="107" t="str">
        <f t="shared" si="10"/>
        <v>С25</v>
      </c>
      <c r="P26" s="107" t="str">
        <f t="shared" si="35"/>
        <v>Подземная емкость хранения одоранта</v>
      </c>
      <c r="Q26" s="107" t="str">
        <f t="shared" si="36"/>
        <v>Полное-пожар</v>
      </c>
      <c r="R26" s="94">
        <v>13</v>
      </c>
      <c r="S26" s="94">
        <v>17</v>
      </c>
      <c r="T26" s="94">
        <v>24</v>
      </c>
      <c r="U26" s="94">
        <v>43</v>
      </c>
      <c r="V26" s="94" t="s">
        <v>55</v>
      </c>
      <c r="W26" s="94" t="s">
        <v>55</v>
      </c>
      <c r="X26" s="94" t="s">
        <v>55</v>
      </c>
      <c r="Y26" s="94" t="s">
        <v>55</v>
      </c>
      <c r="Z26" s="94" t="s">
        <v>55</v>
      </c>
      <c r="AA26" s="94" t="s">
        <v>55</v>
      </c>
      <c r="AB26" s="94" t="s">
        <v>55</v>
      </c>
      <c r="AC26" s="94" t="s">
        <v>55</v>
      </c>
      <c r="AD26" s="94" t="s">
        <v>55</v>
      </c>
      <c r="AE26" s="94" t="s">
        <v>55</v>
      </c>
      <c r="AF26" s="108">
        <v>0</v>
      </c>
      <c r="AG26" s="108">
        <v>1</v>
      </c>
      <c r="AH26" s="107">
        <v>0.3</v>
      </c>
      <c r="AI26" s="107">
        <v>0.08</v>
      </c>
      <c r="AJ26" s="107">
        <v>3</v>
      </c>
      <c r="AK26" s="109">
        <f t="shared" si="38"/>
        <v>0.43440000000000001</v>
      </c>
      <c r="AL26" s="109">
        <f t="shared" ref="AL26:AL28" si="43">0.1*AK26</f>
        <v>4.3440000000000006E-2</v>
      </c>
      <c r="AM26" s="110">
        <f t="shared" si="2"/>
        <v>1.3800000000000001</v>
      </c>
      <c r="AN26" s="110">
        <f t="shared" si="3"/>
        <v>0.30000000000000004</v>
      </c>
      <c r="AO26" s="109">
        <f>56068.2*I26*POWER(10,-6)</f>
        <v>9.4194575999999988E-2</v>
      </c>
      <c r="AP26" s="110">
        <f t="shared" si="13"/>
        <v>2.2520345760000002</v>
      </c>
      <c r="AQ26" s="111">
        <f t="shared" si="4"/>
        <v>0</v>
      </c>
      <c r="AR26" s="111">
        <f t="shared" si="5"/>
        <v>4.9999999999999998E-8</v>
      </c>
      <c r="AS26" s="111">
        <f t="shared" si="6"/>
        <v>1.1260172880000001E-7</v>
      </c>
    </row>
    <row r="27" spans="1:45" s="107" customFormat="1" ht="15" thickBot="1" x14ac:dyDescent="0.35">
      <c r="A27" s="100" t="s">
        <v>115</v>
      </c>
      <c r="B27" s="101" t="s">
        <v>118</v>
      </c>
      <c r="C27" s="94" t="s">
        <v>139</v>
      </c>
      <c r="D27" s="102" t="s">
        <v>140</v>
      </c>
      <c r="E27" s="103">
        <v>9.9999999999999995E-7</v>
      </c>
      <c r="F27" s="100">
        <v>1</v>
      </c>
      <c r="G27" s="100">
        <v>0.05</v>
      </c>
      <c r="H27" s="103">
        <f t="shared" si="42"/>
        <v>4.9999999999999998E-8</v>
      </c>
      <c r="I27" s="104">
        <v>1.68</v>
      </c>
      <c r="J27" s="104">
        <v>5.0000000000000001E-3</v>
      </c>
      <c r="K27" s="105"/>
      <c r="L27" s="106"/>
      <c r="M27" s="106"/>
      <c r="N27" s="106"/>
      <c r="O27" s="107" t="str">
        <f t="shared" si="10"/>
        <v>С26</v>
      </c>
      <c r="P27" s="107" t="str">
        <f t="shared" si="35"/>
        <v>Подземная емкость хранения одоранта</v>
      </c>
      <c r="Q27" s="107" t="str">
        <f t="shared" si="36"/>
        <v>Полное  взрыв</v>
      </c>
      <c r="R27" s="94" t="s">
        <v>55</v>
      </c>
      <c r="S27" s="94" t="s">
        <v>55</v>
      </c>
      <c r="T27" s="94" t="s">
        <v>55</v>
      </c>
      <c r="U27" s="94" t="s">
        <v>55</v>
      </c>
      <c r="V27" s="94">
        <v>5</v>
      </c>
      <c r="W27" s="94">
        <v>7</v>
      </c>
      <c r="X27" s="94">
        <v>10</v>
      </c>
      <c r="Y27" s="94">
        <v>16</v>
      </c>
      <c r="Z27" s="94">
        <v>25</v>
      </c>
      <c r="AA27" s="94" t="s">
        <v>55</v>
      </c>
      <c r="AB27" s="94" t="s">
        <v>55</v>
      </c>
      <c r="AC27" s="94" t="s">
        <v>55</v>
      </c>
      <c r="AD27" s="94" t="s">
        <v>55</v>
      </c>
      <c r="AE27" s="94" t="s">
        <v>55</v>
      </c>
      <c r="AF27" s="108">
        <v>0</v>
      </c>
      <c r="AG27" s="108">
        <v>1</v>
      </c>
      <c r="AH27" s="107">
        <v>0.3</v>
      </c>
      <c r="AI27" s="107">
        <v>0.08</v>
      </c>
      <c r="AJ27" s="107">
        <v>3</v>
      </c>
      <c r="AK27" s="109">
        <f t="shared" si="38"/>
        <v>0.43440000000000001</v>
      </c>
      <c r="AL27" s="109">
        <f t="shared" si="43"/>
        <v>4.3440000000000006E-2</v>
      </c>
      <c r="AM27" s="110">
        <f t="shared" ref="AM27:AM28" si="44">AF27*1.72+115*0.012*AG27</f>
        <v>1.3800000000000001</v>
      </c>
      <c r="AN27" s="110">
        <f t="shared" si="3"/>
        <v>0.30000000000000004</v>
      </c>
      <c r="AO27" s="109">
        <f>18068.2*I27*POWER(10,-6)</f>
        <v>3.0354576000000001E-2</v>
      </c>
      <c r="AP27" s="110">
        <f t="shared" si="13"/>
        <v>2.1881945760000003</v>
      </c>
      <c r="AQ27" s="111">
        <f t="shared" si="4"/>
        <v>0</v>
      </c>
      <c r="AR27" s="111">
        <f t="shared" si="5"/>
        <v>4.9999999999999998E-8</v>
      </c>
      <c r="AS27" s="111">
        <f t="shared" si="6"/>
        <v>1.0940972880000002E-7</v>
      </c>
    </row>
    <row r="28" spans="1:45" s="107" customFormat="1" ht="15" thickBot="1" x14ac:dyDescent="0.35">
      <c r="A28" s="100" t="s">
        <v>116</v>
      </c>
      <c r="B28" s="101" t="s">
        <v>118</v>
      </c>
      <c r="C28" s="94" t="s">
        <v>134</v>
      </c>
      <c r="D28" s="107" t="s">
        <v>88</v>
      </c>
      <c r="E28" s="103">
        <v>9.9999999999999995E-7</v>
      </c>
      <c r="F28" s="100">
        <v>1</v>
      </c>
      <c r="G28" s="100">
        <v>0.9</v>
      </c>
      <c r="H28" s="103">
        <f t="shared" si="42"/>
        <v>8.9999999999999996E-7</v>
      </c>
      <c r="I28" s="104">
        <v>1.68</v>
      </c>
      <c r="J28" s="104">
        <v>0.05</v>
      </c>
      <c r="K28" s="105"/>
      <c r="L28" s="106"/>
      <c r="M28" s="106"/>
      <c r="N28" s="106"/>
      <c r="O28" s="107" t="str">
        <f t="shared" si="10"/>
        <v>С27</v>
      </c>
      <c r="P28" s="107" t="str">
        <f t="shared" si="35"/>
        <v>Подземная емкость хранения одоранта</v>
      </c>
      <c r="Q28" s="107" t="str">
        <f t="shared" si="36"/>
        <v>Полное-токси</v>
      </c>
      <c r="R28" s="94" t="s">
        <v>55</v>
      </c>
      <c r="S28" s="94" t="s">
        <v>55</v>
      </c>
      <c r="T28" s="94" t="s">
        <v>55</v>
      </c>
      <c r="U28" s="94" t="s">
        <v>55</v>
      </c>
      <c r="V28" s="94" t="s">
        <v>55</v>
      </c>
      <c r="W28" s="94" t="s">
        <v>55</v>
      </c>
      <c r="X28" s="94" t="s">
        <v>55</v>
      </c>
      <c r="Y28" s="94" t="s">
        <v>55</v>
      </c>
      <c r="Z28" s="94" t="s">
        <v>55</v>
      </c>
      <c r="AA28" s="94" t="s">
        <v>55</v>
      </c>
      <c r="AB28" s="94" t="s">
        <v>55</v>
      </c>
      <c r="AC28" s="94">
        <v>10</v>
      </c>
      <c r="AD28" s="94">
        <v>60</v>
      </c>
      <c r="AE28" s="94" t="s">
        <v>55</v>
      </c>
      <c r="AF28" s="107">
        <v>0</v>
      </c>
      <c r="AG28" s="107">
        <v>1</v>
      </c>
      <c r="AH28" s="107">
        <v>0.3</v>
      </c>
      <c r="AI28" s="107">
        <v>0.08</v>
      </c>
      <c r="AJ28" s="107">
        <v>3</v>
      </c>
      <c r="AK28" s="109">
        <f t="shared" si="38"/>
        <v>0.43440000000000001</v>
      </c>
      <c r="AL28" s="109">
        <f t="shared" si="43"/>
        <v>4.3440000000000006E-2</v>
      </c>
      <c r="AM28" s="110">
        <f t="shared" si="44"/>
        <v>1.3800000000000001</v>
      </c>
      <c r="AN28" s="110">
        <f t="shared" si="3"/>
        <v>0.30000000000000004</v>
      </c>
      <c r="AO28" s="109">
        <f>12068.2*I28*POWER(10,-6)</f>
        <v>2.0274575999999999E-2</v>
      </c>
      <c r="AP28" s="110">
        <f t="shared" si="13"/>
        <v>2.178114576</v>
      </c>
      <c r="AQ28" s="111">
        <f t="shared" si="4"/>
        <v>0</v>
      </c>
      <c r="AR28" s="111">
        <f t="shared" si="5"/>
        <v>8.9999999999999996E-7</v>
      </c>
      <c r="AS28" s="111">
        <f t="shared" si="6"/>
        <v>1.9603031184000001E-6</v>
      </c>
    </row>
    <row r="29" spans="1:45" x14ac:dyDescent="0.3">
      <c r="AP29" s="1" t="s">
        <v>144</v>
      </c>
      <c r="AQ29" s="52">
        <f>SUM(AQ2:AQ28)</f>
        <v>1.249968E-5</v>
      </c>
      <c r="AR29" s="52">
        <f>SUM(AR2:AR28)</f>
        <v>2.0058496E-4</v>
      </c>
    </row>
    <row r="30" spans="1:45" x14ac:dyDescent="0.3">
      <c r="AP30" s="1" t="s">
        <v>145</v>
      </c>
      <c r="AQ30" s="52">
        <f>AQ29/7</f>
        <v>1.7856685714285715E-6</v>
      </c>
      <c r="AR30" s="52">
        <f>AR29/7</f>
        <v>2.8654994285714286E-5</v>
      </c>
    </row>
  </sheetData>
  <phoneticPr fontId="2" type="noConversion"/>
  <conditionalFormatting sqref="Q1:Q1048576">
    <cfRule type="containsText" dxfId="2" priority="4" operator="containsText" text="взрыв">
      <formula>NOT(ISERROR(SEARCH("взрыв",Q1)))</formula>
    </cfRule>
    <cfRule type="containsText" dxfId="1" priority="5" operator="containsText" text="факел">
      <formula>NOT(ISERROR(SEARCH("факел",Q1)))</formula>
    </cfRule>
    <cfRule type="containsText" dxfId="0" priority="6" operator="containsText" text="пожар">
      <formula>NOT(ISERROR(SEARCH("пожар",Q1)))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1"/>
  <sheetViews>
    <sheetView topLeftCell="A3" workbookViewId="0">
      <selection activeCell="M28" sqref="M28"/>
    </sheetView>
  </sheetViews>
  <sheetFormatPr defaultRowHeight="14.4" x14ac:dyDescent="0.3"/>
  <cols>
    <col min="2" max="2" width="36.6640625" customWidth="1"/>
    <col min="3" max="3" width="15.5546875" customWidth="1"/>
    <col min="6" max="6" width="12.109375" customWidth="1"/>
    <col min="14" max="14" width="9.33203125" bestFit="1" customWidth="1"/>
    <col min="15" max="15" width="79.33203125" customWidth="1"/>
  </cols>
  <sheetData>
    <row r="1" spans="1:15" ht="15" thickBot="1" x14ac:dyDescent="0.35">
      <c r="A1" s="96" t="s">
        <v>69</v>
      </c>
      <c r="B1" s="97"/>
      <c r="G1" s="37"/>
    </row>
    <row r="2" spans="1:15" ht="78.599999999999994" thickBot="1" x14ac:dyDescent="0.35">
      <c r="A2" s="38" t="s">
        <v>70</v>
      </c>
      <c r="B2" s="39" t="s">
        <v>71</v>
      </c>
      <c r="C2" s="40" t="s">
        <v>83</v>
      </c>
      <c r="D2" s="40" t="s">
        <v>84</v>
      </c>
      <c r="E2" s="40" t="s">
        <v>85</v>
      </c>
      <c r="F2" s="40" t="s">
        <v>72</v>
      </c>
      <c r="G2" s="40" t="s">
        <v>73</v>
      </c>
    </row>
    <row r="3" spans="1:15" ht="16.2" thickBot="1" x14ac:dyDescent="0.35">
      <c r="A3" s="41">
        <v>1</v>
      </c>
      <c r="B3" s="42" t="s">
        <v>74</v>
      </c>
      <c r="C3" s="43">
        <v>5000</v>
      </c>
      <c r="D3" s="43">
        <v>1.08</v>
      </c>
      <c r="E3" s="43">
        <v>0.10042</v>
      </c>
      <c r="F3" s="43">
        <v>0.79800000000000004</v>
      </c>
      <c r="G3" s="44">
        <f>C3*F3*E3*D3</f>
        <v>432.72986400000002</v>
      </c>
    </row>
    <row r="4" spans="1:15" ht="18.600000000000001" thickBot="1" x14ac:dyDescent="0.35">
      <c r="A4" s="41">
        <v>2</v>
      </c>
      <c r="B4" s="42" t="s">
        <v>75</v>
      </c>
      <c r="C4" s="43">
        <v>64289</v>
      </c>
      <c r="D4" s="43">
        <v>1.08</v>
      </c>
      <c r="E4" s="43">
        <v>0.10042</v>
      </c>
      <c r="F4" s="43">
        <v>6.6000000000000003E-2</v>
      </c>
      <c r="G4" s="44">
        <f t="shared" ref="G4:G10" si="0">C4*F4*E4*D4</f>
        <v>460.17665036640005</v>
      </c>
    </row>
    <row r="5" spans="1:15" ht="18.600000000000001" thickBot="1" x14ac:dyDescent="0.35">
      <c r="A5" s="41">
        <v>3</v>
      </c>
      <c r="B5" s="42" t="s">
        <v>76</v>
      </c>
      <c r="C5" s="43">
        <v>10723</v>
      </c>
      <c r="D5" s="43">
        <v>1.08</v>
      </c>
      <c r="E5" s="43">
        <v>0.10042</v>
      </c>
      <c r="F5" s="43">
        <v>0.26</v>
      </c>
      <c r="G5" s="44">
        <f t="shared" si="0"/>
        <v>302.36646772799998</v>
      </c>
    </row>
    <row r="6" spans="1:15" ht="18.600000000000001" thickBot="1" x14ac:dyDescent="0.35">
      <c r="A6" s="41">
        <v>4</v>
      </c>
      <c r="B6" s="42" t="s">
        <v>77</v>
      </c>
      <c r="C6" s="43">
        <v>50000</v>
      </c>
      <c r="D6" s="43">
        <v>1.08</v>
      </c>
      <c r="E6" s="43">
        <v>0.10042</v>
      </c>
      <c r="F6" s="43">
        <v>1E-3</v>
      </c>
      <c r="G6" s="44">
        <f t="shared" si="0"/>
        <v>5.4226800000000006</v>
      </c>
    </row>
    <row r="7" spans="1:15" ht="16.2" thickBot="1" x14ac:dyDescent="0.35">
      <c r="A7" s="41">
        <v>5</v>
      </c>
      <c r="B7" s="42" t="s">
        <v>78</v>
      </c>
      <c r="C7" s="43">
        <v>50000</v>
      </c>
      <c r="D7" s="43">
        <v>1.08</v>
      </c>
      <c r="E7" s="43">
        <v>0.10042</v>
      </c>
      <c r="F7" s="43">
        <v>1.615</v>
      </c>
      <c r="G7" s="44">
        <f t="shared" si="0"/>
        <v>8757.628200000001</v>
      </c>
    </row>
    <row r="8" spans="1:15" ht="16.2" thickBot="1" x14ac:dyDescent="0.35">
      <c r="A8" s="41">
        <v>6</v>
      </c>
      <c r="B8" s="42" t="s">
        <v>79</v>
      </c>
      <c r="C8" s="43">
        <v>50000</v>
      </c>
      <c r="D8" s="43">
        <v>1.08</v>
      </c>
      <c r="E8" s="43">
        <v>0.10042</v>
      </c>
      <c r="F8" s="43">
        <v>0.01</v>
      </c>
      <c r="G8" s="44">
        <f t="shared" si="0"/>
        <v>54.226800000000004</v>
      </c>
    </row>
    <row r="9" spans="1:15" ht="16.2" thickBot="1" x14ac:dyDescent="0.35">
      <c r="A9" s="41">
        <v>8</v>
      </c>
      <c r="B9" s="42" t="s">
        <v>80</v>
      </c>
      <c r="C9" s="43">
        <v>50000</v>
      </c>
      <c r="D9" s="43">
        <v>1.08</v>
      </c>
      <c r="E9" s="43">
        <v>0.10042</v>
      </c>
      <c r="F9" s="43">
        <v>0.01</v>
      </c>
      <c r="G9" s="44">
        <f t="shared" si="0"/>
        <v>54.226800000000004</v>
      </c>
    </row>
    <row r="10" spans="1:15" ht="18.600000000000001" thickBot="1" x14ac:dyDescent="0.35">
      <c r="A10" s="41">
        <v>9</v>
      </c>
      <c r="B10" s="42" t="s">
        <v>81</v>
      </c>
      <c r="C10" s="43">
        <v>93.5</v>
      </c>
      <c r="D10" s="43">
        <v>1.08</v>
      </c>
      <c r="E10" s="43">
        <v>0.10042</v>
      </c>
      <c r="F10" s="43">
        <v>0.14000000000000001</v>
      </c>
      <c r="G10" s="44">
        <f t="shared" si="0"/>
        <v>1.4196576240000001</v>
      </c>
    </row>
    <row r="11" spans="1:15" ht="16.2" thickBot="1" x14ac:dyDescent="0.35">
      <c r="A11" s="45"/>
      <c r="B11" s="46"/>
      <c r="C11" s="46"/>
      <c r="D11" s="46"/>
      <c r="E11" s="98" t="s">
        <v>82</v>
      </c>
      <c r="F11" s="99"/>
      <c r="G11" s="47">
        <f>SUM(G3:G10)</f>
        <v>10068.197119718401</v>
      </c>
    </row>
    <row r="13" spans="1:15" ht="15" thickBot="1" x14ac:dyDescent="0.35"/>
    <row r="14" spans="1:15" ht="113.4" thickBot="1" x14ac:dyDescent="0.4">
      <c r="A14" s="38" t="s">
        <v>70</v>
      </c>
      <c r="B14" s="39" t="s">
        <v>71</v>
      </c>
      <c r="C14" s="40" t="s">
        <v>83</v>
      </c>
      <c r="D14" s="40" t="s">
        <v>84</v>
      </c>
      <c r="E14" s="40" t="s">
        <v>85</v>
      </c>
      <c r="F14" s="40" t="s">
        <v>72</v>
      </c>
      <c r="G14" s="40" t="s">
        <v>73</v>
      </c>
      <c r="O14" s="48" t="s">
        <v>87</v>
      </c>
    </row>
    <row r="15" spans="1:15" ht="16.2" thickBot="1" x14ac:dyDescent="0.35">
      <c r="A15" s="41">
        <v>1</v>
      </c>
      <c r="B15" s="42" t="s">
        <v>86</v>
      </c>
      <c r="C15" s="43">
        <v>12292</v>
      </c>
      <c r="D15" s="43">
        <v>1.08</v>
      </c>
      <c r="E15" s="43">
        <v>0.10042</v>
      </c>
      <c r="F15" s="43">
        <v>1</v>
      </c>
      <c r="G15" s="44">
        <f>C15*F15*E15*D15</f>
        <v>1333.1116512000001</v>
      </c>
    </row>
    <row r="19" spans="14:15" ht="15" thickBot="1" x14ac:dyDescent="0.35"/>
    <row r="20" spans="14:15" ht="16.2" thickBot="1" x14ac:dyDescent="0.35">
      <c r="N20" s="50"/>
      <c r="O20" s="49"/>
    </row>
    <row r="21" spans="14:15" ht="16.2" thickBot="1" x14ac:dyDescent="0.35">
      <c r="N21" s="51"/>
      <c r="O21" s="49"/>
    </row>
  </sheetData>
  <mergeCells count="2">
    <mergeCell ref="A1:B1"/>
    <mergeCell ref="E11:F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Емкость(одорант)</vt:lpstr>
      <vt:lpstr>ГАЗОПРОВОД НАРУЖНЫЙ</vt:lpstr>
      <vt:lpstr>ГАЗОПРОВОД ВНУТРЕННИЙ</vt:lpstr>
      <vt:lpstr>Сценарии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Konstantin</cp:lastModifiedBy>
  <dcterms:created xsi:type="dcterms:W3CDTF">2023-05-30T04:30:41Z</dcterms:created>
  <dcterms:modified xsi:type="dcterms:W3CDTF">2023-08-16T15:28:19Z</dcterms:modified>
</cp:coreProperties>
</file>