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enpz3\"/>
    </mc:Choice>
  </mc:AlternateContent>
  <bookViews>
    <workbookView xWindow="-105" yWindow="-105" windowWidth="30930" windowHeight="16890" activeTab="3"/>
  </bookViews>
  <sheets>
    <sheet name="Емкость(одорант)" sheetId="6" r:id="rId1"/>
    <sheet name="ГАЗОПРОВОД НАРУЖНЫЙ" sheetId="9" r:id="rId2"/>
    <sheet name="ГАЗОПРОВОД ВНУТРЕННИЙ" sheetId="3" r:id="rId3"/>
    <sheet name="Сценарии" sheetId="2" r:id="rId4"/>
    <sheet name="Лист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6" i="2" l="1"/>
  <c r="AQ46" i="2"/>
  <c r="AR45" i="2"/>
  <c r="AQ45" i="2"/>
  <c r="AO42" i="2"/>
  <c r="AO43" i="2"/>
  <c r="AO44" i="2"/>
  <c r="L34" i="2" l="1"/>
  <c r="M34" i="2"/>
  <c r="L27" i="2"/>
  <c r="M27" i="2"/>
  <c r="N27" i="2" s="1"/>
  <c r="L28" i="2"/>
  <c r="M28" i="2"/>
  <c r="L29" i="2"/>
  <c r="M29" i="2"/>
  <c r="L30" i="2"/>
  <c r="M30" i="2"/>
  <c r="N30" i="2"/>
  <c r="L31" i="2"/>
  <c r="M31" i="2"/>
  <c r="N31" i="2"/>
  <c r="L32" i="2"/>
  <c r="N32" i="2" s="1"/>
  <c r="M32" i="2"/>
  <c r="L33" i="2"/>
  <c r="M33" i="2"/>
  <c r="N33" i="2" s="1"/>
  <c r="L26" i="2"/>
  <c r="M26" i="2"/>
  <c r="L23" i="2"/>
  <c r="L24" i="2"/>
  <c r="L25" i="2"/>
  <c r="L22" i="2"/>
  <c r="M25" i="2"/>
  <c r="M24" i="2"/>
  <c r="N24" i="2" s="1"/>
  <c r="I24" i="2" s="1"/>
  <c r="AO24" i="2" s="1"/>
  <c r="M23" i="2"/>
  <c r="N23" i="2" s="1"/>
  <c r="M22" i="2"/>
  <c r="M19" i="2"/>
  <c r="M20" i="2"/>
  <c r="M21" i="2"/>
  <c r="M18" i="2"/>
  <c r="L19" i="2"/>
  <c r="L20" i="2"/>
  <c r="L21" i="2"/>
  <c r="L18" i="2"/>
  <c r="N19" i="2"/>
  <c r="L15" i="2"/>
  <c r="L16" i="2"/>
  <c r="L17" i="2"/>
  <c r="L14" i="2"/>
  <c r="M17" i="2"/>
  <c r="M16" i="2"/>
  <c r="N16" i="2" s="1"/>
  <c r="I16" i="2" s="1"/>
  <c r="AO16" i="2" s="1"/>
  <c r="M15" i="2"/>
  <c r="M14" i="2"/>
  <c r="N14" i="2" s="1"/>
  <c r="I14" i="2" s="1"/>
  <c r="AO14" i="2" s="1"/>
  <c r="L11" i="2"/>
  <c r="L12" i="2"/>
  <c r="N12" i="2" s="1"/>
  <c r="I12" i="2" s="1"/>
  <c r="AO12" i="2" s="1"/>
  <c r="L13" i="2"/>
  <c r="L10" i="2"/>
  <c r="M13" i="2"/>
  <c r="M12" i="2"/>
  <c r="M11" i="2"/>
  <c r="M10" i="2"/>
  <c r="L7" i="2"/>
  <c r="L8" i="2"/>
  <c r="L9" i="2"/>
  <c r="L6" i="2"/>
  <c r="M9" i="2"/>
  <c r="M8" i="2"/>
  <c r="N8" i="2" s="1"/>
  <c r="I8" i="2" s="1"/>
  <c r="M7" i="2"/>
  <c r="M6" i="2"/>
  <c r="N6" i="2" s="1"/>
  <c r="I6" i="2" s="1"/>
  <c r="L3" i="2"/>
  <c r="N3" i="2" s="1"/>
  <c r="M3" i="2"/>
  <c r="L4" i="2"/>
  <c r="M4" i="2"/>
  <c r="L5" i="2"/>
  <c r="M5" i="2"/>
  <c r="N5" i="2" s="1"/>
  <c r="M2" i="2"/>
  <c r="N2" i="2" s="1"/>
  <c r="I2" i="2" s="1"/>
  <c r="I3" i="2" s="1"/>
  <c r="AO3" i="2" s="1"/>
  <c r="L2" i="2"/>
  <c r="AO8" i="2" l="1"/>
  <c r="I9" i="2"/>
  <c r="AO9" i="2" s="1"/>
  <c r="AO6" i="2"/>
  <c r="I7" i="2"/>
  <c r="AO7" i="2" s="1"/>
  <c r="N15" i="2"/>
  <c r="N20" i="2"/>
  <c r="N11" i="2"/>
  <c r="N10" i="2"/>
  <c r="I10" i="2" s="1"/>
  <c r="AO10" i="2" s="1"/>
  <c r="N28" i="2"/>
  <c r="N4" i="2"/>
  <c r="I4" i="2" s="1"/>
  <c r="AO4" i="2" s="1"/>
  <c r="N7" i="2"/>
  <c r="N18" i="2"/>
  <c r="N22" i="2"/>
  <c r="I22" i="2" s="1"/>
  <c r="AO22" i="2" s="1"/>
  <c r="N26" i="2"/>
  <c r="N29" i="2"/>
  <c r="N34" i="2"/>
  <c r="N25" i="2"/>
  <c r="N21" i="2"/>
  <c r="N17" i="2"/>
  <c r="N13" i="2"/>
  <c r="N9" i="2"/>
  <c r="H42" i="2"/>
  <c r="AR11" i="2" l="1"/>
  <c r="AR19" i="2"/>
  <c r="AR23" i="2"/>
  <c r="AR27" i="2"/>
  <c r="AR31" i="2"/>
  <c r="AR39" i="2"/>
  <c r="AR42" i="2"/>
  <c r="AQ8" i="2"/>
  <c r="AQ16" i="2"/>
  <c r="AQ20" i="2"/>
  <c r="AQ24" i="2"/>
  <c r="AQ28" i="2"/>
  <c r="AQ36" i="2"/>
  <c r="AQ40" i="2"/>
  <c r="AQ42" i="2"/>
  <c r="AO2" i="2"/>
  <c r="AL43" i="2"/>
  <c r="AL44" i="2"/>
  <c r="AK42" i="2"/>
  <c r="AL42" i="2" s="1"/>
  <c r="AK43" i="2"/>
  <c r="AK44" i="2"/>
  <c r="AM43" i="2"/>
  <c r="AM44" i="2"/>
  <c r="AM2" i="2"/>
  <c r="AK22" i="2"/>
  <c r="AK17" i="2"/>
  <c r="AL17" i="2" s="1"/>
  <c r="AK10" i="2"/>
  <c r="AK6" i="2"/>
  <c r="AL6" i="2" s="1"/>
  <c r="AN44" i="2"/>
  <c r="AP44" i="2" s="1"/>
  <c r="AN43" i="2"/>
  <c r="AP43" i="2" s="1"/>
  <c r="AN42" i="2"/>
  <c r="AP42" i="2" s="1"/>
  <c r="AS42" i="2" s="1"/>
  <c r="AH41" i="2"/>
  <c r="AH40" i="2"/>
  <c r="AH39" i="2"/>
  <c r="AH38" i="2"/>
  <c r="AH37" i="2"/>
  <c r="AH36" i="2"/>
  <c r="AH35" i="2"/>
  <c r="AH34" i="2"/>
  <c r="AH33" i="2"/>
  <c r="AH32" i="2"/>
  <c r="AH31" i="2"/>
  <c r="AH30" i="2"/>
  <c r="AH28" i="2"/>
  <c r="AH29" i="2"/>
  <c r="AH27" i="2"/>
  <c r="AH26" i="2"/>
  <c r="AH25" i="2"/>
  <c r="AH24" i="2"/>
  <c r="AK24" i="2" s="1"/>
  <c r="AH23" i="2"/>
  <c r="AH22" i="2"/>
  <c r="AH21" i="2"/>
  <c r="AH20" i="2"/>
  <c r="AH19" i="2"/>
  <c r="AH18" i="2"/>
  <c r="AH17" i="2"/>
  <c r="AH16" i="2"/>
  <c r="AK16" i="2" s="1"/>
  <c r="AH15" i="2"/>
  <c r="AH14" i="2"/>
  <c r="AK14" i="2" s="1"/>
  <c r="AL14" i="2" s="1"/>
  <c r="AP14" i="2" s="1"/>
  <c r="AS14" i="2" s="1"/>
  <c r="AH13" i="2"/>
  <c r="AH12" i="2"/>
  <c r="AK12" i="2" s="1"/>
  <c r="AH11" i="2"/>
  <c r="AH10" i="2"/>
  <c r="AH6" i="2"/>
  <c r="AH9" i="2"/>
  <c r="AK9" i="2" s="1"/>
  <c r="AL9" i="2" s="1"/>
  <c r="AH8" i="2"/>
  <c r="AK8" i="2" s="1"/>
  <c r="AH7" i="2"/>
  <c r="AK7" i="2" s="1"/>
  <c r="AH5" i="2"/>
  <c r="AH4" i="2"/>
  <c r="AK4" i="2" s="1"/>
  <c r="AH3" i="2"/>
  <c r="AH2" i="2"/>
  <c r="AK2" i="2" s="1"/>
  <c r="AM42" i="2"/>
  <c r="AA38" i="2"/>
  <c r="AB38" i="2" s="1"/>
  <c r="AA34" i="2"/>
  <c r="AB34" i="2" s="1"/>
  <c r="AA30" i="2"/>
  <c r="AB30" i="2" s="1"/>
  <c r="AA26" i="2"/>
  <c r="AB26" i="2" s="1"/>
  <c r="AA24" i="2"/>
  <c r="AB24" i="2" s="1"/>
  <c r="AA22" i="2"/>
  <c r="AB22" i="2" s="1"/>
  <c r="AA20" i="2"/>
  <c r="AB20" i="2" s="1"/>
  <c r="AA18" i="2"/>
  <c r="AB18" i="2" s="1"/>
  <c r="AA16" i="2"/>
  <c r="AB16" i="2" s="1"/>
  <c r="AA14" i="2"/>
  <c r="AB14" i="2" s="1"/>
  <c r="AA12" i="2"/>
  <c r="AB12" i="2" s="1"/>
  <c r="AA10" i="2"/>
  <c r="AB10" i="2" s="1"/>
  <c r="AA8" i="2"/>
  <c r="AB8" i="2" s="1"/>
  <c r="AA6" i="2"/>
  <c r="AB6" i="2" s="1"/>
  <c r="AA4" i="2"/>
  <c r="AB4" i="2" s="1"/>
  <c r="AA2" i="2"/>
  <c r="AB2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P43" i="2"/>
  <c r="P44" i="2"/>
  <c r="H44" i="2"/>
  <c r="AR44" i="2" s="1"/>
  <c r="H43" i="2"/>
  <c r="Q44" i="2"/>
  <c r="Q43" i="2"/>
  <c r="Q42" i="2"/>
  <c r="P42" i="2"/>
  <c r="AN25" i="2"/>
  <c r="AM25" i="2"/>
  <c r="Q25" i="2"/>
  <c r="P25" i="2"/>
  <c r="G25" i="2"/>
  <c r="H25" i="2" s="1"/>
  <c r="AQ25" i="2" s="1"/>
  <c r="AN24" i="2"/>
  <c r="AM24" i="2"/>
  <c r="Q24" i="2"/>
  <c r="P24" i="2"/>
  <c r="I25" i="2"/>
  <c r="H24" i="2"/>
  <c r="AR24" i="2" s="1"/>
  <c r="AN23" i="2"/>
  <c r="AM23" i="2"/>
  <c r="Q23" i="2"/>
  <c r="P23" i="2"/>
  <c r="J23" i="2"/>
  <c r="G23" i="2"/>
  <c r="H23" i="2" s="1"/>
  <c r="AQ23" i="2" s="1"/>
  <c r="AN22" i="2"/>
  <c r="AM22" i="2"/>
  <c r="Q22" i="2"/>
  <c r="P22" i="2"/>
  <c r="H22" i="2"/>
  <c r="AQ22" i="2" s="1"/>
  <c r="I5" i="2"/>
  <c r="I13" i="2"/>
  <c r="I17" i="2"/>
  <c r="I20" i="2"/>
  <c r="AN21" i="2"/>
  <c r="AM21" i="2"/>
  <c r="Q21" i="2"/>
  <c r="P21" i="2"/>
  <c r="G21" i="2"/>
  <c r="H21" i="2" s="1"/>
  <c r="AQ21" i="2" s="1"/>
  <c r="AN20" i="2"/>
  <c r="AM20" i="2"/>
  <c r="Q20" i="2"/>
  <c r="P20" i="2"/>
  <c r="H20" i="2"/>
  <c r="AR20" i="2" s="1"/>
  <c r="AN19" i="2"/>
  <c r="AM19" i="2"/>
  <c r="Q19" i="2"/>
  <c r="P19" i="2"/>
  <c r="J19" i="2"/>
  <c r="G19" i="2"/>
  <c r="H19" i="2" s="1"/>
  <c r="AQ19" i="2" s="1"/>
  <c r="AN18" i="2"/>
  <c r="AM18" i="2"/>
  <c r="Q18" i="2"/>
  <c r="P18" i="2"/>
  <c r="I18" i="2"/>
  <c r="AK18" i="2" s="1"/>
  <c r="H18" i="2"/>
  <c r="AQ18" i="2" s="1"/>
  <c r="I34" i="2"/>
  <c r="I30" i="2"/>
  <c r="I32" i="2" s="1"/>
  <c r="J32" i="2" s="1"/>
  <c r="AK32" i="2" s="1"/>
  <c r="AL32" i="2" s="1"/>
  <c r="I26" i="2"/>
  <c r="AK26" i="2" s="1"/>
  <c r="AN41" i="2"/>
  <c r="AM41" i="2"/>
  <c r="Q41" i="2"/>
  <c r="P41" i="2"/>
  <c r="H41" i="2"/>
  <c r="AR41" i="2" s="1"/>
  <c r="AN40" i="2"/>
  <c r="AM40" i="2"/>
  <c r="Q40" i="2"/>
  <c r="P40" i="2"/>
  <c r="H40" i="2"/>
  <c r="AR40" i="2" s="1"/>
  <c r="AN39" i="2"/>
  <c r="AM39" i="2"/>
  <c r="Q39" i="2"/>
  <c r="P39" i="2"/>
  <c r="H39" i="2"/>
  <c r="AQ39" i="2" s="1"/>
  <c r="AN38" i="2"/>
  <c r="AM38" i="2"/>
  <c r="Q38" i="2"/>
  <c r="P38" i="2"/>
  <c r="I38" i="2"/>
  <c r="H38" i="2"/>
  <c r="AQ38" i="2" s="1"/>
  <c r="AN37" i="2"/>
  <c r="AM37" i="2"/>
  <c r="Q37" i="2"/>
  <c r="P37" i="2"/>
  <c r="H37" i="2"/>
  <c r="AQ37" i="2" s="1"/>
  <c r="AN36" i="2"/>
  <c r="AM36" i="2"/>
  <c r="Q36" i="2"/>
  <c r="P36" i="2"/>
  <c r="H36" i="2"/>
  <c r="AR36" i="2" s="1"/>
  <c r="AN35" i="2"/>
  <c r="AM35" i="2"/>
  <c r="Q35" i="2"/>
  <c r="P35" i="2"/>
  <c r="H35" i="2"/>
  <c r="AQ35" i="2" s="1"/>
  <c r="AN34" i="2"/>
  <c r="AM34" i="2"/>
  <c r="Q34" i="2"/>
  <c r="P34" i="2"/>
  <c r="H34" i="2"/>
  <c r="AQ34" i="2" s="1"/>
  <c r="H22" i="9"/>
  <c r="H16" i="9"/>
  <c r="G22" i="9"/>
  <c r="G16" i="9"/>
  <c r="G9" i="9"/>
  <c r="H9" i="9" s="1"/>
  <c r="B15" i="9"/>
  <c r="B14" i="9"/>
  <c r="G3" i="9"/>
  <c r="H3" i="9" s="1"/>
  <c r="AM32" i="2"/>
  <c r="AN32" i="2"/>
  <c r="AM33" i="2"/>
  <c r="AN33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H32" i="2"/>
  <c r="H33" i="2"/>
  <c r="AQ33" i="2" s="1"/>
  <c r="I26" i="3"/>
  <c r="I24" i="3"/>
  <c r="I20" i="3"/>
  <c r="I16" i="3"/>
  <c r="B15" i="3"/>
  <c r="H26" i="3"/>
  <c r="H24" i="3"/>
  <c r="H20" i="3"/>
  <c r="H16" i="3"/>
  <c r="H13" i="3"/>
  <c r="H11" i="3"/>
  <c r="H7" i="3"/>
  <c r="H3" i="3"/>
  <c r="B14" i="3"/>
  <c r="I13" i="3" s="1"/>
  <c r="AN31" i="2"/>
  <c r="AM31" i="2"/>
  <c r="H31" i="2"/>
  <c r="AQ31" i="2" s="1"/>
  <c r="AN30" i="2"/>
  <c r="AM30" i="2"/>
  <c r="H30" i="2"/>
  <c r="AQ30" i="2" s="1"/>
  <c r="AN29" i="2"/>
  <c r="AM29" i="2"/>
  <c r="H29" i="2"/>
  <c r="AQ29" i="2" s="1"/>
  <c r="AN28" i="2"/>
  <c r="AM28" i="2"/>
  <c r="H28" i="2"/>
  <c r="AN27" i="2"/>
  <c r="AM27" i="2"/>
  <c r="H27" i="2"/>
  <c r="AQ27" i="2" s="1"/>
  <c r="AN26" i="2"/>
  <c r="AM26" i="2"/>
  <c r="Q26" i="2"/>
  <c r="P26" i="2"/>
  <c r="H26" i="2"/>
  <c r="AQ26" i="2" s="1"/>
  <c r="AN17" i="2"/>
  <c r="AM17" i="2"/>
  <c r="Q17" i="2"/>
  <c r="P17" i="2"/>
  <c r="G17" i="2"/>
  <c r="H17" i="2" s="1"/>
  <c r="AQ17" i="2" s="1"/>
  <c r="AN16" i="2"/>
  <c r="AM16" i="2"/>
  <c r="Q16" i="2"/>
  <c r="P16" i="2"/>
  <c r="H16" i="2"/>
  <c r="AR16" i="2" s="1"/>
  <c r="AN15" i="2"/>
  <c r="AM15" i="2"/>
  <c r="Q15" i="2"/>
  <c r="P15" i="2"/>
  <c r="J15" i="2"/>
  <c r="G15" i="2"/>
  <c r="H15" i="2" s="1"/>
  <c r="AQ15" i="2" s="1"/>
  <c r="AN14" i="2"/>
  <c r="AM14" i="2"/>
  <c r="Q14" i="2"/>
  <c r="P14" i="2"/>
  <c r="H14" i="2"/>
  <c r="AQ14" i="2" s="1"/>
  <c r="AN13" i="2"/>
  <c r="AM13" i="2"/>
  <c r="Q13" i="2"/>
  <c r="P13" i="2"/>
  <c r="G13" i="2"/>
  <c r="H13" i="2" s="1"/>
  <c r="AQ13" i="2" s="1"/>
  <c r="AN12" i="2"/>
  <c r="AM12" i="2"/>
  <c r="Q12" i="2"/>
  <c r="P12" i="2"/>
  <c r="H12" i="2"/>
  <c r="AR12" i="2" s="1"/>
  <c r="AN11" i="2"/>
  <c r="AM11" i="2"/>
  <c r="Q11" i="2"/>
  <c r="P11" i="2"/>
  <c r="J11" i="2"/>
  <c r="G11" i="2"/>
  <c r="H11" i="2" s="1"/>
  <c r="AQ11" i="2" s="1"/>
  <c r="AN10" i="2"/>
  <c r="AM10" i="2"/>
  <c r="Q10" i="2"/>
  <c r="P10" i="2"/>
  <c r="J10" i="2"/>
  <c r="H10" i="2"/>
  <c r="AQ10" i="2" s="1"/>
  <c r="AN9" i="2"/>
  <c r="AM9" i="2"/>
  <c r="Q9" i="2"/>
  <c r="P9" i="2"/>
  <c r="G9" i="2"/>
  <c r="H9" i="2" s="1"/>
  <c r="AQ9" i="2" s="1"/>
  <c r="AN8" i="2"/>
  <c r="AM8" i="2"/>
  <c r="Q8" i="2"/>
  <c r="P8" i="2"/>
  <c r="H8" i="2"/>
  <c r="AR8" i="2" s="1"/>
  <c r="AN7" i="2"/>
  <c r="AM7" i="2"/>
  <c r="Q7" i="2"/>
  <c r="P7" i="2"/>
  <c r="J7" i="2"/>
  <c r="G7" i="2"/>
  <c r="H7" i="2" s="1"/>
  <c r="AQ7" i="2" s="1"/>
  <c r="AN6" i="2"/>
  <c r="AM6" i="2"/>
  <c r="Q6" i="2"/>
  <c r="P6" i="2"/>
  <c r="H6" i="2"/>
  <c r="AQ6" i="2" s="1"/>
  <c r="G5" i="2"/>
  <c r="G3" i="2"/>
  <c r="I40" i="2" l="1"/>
  <c r="AO38" i="2"/>
  <c r="AP38" i="2" s="1"/>
  <c r="AS38" i="2" s="1"/>
  <c r="AQ12" i="2"/>
  <c r="AR35" i="2"/>
  <c r="AR15" i="2"/>
  <c r="AR7" i="2"/>
  <c r="AK5" i="2"/>
  <c r="AO5" i="2"/>
  <c r="AO32" i="2"/>
  <c r="AP32" i="2" s="1"/>
  <c r="AS32" i="2" s="1"/>
  <c r="AR38" i="2"/>
  <c r="AR34" i="2"/>
  <c r="AR30" i="2"/>
  <c r="AR26" i="2"/>
  <c r="AR22" i="2"/>
  <c r="AR18" i="2"/>
  <c r="AR14" i="2"/>
  <c r="AR10" i="2"/>
  <c r="AR6" i="2"/>
  <c r="AL18" i="2"/>
  <c r="AO18" i="2"/>
  <c r="AK13" i="2"/>
  <c r="AL13" i="2" s="1"/>
  <c r="AO13" i="2"/>
  <c r="AP13" i="2" s="1"/>
  <c r="AS13" i="2" s="1"/>
  <c r="AS43" i="2"/>
  <c r="AQ32" i="2"/>
  <c r="I36" i="2"/>
  <c r="AO34" i="2"/>
  <c r="AP34" i="2" s="1"/>
  <c r="AS34" i="2" s="1"/>
  <c r="J20" i="2"/>
  <c r="AL20" i="2" s="1"/>
  <c r="AO20" i="2"/>
  <c r="AK25" i="2"/>
  <c r="AL25" i="2" s="1"/>
  <c r="AO25" i="2"/>
  <c r="AP25" i="2" s="1"/>
  <c r="AS25" i="2" s="1"/>
  <c r="AO26" i="2"/>
  <c r="AR37" i="2"/>
  <c r="AR33" i="2"/>
  <c r="AR29" i="2"/>
  <c r="AR25" i="2"/>
  <c r="AR21" i="2"/>
  <c r="AR17" i="2"/>
  <c r="AR13" i="2"/>
  <c r="AR9" i="2"/>
  <c r="AP17" i="2"/>
  <c r="AS17" i="2" s="1"/>
  <c r="AO17" i="2"/>
  <c r="AK20" i="2"/>
  <c r="AO30" i="2"/>
  <c r="AR32" i="2"/>
  <c r="AR28" i="2"/>
  <c r="AP6" i="2"/>
  <c r="AS6" i="2" s="1"/>
  <c r="AP9" i="2"/>
  <c r="AS9" i="2" s="1"/>
  <c r="AQ43" i="2"/>
  <c r="AR43" i="2"/>
  <c r="AQ41" i="2"/>
  <c r="AQ44" i="2"/>
  <c r="AS44" i="2"/>
  <c r="AL22" i="2"/>
  <c r="AP22" i="2" s="1"/>
  <c r="AS22" i="2" s="1"/>
  <c r="AL26" i="2"/>
  <c r="I28" i="2"/>
  <c r="J24" i="2"/>
  <c r="AL24" i="2" s="1"/>
  <c r="AP24" i="2" s="1"/>
  <c r="AS24" i="2" s="1"/>
  <c r="J22" i="2"/>
  <c r="I23" i="2"/>
  <c r="AO23" i="2" s="1"/>
  <c r="I11" i="2"/>
  <c r="AO11" i="2" s="1"/>
  <c r="AL10" i="2"/>
  <c r="AP10" i="2" s="1"/>
  <c r="AS10" i="2" s="1"/>
  <c r="I15" i="2"/>
  <c r="AO15" i="2" s="1"/>
  <c r="I19" i="2"/>
  <c r="J18" i="2"/>
  <c r="I21" i="2"/>
  <c r="J14" i="2"/>
  <c r="J4" i="2"/>
  <c r="J16" i="2"/>
  <c r="AL16" i="2" s="1"/>
  <c r="AP16" i="2" s="1"/>
  <c r="AS16" i="2" s="1"/>
  <c r="J34" i="2"/>
  <c r="I39" i="2"/>
  <c r="I35" i="2"/>
  <c r="AO35" i="2" s="1"/>
  <c r="AK34" i="2"/>
  <c r="AL34" i="2" s="1"/>
  <c r="J38" i="2"/>
  <c r="AK38" i="2"/>
  <c r="AL38" i="2" s="1"/>
  <c r="I31" i="2"/>
  <c r="AO31" i="2" s="1"/>
  <c r="J30" i="2"/>
  <c r="I27" i="2"/>
  <c r="AO27" i="2" s="1"/>
  <c r="J26" i="2"/>
  <c r="I3" i="3"/>
  <c r="I7" i="3"/>
  <c r="J12" i="2"/>
  <c r="AL12" i="2" s="1"/>
  <c r="AP12" i="2" s="1"/>
  <c r="AS12" i="2" s="1"/>
  <c r="J6" i="2"/>
  <c r="AL7" i="2"/>
  <c r="AP7" i="2" s="1"/>
  <c r="AS7" i="2" s="1"/>
  <c r="J8" i="2"/>
  <c r="AL8" i="2" s="1"/>
  <c r="AP8" i="2" s="1"/>
  <c r="AS8" i="2" s="1"/>
  <c r="J2" i="2"/>
  <c r="AP26" i="2" l="1"/>
  <c r="AS26" i="2" s="1"/>
  <c r="J40" i="2"/>
  <c r="AO40" i="2"/>
  <c r="AP40" i="2" s="1"/>
  <c r="AS40" i="2" s="1"/>
  <c r="AK40" i="2"/>
  <c r="AL40" i="2" s="1"/>
  <c r="AL19" i="2"/>
  <c r="AO19" i="2"/>
  <c r="AK19" i="2"/>
  <c r="J36" i="2"/>
  <c r="AK36" i="2" s="1"/>
  <c r="AL36" i="2" s="1"/>
  <c r="AO36" i="2"/>
  <c r="AP36" i="2" s="1"/>
  <c r="AS36" i="2" s="1"/>
  <c r="AO39" i="2"/>
  <c r="AK39" i="2"/>
  <c r="AO21" i="2"/>
  <c r="AP21" i="2" s="1"/>
  <c r="AS21" i="2" s="1"/>
  <c r="AK21" i="2"/>
  <c r="AL21" i="2" s="1"/>
  <c r="J28" i="2"/>
  <c r="AK28" i="2" s="1"/>
  <c r="AL28" i="2" s="1"/>
  <c r="AO28" i="2"/>
  <c r="AP28" i="2" s="1"/>
  <c r="AS28" i="2" s="1"/>
  <c r="AP20" i="2"/>
  <c r="AS20" i="2" s="1"/>
  <c r="AP18" i="2"/>
  <c r="AS18" i="2" s="1"/>
  <c r="AK23" i="2"/>
  <c r="AL23" i="2" s="1"/>
  <c r="AK15" i="2"/>
  <c r="AL15" i="2" s="1"/>
  <c r="AK11" i="2"/>
  <c r="AL11" i="2" s="1"/>
  <c r="AK35" i="2"/>
  <c r="AL35" i="2" s="1"/>
  <c r="AP35" i="2" s="1"/>
  <c r="AS35" i="2" s="1"/>
  <c r="J35" i="2"/>
  <c r="I37" i="2"/>
  <c r="I41" i="2"/>
  <c r="J39" i="2"/>
  <c r="AL39" i="2" s="1"/>
  <c r="I33" i="2"/>
  <c r="J31" i="2"/>
  <c r="AK31" i="2" s="1"/>
  <c r="AL31" i="2" s="1"/>
  <c r="AP31" i="2" s="1"/>
  <c r="AS31" i="2" s="1"/>
  <c r="AK27" i="2"/>
  <c r="AL27" i="2" s="1"/>
  <c r="AP27" i="2" s="1"/>
  <c r="AS27" i="2" s="1"/>
  <c r="J27" i="2"/>
  <c r="I29" i="2"/>
  <c r="AO29" i="2" s="1"/>
  <c r="J3" i="2"/>
  <c r="AK3" i="2"/>
  <c r="AO41" i="2" l="1"/>
  <c r="AK41" i="2"/>
  <c r="AL41" i="2" s="1"/>
  <c r="AK37" i="2"/>
  <c r="AL37" i="2" s="1"/>
  <c r="AO37" i="2"/>
  <c r="AK33" i="2"/>
  <c r="AL33" i="2" s="1"/>
  <c r="AO33" i="2"/>
  <c r="AP33" i="2" s="1"/>
  <c r="AS33" i="2" s="1"/>
  <c r="AP39" i="2"/>
  <c r="AS39" i="2" s="1"/>
  <c r="AP19" i="2"/>
  <c r="AS19" i="2" s="1"/>
  <c r="AP23" i="2"/>
  <c r="AS23" i="2" s="1"/>
  <c r="AP15" i="2"/>
  <c r="AS15" i="2" s="1"/>
  <c r="AP11" i="2"/>
  <c r="AS11" i="2" s="1"/>
  <c r="AK29" i="2"/>
  <c r="AL29" i="2" s="1"/>
  <c r="AP29" i="2" s="1"/>
  <c r="AS29" i="2" s="1"/>
  <c r="AK30" i="2"/>
  <c r="AL30" i="2" s="1"/>
  <c r="AP30" i="2" s="1"/>
  <c r="AS30" i="2" s="1"/>
  <c r="H2" i="2"/>
  <c r="AR2" i="2" s="1"/>
  <c r="AL2" i="2"/>
  <c r="AN2" i="2"/>
  <c r="AL3" i="2"/>
  <c r="AM3" i="2"/>
  <c r="AN3" i="2"/>
  <c r="AL4" i="2"/>
  <c r="AM4" i="2"/>
  <c r="AN4" i="2"/>
  <c r="AM5" i="2"/>
  <c r="AN5" i="2"/>
  <c r="AP4" i="2" l="1"/>
  <c r="AP41" i="2"/>
  <c r="AS41" i="2" s="1"/>
  <c r="AP3" i="2"/>
  <c r="AP2" i="2"/>
  <c r="AP37" i="2"/>
  <c r="AS37" i="2" s="1"/>
  <c r="AQ2" i="2"/>
  <c r="G15" i="8"/>
  <c r="G4" i="8"/>
  <c r="G5" i="8"/>
  <c r="G6" i="8"/>
  <c r="G7" i="8"/>
  <c r="G8" i="8"/>
  <c r="G9" i="8"/>
  <c r="G10" i="8"/>
  <c r="G3" i="8"/>
  <c r="G11" i="8" l="1"/>
  <c r="G17" i="6" l="1"/>
  <c r="G13" i="6"/>
  <c r="G9" i="6"/>
  <c r="G5" i="6"/>
  <c r="G3" i="6"/>
  <c r="AL5" i="2" l="1"/>
  <c r="AP5" i="2" s="1"/>
  <c r="Q2" i="2"/>
  <c r="Q3" i="2"/>
  <c r="Q4" i="2"/>
  <c r="Q5" i="2"/>
  <c r="Q1" i="2"/>
  <c r="P3" i="2"/>
  <c r="P4" i="2"/>
  <c r="P5" i="2"/>
  <c r="O2" i="2"/>
  <c r="P2" i="2"/>
  <c r="P1" i="2"/>
  <c r="O1" i="2"/>
  <c r="H5" i="2" l="1"/>
  <c r="H4" i="2"/>
  <c r="H3" i="2"/>
  <c r="AQ5" i="2" l="1"/>
  <c r="AR5" i="2"/>
  <c r="AQ3" i="2"/>
  <c r="AR3" i="2"/>
  <c r="AS3" i="2"/>
  <c r="AR4" i="2"/>
  <c r="AQ4" i="2"/>
  <c r="AS4" i="2"/>
  <c r="AS5" i="2"/>
  <c r="AS2" i="2"/>
  <c r="I11" i="3"/>
</calcChain>
</file>

<file path=xl/sharedStrings.xml><?xml version="1.0" encoding="utf-8"?>
<sst xmlns="http://schemas.openxmlformats.org/spreadsheetml/2006/main" count="838" uniqueCount="170">
  <si>
    <t>Оборудование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</si>
  <si>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</si>
  <si>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</si>
  <si>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</si>
  <si>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</si>
  <si>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</si>
  <si>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</si>
  <si>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</si>
  <si>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</si>
  <si>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</si>
  <si>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</si>
  <si>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</si>
  <si>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</si>
  <si>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</si>
  <si>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</si>
  <si>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</si>
  <si>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</si>
  <si>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</si>
  <si>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</si>
  <si>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</si>
  <si>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</si>
  <si>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</si>
  <si>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</si>
  <si>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</si>
  <si>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</si>
  <si>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</si>
  <si>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</si>
  <si>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Полное разрушение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</si>
  <si>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</si>
  <si>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</si>
  <si>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</si>
  <si>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</si>
  <si>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</si>
  <si>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</si>
  <si>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</si>
  <si>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</si>
  <si>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</si>
  <si>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</si>
  <si>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</si>
  <si>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</si>
  <si>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</si>
  <si>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</si>
  <si>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нет(*)</t>
  </si>
  <si>
    <t>Кратко сценарий</t>
  </si>
  <si>
    <t>Полное-пожар</t>
  </si>
  <si>
    <t>Полное-ликвидация</t>
  </si>
  <si>
    <t>Частичное-ликвидация</t>
  </si>
  <si>
    <t>q=10,5</t>
  </si>
  <si>
    <t>q=7,0</t>
  </si>
  <si>
    <t>q=4,2</t>
  </si>
  <si>
    <t>q=1,4</t>
  </si>
  <si>
    <t>P=5</t>
  </si>
  <si>
    <t>Rвсп</t>
  </si>
  <si>
    <t>LPt</t>
  </si>
  <si>
    <t>PPt</t>
  </si>
  <si>
    <t>-</t>
  </si>
  <si>
    <t>Взрыв облака ТВС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</si>
  <si>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</si>
  <si>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</si>
  <si>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</si>
  <si>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</si>
  <si>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</si>
  <si>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</si>
  <si>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</si>
  <si>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</si>
  <si>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</si>
  <si>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</si>
  <si>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</si>
  <si>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</si>
  <si>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</si>
  <si>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</si>
  <si>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</si>
  <si>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</si>
  <si>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</si>
  <si>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</si>
  <si>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</si>
  <si>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</si>
  <si>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</si>
  <si>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</si>
  <si>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</si>
  <si>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</si>
  <si>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</si>
  <si>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</si>
  <si>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</si>
  <si>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</si>
  <si>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</si>
  <si>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</si>
  <si>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</si>
  <si>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Полное-токси</t>
  </si>
  <si>
    <t>Кол.риск гибели, чел/год</t>
  </si>
  <si>
    <t>Кол риск, поражения</t>
  </si>
  <si>
    <t>Технологический трубопровод наземный (Ду = 219; P=5,4; L=22)</t>
  </si>
  <si>
    <t>Полное-факел</t>
  </si>
  <si>
    <t>Частичное-факел</t>
  </si>
  <si>
    <t>Технологический трубопровод наземный (Ду = 219; P=5,4; L=57)</t>
  </si>
  <si>
    <t>Факельное горение</t>
  </si>
  <si>
    <t>да(0,24)</t>
  </si>
  <si>
    <t>нет(0,76)</t>
  </si>
  <si>
    <t>Сгорание с образованием избыточного давления</t>
  </si>
  <si>
    <t>да(0,6)</t>
  </si>
  <si>
    <t>нет(0,4)</t>
  </si>
  <si>
    <t>Взрыв в объеме помещения</t>
  </si>
  <si>
    <t>Вспышка в объеме помещения</t>
  </si>
  <si>
    <t>да(0,035)</t>
  </si>
  <si>
    <t>нет(0,965)</t>
  </si>
  <si>
    <t>да(0,036)</t>
  </si>
  <si>
    <t>нет(0,964)</t>
  </si>
  <si>
    <t>Полное-вспышка</t>
  </si>
  <si>
    <t>Частичное-вспышка</t>
  </si>
  <si>
    <t>С19</t>
  </si>
  <si>
    <t>С20</t>
  </si>
  <si>
    <t>С21</t>
  </si>
  <si>
    <t>С22</t>
  </si>
  <si>
    <t>С23</t>
  </si>
  <si>
    <t>С24</t>
  </si>
  <si>
    <t>Возможность  воспламенения</t>
  </si>
  <si>
    <t>Технологический трубопровод блока топочной (Ду = 32; P=1,2; L=26)</t>
  </si>
  <si>
    <t>Технологический трубопровод блока редуцирования (Ду = 89; P=1,2; L=35)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</si>
  <si>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</si>
  <si>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</si>
  <si>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</si>
  <si>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</si>
  <si>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</si>
  <si>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</si>
  <si>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</si>
  <si>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</si>
  <si>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</si>
  <si>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</si>
  <si>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</si>
  <si>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</si>
  <si>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</si>
  <si>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</si>
  <si>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</si>
  <si>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</si>
  <si>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</si>
  <si>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</si>
  <si>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</si>
  <si>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Технологический трубопровод подземный (Ду = 57; P=1,2; L=24)</t>
  </si>
  <si>
    <t>Технологический трубопровод подземный (Ду = 57; P=5,4; L=27)</t>
  </si>
  <si>
    <t>Технологический трубопровод подземный (Ду = 57; P=5,4; L=23)</t>
  </si>
  <si>
    <t>Технологический трубопровод подземный (Ду = 325; P=1,2; L=28)</t>
  </si>
  <si>
    <t>Токсическое поражение</t>
  </si>
  <si>
    <t>Подземная емкость хранения одоранта</t>
  </si>
  <si>
    <t>Lф</t>
  </si>
  <si>
    <t>Дф</t>
  </si>
  <si>
    <t>P=100</t>
  </si>
  <si>
    <t>P=53</t>
  </si>
  <si>
    <t>P=28</t>
  </si>
  <si>
    <t>Р=14</t>
  </si>
  <si>
    <t>Полное разрушение→ наличие источника воспламенения → факельное горение</t>
  </si>
  <si>
    <t>Полное разрушение→ отсутствие источника воспламенения → ликвидация аварии</t>
  </si>
  <si>
    <t>Частичное разрушение→ наличие источника воспламенения → факельное горение</t>
  </si>
  <si>
    <t>Частичное разрушение→ отсутствие источника воспламенения → ликвидация аварии</t>
  </si>
  <si>
    <t>Полное разрушение→ наличие мгновенного источника воспламенения → факельное горение</t>
  </si>
  <si>
    <t>Полное разрушение→ отсутствие мгновенного источника воспламенения → наличие отложенного источника воспламенения →вспышка</t>
  </si>
  <si>
    <t>Частичное разрушение→ наличие мгновенного источника воспламенения → факельное горение</t>
  </si>
  <si>
    <t>Частичное разрушение→ отсутствие мгновенного источника воспламенения → наличие отложенного источника воспламенения →вспышка</t>
  </si>
  <si>
    <t>Полное разрушение/перелив→ наличие мгновенного источника воспламенения → пожар пролива</t>
  </si>
  <si>
    <t>Полное разрушение/перелив→ отсутствие  источника воспламенения → токсическое поражение</t>
  </si>
  <si>
    <t>Полное разрушение→ отсутствие мгновенного источника воспламенения → наличие отложенного источника воспламенения → взрыв</t>
  </si>
  <si>
    <t>Полное- взрыв</t>
  </si>
  <si>
    <t>Частичное разрушение→ отсутствие мгновенного источника воспламенения → наличие отложенного источника воспламенения → взрыв</t>
  </si>
  <si>
    <t>Частичное- взрыв</t>
  </si>
  <si>
    <t>Полное разрушение/перелив→ отсутствие мгновенного источника воспламенения → наличие отложенного источника воспламенения  →  взрыв</t>
  </si>
  <si>
    <t>Полное  взрыв</t>
  </si>
  <si>
    <t>Масса в ТРУБЕ</t>
  </si>
  <si>
    <t>кг/м3</t>
  </si>
  <si>
    <t>м3</t>
  </si>
  <si>
    <t>Колл</t>
  </si>
  <si>
    <t>Инд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</si>
</sst>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b/>
      <sz val="11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0" xfId="0" applyFont="1" applyFill="1"/>
    <xf numFmtId="0" fontId="0" fillId="3" borderId="0" xfId="0" applyFill="1"/>
    <xf numFmtId="0" fontId="6" fillId="3" borderId="4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right"/>
    </xf>
    <xf numFmtId="0" fontId="5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5" fillId="2" borderId="1" xfId="0" applyNumberFormat="1" applyFont="1" applyFill="1" applyBorder="1"/>
    <xf numFmtId="0" fontId="7" fillId="3" borderId="0" xfId="0" applyFont="1" applyFill="1"/>
    <xf numFmtId="0" fontId="8" fillId="3" borderId="0" xfId="0" applyFont="1" applyFill="1"/>
    <xf numFmtId="0" fontId="7" fillId="0" borderId="0" xfId="0" applyFont="1"/>
    <xf numFmtId="0" fontId="7" fillId="3" borderId="1" xfId="0" applyFont="1" applyFill="1" applyBorder="1"/>
    <xf numFmtId="164" fontId="8" fillId="3" borderId="1" xfId="0" applyNumberFormat="1" applyFont="1" applyFill="1" applyBorder="1"/>
    <xf numFmtId="11" fontId="7" fillId="0" borderId="1" xfId="0" applyNumberFormat="1" applyFont="1" applyBorder="1"/>
    <xf numFmtId="0" fontId="7" fillId="3" borderId="5" xfId="0" applyFont="1" applyFill="1" applyBorder="1"/>
    <xf numFmtId="164" fontId="8" fillId="3" borderId="0" xfId="0" applyNumberFormat="1" applyFont="1" applyFill="1"/>
    <xf numFmtId="0" fontId="7" fillId="3" borderId="6" xfId="0" applyFont="1" applyFill="1" applyBorder="1"/>
    <xf numFmtId="0" fontId="7" fillId="3" borderId="7" xfId="0" applyFont="1" applyFill="1" applyBorder="1"/>
    <xf numFmtId="11" fontId="7" fillId="0" borderId="0" xfId="0" applyNumberFormat="1" applyFont="1"/>
    <xf numFmtId="0" fontId="7" fillId="3" borderId="7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0" fontId="7" fillId="3" borderId="8" xfId="0" applyFont="1" applyFill="1" applyBorder="1"/>
    <xf numFmtId="0" fontId="7" fillId="3" borderId="9" xfId="0" applyFont="1" applyFill="1" applyBorder="1" applyAlignment="1">
      <alignment horizontal="right"/>
    </xf>
    <xf numFmtId="164" fontId="5" fillId="0" borderId="0" xfId="0" applyNumberFormat="1" applyFont="1"/>
    <xf numFmtId="0" fontId="4" fillId="3" borderId="0" xfId="0" applyFont="1" applyFill="1"/>
    <xf numFmtId="164" fontId="5" fillId="2" borderId="1" xfId="0" applyNumberFormat="1" applyFont="1" applyFill="1" applyBorder="1"/>
    <xf numFmtId="0" fontId="5" fillId="3" borderId="12" xfId="0" applyFont="1" applyFill="1" applyBorder="1" applyAlignment="1">
      <alignment wrapText="1"/>
    </xf>
    <xf numFmtId="165" fontId="5" fillId="3" borderId="1" xfId="0" applyNumberFormat="1" applyFont="1" applyFill="1" applyBorder="1" applyAlignment="1">
      <alignment wrapText="1"/>
    </xf>
    <xf numFmtId="165" fontId="8" fillId="3" borderId="0" xfId="0" applyNumberFormat="1" applyFont="1" applyFill="1"/>
    <xf numFmtId="165" fontId="8" fillId="3" borderId="1" xfId="0" applyNumberFormat="1" applyFont="1" applyFill="1" applyBorder="1"/>
    <xf numFmtId="165" fontId="0" fillId="0" borderId="0" xfId="0" applyNumberFormat="1"/>
    <xf numFmtId="0" fontId="4" fillId="3" borderId="0" xfId="0" applyFont="1" applyFill="1" applyAlignment="1">
      <alignment wrapText="1"/>
    </xf>
    <xf numFmtId="0" fontId="0" fillId="0" borderId="16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166" fontId="9" fillId="0" borderId="17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5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0" fillId="0" borderId="0" xfId="0" applyNumberFormat="1"/>
    <xf numFmtId="11" fontId="3" fillId="0" borderId="20" xfId="0" applyNumberFormat="1" applyFont="1" applyBorder="1" applyAlignment="1">
      <alignment horizontal="center" vertical="center" wrapText="1"/>
    </xf>
    <xf numFmtId="11" fontId="3" fillId="0" borderId="21" xfId="0" applyNumberFormat="1" applyFont="1" applyBorder="1" applyAlignment="1">
      <alignment horizontal="center" vertical="center" wrapText="1"/>
    </xf>
    <xf numFmtId="164" fontId="0" fillId="2" borderId="1" xfId="0" applyNumberFormat="1" applyFill="1" applyBorder="1"/>
    <xf numFmtId="11" fontId="1" fillId="0" borderId="0" xfId="0" applyNumberFormat="1" applyFont="1"/>
    <xf numFmtId="0" fontId="5" fillId="4" borderId="1" xfId="0" applyFont="1" applyFill="1" applyBorder="1"/>
    <xf numFmtId="0" fontId="14" fillId="4" borderId="2" xfId="0" applyFont="1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5" fillId="4" borderId="1" xfId="0" applyNumberFormat="1" applyFont="1" applyFill="1" applyBorder="1"/>
    <xf numFmtId="164" fontId="5" fillId="4" borderId="1" xfId="0" applyNumberFormat="1" applyFont="1" applyFill="1" applyBorder="1"/>
    <xf numFmtId="164" fontId="0" fillId="4" borderId="1" xfId="0" applyNumberFormat="1" applyFill="1" applyBorder="1"/>
    <xf numFmtId="0" fontId="0" fillId="4" borderId="0" xfId="0" applyFill="1"/>
    <xf numFmtId="0" fontId="5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0" fontId="14" fillId="2" borderId="2" xfId="0" applyFont="1" applyFill="1" applyBorder="1" applyAlignment="1">
      <alignment vertical="center"/>
    </xf>
    <xf numFmtId="0" fontId="17" fillId="3" borderId="0" xfId="0" applyFont="1" applyFill="1" applyBorder="1"/>
    <xf numFmtId="164" fontId="15" fillId="3" borderId="0" xfId="0" applyNumberFormat="1" applyFont="1" applyFill="1" applyBorder="1"/>
    <xf numFmtId="11" fontId="17" fillId="0" borderId="0" xfId="0" applyNumberFormat="1" applyFont="1" applyBorder="1"/>
    <xf numFmtId="0" fontId="5" fillId="0" borderId="0" xfId="0" applyFont="1" applyBorder="1"/>
    <xf numFmtId="0" fontId="17" fillId="3" borderId="0" xfId="0" applyFont="1" applyFill="1" applyBorder="1" applyAlignment="1">
      <alignment horizontal="left"/>
    </xf>
    <xf numFmtId="0" fontId="17" fillId="3" borderId="0" xfId="0" applyFont="1" applyFill="1" applyBorder="1" applyAlignment="1">
      <alignment horizontal="right"/>
    </xf>
    <xf numFmtId="0" fontId="17" fillId="0" borderId="0" xfId="0" applyFont="1" applyBorder="1"/>
    <xf numFmtId="0" fontId="0" fillId="0" borderId="0" xfId="0" applyBorder="1"/>
    <xf numFmtId="11" fontId="18" fillId="3" borderId="0" xfId="0" applyNumberFormat="1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right" wrapText="1"/>
    </xf>
    <xf numFmtId="0" fontId="7" fillId="0" borderId="13" xfId="0" applyFont="1" applyBorder="1" applyAlignment="1">
      <alignment horizontal="right" wrapText="1"/>
    </xf>
    <xf numFmtId="0" fontId="8" fillId="0" borderId="13" xfId="0" applyFont="1" applyBorder="1"/>
    <xf numFmtId="0" fontId="7" fillId="3" borderId="12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3" borderId="6" xfId="0" applyFont="1" applyFill="1" applyBorder="1" applyAlignment="1">
      <alignment horizontal="right"/>
    </xf>
    <xf numFmtId="0" fontId="8" fillId="3" borderId="6" xfId="0" applyFont="1" applyFill="1" applyBorder="1"/>
    <xf numFmtId="0" fontId="7" fillId="3" borderId="10" xfId="0" applyFont="1" applyFill="1" applyBorder="1"/>
    <xf numFmtId="0" fontId="7" fillId="3" borderId="0" xfId="0" applyFont="1" applyFill="1" applyBorder="1"/>
    <xf numFmtId="0" fontId="8" fillId="0" borderId="0" xfId="0" applyFont="1"/>
    <xf numFmtId="0" fontId="7" fillId="3" borderId="4" xfId="0" applyFont="1" applyFill="1" applyBorder="1"/>
    <xf numFmtId="0" fontId="8" fillId="3" borderId="7" xfId="0" applyFont="1" applyFill="1" applyBorder="1"/>
    <xf numFmtId="0" fontId="7" fillId="3" borderId="11" xfId="0" applyFont="1" applyFill="1" applyBorder="1"/>
    <xf numFmtId="0" fontId="7" fillId="3" borderId="0" xfId="0" applyFont="1" applyFill="1" applyBorder="1" applyAlignment="1">
      <alignment horizontal="left"/>
    </xf>
    <xf numFmtId="164" fontId="8" fillId="3" borderId="0" xfId="0" applyNumberFormat="1" applyFont="1" applyFill="1" applyBorder="1"/>
    <xf numFmtId="11" fontId="7" fillId="0" borderId="0" xfId="0" applyNumberFormat="1" applyFont="1" applyBorder="1"/>
    <xf numFmtId="0" fontId="7" fillId="3" borderId="0" xfId="0" applyFont="1" applyFill="1" applyBorder="1" applyAlignment="1">
      <alignment horizontal="right"/>
    </xf>
    <xf numFmtId="11" fontId="19" fillId="3" borderId="10" xfId="0" applyNumberFormat="1" applyFont="1" applyFill="1" applyBorder="1"/>
    <xf numFmtId="11" fontId="19" fillId="3" borderId="0" xfId="0" applyNumberFormat="1" applyFont="1" applyFill="1" applyBorder="1"/>
    <xf numFmtId="0" fontId="16" fillId="3" borderId="8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8" fillId="3" borderId="0" xfId="0" applyFont="1" applyFill="1" applyBorder="1"/>
    <xf numFmtId="0" fontId="7" fillId="0" borderId="0" xfId="0" applyFont="1" applyBorder="1"/>
    <xf numFmtId="0" fontId="15" fillId="3" borderId="0" xfId="0" applyFont="1" applyFill="1" applyBorder="1"/>
    <xf numFmtId="0" fontId="15" fillId="3" borderId="0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right" wrapText="1"/>
    </xf>
    <xf numFmtId="0" fontId="8" fillId="0" borderId="22" xfId="0" applyFont="1" applyBorder="1"/>
    <xf numFmtId="0" fontId="8" fillId="3" borderId="0" xfId="0" applyFont="1" applyFill="1" applyBorder="1" applyAlignment="1">
      <alignment horizontal="left"/>
    </xf>
    <xf numFmtId="0" fontId="5" fillId="5" borderId="1" xfId="0" applyFont="1" applyFill="1" applyBorder="1"/>
    <xf numFmtId="0" fontId="14" fillId="5" borderId="2" xfId="0" applyFont="1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164" fontId="5" fillId="5" borderId="1" xfId="0" applyNumberFormat="1" applyFont="1" applyFill="1" applyBorder="1"/>
    <xf numFmtId="164" fontId="0" fillId="5" borderId="1" xfId="0" applyNumberFormat="1" applyFill="1" applyBorder="1"/>
    <xf numFmtId="0" fontId="0" fillId="5" borderId="0" xfId="0" applyFill="1"/>
    <xf numFmtId="0" fontId="5" fillId="5" borderId="0" xfId="0" applyFont="1" applyFill="1"/>
    <xf numFmtId="165" fontId="5" fillId="5" borderId="0" xfId="0" applyNumberFormat="1" applyFont="1" applyFill="1"/>
    <xf numFmtId="2" fontId="5" fillId="5" borderId="0" xfId="0" applyNumberFormat="1" applyFont="1" applyFill="1"/>
    <xf numFmtId="0" fontId="5" fillId="6" borderId="1" xfId="0" applyFont="1" applyFill="1" applyBorder="1"/>
    <xf numFmtId="0" fontId="14" fillId="6" borderId="2" xfId="0" applyFont="1" applyFill="1" applyBorder="1" applyAlignment="1">
      <alignment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5" fillId="6" borderId="1" xfId="0" applyNumberFormat="1" applyFont="1" applyFill="1" applyBorder="1"/>
    <xf numFmtId="164" fontId="5" fillId="6" borderId="1" xfId="0" applyNumberFormat="1" applyFont="1" applyFill="1" applyBorder="1"/>
    <xf numFmtId="164" fontId="0" fillId="6" borderId="1" xfId="0" applyNumberFormat="1" applyFill="1" applyBorder="1"/>
    <xf numFmtId="0" fontId="0" fillId="6" borderId="0" xfId="0" applyFill="1"/>
    <xf numFmtId="0" fontId="5" fillId="6" borderId="0" xfId="0" applyFont="1" applyFill="1"/>
    <xf numFmtId="165" fontId="5" fillId="6" borderId="0" xfId="0" applyNumberFormat="1" applyFont="1" applyFill="1"/>
    <xf numFmtId="2" fontId="5" fillId="6" borderId="0" xfId="0" applyNumberFormat="1" applyFont="1" applyFill="1"/>
    <xf numFmtId="0" fontId="5" fillId="7" borderId="1" xfId="0" applyFont="1" applyFill="1" applyBorder="1"/>
    <xf numFmtId="0" fontId="14" fillId="7" borderId="2" xfId="0" applyFont="1" applyFill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5" fillId="7" borderId="1" xfId="0" applyNumberFormat="1" applyFont="1" applyFill="1" applyBorder="1"/>
    <xf numFmtId="164" fontId="5" fillId="7" borderId="1" xfId="0" applyNumberFormat="1" applyFont="1" applyFill="1" applyBorder="1"/>
    <xf numFmtId="164" fontId="0" fillId="7" borderId="1" xfId="0" applyNumberFormat="1" applyFill="1" applyBorder="1"/>
    <xf numFmtId="0" fontId="0" fillId="7" borderId="0" xfId="0" applyFill="1"/>
    <xf numFmtId="0" fontId="5" fillId="7" borderId="0" xfId="0" applyFont="1" applyFill="1"/>
    <xf numFmtId="165" fontId="5" fillId="7" borderId="0" xfId="0" applyNumberFormat="1" applyFont="1" applyFill="1"/>
    <xf numFmtId="2" fontId="5" fillId="7" borderId="0" xfId="0" applyNumberFormat="1" applyFont="1" applyFill="1"/>
    <xf numFmtId="0" fontId="0" fillId="8" borderId="1" xfId="0" applyFill="1" applyBorder="1"/>
    <xf numFmtId="1" fontId="0" fillId="8" borderId="1" xfId="0" applyNumberForma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164" fontId="0" fillId="4" borderId="0" xfId="0" applyNumberFormat="1" applyFill="1" applyBorder="1"/>
    <xf numFmtId="164" fontId="0" fillId="6" borderId="0" xfId="0" applyNumberFormat="1" applyFill="1" applyBorder="1"/>
    <xf numFmtId="164" fontId="0" fillId="5" borderId="0" xfId="0" applyNumberFormat="1" applyFill="1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pane ySplit="1" topLeftCell="A2" activePane="bottomLeft" state="frozen"/>
      <selection pane="bottomLeft" activeCell="G3" sqref="G3:G9"/>
    </sheetView>
  </sheetViews>
  <sheetFormatPr defaultColWidth="8.85546875" defaultRowHeight="16.5" x14ac:dyDescent="0.3"/>
  <cols>
    <col min="1" max="1" width="8.85546875" style="6"/>
    <col min="2" max="2" width="18.28515625" style="6" customWidth="1"/>
    <col min="3" max="3" width="21.7109375" style="6" customWidth="1"/>
    <col min="4" max="4" width="17.28515625" style="6" customWidth="1"/>
    <col min="5" max="5" width="28.42578125" style="6" customWidth="1"/>
    <col min="6" max="6" width="12" style="6" hidden="1" customWidth="1"/>
    <col min="7" max="7" width="12.140625" style="41" customWidth="1"/>
    <col min="8" max="11" width="8.85546875" style="6"/>
    <col min="12" max="12" width="8.85546875" style="34"/>
    <col min="13" max="16384" width="8.85546875" style="6"/>
  </cols>
  <sheetData>
    <row r="1" spans="2:12" ht="58.9" customHeight="1" x14ac:dyDescent="0.3">
      <c r="B1" s="37" t="s">
        <v>28</v>
      </c>
      <c r="C1" s="8" t="s">
        <v>29</v>
      </c>
      <c r="D1" s="8" t="s">
        <v>30</v>
      </c>
      <c r="E1" s="8" t="s">
        <v>31</v>
      </c>
      <c r="F1" s="8" t="s">
        <v>1</v>
      </c>
      <c r="G1" s="38" t="s">
        <v>5</v>
      </c>
    </row>
    <row r="2" spans="2:12" x14ac:dyDescent="0.3">
      <c r="B2" s="19"/>
      <c r="C2" s="19"/>
      <c r="D2" s="19"/>
      <c r="E2" s="19"/>
      <c r="F2" s="19"/>
      <c r="G2" s="39"/>
    </row>
    <row r="3" spans="2:12" x14ac:dyDescent="0.3">
      <c r="B3" s="19"/>
      <c r="C3" s="19"/>
      <c r="D3" s="19"/>
      <c r="E3" s="14" t="s">
        <v>33</v>
      </c>
      <c r="F3" s="22"/>
      <c r="G3" s="40">
        <f>B9*C4</f>
        <v>0.05</v>
      </c>
    </row>
    <row r="4" spans="2:12" x14ac:dyDescent="0.3">
      <c r="B4" s="14" t="s">
        <v>34</v>
      </c>
      <c r="C4" s="11">
        <v>0.05</v>
      </c>
      <c r="D4" s="25"/>
      <c r="E4" s="25"/>
      <c r="F4" s="19"/>
      <c r="G4" s="39"/>
    </row>
    <row r="5" spans="2:12" x14ac:dyDescent="0.3">
      <c r="B5" s="27"/>
      <c r="C5" s="28"/>
      <c r="D5" s="19"/>
      <c r="E5" s="14" t="s">
        <v>56</v>
      </c>
      <c r="F5" s="22"/>
      <c r="G5" s="40">
        <f>B9*C7*E6</f>
        <v>4.7500000000000001E-2</v>
      </c>
    </row>
    <row r="6" spans="2:12" x14ac:dyDescent="0.3">
      <c r="B6" s="19"/>
      <c r="C6" s="28"/>
      <c r="D6" s="14" t="s">
        <v>34</v>
      </c>
      <c r="E6" s="11">
        <v>0.05</v>
      </c>
      <c r="F6" s="19"/>
      <c r="G6" s="39"/>
    </row>
    <row r="7" spans="2:12" x14ac:dyDescent="0.3">
      <c r="B7" s="14" t="s">
        <v>36</v>
      </c>
      <c r="C7" s="12">
        <v>0.95</v>
      </c>
      <c r="D7" s="19"/>
      <c r="E7" s="28"/>
      <c r="F7" s="19"/>
      <c r="G7" s="39"/>
    </row>
    <row r="8" spans="2:12" x14ac:dyDescent="0.3">
      <c r="B8" s="19"/>
      <c r="C8" s="28"/>
      <c r="D8" s="11">
        <v>1</v>
      </c>
      <c r="E8" s="12">
        <v>0.95</v>
      </c>
      <c r="F8" s="19"/>
      <c r="G8" s="39"/>
    </row>
    <row r="9" spans="2:12" x14ac:dyDescent="0.3">
      <c r="B9" s="13">
        <v>1</v>
      </c>
      <c r="C9" s="30" t="s">
        <v>38</v>
      </c>
      <c r="D9" s="30" t="s">
        <v>36</v>
      </c>
      <c r="E9" s="31" t="s">
        <v>141</v>
      </c>
      <c r="F9" s="22"/>
      <c r="G9" s="40">
        <f>B9*C7*D8*E8</f>
        <v>0.90249999999999997</v>
      </c>
    </row>
    <row r="10" spans="2:12" x14ac:dyDescent="0.3">
      <c r="B10" s="19"/>
      <c r="C10" s="28"/>
      <c r="D10" s="28"/>
      <c r="E10" s="19"/>
      <c r="F10" s="19"/>
      <c r="G10" s="39"/>
    </row>
    <row r="11" spans="2:12" x14ac:dyDescent="0.3">
      <c r="B11" s="19"/>
      <c r="C11" s="32"/>
      <c r="D11" s="28"/>
      <c r="E11" s="19"/>
      <c r="F11" s="19"/>
      <c r="G11" s="39"/>
    </row>
    <row r="12" spans="2:12" x14ac:dyDescent="0.3">
      <c r="B12" s="19"/>
      <c r="C12" s="19"/>
      <c r="D12" s="28"/>
      <c r="E12" s="19"/>
      <c r="F12" s="19"/>
      <c r="G12" s="39"/>
    </row>
    <row r="13" spans="2:12" x14ac:dyDescent="0.3">
      <c r="B13" s="19"/>
      <c r="C13" s="19"/>
      <c r="D13" s="12">
        <v>0</v>
      </c>
      <c r="E13" s="14" t="s">
        <v>33</v>
      </c>
      <c r="F13" s="22"/>
      <c r="G13" s="40">
        <f>E14*D13*C7*B9</f>
        <v>0</v>
      </c>
    </row>
    <row r="14" spans="2:12" x14ac:dyDescent="0.3">
      <c r="B14" s="19"/>
      <c r="C14" s="14" t="s">
        <v>41</v>
      </c>
      <c r="D14" s="33" t="s">
        <v>34</v>
      </c>
      <c r="E14" s="11">
        <v>0.05</v>
      </c>
      <c r="F14" s="19"/>
      <c r="G14" s="39"/>
    </row>
    <row r="15" spans="2:12" x14ac:dyDescent="0.3">
      <c r="B15" s="19"/>
      <c r="C15" s="19"/>
      <c r="D15" s="32"/>
      <c r="E15" s="28"/>
      <c r="F15" s="19"/>
      <c r="G15" s="39"/>
    </row>
    <row r="16" spans="2:12" x14ac:dyDescent="0.3">
      <c r="B16" s="19"/>
      <c r="C16" s="19"/>
      <c r="D16" s="19"/>
      <c r="E16" s="12">
        <v>0.95</v>
      </c>
      <c r="F16" s="19"/>
      <c r="G16" s="39"/>
      <c r="L16" s="34">
        <v>0.05</v>
      </c>
    </row>
    <row r="17" spans="2:12" x14ac:dyDescent="0.3">
      <c r="B17" s="19"/>
      <c r="C17" s="19"/>
      <c r="D17" s="14" t="s">
        <v>36</v>
      </c>
      <c r="E17" s="31" t="s">
        <v>141</v>
      </c>
      <c r="F17" s="22"/>
      <c r="G17" s="40">
        <f>E16*D13*C7*B9</f>
        <v>0</v>
      </c>
      <c r="L17" s="34">
        <v>4.7500000000000001E-2</v>
      </c>
    </row>
    <row r="18" spans="2:12" x14ac:dyDescent="0.3">
      <c r="B18" s="13">
        <v>1</v>
      </c>
      <c r="C18" s="19"/>
      <c r="D18" s="19"/>
      <c r="E18" s="19"/>
      <c r="F18" s="19"/>
      <c r="G18" s="39"/>
      <c r="L18" s="34">
        <v>0.90249999999999997</v>
      </c>
    </row>
    <row r="19" spans="2:12" x14ac:dyDescent="0.3">
      <c r="B19" s="19"/>
      <c r="C19" s="19"/>
      <c r="D19" s="19"/>
      <c r="E19" s="19"/>
      <c r="F19" s="19"/>
      <c r="G19" s="39"/>
      <c r="L19" s="34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pane ySplit="1" topLeftCell="A2" activePane="bottomLeft" state="frozen"/>
      <selection pane="bottomLeft" activeCell="H23" sqref="H23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6" max="6" width="28" style="6" customWidth="1"/>
    <col min="7" max="7" width="12.140625" customWidth="1"/>
    <col min="8" max="8" width="16.7109375" style="6" customWidth="1"/>
    <col min="9" max="16384" width="8.85546875" style="6"/>
  </cols>
  <sheetData>
    <row r="1" spans="2:9" ht="58.9" customHeight="1" x14ac:dyDescent="0.3">
      <c r="B1" s="85" t="s">
        <v>27</v>
      </c>
      <c r="C1" s="111" t="s">
        <v>115</v>
      </c>
      <c r="D1" s="111"/>
      <c r="E1" s="112"/>
      <c r="F1" s="89" t="s">
        <v>31</v>
      </c>
      <c r="G1" s="89" t="s">
        <v>5</v>
      </c>
      <c r="H1" s="90" t="s">
        <v>32</v>
      </c>
      <c r="I1" s="21"/>
    </row>
    <row r="2" spans="2:9" x14ac:dyDescent="0.3">
      <c r="B2" s="19"/>
      <c r="C2" s="19"/>
      <c r="D2" s="19"/>
      <c r="E2" s="20"/>
      <c r="F2" s="19"/>
      <c r="G2" s="20"/>
      <c r="H2" s="21"/>
      <c r="I2" s="21"/>
    </row>
    <row r="3" spans="2:9" x14ac:dyDescent="0.3">
      <c r="B3" s="19"/>
      <c r="C3" s="19"/>
      <c r="D3" s="19"/>
      <c r="E3" s="92"/>
      <c r="F3" s="93" t="s">
        <v>95</v>
      </c>
      <c r="G3" s="23">
        <f>D4</f>
        <v>0.24</v>
      </c>
      <c r="H3" s="24">
        <f>B14*G3</f>
        <v>2.3999999999999997E-8</v>
      </c>
      <c r="I3" s="21"/>
    </row>
    <row r="4" spans="2:9" x14ac:dyDescent="0.3">
      <c r="B4" s="19"/>
      <c r="C4" s="14" t="s">
        <v>96</v>
      </c>
      <c r="D4" s="11">
        <v>0.24</v>
      </c>
      <c r="E4" s="20"/>
      <c r="F4" s="19"/>
      <c r="G4" s="26"/>
      <c r="H4" s="21"/>
      <c r="I4" s="21"/>
    </row>
    <row r="5" spans="2:9" x14ac:dyDescent="0.3">
      <c r="B5" s="19"/>
      <c r="C5" s="27"/>
      <c r="D5" s="28"/>
      <c r="E5" s="20"/>
      <c r="F5" s="19"/>
      <c r="G5" s="95"/>
      <c r="H5" s="21"/>
      <c r="I5" s="21"/>
    </row>
    <row r="6" spans="2:9" x14ac:dyDescent="0.3">
      <c r="B6" s="19"/>
      <c r="C6" s="96"/>
      <c r="D6" s="28"/>
      <c r="E6" s="20"/>
      <c r="F6" s="19"/>
      <c r="G6" s="26"/>
      <c r="H6" s="29"/>
      <c r="I6" s="21"/>
    </row>
    <row r="7" spans="2:9" x14ac:dyDescent="0.3">
      <c r="B7" s="19"/>
      <c r="C7" s="30" t="s">
        <v>97</v>
      </c>
      <c r="D7" s="12">
        <v>0.76</v>
      </c>
      <c r="E7" s="107"/>
      <c r="F7" s="94"/>
      <c r="G7" s="100"/>
      <c r="H7" s="101"/>
      <c r="I7" s="21"/>
    </row>
    <row r="8" spans="2:9" x14ac:dyDescent="0.3">
      <c r="B8" s="19"/>
      <c r="C8" s="28"/>
      <c r="D8" s="28"/>
      <c r="E8" s="113"/>
      <c r="F8" s="94"/>
      <c r="G8" s="100"/>
      <c r="H8" s="101"/>
      <c r="I8" s="21"/>
    </row>
    <row r="9" spans="2:9" x14ac:dyDescent="0.3">
      <c r="B9" s="14" t="s">
        <v>37</v>
      </c>
      <c r="C9" s="28"/>
      <c r="D9" s="31"/>
      <c r="E9" s="92"/>
      <c r="F9" s="27" t="s">
        <v>40</v>
      </c>
      <c r="G9" s="23">
        <f>D7</f>
        <v>0.76</v>
      </c>
      <c r="H9" s="24">
        <f>G9*B14</f>
        <v>7.5999999999999992E-8</v>
      </c>
      <c r="I9" s="21"/>
    </row>
    <row r="10" spans="2:9" x14ac:dyDescent="0.3">
      <c r="B10" s="19"/>
      <c r="C10" s="28"/>
      <c r="D10" s="102"/>
      <c r="E10" s="107"/>
      <c r="F10" s="94"/>
      <c r="G10" s="100"/>
      <c r="H10" s="101"/>
      <c r="I10" s="21"/>
    </row>
    <row r="11" spans="2:9" x14ac:dyDescent="0.3">
      <c r="B11" s="19"/>
      <c r="C11" s="28"/>
      <c r="D11" s="94"/>
      <c r="E11" s="113"/>
      <c r="F11" s="94"/>
      <c r="G11" s="100"/>
      <c r="H11" s="101"/>
      <c r="I11" s="21"/>
    </row>
    <row r="12" spans="2:9" x14ac:dyDescent="0.3">
      <c r="B12" s="19"/>
      <c r="C12" s="28"/>
      <c r="D12" s="99"/>
      <c r="E12" s="20"/>
      <c r="F12" s="19"/>
      <c r="G12" s="100"/>
      <c r="H12" s="101"/>
      <c r="I12" s="21"/>
    </row>
    <row r="13" spans="2:9" x14ac:dyDescent="0.3">
      <c r="B13" s="19"/>
      <c r="C13" s="28"/>
      <c r="D13" s="19"/>
      <c r="E13" s="20"/>
      <c r="F13" s="19"/>
      <c r="G13" s="20"/>
      <c r="H13" s="21"/>
      <c r="I13" s="21"/>
    </row>
    <row r="14" spans="2:9" x14ac:dyDescent="0.3">
      <c r="B14" s="103">
        <f>0.0000001</f>
        <v>9.9999999999999995E-8</v>
      </c>
      <c r="C14" s="28"/>
      <c r="D14" s="94"/>
      <c r="E14" s="20"/>
      <c r="F14" s="19"/>
      <c r="G14" s="100"/>
      <c r="H14" s="101"/>
      <c r="I14" s="21"/>
    </row>
    <row r="15" spans="2:9" x14ac:dyDescent="0.3">
      <c r="B15" s="104">
        <f>0.0000005</f>
        <v>4.9999999999999998E-7</v>
      </c>
      <c r="C15" s="28"/>
      <c r="D15" s="19"/>
      <c r="E15" s="20"/>
      <c r="F15" s="19"/>
      <c r="G15" s="20"/>
      <c r="H15" s="21"/>
      <c r="I15" s="21"/>
    </row>
    <row r="16" spans="2:9" x14ac:dyDescent="0.3">
      <c r="B16" s="14" t="s">
        <v>42</v>
      </c>
      <c r="C16" s="28"/>
      <c r="D16" s="19"/>
      <c r="E16" s="92"/>
      <c r="F16" s="93" t="s">
        <v>95</v>
      </c>
      <c r="G16" s="23">
        <f>D17</f>
        <v>3.5999999999999997E-2</v>
      </c>
      <c r="H16" s="24">
        <f>B15*G16</f>
        <v>1.7999999999999999E-8</v>
      </c>
      <c r="I16" s="21"/>
    </row>
    <row r="17" spans="2:9" x14ac:dyDescent="0.3">
      <c r="B17" s="19"/>
      <c r="C17" s="30" t="s">
        <v>105</v>
      </c>
      <c r="D17" s="11">
        <v>3.5999999999999997E-2</v>
      </c>
      <c r="E17" s="20"/>
      <c r="F17" s="19"/>
      <c r="G17" s="26"/>
      <c r="H17" s="21"/>
      <c r="I17" s="21"/>
    </row>
    <row r="18" spans="2:9" x14ac:dyDescent="0.3">
      <c r="B18" s="19"/>
      <c r="C18" s="32"/>
      <c r="D18" s="28"/>
      <c r="E18" s="20"/>
      <c r="F18" s="19"/>
      <c r="G18" s="95"/>
      <c r="H18" s="21"/>
      <c r="I18" s="21"/>
    </row>
    <row r="19" spans="2:9" x14ac:dyDescent="0.3">
      <c r="B19" s="94"/>
      <c r="C19" s="25"/>
      <c r="D19" s="28"/>
      <c r="E19" s="20"/>
      <c r="F19" s="19"/>
      <c r="G19" s="26"/>
      <c r="H19" s="29"/>
      <c r="I19" s="21"/>
    </row>
    <row r="20" spans="2:9" x14ac:dyDescent="0.3">
      <c r="B20" s="94"/>
      <c r="C20" s="102" t="s">
        <v>106</v>
      </c>
      <c r="D20" s="12">
        <v>0.96430000000000005</v>
      </c>
      <c r="E20" s="107"/>
      <c r="F20" s="94"/>
      <c r="G20" s="100"/>
      <c r="H20" s="101"/>
      <c r="I20" s="21"/>
    </row>
    <row r="21" spans="2:9" x14ac:dyDescent="0.3">
      <c r="B21" s="94"/>
      <c r="C21" s="94"/>
      <c r="D21" s="28"/>
      <c r="E21" s="113"/>
      <c r="F21" s="94"/>
      <c r="G21" s="100"/>
      <c r="H21" s="101"/>
      <c r="I21" s="21"/>
    </row>
    <row r="22" spans="2:9" x14ac:dyDescent="0.3">
      <c r="B22" s="102"/>
      <c r="C22" s="94"/>
      <c r="D22" s="31"/>
      <c r="E22" s="92"/>
      <c r="F22" s="27" t="s">
        <v>40</v>
      </c>
      <c r="G22" s="23">
        <f>D20</f>
        <v>0.96430000000000005</v>
      </c>
      <c r="H22" s="24">
        <f>G22*B15</f>
        <v>4.8215000000000001E-7</v>
      </c>
      <c r="I22" s="21"/>
    </row>
    <row r="23" spans="2:9" x14ac:dyDescent="0.3">
      <c r="B23" s="94"/>
      <c r="C23" s="94"/>
      <c r="D23" s="102"/>
      <c r="E23" s="107"/>
      <c r="F23" s="94"/>
      <c r="G23" s="100"/>
      <c r="H23" s="101"/>
      <c r="I23" s="21"/>
    </row>
    <row r="24" spans="2:9" x14ac:dyDescent="0.3">
      <c r="B24" s="76"/>
      <c r="C24" s="76"/>
      <c r="D24" s="76"/>
      <c r="E24" s="110"/>
      <c r="F24" s="76"/>
      <c r="G24" s="77"/>
      <c r="H24" s="78"/>
      <c r="I24" s="21"/>
    </row>
    <row r="25" spans="2:9" x14ac:dyDescent="0.3">
      <c r="B25" s="76"/>
      <c r="C25" s="76"/>
      <c r="D25" s="80"/>
      <c r="E25" s="109"/>
      <c r="F25" s="76"/>
      <c r="G25" s="77"/>
      <c r="H25" s="78"/>
      <c r="I25" s="108"/>
    </row>
    <row r="26" spans="2:9" x14ac:dyDescent="0.3">
      <c r="B26" s="76"/>
      <c r="C26" s="76"/>
      <c r="D26" s="81"/>
      <c r="E26" s="109"/>
      <c r="F26" s="76"/>
      <c r="G26" s="77"/>
      <c r="H26" s="78"/>
      <c r="I26" s="108"/>
    </row>
    <row r="27" spans="2:9" x14ac:dyDescent="0.3">
      <c r="B27" s="84"/>
      <c r="C27" s="76"/>
      <c r="D27" s="76"/>
      <c r="E27" s="109"/>
      <c r="F27" s="76"/>
      <c r="G27" s="77"/>
      <c r="H27" s="78"/>
      <c r="I27" s="108"/>
    </row>
    <row r="28" spans="2:9" x14ac:dyDescent="0.3">
      <c r="B28" s="94"/>
      <c r="C28" s="94"/>
      <c r="D28" s="94"/>
      <c r="E28" s="107"/>
      <c r="F28" s="94"/>
      <c r="G28" s="100"/>
      <c r="H28" s="101"/>
      <c r="I28" s="108"/>
    </row>
    <row r="29" spans="2:9" x14ac:dyDescent="0.3">
      <c r="B29" s="94"/>
      <c r="C29" s="102"/>
      <c r="D29" s="94"/>
      <c r="E29" s="20"/>
      <c r="F29" s="19"/>
      <c r="G29" s="100"/>
      <c r="H29" s="101"/>
      <c r="I29" s="21"/>
    </row>
    <row r="30" spans="2:9" x14ac:dyDescent="0.3">
      <c r="B30" s="94"/>
      <c r="C30" s="99"/>
      <c r="D30" s="94"/>
      <c r="E30" s="20"/>
      <c r="F30" s="19"/>
      <c r="G30" s="100"/>
      <c r="H30" s="101"/>
      <c r="I30" s="21"/>
    </row>
    <row r="31" spans="2:9" x14ac:dyDescent="0.3">
      <c r="B31" s="76"/>
      <c r="C31" s="76"/>
      <c r="D31" s="81"/>
      <c r="E31" s="10"/>
      <c r="F31" s="9"/>
      <c r="G31" s="77"/>
      <c r="H31" s="82"/>
    </row>
    <row r="32" spans="2:9" x14ac:dyDescent="0.3">
      <c r="B32" s="76"/>
      <c r="C32" s="81"/>
      <c r="D32" s="76"/>
      <c r="E32" s="10"/>
      <c r="F32" s="9"/>
      <c r="G32" s="77"/>
      <c r="H32" s="82"/>
    </row>
    <row r="33" spans="2:8" x14ac:dyDescent="0.3">
      <c r="B33" s="76"/>
      <c r="C33" s="76"/>
      <c r="D33" s="76"/>
      <c r="E33" s="10"/>
      <c r="F33" s="9"/>
      <c r="G33" s="77"/>
      <c r="H33" s="82"/>
    </row>
    <row r="34" spans="2:8" x14ac:dyDescent="0.3">
      <c r="B34" s="76"/>
      <c r="C34" s="76"/>
      <c r="D34" s="81"/>
      <c r="E34" s="10"/>
      <c r="F34" s="9"/>
      <c r="G34" s="77"/>
      <c r="H34" s="78"/>
    </row>
    <row r="35" spans="2:8" x14ac:dyDescent="0.3">
      <c r="B35" s="79"/>
      <c r="C35" s="79"/>
      <c r="D35" s="79"/>
      <c r="E35" s="10"/>
      <c r="F35" s="9"/>
      <c r="G35" s="83"/>
      <c r="H35" s="79"/>
    </row>
  </sheetData>
  <conditionalFormatting sqref="H3:H4 H14 H6:H12 H16:H17 H19:H34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G31" sqref="G31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28.42578125" style="6" customWidth="1"/>
    <col min="7" max="7" width="28" style="6" customWidth="1"/>
    <col min="8" max="8" width="12.140625" customWidth="1"/>
    <col min="9" max="9" width="16.7109375" style="6" customWidth="1"/>
    <col min="10" max="16384" width="8.85546875" style="6"/>
  </cols>
  <sheetData>
    <row r="1" spans="2:10" ht="58.9" customHeight="1" x14ac:dyDescent="0.3">
      <c r="B1" s="85" t="s">
        <v>27</v>
      </c>
      <c r="C1" s="86" t="s">
        <v>28</v>
      </c>
      <c r="D1" s="86" t="s">
        <v>30</v>
      </c>
      <c r="E1" s="87" t="s">
        <v>98</v>
      </c>
      <c r="F1" s="88"/>
      <c r="G1" s="89" t="s">
        <v>31</v>
      </c>
      <c r="H1" s="89" t="s">
        <v>5</v>
      </c>
      <c r="I1" s="90" t="s">
        <v>32</v>
      </c>
      <c r="J1" s="21"/>
    </row>
    <row r="2" spans="2:10" x14ac:dyDescent="0.3">
      <c r="B2" s="19"/>
      <c r="C2" s="19"/>
      <c r="D2" s="19"/>
      <c r="E2" s="19"/>
      <c r="F2" s="20"/>
      <c r="G2" s="19"/>
      <c r="H2" s="20"/>
      <c r="I2" s="21"/>
      <c r="J2" s="21"/>
    </row>
    <row r="3" spans="2:10" x14ac:dyDescent="0.3">
      <c r="B3" s="19"/>
      <c r="C3" s="19"/>
      <c r="D3" s="19"/>
      <c r="E3" s="91"/>
      <c r="F3" s="92"/>
      <c r="G3" s="93" t="s">
        <v>95</v>
      </c>
      <c r="H3" s="23">
        <f>D4</f>
        <v>0.2</v>
      </c>
      <c r="I3" s="24">
        <f>B14*H3</f>
        <v>2E-8</v>
      </c>
      <c r="J3" s="21"/>
    </row>
    <row r="4" spans="2:10" x14ac:dyDescent="0.3">
      <c r="B4" s="19"/>
      <c r="C4" s="14" t="s">
        <v>35</v>
      </c>
      <c r="D4" s="11">
        <v>0.2</v>
      </c>
      <c r="E4" s="94"/>
      <c r="F4" s="20"/>
      <c r="G4" s="19"/>
      <c r="H4" s="26"/>
      <c r="I4" s="21"/>
      <c r="J4" s="21"/>
    </row>
    <row r="5" spans="2:10" x14ac:dyDescent="0.3">
      <c r="B5" s="19"/>
      <c r="C5" s="27"/>
      <c r="D5" s="28"/>
      <c r="E5" s="19"/>
      <c r="F5" s="20"/>
      <c r="G5" s="19"/>
      <c r="H5" s="95"/>
      <c r="I5" s="21"/>
      <c r="J5" s="21"/>
    </row>
    <row r="6" spans="2:10" x14ac:dyDescent="0.3">
      <c r="B6" s="19"/>
      <c r="C6" s="96"/>
      <c r="D6" s="28"/>
      <c r="E6" s="19"/>
      <c r="F6" s="20"/>
      <c r="G6" s="19"/>
      <c r="H6" s="26"/>
      <c r="I6" s="29"/>
      <c r="J6" s="21"/>
    </row>
    <row r="7" spans="2:10" x14ac:dyDescent="0.3">
      <c r="B7" s="19"/>
      <c r="C7" s="30" t="s">
        <v>39</v>
      </c>
      <c r="D7" s="12">
        <v>0.8</v>
      </c>
      <c r="E7" s="19"/>
      <c r="F7" s="20"/>
      <c r="G7" s="19" t="s">
        <v>101</v>
      </c>
      <c r="H7" s="23">
        <f>F8*E10*D7</f>
        <v>0.1152</v>
      </c>
      <c r="I7" s="24">
        <f>B14*H7</f>
        <v>1.152E-8</v>
      </c>
      <c r="J7" s="21"/>
    </row>
    <row r="8" spans="2:10" x14ac:dyDescent="0.3">
      <c r="B8" s="19"/>
      <c r="C8" s="28"/>
      <c r="D8" s="28"/>
      <c r="E8" s="14" t="s">
        <v>99</v>
      </c>
      <c r="F8" s="106">
        <v>0.6</v>
      </c>
      <c r="G8" s="25"/>
      <c r="H8" s="26"/>
      <c r="I8" s="29"/>
      <c r="J8" s="21"/>
    </row>
    <row r="9" spans="2:10" x14ac:dyDescent="0.3">
      <c r="B9" s="14" t="s">
        <v>37</v>
      </c>
      <c r="C9" s="28"/>
      <c r="D9" s="28"/>
      <c r="E9" s="14"/>
      <c r="F9" s="97"/>
      <c r="G9" s="19"/>
      <c r="H9" s="95"/>
      <c r="I9" s="21"/>
      <c r="J9" s="21"/>
    </row>
    <row r="10" spans="2:10" x14ac:dyDescent="0.3">
      <c r="B10" s="19"/>
      <c r="C10" s="28"/>
      <c r="D10" s="30" t="s">
        <v>96</v>
      </c>
      <c r="E10" s="11">
        <v>0.24</v>
      </c>
      <c r="F10" s="97"/>
      <c r="G10" s="19"/>
      <c r="H10" s="26"/>
      <c r="I10" s="29"/>
      <c r="J10" s="21"/>
    </row>
    <row r="11" spans="2:10" x14ac:dyDescent="0.3">
      <c r="B11" s="19"/>
      <c r="C11" s="28"/>
      <c r="D11" s="98"/>
      <c r="E11" s="30" t="s">
        <v>100</v>
      </c>
      <c r="F11" s="105">
        <v>0.4</v>
      </c>
      <c r="G11" s="27" t="s">
        <v>102</v>
      </c>
      <c r="H11" s="23">
        <f>F11*E10*D7</f>
        <v>7.6800000000000007E-2</v>
      </c>
      <c r="I11" s="24">
        <f>B14*H11</f>
        <v>7.6799999999999999E-9</v>
      </c>
      <c r="J11" s="21"/>
    </row>
    <row r="12" spans="2:10" x14ac:dyDescent="0.3">
      <c r="B12" s="19"/>
      <c r="C12" s="28"/>
      <c r="D12" s="99"/>
      <c r="E12" s="12">
        <v>0.76</v>
      </c>
      <c r="F12" s="20"/>
      <c r="G12" s="19"/>
      <c r="H12" s="100"/>
      <c r="I12" s="101"/>
      <c r="J12" s="21"/>
    </row>
    <row r="13" spans="2:10" x14ac:dyDescent="0.3">
      <c r="B13" s="19"/>
      <c r="C13" s="28"/>
      <c r="D13" s="102" t="s">
        <v>97</v>
      </c>
      <c r="E13" s="31"/>
      <c r="F13" s="92"/>
      <c r="G13" s="27" t="s">
        <v>40</v>
      </c>
      <c r="H13" s="23">
        <f>E12*D7</f>
        <v>0.6080000000000001</v>
      </c>
      <c r="I13" s="24">
        <f>H13*B14</f>
        <v>6.0800000000000002E-8</v>
      </c>
      <c r="J13" s="21"/>
    </row>
    <row r="14" spans="2:10" x14ac:dyDescent="0.3">
      <c r="B14" s="103">
        <f>0.0000001</f>
        <v>9.9999999999999995E-8</v>
      </c>
      <c r="C14" s="28"/>
      <c r="D14" s="94"/>
      <c r="E14" s="19"/>
      <c r="F14" s="20"/>
      <c r="G14" s="19"/>
      <c r="H14" s="100"/>
      <c r="I14" s="101"/>
      <c r="J14" s="21"/>
    </row>
    <row r="15" spans="2:10" x14ac:dyDescent="0.3">
      <c r="B15" s="104">
        <f>0.0000005</f>
        <v>4.9999999999999998E-7</v>
      </c>
      <c r="C15" s="28"/>
      <c r="D15" s="19"/>
      <c r="E15" s="19"/>
      <c r="F15" s="20"/>
      <c r="G15" s="19"/>
      <c r="H15" s="20"/>
      <c r="I15" s="21"/>
      <c r="J15" s="21"/>
    </row>
    <row r="16" spans="2:10" x14ac:dyDescent="0.3">
      <c r="B16" s="14" t="s">
        <v>42</v>
      </c>
      <c r="C16" s="28"/>
      <c r="D16" s="19"/>
      <c r="E16" s="91"/>
      <c r="F16" s="92"/>
      <c r="G16" s="93" t="s">
        <v>95</v>
      </c>
      <c r="H16" s="23">
        <f>D17</f>
        <v>3.5000000000000003E-2</v>
      </c>
      <c r="I16" s="24">
        <f>B15*H16</f>
        <v>1.7500000000000001E-8</v>
      </c>
      <c r="J16" s="21"/>
    </row>
    <row r="17" spans="2:14" x14ac:dyDescent="0.3">
      <c r="B17" s="19"/>
      <c r="C17" s="30" t="s">
        <v>103</v>
      </c>
      <c r="D17" s="11">
        <v>3.5000000000000003E-2</v>
      </c>
      <c r="E17" s="94"/>
      <c r="F17" s="20"/>
      <c r="G17" s="19"/>
      <c r="H17" s="26"/>
      <c r="I17" s="21"/>
      <c r="J17" s="21"/>
    </row>
    <row r="18" spans="2:14" x14ac:dyDescent="0.3">
      <c r="B18" s="19"/>
      <c r="C18" s="32"/>
      <c r="D18" s="28"/>
      <c r="E18" s="19"/>
      <c r="F18" s="20"/>
      <c r="G18" s="19"/>
      <c r="H18" s="95"/>
      <c r="I18" s="21"/>
      <c r="J18" s="21"/>
    </row>
    <row r="19" spans="2:14" x14ac:dyDescent="0.3">
      <c r="B19" s="94"/>
      <c r="C19" s="25"/>
      <c r="D19" s="28"/>
      <c r="E19" s="19"/>
      <c r="F19" s="20"/>
      <c r="G19" s="19"/>
      <c r="H19" s="26"/>
      <c r="I19" s="29"/>
      <c r="J19" s="21"/>
      <c r="N19" s="6">
        <v>0.2</v>
      </c>
    </row>
    <row r="20" spans="2:14" x14ac:dyDescent="0.3">
      <c r="B20" s="94"/>
      <c r="C20" s="102" t="s">
        <v>104</v>
      </c>
      <c r="D20" s="12">
        <v>0.96499999999999997</v>
      </c>
      <c r="E20" s="19"/>
      <c r="F20" s="20"/>
      <c r="G20" s="19" t="s">
        <v>101</v>
      </c>
      <c r="H20" s="23">
        <f>F21*E23*D20</f>
        <v>8.3375999999999988E-3</v>
      </c>
      <c r="I20" s="24">
        <f>B15*H20</f>
        <v>4.1687999999999991E-9</v>
      </c>
      <c r="J20" s="21"/>
      <c r="N20" s="6">
        <v>0.1152</v>
      </c>
    </row>
    <row r="21" spans="2:14" x14ac:dyDescent="0.3">
      <c r="B21" s="94"/>
      <c r="C21" s="94"/>
      <c r="D21" s="28"/>
      <c r="E21" s="14" t="s">
        <v>96</v>
      </c>
      <c r="F21" s="106">
        <v>0.24</v>
      </c>
      <c r="G21" s="25"/>
      <c r="H21" s="26"/>
      <c r="I21" s="29"/>
      <c r="J21" s="21"/>
      <c r="N21" s="6">
        <v>7.6800000000000007E-2</v>
      </c>
    </row>
    <row r="22" spans="2:14" x14ac:dyDescent="0.3">
      <c r="B22" s="102"/>
      <c r="C22" s="94"/>
      <c r="D22" s="28"/>
      <c r="E22" s="14"/>
      <c r="F22" s="97"/>
      <c r="G22" s="19"/>
      <c r="H22" s="95"/>
      <c r="I22" s="21"/>
      <c r="J22" s="21"/>
      <c r="N22" s="6">
        <v>0.6080000000000001</v>
      </c>
    </row>
    <row r="23" spans="2:14" x14ac:dyDescent="0.3">
      <c r="B23" s="94"/>
      <c r="C23" s="94"/>
      <c r="D23" s="30" t="s">
        <v>105</v>
      </c>
      <c r="E23" s="11">
        <v>3.5999999999999997E-2</v>
      </c>
      <c r="F23" s="97"/>
      <c r="G23" s="19"/>
      <c r="H23" s="26"/>
      <c r="I23" s="29"/>
      <c r="J23" s="21"/>
      <c r="N23" s="6">
        <v>3.5000000000000003E-2</v>
      </c>
    </row>
    <row r="24" spans="2:14" x14ac:dyDescent="0.3">
      <c r="B24" s="94"/>
      <c r="C24" s="94"/>
      <c r="D24" s="98"/>
      <c r="E24" s="30" t="s">
        <v>97</v>
      </c>
      <c r="F24" s="105">
        <v>0.76</v>
      </c>
      <c r="G24" s="27" t="s">
        <v>102</v>
      </c>
      <c r="H24" s="23">
        <f>F24*E23*D20</f>
        <v>2.6402399999999999E-2</v>
      </c>
      <c r="I24" s="24">
        <f>B15*H24</f>
        <v>1.3201199999999999E-8</v>
      </c>
      <c r="J24" s="21"/>
      <c r="N24" s="6">
        <v>8.3375999999999988E-3</v>
      </c>
    </row>
    <row r="25" spans="2:14" x14ac:dyDescent="0.3">
      <c r="B25" s="94"/>
      <c r="C25" s="94"/>
      <c r="D25" s="99"/>
      <c r="E25" s="12">
        <v>0.96399999999999997</v>
      </c>
      <c r="F25" s="20"/>
      <c r="G25" s="19"/>
      <c r="H25" s="100"/>
      <c r="I25" s="101"/>
      <c r="J25" s="21"/>
      <c r="N25" s="6">
        <v>2.6402399999999999E-2</v>
      </c>
    </row>
    <row r="26" spans="2:14" x14ac:dyDescent="0.3">
      <c r="B26" s="94"/>
      <c r="C26" s="94"/>
      <c r="D26" s="102" t="s">
        <v>106</v>
      </c>
      <c r="E26" s="31"/>
      <c r="F26" s="92"/>
      <c r="G26" s="27" t="s">
        <v>40</v>
      </c>
      <c r="H26" s="23">
        <f>E25*D20</f>
        <v>0.93025999999999998</v>
      </c>
      <c r="I26" s="24">
        <f>H26*B15</f>
        <v>4.6512999999999998E-7</v>
      </c>
      <c r="J26" s="21"/>
      <c r="N26" s="6">
        <v>0.93025999999999998</v>
      </c>
    </row>
    <row r="27" spans="2:14" x14ac:dyDescent="0.3">
      <c r="B27" s="104"/>
      <c r="C27" s="94"/>
      <c r="D27" s="94"/>
      <c r="E27" s="19"/>
      <c r="F27" s="20"/>
      <c r="G27" s="19"/>
      <c r="H27" s="100"/>
      <c r="I27" s="101"/>
      <c r="J27" s="21"/>
    </row>
    <row r="28" spans="2:14" x14ac:dyDescent="0.3">
      <c r="B28" s="94"/>
      <c r="C28" s="94"/>
      <c r="D28" s="94"/>
      <c r="E28" s="102"/>
      <c r="F28" s="20"/>
      <c r="G28" s="19"/>
      <c r="H28" s="100"/>
      <c r="I28" s="101"/>
      <c r="J28" s="21"/>
    </row>
    <row r="29" spans="2:14" x14ac:dyDescent="0.3">
      <c r="B29" s="94"/>
      <c r="C29" s="102"/>
      <c r="D29" s="94"/>
      <c r="E29" s="94"/>
      <c r="F29" s="20"/>
      <c r="G29" s="19"/>
      <c r="H29" s="100"/>
      <c r="I29" s="101"/>
      <c r="J29" s="21"/>
    </row>
    <row r="30" spans="2:14" x14ac:dyDescent="0.3">
      <c r="B30" s="94"/>
      <c r="C30" s="99"/>
      <c r="D30" s="94"/>
      <c r="E30" s="102"/>
      <c r="F30" s="20"/>
      <c r="G30" s="19"/>
      <c r="H30" s="100"/>
      <c r="I30" s="101"/>
      <c r="J30" s="21"/>
    </row>
    <row r="31" spans="2:14" x14ac:dyDescent="0.3">
      <c r="B31" s="76"/>
      <c r="C31" s="76"/>
      <c r="D31" s="81"/>
      <c r="E31" s="80"/>
      <c r="F31" s="10"/>
      <c r="G31" s="9"/>
      <c r="H31" s="77"/>
      <c r="I31" s="82"/>
    </row>
    <row r="32" spans="2:14" x14ac:dyDescent="0.3">
      <c r="B32" s="76"/>
      <c r="C32" s="81"/>
      <c r="D32" s="76"/>
      <c r="E32" s="80"/>
      <c r="F32" s="10"/>
      <c r="G32" s="9"/>
      <c r="H32" s="77"/>
      <c r="I32" s="82"/>
    </row>
    <row r="33" spans="2:9" x14ac:dyDescent="0.3">
      <c r="B33" s="76"/>
      <c r="C33" s="76"/>
      <c r="D33" s="76"/>
      <c r="E33" s="80"/>
      <c r="F33" s="10"/>
      <c r="G33" s="9"/>
      <c r="H33" s="77"/>
      <c r="I33" s="82"/>
    </row>
    <row r="34" spans="2:9" x14ac:dyDescent="0.3">
      <c r="B34" s="76"/>
      <c r="C34" s="76"/>
      <c r="D34" s="81"/>
      <c r="E34" s="81"/>
      <c r="F34" s="10"/>
      <c r="G34" s="9"/>
      <c r="H34" s="77"/>
      <c r="I34" s="78"/>
    </row>
    <row r="35" spans="2:9" x14ac:dyDescent="0.3">
      <c r="B35" s="79"/>
      <c r="C35" s="79"/>
      <c r="D35" s="79"/>
      <c r="E35" s="79"/>
      <c r="F35" s="10"/>
      <c r="G35" s="9"/>
      <c r="H35" s="83"/>
      <c r="I35" s="79"/>
    </row>
  </sheetData>
  <conditionalFormatting sqref="I3:I4 I6:I8 I10:I14 I16:I17 I19:I21 I23:I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"/>
  <sheetViews>
    <sheetView tabSelected="1" zoomScale="85" zoomScaleNormal="85" workbookViewId="0">
      <pane ySplit="1" topLeftCell="A12" activePane="bottomLeft" state="frozen"/>
      <selection pane="bottomLeft" activeCell="H2" sqref="H2:H44"/>
    </sheetView>
  </sheetViews>
  <sheetFormatPr defaultRowHeight="16.5" x14ac:dyDescent="0.3"/>
  <cols>
    <col min="1" max="1" width="12" style="6" customWidth="1"/>
    <col min="2" max="2" width="60.140625" style="6" customWidth="1"/>
    <col min="3" max="3" width="34.7109375" style="7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0" width="20.7109375" style="6" customWidth="1"/>
    <col min="11" max="15" width="13.28515625" customWidth="1"/>
    <col min="16" max="16" width="35.5703125" customWidth="1"/>
    <col min="17" max="17" width="31" customWidth="1"/>
    <col min="18" max="33" width="8.85546875" customWidth="1"/>
    <col min="34" max="34" width="17" customWidth="1"/>
    <col min="35" max="35" width="17.85546875" customWidth="1"/>
    <col min="36" max="36" width="13.28515625" customWidth="1"/>
    <col min="37" max="37" width="8.85546875" customWidth="1"/>
    <col min="38" max="38" width="12.28515625" customWidth="1"/>
    <col min="39" max="39" width="11.85546875" customWidth="1"/>
    <col min="40" max="40" width="10.42578125" customWidth="1"/>
    <col min="41" max="41" width="11.42578125" customWidth="1"/>
    <col min="42" max="43" width="12" customWidth="1"/>
    <col min="45" max="45" width="13.7109375" customWidth="1"/>
  </cols>
  <sheetData>
    <row r="1" spans="1:45" ht="54" customHeight="1" thickBot="1" x14ac:dyDescent="0.35">
      <c r="A1" s="4" t="s">
        <v>1</v>
      </c>
      <c r="B1" s="4" t="s">
        <v>0</v>
      </c>
      <c r="C1" s="5" t="s">
        <v>2</v>
      </c>
      <c r="D1" s="5" t="s">
        <v>43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L1" s="5" t="s">
        <v>167</v>
      </c>
      <c r="M1" s="5" t="s">
        <v>166</v>
      </c>
      <c r="N1" s="5" t="s">
        <v>165</v>
      </c>
      <c r="O1" s="1" t="str">
        <f>A1</f>
        <v>№ сценария</v>
      </c>
      <c r="P1" s="1" t="str">
        <f>B1</f>
        <v>Оборудование</v>
      </c>
      <c r="Q1" s="1" t="str">
        <f>D1</f>
        <v>Кратко сценарий</v>
      </c>
      <c r="R1" s="35" t="s">
        <v>47</v>
      </c>
      <c r="S1" s="35" t="s">
        <v>48</v>
      </c>
      <c r="T1" s="35" t="s">
        <v>49</v>
      </c>
      <c r="U1" s="35" t="s">
        <v>50</v>
      </c>
      <c r="V1" s="35" t="s">
        <v>145</v>
      </c>
      <c r="W1" s="35" t="s">
        <v>146</v>
      </c>
      <c r="X1" s="35" t="s">
        <v>147</v>
      </c>
      <c r="Y1" s="35" t="s">
        <v>148</v>
      </c>
      <c r="Z1" s="35" t="s">
        <v>51</v>
      </c>
      <c r="AA1" s="35" t="s">
        <v>143</v>
      </c>
      <c r="AB1" s="35" t="s">
        <v>144</v>
      </c>
      <c r="AC1" s="4" t="s">
        <v>53</v>
      </c>
      <c r="AD1" s="4" t="s">
        <v>54</v>
      </c>
      <c r="AE1" s="35" t="s">
        <v>52</v>
      </c>
      <c r="AF1" s="5" t="s">
        <v>57</v>
      </c>
      <c r="AG1" s="5" t="s">
        <v>58</v>
      </c>
      <c r="AH1" s="42" t="s">
        <v>66</v>
      </c>
      <c r="AI1" s="3" t="s">
        <v>67</v>
      </c>
      <c r="AJ1" s="3" t="s">
        <v>68</v>
      </c>
      <c r="AK1" s="5" t="s">
        <v>59</v>
      </c>
      <c r="AL1" s="5" t="s">
        <v>60</v>
      </c>
      <c r="AM1" s="5" t="s">
        <v>61</v>
      </c>
      <c r="AN1" s="5" t="s">
        <v>62</v>
      </c>
      <c r="AO1" s="5" t="s">
        <v>63</v>
      </c>
      <c r="AP1" s="5" t="s">
        <v>64</v>
      </c>
      <c r="AQ1" s="5" t="s">
        <v>89</v>
      </c>
      <c r="AR1" s="5" t="s">
        <v>90</v>
      </c>
      <c r="AS1" s="5" t="s">
        <v>65</v>
      </c>
    </row>
    <row r="2" spans="1:45" s="70" customFormat="1" ht="17.25" thickBot="1" x14ac:dyDescent="0.35">
      <c r="A2" s="63" t="s">
        <v>9</v>
      </c>
      <c r="B2" s="64" t="s">
        <v>91</v>
      </c>
      <c r="C2" s="65" t="s">
        <v>149</v>
      </c>
      <c r="D2" s="66" t="s">
        <v>92</v>
      </c>
      <c r="E2" s="67">
        <v>9.9999999999999995E-8</v>
      </c>
      <c r="F2" s="63">
        <v>22</v>
      </c>
      <c r="G2" s="63">
        <v>0.24</v>
      </c>
      <c r="H2" s="67">
        <f>E2*F2*G2</f>
        <v>5.2799999999999996E-7</v>
      </c>
      <c r="I2" s="68">
        <f>(K2*12/1000)+N2/1000</f>
        <v>3.2096758400885963</v>
      </c>
      <c r="J2" s="68">
        <f>I2</f>
        <v>3.2096758400885963</v>
      </c>
      <c r="K2" s="69">
        <v>265</v>
      </c>
      <c r="L2" s="153">
        <f>PI()*POWER(0.11,2)*22</f>
        <v>0.83629196438560294</v>
      </c>
      <c r="M2" s="153">
        <f>(0.016*5.4*POWER(10,6)/(8.31*(20+273)))</f>
        <v>35.485023595076456</v>
      </c>
      <c r="N2" s="153">
        <f>M2*L2</f>
        <v>29.675840088595958</v>
      </c>
      <c r="O2" s="70" t="str">
        <f>A2</f>
        <v>С1</v>
      </c>
      <c r="P2" s="70" t="str">
        <f>B2</f>
        <v>Технологический трубопровод наземный (Ду = 219; P=5,4; L=22)</v>
      </c>
      <c r="Q2" s="70" t="str">
        <f t="shared" ref="Q2:Q5" si="0">D2</f>
        <v>Полное-факел</v>
      </c>
      <c r="R2" s="147" t="s">
        <v>55</v>
      </c>
      <c r="S2" s="147" t="s">
        <v>55</v>
      </c>
      <c r="T2" s="147" t="s">
        <v>55</v>
      </c>
      <c r="U2" s="147" t="s">
        <v>55</v>
      </c>
      <c r="V2" s="147" t="s">
        <v>55</v>
      </c>
      <c r="W2" s="147" t="s">
        <v>55</v>
      </c>
      <c r="X2" s="147" t="s">
        <v>55</v>
      </c>
      <c r="Y2" s="147" t="s">
        <v>55</v>
      </c>
      <c r="Z2" s="147" t="s">
        <v>55</v>
      </c>
      <c r="AA2" s="148">
        <f>12.5*POWER(K2,0.4)</f>
        <v>116.46846791573265</v>
      </c>
      <c r="AB2" s="148">
        <f>AA2*0.15</f>
        <v>17.470270187359898</v>
      </c>
      <c r="AC2" s="147" t="s">
        <v>55</v>
      </c>
      <c r="AD2" s="147" t="s">
        <v>55</v>
      </c>
      <c r="AE2" s="147" t="s">
        <v>55</v>
      </c>
      <c r="AF2" s="71">
        <v>1</v>
      </c>
      <c r="AG2" s="71">
        <v>1</v>
      </c>
      <c r="AH2" s="70">
        <f>0.005*F2</f>
        <v>0.11</v>
      </c>
      <c r="AI2" s="70">
        <v>0.02</v>
      </c>
      <c r="AJ2" s="70">
        <v>10</v>
      </c>
      <c r="AK2" s="72">
        <f t="shared" ref="AK2:AK27" si="1">AI2*I2+AH2</f>
        <v>0.17419351680177192</v>
      </c>
      <c r="AL2" s="72">
        <f>0.1*AK2</f>
        <v>1.7419351680177192E-2</v>
      </c>
      <c r="AM2" s="73">
        <f>AF2*1.72+115*0.012*AG2</f>
        <v>3.1</v>
      </c>
      <c r="AN2" s="73">
        <f>AJ2*0.1</f>
        <v>1</v>
      </c>
      <c r="AO2" s="72">
        <f>10068.2*I2*POWER(10,-6)</f>
        <v>3.2315658293180005E-2</v>
      </c>
      <c r="AP2" s="73">
        <f>AO2+AN2+AM2+AL2+AK2</f>
        <v>4.3239285267751288</v>
      </c>
      <c r="AQ2" s="74">
        <f>AF2*H2</f>
        <v>5.2799999999999996E-7</v>
      </c>
      <c r="AR2" s="74">
        <f>AG2*H2</f>
        <v>5.2799999999999996E-7</v>
      </c>
      <c r="AS2" s="74">
        <f>H2*AP2</f>
        <v>2.283034262137268E-6</v>
      </c>
    </row>
    <row r="3" spans="1:45" s="70" customFormat="1" ht="17.25" thickBot="1" x14ac:dyDescent="0.35">
      <c r="A3" s="63" t="s">
        <v>10</v>
      </c>
      <c r="B3" s="64" t="s">
        <v>91</v>
      </c>
      <c r="C3" s="65" t="s">
        <v>150</v>
      </c>
      <c r="D3" s="66" t="s">
        <v>45</v>
      </c>
      <c r="E3" s="67">
        <v>9.9999999999999995E-8</v>
      </c>
      <c r="F3" s="63">
        <v>22</v>
      </c>
      <c r="G3" s="63">
        <f>1-0.24</f>
        <v>0.76</v>
      </c>
      <c r="H3" s="67">
        <f t="shared" ref="H3:H5" si="2">E3*F3*G3</f>
        <v>1.672E-6</v>
      </c>
      <c r="I3" s="68">
        <f>I2</f>
        <v>3.2096758400885963</v>
      </c>
      <c r="J3" s="68">
        <f>0.1*K3</f>
        <v>0</v>
      </c>
      <c r="K3" s="69"/>
      <c r="L3" s="153">
        <f t="shared" ref="L3:L5" si="3">PI()*POWER(0.11,2)*22</f>
        <v>0.83629196438560294</v>
      </c>
      <c r="M3" s="153">
        <f t="shared" ref="M3:M21" si="4">(0.016*5.4*POWER(10,6)/(8.31*(20+273)))</f>
        <v>35.485023595076456</v>
      </c>
      <c r="N3" s="153">
        <f t="shared" ref="N3:N5" si="5">M3*L3</f>
        <v>29.675840088595958</v>
      </c>
      <c r="O3" s="70" t="str">
        <f t="shared" ref="O3:O44" si="6">A3</f>
        <v>С2</v>
      </c>
      <c r="P3" s="70" t="str">
        <f t="shared" ref="P3:P5" si="7">B3</f>
        <v>Технологический трубопровод наземный (Ду = 219; P=5,4; L=22)</v>
      </c>
      <c r="Q3" s="70" t="str">
        <f t="shared" si="0"/>
        <v>Полное-ликвидация</v>
      </c>
      <c r="R3" s="147" t="s">
        <v>55</v>
      </c>
      <c r="S3" s="147" t="s">
        <v>55</v>
      </c>
      <c r="T3" s="147" t="s">
        <v>55</v>
      </c>
      <c r="U3" s="147" t="s">
        <v>55</v>
      </c>
      <c r="V3" s="147" t="s">
        <v>55</v>
      </c>
      <c r="W3" s="147" t="s">
        <v>55</v>
      </c>
      <c r="X3" s="147" t="s">
        <v>55</v>
      </c>
      <c r="Y3" s="147" t="s">
        <v>55</v>
      </c>
      <c r="Z3" s="147" t="s">
        <v>55</v>
      </c>
      <c r="AA3" s="147" t="s">
        <v>55</v>
      </c>
      <c r="AB3" s="147" t="s">
        <v>55</v>
      </c>
      <c r="AC3" s="147" t="s">
        <v>55</v>
      </c>
      <c r="AD3" s="147" t="s">
        <v>55</v>
      </c>
      <c r="AE3" s="147" t="s">
        <v>55</v>
      </c>
      <c r="AF3" s="71">
        <v>0</v>
      </c>
      <c r="AG3" s="71">
        <v>0</v>
      </c>
      <c r="AH3" s="70">
        <f>0.005*F3</f>
        <v>0.11</v>
      </c>
      <c r="AI3" s="70">
        <v>0.02</v>
      </c>
      <c r="AJ3" s="70">
        <v>10</v>
      </c>
      <c r="AK3" s="72">
        <f t="shared" si="1"/>
        <v>0.17419351680177192</v>
      </c>
      <c r="AL3" s="72">
        <f t="shared" ref="AL3:AL5" si="8">0.1*AK3</f>
        <v>1.7419351680177192E-2</v>
      </c>
      <c r="AM3" s="73">
        <f>AF3*1.72+115*0.012*AG3</f>
        <v>0</v>
      </c>
      <c r="AN3" s="73">
        <f>AJ3*0.1</f>
        <v>1</v>
      </c>
      <c r="AO3" s="72">
        <f>1333*I3*POWER(10,-6)</f>
        <v>4.2784978948380986E-3</v>
      </c>
      <c r="AP3" s="73">
        <f t="shared" ref="AP3:AP44" si="9">AO3+AN3+AM3+AL3+AK3</f>
        <v>1.1958913663767872</v>
      </c>
      <c r="AQ3" s="74">
        <f>AF3*H3</f>
        <v>0</v>
      </c>
      <c r="AR3" s="74">
        <f>AG3*H3</f>
        <v>0</v>
      </c>
      <c r="AS3" s="74">
        <f>H3*AP3</f>
        <v>1.9995303645819884E-6</v>
      </c>
    </row>
    <row r="4" spans="1:45" s="70" customFormat="1" ht="17.25" thickBot="1" x14ac:dyDescent="0.35">
      <c r="A4" s="63" t="s">
        <v>11</v>
      </c>
      <c r="B4" s="64" t="s">
        <v>91</v>
      </c>
      <c r="C4" s="65" t="s">
        <v>151</v>
      </c>
      <c r="D4" s="66" t="s">
        <v>93</v>
      </c>
      <c r="E4" s="67">
        <v>4.9999999999999998E-7</v>
      </c>
      <c r="F4" s="63">
        <v>22</v>
      </c>
      <c r="G4" s="63">
        <v>3.5999999999999997E-2</v>
      </c>
      <c r="H4" s="67">
        <f t="shared" si="2"/>
        <v>3.9599999999999995E-7</v>
      </c>
      <c r="I4" s="68">
        <f>(K4*120/1000)+(N4/1000)</f>
        <v>0.29367584008859599</v>
      </c>
      <c r="J4" s="68">
        <f>I4</f>
        <v>0.29367584008859599</v>
      </c>
      <c r="K4" s="69">
        <v>2.2000000000000002</v>
      </c>
      <c r="L4" s="153">
        <f t="shared" si="3"/>
        <v>0.83629196438560294</v>
      </c>
      <c r="M4" s="153">
        <f t="shared" si="4"/>
        <v>35.485023595076456</v>
      </c>
      <c r="N4" s="153">
        <f t="shared" si="5"/>
        <v>29.675840088595958</v>
      </c>
      <c r="O4" s="70" t="str">
        <f t="shared" si="6"/>
        <v>С3</v>
      </c>
      <c r="P4" s="70" t="str">
        <f t="shared" si="7"/>
        <v>Технологический трубопровод наземный (Ду = 219; P=5,4; L=22)</v>
      </c>
      <c r="Q4" s="70" t="str">
        <f t="shared" si="0"/>
        <v>Частичное-факел</v>
      </c>
      <c r="R4" s="147" t="s">
        <v>55</v>
      </c>
      <c r="S4" s="147" t="s">
        <v>55</v>
      </c>
      <c r="T4" s="147" t="s">
        <v>55</v>
      </c>
      <c r="U4" s="147" t="s">
        <v>55</v>
      </c>
      <c r="V4" s="147" t="s">
        <v>55</v>
      </c>
      <c r="W4" s="147" t="s">
        <v>55</v>
      </c>
      <c r="X4" s="147" t="s">
        <v>55</v>
      </c>
      <c r="Y4" s="147" t="s">
        <v>55</v>
      </c>
      <c r="Z4" s="147" t="s">
        <v>55</v>
      </c>
      <c r="AA4" s="148">
        <f>12.5*POWER(K4,0.4)</f>
        <v>17.134801802784114</v>
      </c>
      <c r="AB4" s="148">
        <f>AA4*0.15</f>
        <v>2.5702202704176171</v>
      </c>
      <c r="AC4" s="147" t="s">
        <v>55</v>
      </c>
      <c r="AD4" s="147" t="s">
        <v>55</v>
      </c>
      <c r="AE4" s="147" t="s">
        <v>55</v>
      </c>
      <c r="AF4" s="70">
        <v>0</v>
      </c>
      <c r="AG4" s="70">
        <v>1</v>
      </c>
      <c r="AH4" s="70">
        <f>0.0005*F4</f>
        <v>1.0999999999999999E-2</v>
      </c>
      <c r="AI4" s="70">
        <v>0.02</v>
      </c>
      <c r="AJ4" s="70">
        <v>2</v>
      </c>
      <c r="AK4" s="72">
        <f t="shared" si="1"/>
        <v>1.6873516801771918E-2</v>
      </c>
      <c r="AL4" s="72">
        <f t="shared" si="8"/>
        <v>1.6873516801771918E-3</v>
      </c>
      <c r="AM4" s="73">
        <f>AF4*1.72+115*0.012*AG4</f>
        <v>1.3800000000000001</v>
      </c>
      <c r="AN4" s="73">
        <f>AJ4*0.1</f>
        <v>0.2</v>
      </c>
      <c r="AO4" s="72">
        <f>10068.2*I4*POWER(10,-6)</f>
        <v>2.9567870931800021E-3</v>
      </c>
      <c r="AP4" s="73">
        <f t="shared" si="9"/>
        <v>1.6015176555751294</v>
      </c>
      <c r="AQ4" s="74">
        <f>AF4*H4</f>
        <v>0</v>
      </c>
      <c r="AR4" s="74">
        <f>AG4*H4</f>
        <v>3.9599999999999995E-7</v>
      </c>
      <c r="AS4" s="74">
        <f>H4*AP4</f>
        <v>6.3420099160775111E-7</v>
      </c>
    </row>
    <row r="5" spans="1:45" s="70" customFormat="1" ht="17.25" thickBot="1" x14ac:dyDescent="0.35">
      <c r="A5" s="63" t="s">
        <v>12</v>
      </c>
      <c r="B5" s="64" t="s">
        <v>91</v>
      </c>
      <c r="C5" s="65" t="s">
        <v>152</v>
      </c>
      <c r="D5" s="66" t="s">
        <v>46</v>
      </c>
      <c r="E5" s="67">
        <v>4.9999999999999998E-7</v>
      </c>
      <c r="F5" s="63">
        <v>22</v>
      </c>
      <c r="G5" s="63">
        <f>1-G4</f>
        <v>0.96399999999999997</v>
      </c>
      <c r="H5" s="67">
        <f t="shared" si="2"/>
        <v>1.0603999999999999E-5</v>
      </c>
      <c r="I5" s="68">
        <f>I4</f>
        <v>0.29367584008859599</v>
      </c>
      <c r="J5" s="68">
        <v>0</v>
      </c>
      <c r="K5" s="69"/>
      <c r="L5" s="153">
        <f t="shared" si="3"/>
        <v>0.83629196438560294</v>
      </c>
      <c r="M5" s="153">
        <f t="shared" si="4"/>
        <v>35.485023595076456</v>
      </c>
      <c r="N5" s="153">
        <f t="shared" si="5"/>
        <v>29.675840088595958</v>
      </c>
      <c r="O5" s="70" t="str">
        <f t="shared" si="6"/>
        <v>С4</v>
      </c>
      <c r="P5" s="70" t="str">
        <f t="shared" si="7"/>
        <v>Технологический трубопровод наземный (Ду = 219; P=5,4; L=22)</v>
      </c>
      <c r="Q5" s="70" t="str">
        <f t="shared" si="0"/>
        <v>Частичное-ликвидация</v>
      </c>
      <c r="R5" s="147" t="s">
        <v>55</v>
      </c>
      <c r="S5" s="147" t="s">
        <v>55</v>
      </c>
      <c r="T5" s="147" t="s">
        <v>55</v>
      </c>
      <c r="U5" s="147" t="s">
        <v>55</v>
      </c>
      <c r="V5" s="147" t="s">
        <v>55</v>
      </c>
      <c r="W5" s="147" t="s">
        <v>55</v>
      </c>
      <c r="X5" s="147" t="s">
        <v>55</v>
      </c>
      <c r="Y5" s="147" t="s">
        <v>55</v>
      </c>
      <c r="Z5" s="147" t="s">
        <v>55</v>
      </c>
      <c r="AA5" s="147" t="s">
        <v>55</v>
      </c>
      <c r="AB5" s="147" t="s">
        <v>55</v>
      </c>
      <c r="AC5" s="147" t="s">
        <v>55</v>
      </c>
      <c r="AD5" s="147" t="s">
        <v>55</v>
      </c>
      <c r="AE5" s="147" t="s">
        <v>55</v>
      </c>
      <c r="AF5" s="70">
        <v>0</v>
      </c>
      <c r="AG5" s="70">
        <v>1</v>
      </c>
      <c r="AH5" s="70">
        <f>0.0005*F5</f>
        <v>1.0999999999999999E-2</v>
      </c>
      <c r="AI5" s="70">
        <v>0.02</v>
      </c>
      <c r="AJ5" s="70">
        <v>2</v>
      </c>
      <c r="AK5" s="72">
        <f t="shared" si="1"/>
        <v>1.6873516801771918E-2</v>
      </c>
      <c r="AL5" s="72">
        <f t="shared" si="8"/>
        <v>1.6873516801771918E-3</v>
      </c>
      <c r="AM5" s="73">
        <f>AF5*1.72+115*0.012*AG5</f>
        <v>1.3800000000000001</v>
      </c>
      <c r="AN5" s="73">
        <f>AJ5*0.1</f>
        <v>0.2</v>
      </c>
      <c r="AO5" s="72">
        <f>1333*I5*POWER(10,-6)</f>
        <v>3.9146989483809845E-4</v>
      </c>
      <c r="AP5" s="73">
        <f t="shared" si="9"/>
        <v>1.5989523383767874</v>
      </c>
      <c r="AQ5" s="74">
        <f>AF5*H5</f>
        <v>0</v>
      </c>
      <c r="AR5" s="74">
        <f>AG5*H5</f>
        <v>1.0603999999999999E-5</v>
      </c>
      <c r="AS5" s="74">
        <f>H5*AP5</f>
        <v>1.6955290596147453E-5</v>
      </c>
    </row>
    <row r="6" spans="1:45" s="2" customFormat="1" ht="17.25" thickBot="1" x14ac:dyDescent="0.35">
      <c r="A6" s="63" t="s">
        <v>13</v>
      </c>
      <c r="B6" s="75" t="s">
        <v>138</v>
      </c>
      <c r="C6" s="16" t="s">
        <v>149</v>
      </c>
      <c r="D6" s="17" t="s">
        <v>92</v>
      </c>
      <c r="E6" s="18">
        <v>9.9999999999999995E-8</v>
      </c>
      <c r="F6" s="15">
        <v>27</v>
      </c>
      <c r="G6" s="15">
        <v>0.24</v>
      </c>
      <c r="H6" s="18">
        <f>E6*F6*G6</f>
        <v>6.4799999999999998E-7</v>
      </c>
      <c r="I6" s="36">
        <f>(K6*12/1000)+(N6/1000)</f>
        <v>0.2183597978324395</v>
      </c>
      <c r="J6" s="36">
        <f>I6</f>
        <v>0.2183597978324395</v>
      </c>
      <c r="K6" s="61">
        <v>18</v>
      </c>
      <c r="L6" s="153">
        <f>PI()*POWER(0.028,2)*27</f>
        <v>6.6501233291188747E-2</v>
      </c>
      <c r="M6" s="153">
        <f>(0.016*5.4*POWER(10,6)/(8.31*(20+273)))</f>
        <v>35.485023595076456</v>
      </c>
      <c r="N6" s="153">
        <f>M6*L6</f>
        <v>2.3597978324395164</v>
      </c>
      <c r="O6" s="70" t="str">
        <f t="shared" si="6"/>
        <v>С5</v>
      </c>
      <c r="P6" s="2" t="str">
        <f>B6</f>
        <v>Технологический трубопровод подземный (Ду = 57; P=5,4; L=27)</v>
      </c>
      <c r="Q6" s="2" t="str">
        <f t="shared" ref="Q6:Q13" si="10">D6</f>
        <v>Полное-факел</v>
      </c>
      <c r="R6" s="147" t="s">
        <v>55</v>
      </c>
      <c r="S6" s="147" t="s">
        <v>55</v>
      </c>
      <c r="T6" s="147" t="s">
        <v>55</v>
      </c>
      <c r="U6" s="147" t="s">
        <v>55</v>
      </c>
      <c r="V6" s="147" t="s">
        <v>55</v>
      </c>
      <c r="W6" s="147" t="s">
        <v>55</v>
      </c>
      <c r="X6" s="147" t="s">
        <v>55</v>
      </c>
      <c r="Y6" s="147" t="s">
        <v>55</v>
      </c>
      <c r="Z6" s="147" t="s">
        <v>55</v>
      </c>
      <c r="AA6" s="148">
        <f>12.5*POWER(K6,0.4)</f>
        <v>39.72089403933046</v>
      </c>
      <c r="AB6" s="148">
        <f>AA6*0.15</f>
        <v>5.9581341058995685</v>
      </c>
      <c r="AC6" s="147" t="s">
        <v>55</v>
      </c>
      <c r="AD6" s="147" t="s">
        <v>55</v>
      </c>
      <c r="AE6" s="147" t="s">
        <v>55</v>
      </c>
      <c r="AF6" s="55">
        <v>1</v>
      </c>
      <c r="AG6" s="55">
        <v>1</v>
      </c>
      <c r="AH6" s="70">
        <f>0.005*F6</f>
        <v>0.13500000000000001</v>
      </c>
      <c r="AI6" s="70">
        <v>0.02</v>
      </c>
      <c r="AJ6" s="70">
        <v>10</v>
      </c>
      <c r="AK6" s="72">
        <f t="shared" si="1"/>
        <v>0.13936719595664879</v>
      </c>
      <c r="AL6" s="56">
        <f>0.1*AK6</f>
        <v>1.3936719595664879E-2</v>
      </c>
      <c r="AM6" s="57">
        <f>AF6*1.72+115*0.012*AG6</f>
        <v>3.1</v>
      </c>
      <c r="AN6" s="57">
        <f>AJ6*0.1</f>
        <v>1</v>
      </c>
      <c r="AO6" s="72">
        <f>10068.2*I6*POWER(10,-6)</f>
        <v>2.1984901165365677E-3</v>
      </c>
      <c r="AP6" s="73">
        <f t="shared" si="9"/>
        <v>4.2555024056688513</v>
      </c>
      <c r="AQ6" s="74">
        <f>AF6*H6</f>
        <v>6.4799999999999998E-7</v>
      </c>
      <c r="AR6" s="74">
        <f>AG6*H6</f>
        <v>6.4799999999999998E-7</v>
      </c>
      <c r="AS6" s="74">
        <f>H6*AP6</f>
        <v>2.7575655588734153E-6</v>
      </c>
    </row>
    <row r="7" spans="1:45" s="2" customFormat="1" ht="17.25" thickBot="1" x14ac:dyDescent="0.35">
      <c r="A7" s="63" t="s">
        <v>14</v>
      </c>
      <c r="B7" s="75" t="s">
        <v>138</v>
      </c>
      <c r="C7" s="16" t="s">
        <v>150</v>
      </c>
      <c r="D7" s="17" t="s">
        <v>45</v>
      </c>
      <c r="E7" s="18">
        <v>9.9999999999999995E-8</v>
      </c>
      <c r="F7" s="15">
        <v>27</v>
      </c>
      <c r="G7" s="15">
        <f>1-0.24</f>
        <v>0.76</v>
      </c>
      <c r="H7" s="18">
        <f t="shared" ref="H7:H9" si="11">E7*F7*G7</f>
        <v>2.052E-6</v>
      </c>
      <c r="I7" s="36">
        <f>I6</f>
        <v>0.2183597978324395</v>
      </c>
      <c r="J7" s="36">
        <f>0.1*K7</f>
        <v>0</v>
      </c>
      <c r="K7" s="61"/>
      <c r="L7" s="153">
        <f t="shared" ref="L7:L9" si="12">PI()*POWER(0.028,2)*27</f>
        <v>6.6501233291188747E-2</v>
      </c>
      <c r="M7" s="153">
        <f t="shared" si="4"/>
        <v>35.485023595076456</v>
      </c>
      <c r="N7" s="153">
        <f t="shared" ref="N7:N9" si="13">M7*L7</f>
        <v>2.3597978324395164</v>
      </c>
      <c r="O7" s="70" t="str">
        <f t="shared" si="6"/>
        <v>С6</v>
      </c>
      <c r="P7" s="2" t="str">
        <f t="shared" ref="P7:P9" si="14">B7</f>
        <v>Технологический трубопровод подземный (Ду = 57; P=5,4; L=27)</v>
      </c>
      <c r="Q7" s="2" t="str">
        <f t="shared" si="10"/>
        <v>Полное-ликвидация</v>
      </c>
      <c r="R7" s="147" t="s">
        <v>55</v>
      </c>
      <c r="S7" s="147" t="s">
        <v>55</v>
      </c>
      <c r="T7" s="147" t="s">
        <v>55</v>
      </c>
      <c r="U7" s="147" t="s">
        <v>55</v>
      </c>
      <c r="V7" s="147" t="s">
        <v>55</v>
      </c>
      <c r="W7" s="147" t="s">
        <v>55</v>
      </c>
      <c r="X7" s="147" t="s">
        <v>55</v>
      </c>
      <c r="Y7" s="147" t="s">
        <v>55</v>
      </c>
      <c r="Z7" s="147" t="s">
        <v>55</v>
      </c>
      <c r="AA7" s="147" t="s">
        <v>55</v>
      </c>
      <c r="AB7" s="147" t="s">
        <v>55</v>
      </c>
      <c r="AC7" s="147" t="s">
        <v>55</v>
      </c>
      <c r="AD7" s="147" t="s">
        <v>55</v>
      </c>
      <c r="AE7" s="147" t="s">
        <v>55</v>
      </c>
      <c r="AF7" s="55">
        <v>0</v>
      </c>
      <c r="AG7" s="55">
        <v>0</v>
      </c>
      <c r="AH7" s="70">
        <f>0.005*F7</f>
        <v>0.13500000000000001</v>
      </c>
      <c r="AI7" s="70">
        <v>0.02</v>
      </c>
      <c r="AJ7" s="70">
        <v>10</v>
      </c>
      <c r="AK7" s="72">
        <f t="shared" si="1"/>
        <v>0.13936719595664879</v>
      </c>
      <c r="AL7" s="56">
        <f t="shared" ref="AL7:AL9" si="15">0.1*AK7</f>
        <v>1.3936719595664879E-2</v>
      </c>
      <c r="AM7" s="57">
        <f>AF7*1.72+115*0.012*AG7</f>
        <v>0</v>
      </c>
      <c r="AN7" s="57">
        <f>AJ7*0.1</f>
        <v>1</v>
      </c>
      <c r="AO7" s="72">
        <f>1333*I7*POWER(10,-6)</f>
        <v>2.9107361051064186E-4</v>
      </c>
      <c r="AP7" s="73">
        <f t="shared" si="9"/>
        <v>1.1535949891628241</v>
      </c>
      <c r="AQ7" s="74">
        <f>AF7*H7</f>
        <v>0</v>
      </c>
      <c r="AR7" s="74">
        <f>AG7*H7</f>
        <v>0</v>
      </c>
      <c r="AS7" s="74">
        <f>H7*AP7</f>
        <v>2.3671769177621149E-6</v>
      </c>
    </row>
    <row r="8" spans="1:45" s="2" customFormat="1" ht="17.25" thickBot="1" x14ac:dyDescent="0.35">
      <c r="A8" s="63" t="s">
        <v>15</v>
      </c>
      <c r="B8" s="75" t="s">
        <v>138</v>
      </c>
      <c r="C8" s="16" t="s">
        <v>151</v>
      </c>
      <c r="D8" s="17" t="s">
        <v>93</v>
      </c>
      <c r="E8" s="18">
        <v>4.9999999999999998E-7</v>
      </c>
      <c r="F8" s="15">
        <v>27</v>
      </c>
      <c r="G8" s="15">
        <v>3.5999999999999997E-2</v>
      </c>
      <c r="H8" s="18">
        <f t="shared" si="11"/>
        <v>4.8599999999999998E-7</v>
      </c>
      <c r="I8" s="36">
        <f>(K8*120/1000)+(N8/1000)</f>
        <v>2.6359797832439517E-2</v>
      </c>
      <c r="J8" s="36">
        <f>I8</f>
        <v>2.6359797832439517E-2</v>
      </c>
      <c r="K8" s="61">
        <v>0.2</v>
      </c>
      <c r="L8" s="153">
        <f t="shared" si="12"/>
        <v>6.6501233291188747E-2</v>
      </c>
      <c r="M8" s="153">
        <f t="shared" si="4"/>
        <v>35.485023595076456</v>
      </c>
      <c r="N8" s="153">
        <f t="shared" si="13"/>
        <v>2.3597978324395164</v>
      </c>
      <c r="O8" s="70" t="str">
        <f t="shared" si="6"/>
        <v>С7</v>
      </c>
      <c r="P8" s="2" t="str">
        <f t="shared" si="14"/>
        <v>Технологический трубопровод подземный (Ду = 57; P=5,4; L=27)</v>
      </c>
      <c r="Q8" s="2" t="str">
        <f t="shared" si="10"/>
        <v>Частичное-факел</v>
      </c>
      <c r="R8" s="147" t="s">
        <v>55</v>
      </c>
      <c r="S8" s="147" t="s">
        <v>55</v>
      </c>
      <c r="T8" s="147" t="s">
        <v>55</v>
      </c>
      <c r="U8" s="147" t="s">
        <v>55</v>
      </c>
      <c r="V8" s="147" t="s">
        <v>55</v>
      </c>
      <c r="W8" s="147" t="s">
        <v>55</v>
      </c>
      <c r="X8" s="147" t="s">
        <v>55</v>
      </c>
      <c r="Y8" s="147" t="s">
        <v>55</v>
      </c>
      <c r="Z8" s="147" t="s">
        <v>55</v>
      </c>
      <c r="AA8" s="148">
        <f>12.5*POWER(K8,0.4)</f>
        <v>6.5663195110094179</v>
      </c>
      <c r="AB8" s="148">
        <f>AA8*0.15</f>
        <v>0.98494792665141262</v>
      </c>
      <c r="AC8" s="147" t="s">
        <v>55</v>
      </c>
      <c r="AD8" s="147" t="s">
        <v>55</v>
      </c>
      <c r="AE8" s="147" t="s">
        <v>55</v>
      </c>
      <c r="AF8" s="2">
        <v>0</v>
      </c>
      <c r="AG8" s="2">
        <v>1</v>
      </c>
      <c r="AH8" s="70">
        <f>0.0005*F8</f>
        <v>1.35E-2</v>
      </c>
      <c r="AI8" s="70">
        <v>0.02</v>
      </c>
      <c r="AJ8" s="70">
        <v>2</v>
      </c>
      <c r="AK8" s="72">
        <f t="shared" si="1"/>
        <v>1.4027195956648791E-2</v>
      </c>
      <c r="AL8" s="56">
        <f t="shared" si="15"/>
        <v>1.4027195956648792E-3</v>
      </c>
      <c r="AM8" s="57">
        <f>AF8*1.72+115*0.012*AG8</f>
        <v>1.3800000000000001</v>
      </c>
      <c r="AN8" s="57">
        <f>AJ8*0.1</f>
        <v>0.2</v>
      </c>
      <c r="AO8" s="72">
        <f>10068.2*I8*POWER(10,-6)</f>
        <v>2.6539571653656758E-4</v>
      </c>
      <c r="AP8" s="73">
        <f t="shared" si="9"/>
        <v>1.5956953112688503</v>
      </c>
      <c r="AQ8" s="74">
        <f>AF8*H8</f>
        <v>0</v>
      </c>
      <c r="AR8" s="74">
        <f>AG8*H8</f>
        <v>4.8599999999999998E-7</v>
      </c>
      <c r="AS8" s="74">
        <f>H8*AP8</f>
        <v>7.7550792127666125E-7</v>
      </c>
    </row>
    <row r="9" spans="1:45" s="2" customFormat="1" ht="17.25" thickBot="1" x14ac:dyDescent="0.35">
      <c r="A9" s="63" t="s">
        <v>16</v>
      </c>
      <c r="B9" s="75" t="s">
        <v>138</v>
      </c>
      <c r="C9" s="16" t="s">
        <v>152</v>
      </c>
      <c r="D9" s="17" t="s">
        <v>46</v>
      </c>
      <c r="E9" s="18">
        <v>4.9999999999999998E-7</v>
      </c>
      <c r="F9" s="15">
        <v>27</v>
      </c>
      <c r="G9" s="15">
        <f>1-G8</f>
        <v>0.96399999999999997</v>
      </c>
      <c r="H9" s="18">
        <f t="shared" si="11"/>
        <v>1.3013999999999999E-5</v>
      </c>
      <c r="I9" s="36">
        <f>I8</f>
        <v>2.6359797832439517E-2</v>
      </c>
      <c r="J9" s="36">
        <v>0</v>
      </c>
      <c r="K9" s="61"/>
      <c r="L9" s="153">
        <f t="shared" si="12"/>
        <v>6.6501233291188747E-2</v>
      </c>
      <c r="M9" s="153">
        <f t="shared" si="4"/>
        <v>35.485023595076456</v>
      </c>
      <c r="N9" s="153">
        <f t="shared" si="13"/>
        <v>2.3597978324395164</v>
      </c>
      <c r="O9" s="70" t="str">
        <f t="shared" si="6"/>
        <v>С8</v>
      </c>
      <c r="P9" s="2" t="str">
        <f t="shared" si="14"/>
        <v>Технологический трубопровод подземный (Ду = 57; P=5,4; L=27)</v>
      </c>
      <c r="Q9" s="2" t="str">
        <f t="shared" si="10"/>
        <v>Частичное-ликвидация</v>
      </c>
      <c r="R9" s="147" t="s">
        <v>55</v>
      </c>
      <c r="S9" s="147" t="s">
        <v>55</v>
      </c>
      <c r="T9" s="147" t="s">
        <v>55</v>
      </c>
      <c r="U9" s="147" t="s">
        <v>55</v>
      </c>
      <c r="V9" s="147" t="s">
        <v>55</v>
      </c>
      <c r="W9" s="147" t="s">
        <v>55</v>
      </c>
      <c r="X9" s="147" t="s">
        <v>55</v>
      </c>
      <c r="Y9" s="147" t="s">
        <v>55</v>
      </c>
      <c r="Z9" s="147" t="s">
        <v>55</v>
      </c>
      <c r="AA9" s="147" t="s">
        <v>55</v>
      </c>
      <c r="AB9" s="147" t="s">
        <v>55</v>
      </c>
      <c r="AC9" s="147" t="s">
        <v>55</v>
      </c>
      <c r="AD9" s="147" t="s">
        <v>55</v>
      </c>
      <c r="AE9" s="147" t="s">
        <v>55</v>
      </c>
      <c r="AF9" s="2">
        <v>0</v>
      </c>
      <c r="AG9" s="2">
        <v>1</v>
      </c>
      <c r="AH9" s="70">
        <f>0.0005*F9</f>
        <v>1.35E-2</v>
      </c>
      <c r="AI9" s="70">
        <v>0.02</v>
      </c>
      <c r="AJ9" s="70">
        <v>2</v>
      </c>
      <c r="AK9" s="72">
        <f t="shared" si="1"/>
        <v>1.4027195956648791E-2</v>
      </c>
      <c r="AL9" s="56">
        <f t="shared" si="15"/>
        <v>1.4027195956648792E-3</v>
      </c>
      <c r="AM9" s="57">
        <f>AF9*1.72+115*0.012*AG9</f>
        <v>1.3800000000000001</v>
      </c>
      <c r="AN9" s="57">
        <f>AJ9*0.1</f>
        <v>0.2</v>
      </c>
      <c r="AO9" s="72">
        <f>1333*I9*POWER(10,-6)</f>
        <v>3.5137610510641877E-5</v>
      </c>
      <c r="AP9" s="73">
        <f t="shared" si="9"/>
        <v>1.5954650531628245</v>
      </c>
      <c r="AQ9" s="74">
        <f>AF9*H9</f>
        <v>0</v>
      </c>
      <c r="AR9" s="74">
        <f>AG9*H9</f>
        <v>1.3013999999999999E-5</v>
      </c>
      <c r="AS9" s="74">
        <f>H9*AP9</f>
        <v>2.0763382201860998E-5</v>
      </c>
    </row>
    <row r="10" spans="1:45" s="70" customFormat="1" ht="17.25" thickBot="1" x14ac:dyDescent="0.35">
      <c r="A10" s="63" t="s">
        <v>17</v>
      </c>
      <c r="B10" s="64" t="s">
        <v>94</v>
      </c>
      <c r="C10" s="65" t="s">
        <v>149</v>
      </c>
      <c r="D10" s="66" t="s">
        <v>92</v>
      </c>
      <c r="E10" s="67">
        <v>9.9999999999999995E-8</v>
      </c>
      <c r="F10" s="63">
        <v>57</v>
      </c>
      <c r="G10" s="63">
        <v>0.24</v>
      </c>
      <c r="H10" s="67">
        <f>E10*F10*G10</f>
        <v>1.3679999999999999E-6</v>
      </c>
      <c r="I10" s="68">
        <f>(K10*12/1000)+(N10/1000)</f>
        <v>3.2568874038659077</v>
      </c>
      <c r="J10" s="68">
        <f>I10</f>
        <v>3.2568874038659077</v>
      </c>
      <c r="K10" s="69">
        <v>265</v>
      </c>
      <c r="L10" s="153">
        <f>PI()*POWER(0.11,2)*57</f>
        <v>2.1667564531808803</v>
      </c>
      <c r="M10" s="153">
        <f>(0.016*5.4*POWER(10,6)/(8.31*(20+273)))</f>
        <v>35.485023595076456</v>
      </c>
      <c r="N10" s="153">
        <f>M10*L10</f>
        <v>76.887403865907714</v>
      </c>
      <c r="O10" s="70" t="str">
        <f t="shared" si="6"/>
        <v>С9</v>
      </c>
      <c r="P10" s="70" t="str">
        <f>B10</f>
        <v>Технологический трубопровод наземный (Ду = 219; P=5,4; L=57)</v>
      </c>
      <c r="Q10" s="70" t="str">
        <f t="shared" si="10"/>
        <v>Полное-факел</v>
      </c>
      <c r="R10" s="147" t="s">
        <v>55</v>
      </c>
      <c r="S10" s="147" t="s">
        <v>55</v>
      </c>
      <c r="T10" s="147" t="s">
        <v>55</v>
      </c>
      <c r="U10" s="147" t="s">
        <v>55</v>
      </c>
      <c r="V10" s="147" t="s">
        <v>55</v>
      </c>
      <c r="W10" s="147" t="s">
        <v>55</v>
      </c>
      <c r="X10" s="147" t="s">
        <v>55</v>
      </c>
      <c r="Y10" s="147" t="s">
        <v>55</v>
      </c>
      <c r="Z10" s="147" t="s">
        <v>55</v>
      </c>
      <c r="AA10" s="148">
        <f>12.5*POWER(K10,0.4)</f>
        <v>116.46846791573265</v>
      </c>
      <c r="AB10" s="148">
        <f>AA10*0.15</f>
        <v>17.470270187359898</v>
      </c>
      <c r="AC10" s="147" t="s">
        <v>55</v>
      </c>
      <c r="AD10" s="147" t="s">
        <v>55</v>
      </c>
      <c r="AE10" s="147" t="s">
        <v>55</v>
      </c>
      <c r="AF10" s="71">
        <v>1</v>
      </c>
      <c r="AG10" s="71">
        <v>1</v>
      </c>
      <c r="AH10" s="70">
        <f>0.005*F10</f>
        <v>0.28500000000000003</v>
      </c>
      <c r="AI10" s="70">
        <v>0.02</v>
      </c>
      <c r="AJ10" s="70">
        <v>10</v>
      </c>
      <c r="AK10" s="72">
        <f t="shared" si="1"/>
        <v>0.35013774807731818</v>
      </c>
      <c r="AL10" s="72">
        <f>0.1*AK10</f>
        <v>3.5013774807731816E-2</v>
      </c>
      <c r="AM10" s="73">
        <f>AF10*1.72+115*0.012*AG10</f>
        <v>3.1</v>
      </c>
      <c r="AN10" s="73">
        <f>AJ10*0.1</f>
        <v>1</v>
      </c>
      <c r="AO10" s="72">
        <f>10068.2*I10*POWER(10,-6)</f>
        <v>3.2790993759602739E-2</v>
      </c>
      <c r="AP10" s="73">
        <f t="shared" si="9"/>
        <v>4.517942516644653</v>
      </c>
      <c r="AQ10" s="74">
        <f>AF10*H10</f>
        <v>1.3679999999999999E-6</v>
      </c>
      <c r="AR10" s="74">
        <f>AG10*H10</f>
        <v>1.3679999999999999E-6</v>
      </c>
      <c r="AS10" s="74">
        <f>H10*AP10</f>
        <v>6.1805453627698847E-6</v>
      </c>
    </row>
    <row r="11" spans="1:45" s="70" customFormat="1" ht="17.25" thickBot="1" x14ac:dyDescent="0.35">
      <c r="A11" s="63" t="s">
        <v>18</v>
      </c>
      <c r="B11" s="64" t="s">
        <v>94</v>
      </c>
      <c r="C11" s="65" t="s">
        <v>150</v>
      </c>
      <c r="D11" s="66" t="s">
        <v>45</v>
      </c>
      <c r="E11" s="67">
        <v>9.9999999999999995E-8</v>
      </c>
      <c r="F11" s="63">
        <v>57</v>
      </c>
      <c r="G11" s="63">
        <f>1-0.24</f>
        <v>0.76</v>
      </c>
      <c r="H11" s="67">
        <f t="shared" ref="H11:H13" si="16">E11*F11*G11</f>
        <v>4.3320000000000002E-6</v>
      </c>
      <c r="I11" s="68">
        <f>I10</f>
        <v>3.2568874038659077</v>
      </c>
      <c r="J11" s="68">
        <f>0.1*K11</f>
        <v>0</v>
      </c>
      <c r="K11" s="69"/>
      <c r="L11" s="153">
        <f t="shared" ref="L11:L13" si="17">PI()*POWER(0.11,2)*57</f>
        <v>2.1667564531808803</v>
      </c>
      <c r="M11" s="153">
        <f t="shared" si="4"/>
        <v>35.485023595076456</v>
      </c>
      <c r="N11" s="153">
        <f t="shared" ref="N11:N13" si="18">M11*L11</f>
        <v>76.887403865907714</v>
      </c>
      <c r="O11" s="70" t="str">
        <f t="shared" si="6"/>
        <v>С10</v>
      </c>
      <c r="P11" s="70" t="str">
        <f t="shared" ref="P11:P13" si="19">B11</f>
        <v>Технологический трубопровод наземный (Ду = 219; P=5,4; L=57)</v>
      </c>
      <c r="Q11" s="70" t="str">
        <f t="shared" si="10"/>
        <v>Полное-ликвидация</v>
      </c>
      <c r="R11" s="147" t="s">
        <v>55</v>
      </c>
      <c r="S11" s="147" t="s">
        <v>55</v>
      </c>
      <c r="T11" s="147" t="s">
        <v>55</v>
      </c>
      <c r="U11" s="147" t="s">
        <v>55</v>
      </c>
      <c r="V11" s="147" t="s">
        <v>55</v>
      </c>
      <c r="W11" s="147" t="s">
        <v>55</v>
      </c>
      <c r="X11" s="147" t="s">
        <v>55</v>
      </c>
      <c r="Y11" s="147" t="s">
        <v>55</v>
      </c>
      <c r="Z11" s="147" t="s">
        <v>55</v>
      </c>
      <c r="AA11" s="147" t="s">
        <v>55</v>
      </c>
      <c r="AB11" s="147" t="s">
        <v>55</v>
      </c>
      <c r="AC11" s="147" t="s">
        <v>55</v>
      </c>
      <c r="AD11" s="147" t="s">
        <v>55</v>
      </c>
      <c r="AE11" s="147" t="s">
        <v>55</v>
      </c>
      <c r="AF11" s="71">
        <v>0</v>
      </c>
      <c r="AG11" s="71">
        <v>0</v>
      </c>
      <c r="AH11" s="70">
        <f>0.005*F11</f>
        <v>0.28500000000000003</v>
      </c>
      <c r="AI11" s="70">
        <v>0.02</v>
      </c>
      <c r="AJ11" s="70">
        <v>10</v>
      </c>
      <c r="AK11" s="72">
        <f t="shared" si="1"/>
        <v>0.35013774807731818</v>
      </c>
      <c r="AL11" s="72">
        <f t="shared" ref="AL11:AL13" si="20">0.1*AK11</f>
        <v>3.5013774807731816E-2</v>
      </c>
      <c r="AM11" s="73">
        <f>AF11*1.72+115*0.012*AG11</f>
        <v>0</v>
      </c>
      <c r="AN11" s="73">
        <f>AJ11*0.1</f>
        <v>1</v>
      </c>
      <c r="AO11" s="72">
        <f>1333*I11*POWER(10,-6)</f>
        <v>4.3414309093532544E-3</v>
      </c>
      <c r="AP11" s="73">
        <f t="shared" si="9"/>
        <v>1.3894929537944032</v>
      </c>
      <c r="AQ11" s="74">
        <f>AF11*H11</f>
        <v>0</v>
      </c>
      <c r="AR11" s="74">
        <f>AG11*H11</f>
        <v>0</v>
      </c>
      <c r="AS11" s="74">
        <f>H11*AP11</f>
        <v>6.0192834758373552E-6</v>
      </c>
    </row>
    <row r="12" spans="1:45" s="70" customFormat="1" ht="17.25" thickBot="1" x14ac:dyDescent="0.35">
      <c r="A12" s="63" t="s">
        <v>19</v>
      </c>
      <c r="B12" s="64" t="s">
        <v>94</v>
      </c>
      <c r="C12" s="65" t="s">
        <v>151</v>
      </c>
      <c r="D12" s="66" t="s">
        <v>93</v>
      </c>
      <c r="E12" s="67">
        <v>4.9999999999999998E-7</v>
      </c>
      <c r="F12" s="63">
        <v>57</v>
      </c>
      <c r="G12" s="63">
        <v>3.5999999999999997E-2</v>
      </c>
      <c r="H12" s="67">
        <f t="shared" si="16"/>
        <v>1.0259999999999998E-6</v>
      </c>
      <c r="I12" s="68">
        <f>(K12*120/1000)+(N12/1000)</f>
        <v>0.34088740386590771</v>
      </c>
      <c r="J12" s="68">
        <f>I12</f>
        <v>0.34088740386590771</v>
      </c>
      <c r="K12" s="69">
        <v>2.2000000000000002</v>
      </c>
      <c r="L12" s="153">
        <f t="shared" si="17"/>
        <v>2.1667564531808803</v>
      </c>
      <c r="M12" s="153">
        <f t="shared" si="4"/>
        <v>35.485023595076456</v>
      </c>
      <c r="N12" s="153">
        <f t="shared" si="18"/>
        <v>76.887403865907714</v>
      </c>
      <c r="O12" s="70" t="str">
        <f t="shared" si="6"/>
        <v>С11</v>
      </c>
      <c r="P12" s="70" t="str">
        <f t="shared" si="19"/>
        <v>Технологический трубопровод наземный (Ду = 219; P=5,4; L=57)</v>
      </c>
      <c r="Q12" s="70" t="str">
        <f t="shared" si="10"/>
        <v>Частичное-факел</v>
      </c>
      <c r="R12" s="147" t="s">
        <v>55</v>
      </c>
      <c r="S12" s="147" t="s">
        <v>55</v>
      </c>
      <c r="T12" s="147" t="s">
        <v>55</v>
      </c>
      <c r="U12" s="147" t="s">
        <v>55</v>
      </c>
      <c r="V12" s="147" t="s">
        <v>55</v>
      </c>
      <c r="W12" s="147" t="s">
        <v>55</v>
      </c>
      <c r="X12" s="147" t="s">
        <v>55</v>
      </c>
      <c r="Y12" s="147" t="s">
        <v>55</v>
      </c>
      <c r="Z12" s="147" t="s">
        <v>55</v>
      </c>
      <c r="AA12" s="148">
        <f>12.5*POWER(K12,0.4)</f>
        <v>17.134801802784114</v>
      </c>
      <c r="AB12" s="148">
        <f>AA12*0.15</f>
        <v>2.5702202704176171</v>
      </c>
      <c r="AC12" s="147" t="s">
        <v>55</v>
      </c>
      <c r="AD12" s="147" t="s">
        <v>55</v>
      </c>
      <c r="AE12" s="147" t="s">
        <v>55</v>
      </c>
      <c r="AF12" s="70">
        <v>0</v>
      </c>
      <c r="AG12" s="70">
        <v>1</v>
      </c>
      <c r="AH12" s="70">
        <f>0.0005*F12</f>
        <v>2.8500000000000001E-2</v>
      </c>
      <c r="AI12" s="70">
        <v>0.02</v>
      </c>
      <c r="AJ12" s="70">
        <v>2</v>
      </c>
      <c r="AK12" s="72">
        <f t="shared" si="1"/>
        <v>3.5317748077318155E-2</v>
      </c>
      <c r="AL12" s="72">
        <f t="shared" si="20"/>
        <v>3.5317748077318156E-3</v>
      </c>
      <c r="AM12" s="73">
        <f>AF12*1.72+115*0.012*AG12</f>
        <v>1.3800000000000001</v>
      </c>
      <c r="AN12" s="73">
        <f>AJ12*0.1</f>
        <v>0.2</v>
      </c>
      <c r="AO12" s="72">
        <f>10068.2*I12*POWER(10,-6)</f>
        <v>3.4321225596027319E-3</v>
      </c>
      <c r="AP12" s="73">
        <f t="shared" si="9"/>
        <v>1.6222816454446529</v>
      </c>
      <c r="AQ12" s="74">
        <f>AF12*H12</f>
        <v>0</v>
      </c>
      <c r="AR12" s="74">
        <f>AG12*H12</f>
        <v>1.0259999999999998E-6</v>
      </c>
      <c r="AS12" s="74">
        <f>H12*AP12</f>
        <v>1.6644609682262135E-6</v>
      </c>
    </row>
    <row r="13" spans="1:45" s="70" customFormat="1" ht="17.25" thickBot="1" x14ac:dyDescent="0.35">
      <c r="A13" s="63" t="s">
        <v>20</v>
      </c>
      <c r="B13" s="64" t="s">
        <v>94</v>
      </c>
      <c r="C13" s="65" t="s">
        <v>152</v>
      </c>
      <c r="D13" s="66" t="s">
        <v>46</v>
      </c>
      <c r="E13" s="67">
        <v>4.9999999999999998E-7</v>
      </c>
      <c r="F13" s="63">
        <v>57</v>
      </c>
      <c r="G13" s="63">
        <f>1-G12</f>
        <v>0.96399999999999997</v>
      </c>
      <c r="H13" s="67">
        <f t="shared" si="16"/>
        <v>2.7473999999999998E-5</v>
      </c>
      <c r="I13" s="68">
        <f>I12</f>
        <v>0.34088740386590771</v>
      </c>
      <c r="J13" s="68">
        <v>0</v>
      </c>
      <c r="K13" s="69"/>
      <c r="L13" s="153">
        <f t="shared" si="17"/>
        <v>2.1667564531808803</v>
      </c>
      <c r="M13" s="153">
        <f t="shared" si="4"/>
        <v>35.485023595076456</v>
      </c>
      <c r="N13" s="153">
        <f t="shared" si="18"/>
        <v>76.887403865907714</v>
      </c>
      <c r="O13" s="70" t="str">
        <f t="shared" si="6"/>
        <v>С12</v>
      </c>
      <c r="P13" s="70" t="str">
        <f t="shared" si="19"/>
        <v>Технологический трубопровод наземный (Ду = 219; P=5,4; L=57)</v>
      </c>
      <c r="Q13" s="70" t="str">
        <f t="shared" si="10"/>
        <v>Частичное-ликвидация</v>
      </c>
      <c r="R13" s="147" t="s">
        <v>55</v>
      </c>
      <c r="S13" s="147" t="s">
        <v>55</v>
      </c>
      <c r="T13" s="147" t="s">
        <v>55</v>
      </c>
      <c r="U13" s="147" t="s">
        <v>55</v>
      </c>
      <c r="V13" s="147" t="s">
        <v>55</v>
      </c>
      <c r="W13" s="147" t="s">
        <v>55</v>
      </c>
      <c r="X13" s="147" t="s">
        <v>55</v>
      </c>
      <c r="Y13" s="147" t="s">
        <v>55</v>
      </c>
      <c r="Z13" s="147" t="s">
        <v>55</v>
      </c>
      <c r="AA13" s="147" t="s">
        <v>55</v>
      </c>
      <c r="AB13" s="147" t="s">
        <v>55</v>
      </c>
      <c r="AC13" s="147" t="s">
        <v>55</v>
      </c>
      <c r="AD13" s="147" t="s">
        <v>55</v>
      </c>
      <c r="AE13" s="147" t="s">
        <v>55</v>
      </c>
      <c r="AF13" s="70">
        <v>0</v>
      </c>
      <c r="AG13" s="70">
        <v>1</v>
      </c>
      <c r="AH13" s="70">
        <f>0.0005*F13</f>
        <v>2.8500000000000001E-2</v>
      </c>
      <c r="AI13" s="70">
        <v>0.02</v>
      </c>
      <c r="AJ13" s="70">
        <v>2</v>
      </c>
      <c r="AK13" s="72">
        <f t="shared" si="1"/>
        <v>3.5317748077318155E-2</v>
      </c>
      <c r="AL13" s="72">
        <f t="shared" si="20"/>
        <v>3.5317748077318156E-3</v>
      </c>
      <c r="AM13" s="73">
        <f>AF13*1.72+115*0.012*AG13</f>
        <v>1.3800000000000001</v>
      </c>
      <c r="AN13" s="73">
        <f>AJ13*0.1</f>
        <v>0.2</v>
      </c>
      <c r="AO13" s="72">
        <f>1333*I13*POWER(10,-6)</f>
        <v>4.5440290935325499E-4</v>
      </c>
      <c r="AP13" s="73">
        <f t="shared" si="9"/>
        <v>1.6193039257944035</v>
      </c>
      <c r="AQ13" s="74">
        <f>AF13*H13</f>
        <v>0</v>
      </c>
      <c r="AR13" s="74">
        <f>AG13*H13</f>
        <v>2.7473999999999998E-5</v>
      </c>
      <c r="AS13" s="74">
        <f>H13*AP13</f>
        <v>4.4488756057275439E-5</v>
      </c>
    </row>
    <row r="14" spans="1:45" s="2" customFormat="1" ht="17.25" thickBot="1" x14ac:dyDescent="0.35">
      <c r="A14" s="63" t="s">
        <v>21</v>
      </c>
      <c r="B14" s="75" t="s">
        <v>139</v>
      </c>
      <c r="C14" s="16" t="s">
        <v>149</v>
      </c>
      <c r="D14" s="17" t="s">
        <v>92</v>
      </c>
      <c r="E14" s="18">
        <v>9.9999999999999995E-8</v>
      </c>
      <c r="F14" s="15">
        <v>23</v>
      </c>
      <c r="G14" s="15">
        <v>0.24</v>
      </c>
      <c r="H14" s="18">
        <f>E14*F14*G14</f>
        <v>5.5199999999999997E-7</v>
      </c>
      <c r="I14" s="36">
        <f>(K14*12/1000)+(N14/1000)</f>
        <v>0.2180101981535596</v>
      </c>
      <c r="J14" s="36">
        <f>I14</f>
        <v>0.2180101981535596</v>
      </c>
      <c r="K14" s="61">
        <v>18</v>
      </c>
      <c r="L14" s="153">
        <f>PI()*POWER(0.028,2)*23</f>
        <v>5.6649198729531156E-2</v>
      </c>
      <c r="M14" s="153">
        <f>(0.016*5.4*POWER(10,6)/(8.31*(20+273)))</f>
        <v>35.485023595076456</v>
      </c>
      <c r="N14" s="153">
        <f>M14*L14</f>
        <v>2.0101981535595881</v>
      </c>
      <c r="O14" s="70" t="str">
        <f t="shared" si="6"/>
        <v>С13</v>
      </c>
      <c r="P14" s="2" t="str">
        <f>B14</f>
        <v>Технологический трубопровод подземный (Ду = 57; P=5,4; L=23)</v>
      </c>
      <c r="Q14" s="2" t="str">
        <f t="shared" ref="Q14:Q17" si="21">D14</f>
        <v>Полное-факел</v>
      </c>
      <c r="R14" s="147" t="s">
        <v>55</v>
      </c>
      <c r="S14" s="147" t="s">
        <v>55</v>
      </c>
      <c r="T14" s="147" t="s">
        <v>55</v>
      </c>
      <c r="U14" s="147" t="s">
        <v>55</v>
      </c>
      <c r="V14" s="147" t="s">
        <v>55</v>
      </c>
      <c r="W14" s="147" t="s">
        <v>55</v>
      </c>
      <c r="X14" s="147" t="s">
        <v>55</v>
      </c>
      <c r="Y14" s="147" t="s">
        <v>55</v>
      </c>
      <c r="Z14" s="147" t="s">
        <v>55</v>
      </c>
      <c r="AA14" s="148">
        <f>12.5*POWER(K14,0.4)</f>
        <v>39.72089403933046</v>
      </c>
      <c r="AB14" s="148">
        <f>AA14*0.15</f>
        <v>5.9581341058995685</v>
      </c>
      <c r="AC14" s="147" t="s">
        <v>55</v>
      </c>
      <c r="AD14" s="147" t="s">
        <v>55</v>
      </c>
      <c r="AE14" s="147" t="s">
        <v>55</v>
      </c>
      <c r="AF14" s="55">
        <v>1</v>
      </c>
      <c r="AG14" s="55">
        <v>1</v>
      </c>
      <c r="AH14" s="70">
        <f>0.005*F14</f>
        <v>0.115</v>
      </c>
      <c r="AI14" s="70">
        <v>0.02</v>
      </c>
      <c r="AJ14" s="70">
        <v>10</v>
      </c>
      <c r="AK14" s="72">
        <f t="shared" si="1"/>
        <v>0.1193602039630712</v>
      </c>
      <c r="AL14" s="56">
        <f>0.1*AK14</f>
        <v>1.1936020396307121E-2</v>
      </c>
      <c r="AM14" s="57">
        <f>AF14*1.72+115*0.012*AG14</f>
        <v>3.1</v>
      </c>
      <c r="AN14" s="57">
        <f>AJ14*0.1</f>
        <v>1</v>
      </c>
      <c r="AO14" s="72">
        <f>10068.2*I14*POWER(10,-6)</f>
        <v>2.1949702770496689E-3</v>
      </c>
      <c r="AP14" s="73">
        <f t="shared" si="9"/>
        <v>4.2334911946364278</v>
      </c>
      <c r="AQ14" s="74">
        <f>AF14*H14</f>
        <v>5.5199999999999997E-7</v>
      </c>
      <c r="AR14" s="74">
        <f>AG14*H14</f>
        <v>5.5199999999999997E-7</v>
      </c>
      <c r="AS14" s="74">
        <f>H14*AP14</f>
        <v>2.3368871394393078E-6</v>
      </c>
    </row>
    <row r="15" spans="1:45" s="2" customFormat="1" ht="17.25" thickBot="1" x14ac:dyDescent="0.35">
      <c r="A15" s="63" t="s">
        <v>22</v>
      </c>
      <c r="B15" s="75" t="s">
        <v>139</v>
      </c>
      <c r="C15" s="16" t="s">
        <v>150</v>
      </c>
      <c r="D15" s="17" t="s">
        <v>45</v>
      </c>
      <c r="E15" s="18">
        <v>9.9999999999999995E-8</v>
      </c>
      <c r="F15" s="15">
        <v>23</v>
      </c>
      <c r="G15" s="15">
        <f>1-0.24</f>
        <v>0.76</v>
      </c>
      <c r="H15" s="18">
        <f t="shared" ref="H15:H17" si="22">E15*F15*G15</f>
        <v>1.748E-6</v>
      </c>
      <c r="I15" s="36">
        <f>I14</f>
        <v>0.2180101981535596</v>
      </c>
      <c r="J15" s="36">
        <f>0.1*K15</f>
        <v>0</v>
      </c>
      <c r="K15" s="61"/>
      <c r="L15" s="153">
        <f t="shared" ref="L15:L17" si="23">PI()*POWER(0.028,2)*23</f>
        <v>5.6649198729531156E-2</v>
      </c>
      <c r="M15" s="153">
        <f t="shared" si="4"/>
        <v>35.485023595076456</v>
      </c>
      <c r="N15" s="153">
        <f t="shared" ref="N15:N17" si="24">M15*L15</f>
        <v>2.0101981535595881</v>
      </c>
      <c r="O15" s="70" t="str">
        <f t="shared" si="6"/>
        <v>С14</v>
      </c>
      <c r="P15" s="2" t="str">
        <f t="shared" ref="P15:P17" si="25">B15</f>
        <v>Технологический трубопровод подземный (Ду = 57; P=5,4; L=23)</v>
      </c>
      <c r="Q15" s="2" t="str">
        <f t="shared" si="21"/>
        <v>Полное-ликвидация</v>
      </c>
      <c r="R15" s="147" t="s">
        <v>55</v>
      </c>
      <c r="S15" s="147" t="s">
        <v>55</v>
      </c>
      <c r="T15" s="147" t="s">
        <v>55</v>
      </c>
      <c r="U15" s="147" t="s">
        <v>55</v>
      </c>
      <c r="V15" s="147" t="s">
        <v>55</v>
      </c>
      <c r="W15" s="147" t="s">
        <v>55</v>
      </c>
      <c r="X15" s="147" t="s">
        <v>55</v>
      </c>
      <c r="Y15" s="147" t="s">
        <v>55</v>
      </c>
      <c r="Z15" s="147" t="s">
        <v>55</v>
      </c>
      <c r="AA15" s="147" t="s">
        <v>55</v>
      </c>
      <c r="AB15" s="147" t="s">
        <v>55</v>
      </c>
      <c r="AC15" s="147" t="s">
        <v>55</v>
      </c>
      <c r="AD15" s="147" t="s">
        <v>55</v>
      </c>
      <c r="AE15" s="147" t="s">
        <v>55</v>
      </c>
      <c r="AF15" s="55">
        <v>0</v>
      </c>
      <c r="AG15" s="55">
        <v>0</v>
      </c>
      <c r="AH15" s="70">
        <f>0.005*F15</f>
        <v>0.115</v>
      </c>
      <c r="AI15" s="70">
        <v>0.02</v>
      </c>
      <c r="AJ15" s="70">
        <v>10</v>
      </c>
      <c r="AK15" s="72">
        <f t="shared" si="1"/>
        <v>0.1193602039630712</v>
      </c>
      <c r="AL15" s="56">
        <f t="shared" ref="AL15:AL17" si="26">0.1*AK15</f>
        <v>1.1936020396307121E-2</v>
      </c>
      <c r="AM15" s="57">
        <f>AF15*1.72+115*0.012*AG15</f>
        <v>0</v>
      </c>
      <c r="AN15" s="57">
        <f>AJ15*0.1</f>
        <v>1</v>
      </c>
      <c r="AO15" s="72">
        <f>1333*I15*POWER(10,-6)</f>
        <v>2.9060759413869491E-4</v>
      </c>
      <c r="AP15" s="73">
        <f t="shared" si="9"/>
        <v>1.1315868319535169</v>
      </c>
      <c r="AQ15" s="74">
        <f>AF15*H15</f>
        <v>0</v>
      </c>
      <c r="AR15" s="74">
        <f>AG15*H15</f>
        <v>0</v>
      </c>
      <c r="AS15" s="74">
        <f>H15*AP15</f>
        <v>1.9780137822547475E-6</v>
      </c>
    </row>
    <row r="16" spans="1:45" s="2" customFormat="1" ht="17.25" thickBot="1" x14ac:dyDescent="0.35">
      <c r="A16" s="63" t="s">
        <v>23</v>
      </c>
      <c r="B16" s="75" t="s">
        <v>139</v>
      </c>
      <c r="C16" s="16" t="s">
        <v>151</v>
      </c>
      <c r="D16" s="17" t="s">
        <v>93</v>
      </c>
      <c r="E16" s="18">
        <v>4.9999999999999998E-7</v>
      </c>
      <c r="F16" s="15">
        <v>23</v>
      </c>
      <c r="G16" s="15">
        <v>3.5999999999999997E-2</v>
      </c>
      <c r="H16" s="18">
        <f t="shared" si="22"/>
        <v>4.1399999999999997E-7</v>
      </c>
      <c r="I16" s="36">
        <f>(K16*120/1000)+(N16/1000)</f>
        <v>2.6010198153559587E-2</v>
      </c>
      <c r="J16" s="36">
        <f>I16</f>
        <v>2.6010198153559587E-2</v>
      </c>
      <c r="K16" s="61">
        <v>0.2</v>
      </c>
      <c r="L16" s="153">
        <f t="shared" si="23"/>
        <v>5.6649198729531156E-2</v>
      </c>
      <c r="M16" s="153">
        <f t="shared" si="4"/>
        <v>35.485023595076456</v>
      </c>
      <c r="N16" s="153">
        <f t="shared" si="24"/>
        <v>2.0101981535595881</v>
      </c>
      <c r="O16" s="70" t="str">
        <f t="shared" si="6"/>
        <v>С15</v>
      </c>
      <c r="P16" s="2" t="str">
        <f t="shared" si="25"/>
        <v>Технологический трубопровод подземный (Ду = 57; P=5,4; L=23)</v>
      </c>
      <c r="Q16" s="2" t="str">
        <f t="shared" si="21"/>
        <v>Частичное-факел</v>
      </c>
      <c r="R16" s="147" t="s">
        <v>55</v>
      </c>
      <c r="S16" s="147" t="s">
        <v>55</v>
      </c>
      <c r="T16" s="147" t="s">
        <v>55</v>
      </c>
      <c r="U16" s="147" t="s">
        <v>55</v>
      </c>
      <c r="V16" s="147" t="s">
        <v>55</v>
      </c>
      <c r="W16" s="147" t="s">
        <v>55</v>
      </c>
      <c r="X16" s="147" t="s">
        <v>55</v>
      </c>
      <c r="Y16" s="147" t="s">
        <v>55</v>
      </c>
      <c r="Z16" s="147" t="s">
        <v>55</v>
      </c>
      <c r="AA16" s="148">
        <f>12.5*POWER(K16,0.4)</f>
        <v>6.5663195110094179</v>
      </c>
      <c r="AB16" s="148">
        <f>AA16*0.15</f>
        <v>0.98494792665141262</v>
      </c>
      <c r="AC16" s="147" t="s">
        <v>55</v>
      </c>
      <c r="AD16" s="147" t="s">
        <v>55</v>
      </c>
      <c r="AE16" s="147" t="s">
        <v>55</v>
      </c>
      <c r="AF16" s="2">
        <v>0</v>
      </c>
      <c r="AG16" s="2">
        <v>1</v>
      </c>
      <c r="AH16" s="70">
        <f>0.0005*F16</f>
        <v>1.15E-2</v>
      </c>
      <c r="AI16" s="70">
        <v>0.02</v>
      </c>
      <c r="AJ16" s="70">
        <v>2</v>
      </c>
      <c r="AK16" s="72">
        <f t="shared" si="1"/>
        <v>1.2020203963071192E-2</v>
      </c>
      <c r="AL16" s="56">
        <f t="shared" si="26"/>
        <v>1.2020203963071193E-3</v>
      </c>
      <c r="AM16" s="57">
        <f>AF16*1.72+115*0.012*AG16</f>
        <v>1.3800000000000001</v>
      </c>
      <c r="AN16" s="57">
        <f>AJ16*0.1</f>
        <v>0.2</v>
      </c>
      <c r="AO16" s="72">
        <f>10068.2*I16*POWER(10,-6)</f>
        <v>2.6187587704966863E-4</v>
      </c>
      <c r="AP16" s="73">
        <f t="shared" si="9"/>
        <v>1.5934841002364279</v>
      </c>
      <c r="AQ16" s="74">
        <f>AF16*H16</f>
        <v>0</v>
      </c>
      <c r="AR16" s="74">
        <f>AG16*H16</f>
        <v>4.1399999999999997E-7</v>
      </c>
      <c r="AS16" s="74">
        <f>H16*AP16</f>
        <v>6.5970241749788109E-7</v>
      </c>
    </row>
    <row r="17" spans="1:45" s="2" customFormat="1" ht="17.25" thickBot="1" x14ac:dyDescent="0.35">
      <c r="A17" s="63" t="s">
        <v>24</v>
      </c>
      <c r="B17" s="75" t="s">
        <v>139</v>
      </c>
      <c r="C17" s="16" t="s">
        <v>152</v>
      </c>
      <c r="D17" s="17" t="s">
        <v>46</v>
      </c>
      <c r="E17" s="18">
        <v>4.9999999999999998E-7</v>
      </c>
      <c r="F17" s="15">
        <v>23</v>
      </c>
      <c r="G17" s="15">
        <f>1-G16</f>
        <v>0.96399999999999997</v>
      </c>
      <c r="H17" s="18">
        <f t="shared" si="22"/>
        <v>1.1086E-5</v>
      </c>
      <c r="I17" s="36">
        <f>I16</f>
        <v>2.6010198153559587E-2</v>
      </c>
      <c r="J17" s="36">
        <v>0</v>
      </c>
      <c r="K17" s="61"/>
      <c r="L17" s="153">
        <f t="shared" si="23"/>
        <v>5.6649198729531156E-2</v>
      </c>
      <c r="M17" s="153">
        <f t="shared" si="4"/>
        <v>35.485023595076456</v>
      </c>
      <c r="N17" s="153">
        <f t="shared" si="24"/>
        <v>2.0101981535595881</v>
      </c>
      <c r="O17" s="70" t="str">
        <f t="shared" si="6"/>
        <v>С16</v>
      </c>
      <c r="P17" s="2" t="str">
        <f t="shared" si="25"/>
        <v>Технологический трубопровод подземный (Ду = 57; P=5,4; L=23)</v>
      </c>
      <c r="Q17" s="2" t="str">
        <f t="shared" si="21"/>
        <v>Частичное-ликвидация</v>
      </c>
      <c r="R17" s="147" t="s">
        <v>55</v>
      </c>
      <c r="S17" s="147" t="s">
        <v>55</v>
      </c>
      <c r="T17" s="147" t="s">
        <v>55</v>
      </c>
      <c r="U17" s="147" t="s">
        <v>55</v>
      </c>
      <c r="V17" s="147" t="s">
        <v>55</v>
      </c>
      <c r="W17" s="147" t="s">
        <v>55</v>
      </c>
      <c r="X17" s="147" t="s">
        <v>55</v>
      </c>
      <c r="Y17" s="147" t="s">
        <v>55</v>
      </c>
      <c r="Z17" s="147" t="s">
        <v>55</v>
      </c>
      <c r="AA17" s="147" t="s">
        <v>55</v>
      </c>
      <c r="AB17" s="147" t="s">
        <v>55</v>
      </c>
      <c r="AC17" s="147" t="s">
        <v>55</v>
      </c>
      <c r="AD17" s="147" t="s">
        <v>55</v>
      </c>
      <c r="AE17" s="147" t="s">
        <v>55</v>
      </c>
      <c r="AF17" s="2">
        <v>0</v>
      </c>
      <c r="AG17" s="2">
        <v>1</v>
      </c>
      <c r="AH17" s="70">
        <f>0.0005*F17</f>
        <v>1.15E-2</v>
      </c>
      <c r="AI17" s="70">
        <v>0.02</v>
      </c>
      <c r="AJ17" s="70">
        <v>2</v>
      </c>
      <c r="AK17" s="72">
        <f t="shared" si="1"/>
        <v>1.2020203963071192E-2</v>
      </c>
      <c r="AL17" s="56">
        <f t="shared" si="26"/>
        <v>1.2020203963071193E-3</v>
      </c>
      <c r="AM17" s="57">
        <f>AF17*1.72+115*0.012*AG17</f>
        <v>1.3800000000000001</v>
      </c>
      <c r="AN17" s="57">
        <f>AJ17*0.1</f>
        <v>0.2</v>
      </c>
      <c r="AO17" s="72">
        <f>1333*I17*POWER(10,-6)</f>
        <v>3.4671594138694929E-5</v>
      </c>
      <c r="AP17" s="73">
        <f t="shared" si="9"/>
        <v>1.5932568959535172</v>
      </c>
      <c r="AQ17" s="74">
        <f>AF17*H17</f>
        <v>0</v>
      </c>
      <c r="AR17" s="74">
        <f>AG17*H17</f>
        <v>1.1086E-5</v>
      </c>
      <c r="AS17" s="74">
        <f>H17*AP17</f>
        <v>1.7662845948540691E-5</v>
      </c>
    </row>
    <row r="18" spans="1:45" s="132" customFormat="1" ht="17.25" thickBot="1" x14ac:dyDescent="0.35">
      <c r="A18" s="63" t="s">
        <v>25</v>
      </c>
      <c r="B18" s="126" t="s">
        <v>137</v>
      </c>
      <c r="C18" s="127" t="s">
        <v>149</v>
      </c>
      <c r="D18" s="128" t="s">
        <v>92</v>
      </c>
      <c r="E18" s="129">
        <v>9.9999999999999995E-8</v>
      </c>
      <c r="F18" s="125">
        <v>24</v>
      </c>
      <c r="G18" s="125">
        <v>0.24</v>
      </c>
      <c r="H18" s="129">
        <f>E18*F18*G18</f>
        <v>5.7599999999999997E-7</v>
      </c>
      <c r="I18" s="130">
        <f>K18*12/1000</f>
        <v>0.12</v>
      </c>
      <c r="J18" s="130">
        <f>I18</f>
        <v>0.12</v>
      </c>
      <c r="K18" s="131">
        <v>10</v>
      </c>
      <c r="L18" s="153">
        <f>PI()*POWER(0.028,2)*24</f>
        <v>5.911220736994556E-2</v>
      </c>
      <c r="M18" s="153">
        <f>(0.016*1.2*POWER(10,6)/(8.31*(20+273)))</f>
        <v>7.8855607989058782</v>
      </c>
      <c r="N18" s="153">
        <f>M18*L18</f>
        <v>0.46613290517323785</v>
      </c>
      <c r="O18" s="70" t="str">
        <f t="shared" si="6"/>
        <v>С17</v>
      </c>
      <c r="P18" s="132" t="str">
        <f>B18</f>
        <v>Технологический трубопровод подземный (Ду = 57; P=1,2; L=24)</v>
      </c>
      <c r="Q18" s="132" t="str">
        <f t="shared" ref="Q18:Q21" si="27">D18</f>
        <v>Полное-факел</v>
      </c>
      <c r="R18" s="147" t="s">
        <v>55</v>
      </c>
      <c r="S18" s="147" t="s">
        <v>55</v>
      </c>
      <c r="T18" s="147" t="s">
        <v>55</v>
      </c>
      <c r="U18" s="147" t="s">
        <v>55</v>
      </c>
      <c r="V18" s="147" t="s">
        <v>55</v>
      </c>
      <c r="W18" s="147" t="s">
        <v>55</v>
      </c>
      <c r="X18" s="147" t="s">
        <v>55</v>
      </c>
      <c r="Y18" s="147" t="s">
        <v>55</v>
      </c>
      <c r="Z18" s="147" t="s">
        <v>55</v>
      </c>
      <c r="AA18" s="148">
        <f>12.5*POWER(K18,0.4)</f>
        <v>31.398580393869757</v>
      </c>
      <c r="AB18" s="148">
        <f>AA18*0.15</f>
        <v>4.7097870590804636</v>
      </c>
      <c r="AC18" s="147" t="s">
        <v>55</v>
      </c>
      <c r="AD18" s="147" t="s">
        <v>55</v>
      </c>
      <c r="AE18" s="147" t="s">
        <v>55</v>
      </c>
      <c r="AF18" s="133">
        <v>1</v>
      </c>
      <c r="AG18" s="133">
        <v>1</v>
      </c>
      <c r="AH18" s="70">
        <f>0.005*F18</f>
        <v>0.12</v>
      </c>
      <c r="AI18" s="70">
        <v>0.02</v>
      </c>
      <c r="AJ18" s="70">
        <v>10</v>
      </c>
      <c r="AK18" s="72">
        <f t="shared" si="1"/>
        <v>0.12239999999999999</v>
      </c>
      <c r="AL18" s="134">
        <f>0.1*AK18</f>
        <v>1.2240000000000001E-2</v>
      </c>
      <c r="AM18" s="135">
        <f>AF18*1.72+115*0.012*AG18</f>
        <v>3.1</v>
      </c>
      <c r="AN18" s="135">
        <f>AJ18*0.1</f>
        <v>1</v>
      </c>
      <c r="AO18" s="72">
        <f>10068.2*I18*POWER(10,-6)</f>
        <v>1.208184E-3</v>
      </c>
      <c r="AP18" s="73">
        <f t="shared" si="9"/>
        <v>4.235848184</v>
      </c>
      <c r="AQ18" s="74">
        <f>AF18*H18</f>
        <v>5.7599999999999997E-7</v>
      </c>
      <c r="AR18" s="74">
        <f>AG18*H18</f>
        <v>5.7599999999999997E-7</v>
      </c>
      <c r="AS18" s="74">
        <f>H18*AP18</f>
        <v>2.439848553984E-6</v>
      </c>
    </row>
    <row r="19" spans="1:45" s="132" customFormat="1" ht="17.25" thickBot="1" x14ac:dyDescent="0.35">
      <c r="A19" s="63" t="s">
        <v>26</v>
      </c>
      <c r="B19" s="126" t="s">
        <v>137</v>
      </c>
      <c r="C19" s="127" t="s">
        <v>150</v>
      </c>
      <c r="D19" s="128" t="s">
        <v>45</v>
      </c>
      <c r="E19" s="129">
        <v>9.9999999999999995E-8</v>
      </c>
      <c r="F19" s="125">
        <v>24</v>
      </c>
      <c r="G19" s="125">
        <f>1-0.24</f>
        <v>0.76</v>
      </c>
      <c r="H19" s="129">
        <f t="shared" ref="H19:H21" si="28">E19*F19*G19</f>
        <v>1.824E-6</v>
      </c>
      <c r="I19" s="130">
        <f>I18</f>
        <v>0.12</v>
      </c>
      <c r="J19" s="130">
        <f>0.1*K19</f>
        <v>0</v>
      </c>
      <c r="K19" s="131"/>
      <c r="L19" s="153">
        <f t="shared" ref="L19:L21" si="29">PI()*POWER(0.028,2)*24</f>
        <v>5.911220736994556E-2</v>
      </c>
      <c r="M19" s="153">
        <f t="shared" ref="M19:M25" si="30">(0.016*1.2*POWER(10,6)/(8.31*(20+273)))</f>
        <v>7.8855607989058782</v>
      </c>
      <c r="N19" s="153">
        <f t="shared" ref="N19:N21" si="31">M19*L19</f>
        <v>0.46613290517323785</v>
      </c>
      <c r="O19" s="70" t="str">
        <f t="shared" si="6"/>
        <v>С18</v>
      </c>
      <c r="P19" s="132" t="str">
        <f t="shared" ref="P19:P21" si="32">B19</f>
        <v>Технологический трубопровод подземный (Ду = 57; P=1,2; L=24)</v>
      </c>
      <c r="Q19" s="132" t="str">
        <f t="shared" si="27"/>
        <v>Полное-ликвидация</v>
      </c>
      <c r="R19" s="147" t="s">
        <v>55</v>
      </c>
      <c r="S19" s="147" t="s">
        <v>55</v>
      </c>
      <c r="T19" s="147" t="s">
        <v>55</v>
      </c>
      <c r="U19" s="147" t="s">
        <v>55</v>
      </c>
      <c r="V19" s="147" t="s">
        <v>55</v>
      </c>
      <c r="W19" s="147" t="s">
        <v>55</v>
      </c>
      <c r="X19" s="147" t="s">
        <v>55</v>
      </c>
      <c r="Y19" s="147" t="s">
        <v>55</v>
      </c>
      <c r="Z19" s="147" t="s">
        <v>55</v>
      </c>
      <c r="AA19" s="147" t="s">
        <v>55</v>
      </c>
      <c r="AB19" s="147" t="s">
        <v>55</v>
      </c>
      <c r="AC19" s="147" t="s">
        <v>55</v>
      </c>
      <c r="AD19" s="147" t="s">
        <v>55</v>
      </c>
      <c r="AE19" s="147" t="s">
        <v>55</v>
      </c>
      <c r="AF19" s="133">
        <v>0</v>
      </c>
      <c r="AG19" s="133">
        <v>0</v>
      </c>
      <c r="AH19" s="70">
        <f>0.005*F19</f>
        <v>0.12</v>
      </c>
      <c r="AI19" s="70">
        <v>0.02</v>
      </c>
      <c r="AJ19" s="70">
        <v>10</v>
      </c>
      <c r="AK19" s="72">
        <f t="shared" si="1"/>
        <v>0.12239999999999999</v>
      </c>
      <c r="AL19" s="134">
        <f t="shared" ref="AL19:AL21" si="33">0.1*AK19</f>
        <v>1.2240000000000001E-2</v>
      </c>
      <c r="AM19" s="135">
        <f>AF19*1.72+115*0.012*AG19</f>
        <v>0</v>
      </c>
      <c r="AN19" s="135">
        <f>AJ19*0.1</f>
        <v>1</v>
      </c>
      <c r="AO19" s="72">
        <f>1333*I19*POWER(10,-6)</f>
        <v>1.5996000000000001E-4</v>
      </c>
      <c r="AP19" s="73">
        <f t="shared" si="9"/>
        <v>1.1347999600000001</v>
      </c>
      <c r="AQ19" s="74">
        <f>AF19*H19</f>
        <v>0</v>
      </c>
      <c r="AR19" s="74">
        <f>AG19*H19</f>
        <v>0</v>
      </c>
      <c r="AS19" s="74">
        <f>H19*AP19</f>
        <v>2.0698751270400002E-6</v>
      </c>
    </row>
    <row r="20" spans="1:45" s="132" customFormat="1" ht="17.25" thickBot="1" x14ac:dyDescent="0.35">
      <c r="A20" s="63" t="s">
        <v>109</v>
      </c>
      <c r="B20" s="126" t="s">
        <v>137</v>
      </c>
      <c r="C20" s="127" t="s">
        <v>151</v>
      </c>
      <c r="D20" s="128" t="s">
        <v>93</v>
      </c>
      <c r="E20" s="129">
        <v>4.9999999999999998E-7</v>
      </c>
      <c r="F20" s="125">
        <v>24</v>
      </c>
      <c r="G20" s="125">
        <v>3.5999999999999997E-2</v>
      </c>
      <c r="H20" s="129">
        <f t="shared" si="28"/>
        <v>4.32E-7</v>
      </c>
      <c r="I20" s="130">
        <f>K20*120/1000</f>
        <v>1.5600000000000001E-2</v>
      </c>
      <c r="J20" s="130">
        <f>I20</f>
        <v>1.5600000000000001E-2</v>
      </c>
      <c r="K20" s="131">
        <v>0.13</v>
      </c>
      <c r="L20" s="153">
        <f t="shared" si="29"/>
        <v>5.911220736994556E-2</v>
      </c>
      <c r="M20" s="153">
        <f t="shared" si="30"/>
        <v>7.8855607989058782</v>
      </c>
      <c r="N20" s="153">
        <f t="shared" si="31"/>
        <v>0.46613290517323785</v>
      </c>
      <c r="O20" s="70" t="str">
        <f t="shared" si="6"/>
        <v>С19</v>
      </c>
      <c r="P20" s="132" t="str">
        <f t="shared" si="32"/>
        <v>Технологический трубопровод подземный (Ду = 57; P=1,2; L=24)</v>
      </c>
      <c r="Q20" s="132" t="str">
        <f t="shared" si="27"/>
        <v>Частичное-факел</v>
      </c>
      <c r="R20" s="147" t="s">
        <v>55</v>
      </c>
      <c r="S20" s="147" t="s">
        <v>55</v>
      </c>
      <c r="T20" s="147" t="s">
        <v>55</v>
      </c>
      <c r="U20" s="147" t="s">
        <v>55</v>
      </c>
      <c r="V20" s="147" t="s">
        <v>55</v>
      </c>
      <c r="W20" s="147" t="s">
        <v>55</v>
      </c>
      <c r="X20" s="147" t="s">
        <v>55</v>
      </c>
      <c r="Y20" s="147" t="s">
        <v>55</v>
      </c>
      <c r="Z20" s="147" t="s">
        <v>55</v>
      </c>
      <c r="AA20" s="148">
        <f>12.5*POWER(K20,0.4)</f>
        <v>5.5269731391023198</v>
      </c>
      <c r="AB20" s="148">
        <f>AA20*0.15</f>
        <v>0.82904597086534793</v>
      </c>
      <c r="AC20" s="147" t="s">
        <v>55</v>
      </c>
      <c r="AD20" s="147" t="s">
        <v>55</v>
      </c>
      <c r="AE20" s="147" t="s">
        <v>55</v>
      </c>
      <c r="AF20" s="132">
        <v>0</v>
      </c>
      <c r="AG20" s="132">
        <v>1</v>
      </c>
      <c r="AH20" s="70">
        <f>0.0005*F20</f>
        <v>1.2E-2</v>
      </c>
      <c r="AI20" s="70">
        <v>0.02</v>
      </c>
      <c r="AJ20" s="70">
        <v>2</v>
      </c>
      <c r="AK20" s="72">
        <f t="shared" si="1"/>
        <v>1.2312E-2</v>
      </c>
      <c r="AL20" s="134">
        <f t="shared" si="33"/>
        <v>1.2312E-3</v>
      </c>
      <c r="AM20" s="135">
        <f>AF20*1.72+115*0.012*AG20</f>
        <v>1.3800000000000001</v>
      </c>
      <c r="AN20" s="135">
        <f>AJ20*0.1</f>
        <v>0.2</v>
      </c>
      <c r="AO20" s="72">
        <f>10068.2*I20*POWER(10,-6)</f>
        <v>1.5706392000000002E-4</v>
      </c>
      <c r="AP20" s="73">
        <f t="shared" si="9"/>
        <v>1.5937002639200004</v>
      </c>
      <c r="AQ20" s="74">
        <f>AF20*H20</f>
        <v>0</v>
      </c>
      <c r="AR20" s="74">
        <f>AG20*H20</f>
        <v>4.32E-7</v>
      </c>
      <c r="AS20" s="74">
        <f>H20*AP20</f>
        <v>6.8847851401344023E-7</v>
      </c>
    </row>
    <row r="21" spans="1:45" s="132" customFormat="1" ht="17.25" thickBot="1" x14ac:dyDescent="0.35">
      <c r="A21" s="63" t="s">
        <v>110</v>
      </c>
      <c r="B21" s="126" t="s">
        <v>137</v>
      </c>
      <c r="C21" s="127" t="s">
        <v>152</v>
      </c>
      <c r="D21" s="128" t="s">
        <v>46</v>
      </c>
      <c r="E21" s="129">
        <v>4.9999999999999998E-7</v>
      </c>
      <c r="F21" s="125">
        <v>24</v>
      </c>
      <c r="G21" s="125">
        <f>1-G20</f>
        <v>0.96399999999999997</v>
      </c>
      <c r="H21" s="129">
        <f t="shared" si="28"/>
        <v>1.1568E-5</v>
      </c>
      <c r="I21" s="130">
        <f>I20</f>
        <v>1.5600000000000001E-2</v>
      </c>
      <c r="J21" s="130">
        <v>0</v>
      </c>
      <c r="K21" s="131"/>
      <c r="L21" s="153">
        <f t="shared" si="29"/>
        <v>5.911220736994556E-2</v>
      </c>
      <c r="M21" s="153">
        <f t="shared" si="30"/>
        <v>7.8855607989058782</v>
      </c>
      <c r="N21" s="153">
        <f t="shared" si="31"/>
        <v>0.46613290517323785</v>
      </c>
      <c r="O21" s="70" t="str">
        <f t="shared" si="6"/>
        <v>С20</v>
      </c>
      <c r="P21" s="132" t="str">
        <f t="shared" si="32"/>
        <v>Технологический трубопровод подземный (Ду = 57; P=1,2; L=24)</v>
      </c>
      <c r="Q21" s="132" t="str">
        <f t="shared" si="27"/>
        <v>Частичное-ликвидация</v>
      </c>
      <c r="R21" s="147" t="s">
        <v>55</v>
      </c>
      <c r="S21" s="147" t="s">
        <v>55</v>
      </c>
      <c r="T21" s="147" t="s">
        <v>55</v>
      </c>
      <c r="U21" s="147" t="s">
        <v>55</v>
      </c>
      <c r="V21" s="147" t="s">
        <v>55</v>
      </c>
      <c r="W21" s="147" t="s">
        <v>55</v>
      </c>
      <c r="X21" s="147" t="s">
        <v>55</v>
      </c>
      <c r="Y21" s="147" t="s">
        <v>55</v>
      </c>
      <c r="Z21" s="147" t="s">
        <v>55</v>
      </c>
      <c r="AA21" s="147" t="s">
        <v>55</v>
      </c>
      <c r="AB21" s="147" t="s">
        <v>55</v>
      </c>
      <c r="AC21" s="147" t="s">
        <v>55</v>
      </c>
      <c r="AD21" s="147" t="s">
        <v>55</v>
      </c>
      <c r="AE21" s="147" t="s">
        <v>55</v>
      </c>
      <c r="AF21" s="132">
        <v>0</v>
      </c>
      <c r="AG21" s="132">
        <v>1</v>
      </c>
      <c r="AH21" s="70">
        <f>0.0005*F21</f>
        <v>1.2E-2</v>
      </c>
      <c r="AI21" s="70">
        <v>0.02</v>
      </c>
      <c r="AJ21" s="70">
        <v>2</v>
      </c>
      <c r="AK21" s="72">
        <f t="shared" si="1"/>
        <v>1.2312E-2</v>
      </c>
      <c r="AL21" s="134">
        <f t="shared" si="33"/>
        <v>1.2312E-3</v>
      </c>
      <c r="AM21" s="135">
        <f>AF21*1.72+115*0.012*AG21</f>
        <v>1.3800000000000001</v>
      </c>
      <c r="AN21" s="135">
        <f>AJ21*0.1</f>
        <v>0.2</v>
      </c>
      <c r="AO21" s="72">
        <f>1333*I21*POWER(10,-6)</f>
        <v>2.0794800000000003E-5</v>
      </c>
      <c r="AP21" s="73">
        <f t="shared" si="9"/>
        <v>1.5935639948000004</v>
      </c>
      <c r="AQ21" s="74">
        <f>AF21*H21</f>
        <v>0</v>
      </c>
      <c r="AR21" s="74">
        <f>AG21*H21</f>
        <v>1.1568E-5</v>
      </c>
      <c r="AS21" s="74">
        <f>H21*AP21</f>
        <v>1.8434348291846407E-5</v>
      </c>
    </row>
    <row r="22" spans="1:45" s="143" customFormat="1" ht="17.25" thickBot="1" x14ac:dyDescent="0.35">
      <c r="A22" s="63" t="s">
        <v>111</v>
      </c>
      <c r="B22" s="137" t="s">
        <v>140</v>
      </c>
      <c r="C22" s="138" t="s">
        <v>149</v>
      </c>
      <c r="D22" s="139" t="s">
        <v>92</v>
      </c>
      <c r="E22" s="140">
        <v>9.9999999999999995E-8</v>
      </c>
      <c r="F22" s="136">
        <v>28</v>
      </c>
      <c r="G22" s="136">
        <v>0.24</v>
      </c>
      <c r="H22" s="140">
        <f>E22*F22*G22</f>
        <v>6.7199999999999998E-7</v>
      </c>
      <c r="I22" s="141">
        <f>(K22*12/1000)+(N22/1000)</f>
        <v>1.6142041547073906</v>
      </c>
      <c r="J22" s="141">
        <f>I22</f>
        <v>1.6142041547073906</v>
      </c>
      <c r="K22" s="142">
        <v>133</v>
      </c>
      <c r="L22" s="153">
        <f>PI()*POWER(0.162,2)*28</f>
        <v>2.3085428128226946</v>
      </c>
      <c r="M22" s="153">
        <f>(0.016*1.2*POWER(10,6)/(8.31*(20+273)))</f>
        <v>7.8855607989058782</v>
      </c>
      <c r="N22" s="153">
        <f>M22*L22</f>
        <v>18.204154707390551</v>
      </c>
      <c r="O22" s="70" t="str">
        <f t="shared" si="6"/>
        <v>С21</v>
      </c>
      <c r="P22" s="143" t="str">
        <f>B22</f>
        <v>Технологический трубопровод подземный (Ду = 325; P=1,2; L=28)</v>
      </c>
      <c r="Q22" s="143" t="str">
        <f t="shared" ref="Q22:Q25" si="34">D22</f>
        <v>Полное-факел</v>
      </c>
      <c r="R22" s="147" t="s">
        <v>55</v>
      </c>
      <c r="S22" s="147" t="s">
        <v>55</v>
      </c>
      <c r="T22" s="147" t="s">
        <v>55</v>
      </c>
      <c r="U22" s="147" t="s">
        <v>55</v>
      </c>
      <c r="V22" s="147" t="s">
        <v>55</v>
      </c>
      <c r="W22" s="147" t="s">
        <v>55</v>
      </c>
      <c r="X22" s="147" t="s">
        <v>55</v>
      </c>
      <c r="Y22" s="147" t="s">
        <v>55</v>
      </c>
      <c r="Z22" s="147" t="s">
        <v>55</v>
      </c>
      <c r="AA22" s="148">
        <f>12.5*POWER(K22,0.4)</f>
        <v>88.399675214873582</v>
      </c>
      <c r="AB22" s="148">
        <f>AA22*0.15</f>
        <v>13.259951282231038</v>
      </c>
      <c r="AC22" s="147" t="s">
        <v>55</v>
      </c>
      <c r="AD22" s="147" t="s">
        <v>55</v>
      </c>
      <c r="AE22" s="147" t="s">
        <v>55</v>
      </c>
      <c r="AF22" s="144">
        <v>1</v>
      </c>
      <c r="AG22" s="144">
        <v>1</v>
      </c>
      <c r="AH22" s="70">
        <f>0.005*F22</f>
        <v>0.14000000000000001</v>
      </c>
      <c r="AI22" s="70">
        <v>0.02</v>
      </c>
      <c r="AJ22" s="70">
        <v>10</v>
      </c>
      <c r="AK22" s="72">
        <f t="shared" si="1"/>
        <v>0.17228408309414783</v>
      </c>
      <c r="AL22" s="145">
        <f>0.1*AK22</f>
        <v>1.7228408309414783E-2</v>
      </c>
      <c r="AM22" s="146">
        <f>AF22*1.72+115*0.012*AG22</f>
        <v>3.1</v>
      </c>
      <c r="AN22" s="146">
        <f>AJ22*0.1</f>
        <v>1</v>
      </c>
      <c r="AO22" s="72">
        <f>10068.2*I22*POWER(10,-6)</f>
        <v>1.625213027042495E-2</v>
      </c>
      <c r="AP22" s="73">
        <f t="shared" si="9"/>
        <v>4.3057646216739878</v>
      </c>
      <c r="AQ22" s="74">
        <f>AF22*H22</f>
        <v>6.7199999999999998E-7</v>
      </c>
      <c r="AR22" s="74">
        <f>AG22*H22</f>
        <v>6.7199999999999998E-7</v>
      </c>
      <c r="AS22" s="74">
        <f>H22*AP22</f>
        <v>2.8934738257649196E-6</v>
      </c>
    </row>
    <row r="23" spans="1:45" s="143" customFormat="1" ht="17.25" thickBot="1" x14ac:dyDescent="0.35">
      <c r="A23" s="63" t="s">
        <v>112</v>
      </c>
      <c r="B23" s="137" t="s">
        <v>140</v>
      </c>
      <c r="C23" s="138" t="s">
        <v>150</v>
      </c>
      <c r="D23" s="139" t="s">
        <v>45</v>
      </c>
      <c r="E23" s="140">
        <v>9.9999999999999995E-8</v>
      </c>
      <c r="F23" s="136">
        <v>28</v>
      </c>
      <c r="G23" s="136">
        <f>1-0.24</f>
        <v>0.76</v>
      </c>
      <c r="H23" s="140">
        <f t="shared" ref="H23:H25" si="35">E23*F23*G23</f>
        <v>2.1279999999999998E-6</v>
      </c>
      <c r="I23" s="141">
        <f>I22</f>
        <v>1.6142041547073906</v>
      </c>
      <c r="J23" s="141">
        <f>0.1*K23</f>
        <v>0</v>
      </c>
      <c r="K23" s="142"/>
      <c r="L23" s="153">
        <f t="shared" ref="L23:L25" si="36">PI()*POWER(0.162,2)*28</f>
        <v>2.3085428128226946</v>
      </c>
      <c r="M23" s="153">
        <f t="shared" si="30"/>
        <v>7.8855607989058782</v>
      </c>
      <c r="N23" s="153">
        <f t="shared" ref="N23:N25" si="37">M23*L23</f>
        <v>18.204154707390551</v>
      </c>
      <c r="O23" s="70" t="str">
        <f t="shared" si="6"/>
        <v>С22</v>
      </c>
      <c r="P23" s="143" t="str">
        <f t="shared" ref="P23:P25" si="38">B23</f>
        <v>Технологический трубопровод подземный (Ду = 325; P=1,2; L=28)</v>
      </c>
      <c r="Q23" s="143" t="str">
        <f t="shared" si="34"/>
        <v>Полное-ликвидация</v>
      </c>
      <c r="R23" s="147" t="s">
        <v>55</v>
      </c>
      <c r="S23" s="147" t="s">
        <v>55</v>
      </c>
      <c r="T23" s="147" t="s">
        <v>55</v>
      </c>
      <c r="U23" s="147" t="s">
        <v>55</v>
      </c>
      <c r="V23" s="147" t="s">
        <v>55</v>
      </c>
      <c r="W23" s="147" t="s">
        <v>55</v>
      </c>
      <c r="X23" s="147" t="s">
        <v>55</v>
      </c>
      <c r="Y23" s="147" t="s">
        <v>55</v>
      </c>
      <c r="Z23" s="147" t="s">
        <v>55</v>
      </c>
      <c r="AA23" s="147" t="s">
        <v>55</v>
      </c>
      <c r="AB23" s="147" t="s">
        <v>55</v>
      </c>
      <c r="AC23" s="147" t="s">
        <v>55</v>
      </c>
      <c r="AD23" s="147" t="s">
        <v>55</v>
      </c>
      <c r="AE23" s="147" t="s">
        <v>55</v>
      </c>
      <c r="AF23" s="144">
        <v>0</v>
      </c>
      <c r="AG23" s="144">
        <v>0</v>
      </c>
      <c r="AH23" s="70">
        <f>0.005*F23</f>
        <v>0.14000000000000001</v>
      </c>
      <c r="AI23" s="70">
        <v>0.02</v>
      </c>
      <c r="AJ23" s="70">
        <v>10</v>
      </c>
      <c r="AK23" s="72">
        <f t="shared" si="1"/>
        <v>0.17228408309414783</v>
      </c>
      <c r="AL23" s="145">
        <f t="shared" ref="AL23:AL25" si="39">0.1*AK23</f>
        <v>1.7228408309414783E-2</v>
      </c>
      <c r="AM23" s="146">
        <f>AF23*1.72+115*0.012*AG23</f>
        <v>0</v>
      </c>
      <c r="AN23" s="146">
        <f>AJ23*0.1</f>
        <v>1</v>
      </c>
      <c r="AO23" s="72">
        <f>1333*I23*POWER(10,-6)</f>
        <v>2.1517341382249516E-3</v>
      </c>
      <c r="AP23" s="73">
        <f t="shared" si="9"/>
        <v>1.1916642255417875</v>
      </c>
      <c r="AQ23" s="74">
        <f>AF23*H23</f>
        <v>0</v>
      </c>
      <c r="AR23" s="74">
        <f>AG23*H23</f>
        <v>0</v>
      </c>
      <c r="AS23" s="74">
        <f>H23*AP23</f>
        <v>2.5358614719529238E-6</v>
      </c>
    </row>
    <row r="24" spans="1:45" s="143" customFormat="1" ht="17.25" thickBot="1" x14ac:dyDescent="0.35">
      <c r="A24" s="63" t="s">
        <v>113</v>
      </c>
      <c r="B24" s="137" t="s">
        <v>140</v>
      </c>
      <c r="C24" s="138" t="s">
        <v>151</v>
      </c>
      <c r="D24" s="139" t="s">
        <v>93</v>
      </c>
      <c r="E24" s="140">
        <v>4.9999999999999998E-7</v>
      </c>
      <c r="F24" s="136">
        <v>28</v>
      </c>
      <c r="G24" s="136">
        <v>3.5999999999999997E-2</v>
      </c>
      <c r="H24" s="140">
        <f t="shared" si="35"/>
        <v>5.0399999999999996E-7</v>
      </c>
      <c r="I24" s="141">
        <f>(K24*120/1000)+(N24/1000)</f>
        <v>0.17420415470739053</v>
      </c>
      <c r="J24" s="141">
        <f>I24</f>
        <v>0.17420415470739053</v>
      </c>
      <c r="K24" s="142">
        <v>1.3</v>
      </c>
      <c r="L24" s="153">
        <f t="shared" si="36"/>
        <v>2.3085428128226946</v>
      </c>
      <c r="M24" s="153">
        <f t="shared" si="30"/>
        <v>7.8855607989058782</v>
      </c>
      <c r="N24" s="153">
        <f t="shared" si="37"/>
        <v>18.204154707390551</v>
      </c>
      <c r="O24" s="70" t="str">
        <f t="shared" si="6"/>
        <v>С23</v>
      </c>
      <c r="P24" s="143" t="str">
        <f t="shared" si="38"/>
        <v>Технологический трубопровод подземный (Ду = 325; P=1,2; L=28)</v>
      </c>
      <c r="Q24" s="143" t="str">
        <f t="shared" si="34"/>
        <v>Частичное-факел</v>
      </c>
      <c r="R24" s="147" t="s">
        <v>55</v>
      </c>
      <c r="S24" s="147" t="s">
        <v>55</v>
      </c>
      <c r="T24" s="147" t="s">
        <v>55</v>
      </c>
      <c r="U24" s="147" t="s">
        <v>55</v>
      </c>
      <c r="V24" s="147" t="s">
        <v>55</v>
      </c>
      <c r="W24" s="147" t="s">
        <v>55</v>
      </c>
      <c r="X24" s="147" t="s">
        <v>55</v>
      </c>
      <c r="Y24" s="147" t="s">
        <v>55</v>
      </c>
      <c r="Z24" s="147" t="s">
        <v>55</v>
      </c>
      <c r="AA24" s="148">
        <f>12.5*POWER(K24,0.4)</f>
        <v>13.883128835429027</v>
      </c>
      <c r="AB24" s="148">
        <f>AA24*0.15</f>
        <v>2.0824693253143538</v>
      </c>
      <c r="AC24" s="147" t="s">
        <v>55</v>
      </c>
      <c r="AD24" s="147" t="s">
        <v>55</v>
      </c>
      <c r="AE24" s="147" t="s">
        <v>55</v>
      </c>
      <c r="AF24" s="143">
        <v>0</v>
      </c>
      <c r="AG24" s="143">
        <v>1</v>
      </c>
      <c r="AH24" s="70">
        <f>0.0005*F24</f>
        <v>1.4E-2</v>
      </c>
      <c r="AI24" s="70">
        <v>0.02</v>
      </c>
      <c r="AJ24" s="70">
        <v>2</v>
      </c>
      <c r="AK24" s="72">
        <f t="shared" si="1"/>
        <v>1.7484083094147812E-2</v>
      </c>
      <c r="AL24" s="145">
        <f t="shared" si="39"/>
        <v>1.7484083094147812E-3</v>
      </c>
      <c r="AM24" s="146">
        <f>AF24*1.72+115*0.012*AG24</f>
        <v>1.3800000000000001</v>
      </c>
      <c r="AN24" s="146">
        <f>AJ24*0.1</f>
        <v>0.2</v>
      </c>
      <c r="AO24" s="72">
        <f>10068.2*I24*POWER(10,-6)</f>
        <v>1.7539222704249496E-3</v>
      </c>
      <c r="AP24" s="73">
        <f t="shared" si="9"/>
        <v>1.6009864136739878</v>
      </c>
      <c r="AQ24" s="74">
        <f>AF24*H24</f>
        <v>0</v>
      </c>
      <c r="AR24" s="74">
        <f>AG24*H24</f>
        <v>5.0399999999999996E-7</v>
      </c>
      <c r="AS24" s="74">
        <f>H24*AP24</f>
        <v>8.0689715249168981E-7</v>
      </c>
    </row>
    <row r="25" spans="1:45" s="143" customFormat="1" ht="17.25" thickBot="1" x14ac:dyDescent="0.35">
      <c r="A25" s="63" t="s">
        <v>114</v>
      </c>
      <c r="B25" s="137" t="s">
        <v>140</v>
      </c>
      <c r="C25" s="138" t="s">
        <v>152</v>
      </c>
      <c r="D25" s="139" t="s">
        <v>46</v>
      </c>
      <c r="E25" s="140">
        <v>4.9999999999999998E-7</v>
      </c>
      <c r="F25" s="136">
        <v>28</v>
      </c>
      <c r="G25" s="136">
        <f>1-G24</f>
        <v>0.96399999999999997</v>
      </c>
      <c r="H25" s="140">
        <f t="shared" si="35"/>
        <v>1.3495999999999999E-5</v>
      </c>
      <c r="I25" s="141">
        <f>I24</f>
        <v>0.17420415470739053</v>
      </c>
      <c r="J25" s="141">
        <v>0</v>
      </c>
      <c r="K25" s="142"/>
      <c r="L25" s="153">
        <f t="shared" si="36"/>
        <v>2.3085428128226946</v>
      </c>
      <c r="M25" s="153">
        <f t="shared" si="30"/>
        <v>7.8855607989058782</v>
      </c>
      <c r="N25" s="153">
        <f t="shared" si="37"/>
        <v>18.204154707390551</v>
      </c>
      <c r="O25" s="70" t="str">
        <f t="shared" si="6"/>
        <v>С24</v>
      </c>
      <c r="P25" s="143" t="str">
        <f t="shared" si="38"/>
        <v>Технологический трубопровод подземный (Ду = 325; P=1,2; L=28)</v>
      </c>
      <c r="Q25" s="143" t="str">
        <f t="shared" si="34"/>
        <v>Частичное-ликвидация</v>
      </c>
      <c r="R25" s="147" t="s">
        <v>55</v>
      </c>
      <c r="S25" s="147" t="s">
        <v>55</v>
      </c>
      <c r="T25" s="147" t="s">
        <v>55</v>
      </c>
      <c r="U25" s="147" t="s">
        <v>55</v>
      </c>
      <c r="V25" s="147" t="s">
        <v>55</v>
      </c>
      <c r="W25" s="147" t="s">
        <v>55</v>
      </c>
      <c r="X25" s="147" t="s">
        <v>55</v>
      </c>
      <c r="Y25" s="147" t="s">
        <v>55</v>
      </c>
      <c r="Z25" s="147" t="s">
        <v>55</v>
      </c>
      <c r="AA25" s="147" t="s">
        <v>55</v>
      </c>
      <c r="AB25" s="147" t="s">
        <v>55</v>
      </c>
      <c r="AC25" s="147" t="s">
        <v>55</v>
      </c>
      <c r="AD25" s="147" t="s">
        <v>55</v>
      </c>
      <c r="AE25" s="147" t="s">
        <v>55</v>
      </c>
      <c r="AF25" s="143">
        <v>0</v>
      </c>
      <c r="AG25" s="143">
        <v>1</v>
      </c>
      <c r="AH25" s="70">
        <f>0.0005*F25</f>
        <v>1.4E-2</v>
      </c>
      <c r="AI25" s="70">
        <v>0.02</v>
      </c>
      <c r="AJ25" s="70">
        <v>2</v>
      </c>
      <c r="AK25" s="72">
        <f t="shared" si="1"/>
        <v>1.7484083094147812E-2</v>
      </c>
      <c r="AL25" s="145">
        <f t="shared" si="39"/>
        <v>1.7484083094147812E-3</v>
      </c>
      <c r="AM25" s="146">
        <f>AF25*1.72+115*0.012*AG25</f>
        <v>1.3800000000000001</v>
      </c>
      <c r="AN25" s="146">
        <f>AJ25*0.1</f>
        <v>0.2</v>
      </c>
      <c r="AO25" s="72">
        <f>1333*I25*POWER(10,-6)</f>
        <v>2.322141382249516E-4</v>
      </c>
      <c r="AP25" s="73">
        <f t="shared" si="9"/>
        <v>1.5994647055417877</v>
      </c>
      <c r="AQ25" s="74">
        <f>AF25*H25</f>
        <v>0</v>
      </c>
      <c r="AR25" s="74">
        <f>AG25*H25</f>
        <v>1.3495999999999999E-5</v>
      </c>
      <c r="AS25" s="74">
        <f>H25*AP25</f>
        <v>2.1586375665991966E-5</v>
      </c>
    </row>
    <row r="26" spans="1:45" s="70" customFormat="1" ht="17.25" thickBot="1" x14ac:dyDescent="0.35">
      <c r="A26" s="63" t="s">
        <v>118</v>
      </c>
      <c r="B26" s="64" t="s">
        <v>116</v>
      </c>
      <c r="C26" s="65" t="s">
        <v>153</v>
      </c>
      <c r="D26" s="66" t="s">
        <v>92</v>
      </c>
      <c r="E26" s="67">
        <v>9.9999999999999995E-7</v>
      </c>
      <c r="F26" s="63">
        <v>26</v>
      </c>
      <c r="G26" s="63">
        <v>0.2</v>
      </c>
      <c r="H26" s="67">
        <f>E26*F26*G26</f>
        <v>5.2000000000000002E-6</v>
      </c>
      <c r="I26" s="68">
        <f>K26*12/1000</f>
        <v>1.5600000000000001E-2</v>
      </c>
      <c r="J26" s="68">
        <f>I26</f>
        <v>1.5600000000000001E-2</v>
      </c>
      <c r="K26" s="69">
        <v>1.3</v>
      </c>
      <c r="L26" s="153">
        <f>PI()*POWER(0.016,2)*26</f>
        <v>2.0910440702293663E-2</v>
      </c>
      <c r="M26" s="153">
        <f>(0.016*1.2*POWER(10,6)/(8.31*(20+273)))</f>
        <v>7.8855607989058782</v>
      </c>
      <c r="N26" s="153">
        <f>M26*L26</f>
        <v>0.16489055148985282</v>
      </c>
      <c r="O26" s="70" t="str">
        <f t="shared" si="6"/>
        <v>С25</v>
      </c>
      <c r="P26" s="70" t="str">
        <f>B26</f>
        <v>Технологический трубопровод блока топочной (Ду = 32; P=1,2; L=26)</v>
      </c>
      <c r="Q26" s="70" t="str">
        <f>D26</f>
        <v>Полное-факел</v>
      </c>
      <c r="R26" s="147" t="s">
        <v>55</v>
      </c>
      <c r="S26" s="147" t="s">
        <v>55</v>
      </c>
      <c r="T26" s="147" t="s">
        <v>55</v>
      </c>
      <c r="U26" s="147" t="s">
        <v>55</v>
      </c>
      <c r="V26" s="147" t="s">
        <v>55</v>
      </c>
      <c r="W26" s="147" t="s">
        <v>55</v>
      </c>
      <c r="X26" s="147" t="s">
        <v>55</v>
      </c>
      <c r="Y26" s="147" t="s">
        <v>55</v>
      </c>
      <c r="Z26" s="147" t="s">
        <v>55</v>
      </c>
      <c r="AA26" s="148">
        <f>12.5*POWER(K26,0.4)</f>
        <v>13.883128835429027</v>
      </c>
      <c r="AB26" s="148">
        <f>AA26*0.15</f>
        <v>2.0824693253143538</v>
      </c>
      <c r="AC26" s="147" t="s">
        <v>55</v>
      </c>
      <c r="AD26" s="147" t="s">
        <v>55</v>
      </c>
      <c r="AE26" s="147" t="s">
        <v>55</v>
      </c>
      <c r="AF26" s="71">
        <v>1</v>
      </c>
      <c r="AG26" s="71">
        <v>1</v>
      </c>
      <c r="AH26" s="70">
        <f>0.005*F26</f>
        <v>0.13</v>
      </c>
      <c r="AI26" s="70">
        <v>0.02</v>
      </c>
      <c r="AJ26" s="70">
        <v>10</v>
      </c>
      <c r="AK26" s="72">
        <f t="shared" si="1"/>
        <v>0.13031200000000001</v>
      </c>
      <c r="AL26" s="72">
        <f>0.1*AK26</f>
        <v>1.3031200000000001E-2</v>
      </c>
      <c r="AM26" s="73">
        <f>AF26*1.72+115*0.012*AG26</f>
        <v>3.1</v>
      </c>
      <c r="AN26" s="73">
        <f>AJ26*0.1</f>
        <v>1</v>
      </c>
      <c r="AO26" s="72">
        <f>10068.2*I26*POWER(10,-6)</f>
        <v>1.5706392000000002E-4</v>
      </c>
      <c r="AP26" s="73">
        <f t="shared" si="9"/>
        <v>4.2435002639200006</v>
      </c>
      <c r="AQ26" s="74">
        <f>AF26*H26</f>
        <v>5.2000000000000002E-6</v>
      </c>
      <c r="AR26" s="74">
        <f>AG26*H26</f>
        <v>5.2000000000000002E-6</v>
      </c>
      <c r="AS26" s="74">
        <f>H26*AP26</f>
        <v>2.2066201372384003E-5</v>
      </c>
    </row>
    <row r="27" spans="1:45" s="70" customFormat="1" ht="17.25" thickBot="1" x14ac:dyDescent="0.35">
      <c r="A27" s="63" t="s">
        <v>119</v>
      </c>
      <c r="B27" s="64" t="s">
        <v>116</v>
      </c>
      <c r="C27" s="65" t="s">
        <v>159</v>
      </c>
      <c r="D27" s="66" t="s">
        <v>160</v>
      </c>
      <c r="E27" s="67">
        <v>9.9999999999999995E-7</v>
      </c>
      <c r="F27" s="63">
        <v>26</v>
      </c>
      <c r="G27" s="63">
        <v>0.1152</v>
      </c>
      <c r="H27" s="67">
        <f t="shared" ref="H27:H28" si="40">E27*F27*G27</f>
        <v>2.9951999999999997E-6</v>
      </c>
      <c r="I27" s="68">
        <f>I26</f>
        <v>1.5600000000000001E-2</v>
      </c>
      <c r="J27" s="68">
        <f>I27*0.5</f>
        <v>7.8000000000000005E-3</v>
      </c>
      <c r="K27" s="69"/>
      <c r="L27" s="153">
        <f t="shared" ref="L27:L33" si="41">PI()*POWER(0.016,2)*26</f>
        <v>2.0910440702293663E-2</v>
      </c>
      <c r="M27" s="153">
        <f t="shared" ref="M27:M34" si="42">(0.016*1.2*POWER(10,6)/(8.31*(20+273)))</f>
        <v>7.8855607989058782</v>
      </c>
      <c r="N27" s="153">
        <f t="shared" ref="N27:N33" si="43">M27*L27</f>
        <v>0.16489055148985282</v>
      </c>
      <c r="O27" s="70" t="str">
        <f t="shared" si="6"/>
        <v>С26</v>
      </c>
      <c r="P27" s="70" t="str">
        <f t="shared" ref="P27:P33" si="44">B27</f>
        <v>Технологический трубопровод блока топочной (Ду = 32; P=1,2; L=26)</v>
      </c>
      <c r="Q27" s="70" t="str">
        <f t="shared" ref="Q27:Q34" si="45">D27</f>
        <v>Полное- взрыв</v>
      </c>
      <c r="R27" s="147" t="s">
        <v>55</v>
      </c>
      <c r="S27" s="147" t="s">
        <v>55</v>
      </c>
      <c r="T27" s="147" t="s">
        <v>55</v>
      </c>
      <c r="U27" s="147" t="s">
        <v>55</v>
      </c>
      <c r="V27" s="147">
        <v>11</v>
      </c>
      <c r="W27" s="147">
        <v>16</v>
      </c>
      <c r="X27" s="147">
        <v>23</v>
      </c>
      <c r="Y27" s="147">
        <v>35</v>
      </c>
      <c r="Z27" s="147">
        <v>79</v>
      </c>
      <c r="AA27" s="147" t="s">
        <v>55</v>
      </c>
      <c r="AB27" s="147" t="s">
        <v>55</v>
      </c>
      <c r="AC27" s="147" t="s">
        <v>55</v>
      </c>
      <c r="AD27" s="147" t="s">
        <v>55</v>
      </c>
      <c r="AE27" s="147" t="s">
        <v>55</v>
      </c>
      <c r="AF27" s="71">
        <v>2</v>
      </c>
      <c r="AG27" s="71">
        <v>1</v>
      </c>
      <c r="AH27" s="70">
        <f>0.005*F27</f>
        <v>0.13</v>
      </c>
      <c r="AI27" s="70">
        <v>0.02</v>
      </c>
      <c r="AJ27" s="70">
        <v>10</v>
      </c>
      <c r="AK27" s="72">
        <f t="shared" si="1"/>
        <v>0.13031200000000001</v>
      </c>
      <c r="AL27" s="72">
        <f t="shared" ref="AL27:AL28" si="46">0.1*AK27</f>
        <v>1.3031200000000001E-2</v>
      </c>
      <c r="AM27" s="73">
        <f>AF27*1.72+115*0.012*AG27</f>
        <v>4.82</v>
      </c>
      <c r="AN27" s="73">
        <f>AJ27*0.1</f>
        <v>1</v>
      </c>
      <c r="AO27" s="72">
        <f>10068.2*I27*POWER(10,-6)</f>
        <v>1.5706392000000002E-4</v>
      </c>
      <c r="AP27" s="73">
        <f t="shared" si="9"/>
        <v>5.9635002639200003</v>
      </c>
      <c r="AQ27" s="74">
        <f>AF27*H27</f>
        <v>5.9903999999999994E-6</v>
      </c>
      <c r="AR27" s="74">
        <f>AG27*H27</f>
        <v>2.9951999999999997E-6</v>
      </c>
      <c r="AS27" s="74">
        <f>H27*AP27</f>
        <v>1.7861875990493184E-5</v>
      </c>
    </row>
    <row r="28" spans="1:45" s="70" customFormat="1" ht="17.25" thickBot="1" x14ac:dyDescent="0.35">
      <c r="A28" s="63" t="s">
        <v>120</v>
      </c>
      <c r="B28" s="64" t="s">
        <v>116</v>
      </c>
      <c r="C28" s="65" t="s">
        <v>154</v>
      </c>
      <c r="D28" s="70" t="s">
        <v>107</v>
      </c>
      <c r="E28" s="67">
        <v>9.9999999999999995E-7</v>
      </c>
      <c r="F28" s="63">
        <v>26</v>
      </c>
      <c r="G28" s="63">
        <v>7.6800000000000007E-2</v>
      </c>
      <c r="H28" s="67">
        <f t="shared" si="40"/>
        <v>1.9968000000000001E-6</v>
      </c>
      <c r="I28" s="68">
        <f>I26</f>
        <v>1.5600000000000001E-2</v>
      </c>
      <c r="J28" s="68">
        <f>I28</f>
        <v>1.5600000000000001E-2</v>
      </c>
      <c r="K28" s="69"/>
      <c r="L28" s="153">
        <f t="shared" si="41"/>
        <v>2.0910440702293663E-2</v>
      </c>
      <c r="M28" s="153">
        <f t="shared" si="42"/>
        <v>7.8855607989058782</v>
      </c>
      <c r="N28" s="153">
        <f t="shared" si="43"/>
        <v>0.16489055148985282</v>
      </c>
      <c r="O28" s="70" t="str">
        <f t="shared" si="6"/>
        <v>С27</v>
      </c>
      <c r="P28" s="70" t="str">
        <f t="shared" si="44"/>
        <v>Технологический трубопровод блока топочной (Ду = 32; P=1,2; L=26)</v>
      </c>
      <c r="Q28" s="70" t="str">
        <f t="shared" si="45"/>
        <v>Полное-вспышка</v>
      </c>
      <c r="R28" s="147" t="s">
        <v>55</v>
      </c>
      <c r="S28" s="147" t="s">
        <v>55</v>
      </c>
      <c r="T28" s="147" t="s">
        <v>55</v>
      </c>
      <c r="U28" s="147" t="s">
        <v>55</v>
      </c>
      <c r="V28" s="147" t="s">
        <v>55</v>
      </c>
      <c r="W28" s="147" t="s">
        <v>55</v>
      </c>
      <c r="X28" s="147" t="s">
        <v>55</v>
      </c>
      <c r="Y28" s="147" t="s">
        <v>55</v>
      </c>
      <c r="Z28" s="147" t="s">
        <v>55</v>
      </c>
      <c r="AA28" s="147" t="s">
        <v>55</v>
      </c>
      <c r="AB28" s="147" t="s">
        <v>55</v>
      </c>
      <c r="AC28" s="147" t="s">
        <v>55</v>
      </c>
      <c r="AD28" s="147" t="s">
        <v>55</v>
      </c>
      <c r="AE28" s="147">
        <v>11</v>
      </c>
      <c r="AF28" s="70">
        <v>1</v>
      </c>
      <c r="AG28" s="70">
        <v>1</v>
      </c>
      <c r="AH28" s="70">
        <f>0.005*F28</f>
        <v>0.13</v>
      </c>
      <c r="AI28" s="70">
        <v>0.02</v>
      </c>
      <c r="AJ28" s="70">
        <v>10</v>
      </c>
      <c r="AK28" s="72">
        <f>AI28*J28+AH28</f>
        <v>0.13031200000000001</v>
      </c>
      <c r="AL28" s="72">
        <f t="shared" si="46"/>
        <v>1.3031200000000001E-2</v>
      </c>
      <c r="AM28" s="73">
        <f>AF28*1.72+115*0.012*AG28</f>
        <v>3.1</v>
      </c>
      <c r="AN28" s="73">
        <f>AJ28*0.1</f>
        <v>1</v>
      </c>
      <c r="AO28" s="72">
        <f>10068.2*I28*POWER(10,-6)</f>
        <v>1.5706392000000002E-4</v>
      </c>
      <c r="AP28" s="73">
        <f t="shared" si="9"/>
        <v>4.2435002639200006</v>
      </c>
      <c r="AQ28" s="74">
        <f>AF28*H28</f>
        <v>1.9968000000000001E-6</v>
      </c>
      <c r="AR28" s="74">
        <f>AG28*H28</f>
        <v>1.9968000000000001E-6</v>
      </c>
      <c r="AS28" s="74">
        <f>H28*AP28</f>
        <v>8.4734213269954582E-6</v>
      </c>
    </row>
    <row r="29" spans="1:45" s="70" customFormat="1" ht="17.25" thickBot="1" x14ac:dyDescent="0.35">
      <c r="A29" s="63" t="s">
        <v>121</v>
      </c>
      <c r="B29" s="64" t="s">
        <v>116</v>
      </c>
      <c r="C29" s="65" t="s">
        <v>150</v>
      </c>
      <c r="D29" s="66" t="s">
        <v>45</v>
      </c>
      <c r="E29" s="67">
        <v>9.9999999999999995E-7</v>
      </c>
      <c r="F29" s="63">
        <v>26</v>
      </c>
      <c r="G29" s="63">
        <v>0.6080000000000001</v>
      </c>
      <c r="H29" s="67">
        <f>E29*F29*G29</f>
        <v>1.5808000000000002E-5</v>
      </c>
      <c r="I29" s="68">
        <f>I27</f>
        <v>1.5600000000000001E-2</v>
      </c>
      <c r="J29" s="68">
        <v>0</v>
      </c>
      <c r="K29" s="69"/>
      <c r="L29" s="153">
        <f t="shared" si="41"/>
        <v>2.0910440702293663E-2</v>
      </c>
      <c r="M29" s="153">
        <f t="shared" si="42"/>
        <v>7.8855607989058782</v>
      </c>
      <c r="N29" s="153">
        <f t="shared" si="43"/>
        <v>0.16489055148985282</v>
      </c>
      <c r="O29" s="70" t="str">
        <f t="shared" si="6"/>
        <v>С28</v>
      </c>
      <c r="P29" s="70" t="str">
        <f t="shared" si="44"/>
        <v>Технологический трубопровод блока топочной (Ду = 32; P=1,2; L=26)</v>
      </c>
      <c r="Q29" s="70" t="str">
        <f t="shared" si="45"/>
        <v>Полное-ликвидация</v>
      </c>
      <c r="R29" s="147" t="s">
        <v>55</v>
      </c>
      <c r="S29" s="147" t="s">
        <v>55</v>
      </c>
      <c r="T29" s="147" t="s">
        <v>55</v>
      </c>
      <c r="U29" s="147" t="s">
        <v>55</v>
      </c>
      <c r="V29" s="147" t="s">
        <v>55</v>
      </c>
      <c r="W29" s="147" t="s">
        <v>55</v>
      </c>
      <c r="X29" s="147" t="s">
        <v>55</v>
      </c>
      <c r="Y29" s="147" t="s">
        <v>55</v>
      </c>
      <c r="Z29" s="147" t="s">
        <v>55</v>
      </c>
      <c r="AA29" s="147" t="s">
        <v>55</v>
      </c>
      <c r="AB29" s="147" t="s">
        <v>55</v>
      </c>
      <c r="AC29" s="147" t="s">
        <v>55</v>
      </c>
      <c r="AD29" s="147" t="s">
        <v>55</v>
      </c>
      <c r="AE29" s="147" t="s">
        <v>55</v>
      </c>
      <c r="AF29" s="71">
        <v>0</v>
      </c>
      <c r="AG29" s="71">
        <v>0</v>
      </c>
      <c r="AH29" s="70">
        <f>0.005*F29</f>
        <v>0.13</v>
      </c>
      <c r="AI29" s="70">
        <v>0.02</v>
      </c>
      <c r="AJ29" s="70">
        <v>10</v>
      </c>
      <c r="AK29" s="72">
        <f>AI29*I29+AH29</f>
        <v>0.13031200000000001</v>
      </c>
      <c r="AL29" s="72">
        <f>0.1*AK29</f>
        <v>1.3031200000000001E-2</v>
      </c>
      <c r="AM29" s="73">
        <f>AF29*1.72+115*0.012*AG29</f>
        <v>0</v>
      </c>
      <c r="AN29" s="73">
        <f>AJ29*0.1</f>
        <v>1</v>
      </c>
      <c r="AO29" s="72">
        <f>1333*I29*POWER(10,-6)</f>
        <v>2.0794800000000003E-5</v>
      </c>
      <c r="AP29" s="73">
        <f t="shared" si="9"/>
        <v>1.1433639947999998</v>
      </c>
      <c r="AQ29" s="74">
        <f>AF29*H29</f>
        <v>0</v>
      </c>
      <c r="AR29" s="74">
        <f>AG29*H29</f>
        <v>0</v>
      </c>
      <c r="AS29" s="74">
        <f>H29*AP29</f>
        <v>1.8074298029798401E-5</v>
      </c>
    </row>
    <row r="30" spans="1:45" s="70" customFormat="1" ht="17.25" thickBot="1" x14ac:dyDescent="0.35">
      <c r="A30" s="63" t="s">
        <v>122</v>
      </c>
      <c r="B30" s="64" t="s">
        <v>116</v>
      </c>
      <c r="C30" s="65" t="s">
        <v>155</v>
      </c>
      <c r="D30" s="66" t="s">
        <v>93</v>
      </c>
      <c r="E30" s="67">
        <v>5.0000000000000004E-6</v>
      </c>
      <c r="F30" s="63">
        <v>26</v>
      </c>
      <c r="G30" s="63">
        <v>3.5000000000000003E-2</v>
      </c>
      <c r="H30" s="67">
        <f t="shared" ref="H30:H31" si="47">E30*F30*G30</f>
        <v>4.5500000000000013E-6</v>
      </c>
      <c r="I30" s="68">
        <f>K30*120/1000</f>
        <v>7.1999999999999989E-3</v>
      </c>
      <c r="J30" s="68">
        <f>I30</f>
        <v>7.1999999999999989E-3</v>
      </c>
      <c r="K30" s="69">
        <v>0.06</v>
      </c>
      <c r="L30" s="153">
        <f t="shared" si="41"/>
        <v>2.0910440702293663E-2</v>
      </c>
      <c r="M30" s="153">
        <f t="shared" si="42"/>
        <v>7.8855607989058782</v>
      </c>
      <c r="N30" s="153">
        <f t="shared" si="43"/>
        <v>0.16489055148985282</v>
      </c>
      <c r="O30" s="70" t="str">
        <f t="shared" si="6"/>
        <v>С29</v>
      </c>
      <c r="P30" s="70" t="str">
        <f t="shared" si="44"/>
        <v>Технологический трубопровод блока топочной (Ду = 32; P=1,2; L=26)</v>
      </c>
      <c r="Q30" s="70" t="str">
        <f t="shared" si="45"/>
        <v>Частичное-факел</v>
      </c>
      <c r="R30" s="147" t="s">
        <v>55</v>
      </c>
      <c r="S30" s="147" t="s">
        <v>55</v>
      </c>
      <c r="T30" s="147" t="s">
        <v>55</v>
      </c>
      <c r="U30" s="147" t="s">
        <v>55</v>
      </c>
      <c r="V30" s="147" t="s">
        <v>55</v>
      </c>
      <c r="W30" s="147" t="s">
        <v>55</v>
      </c>
      <c r="X30" s="147" t="s">
        <v>55</v>
      </c>
      <c r="Y30" s="147" t="s">
        <v>55</v>
      </c>
      <c r="Z30" s="147" t="s">
        <v>55</v>
      </c>
      <c r="AA30" s="148">
        <f>12.5*POWER(K30,0.4)</f>
        <v>4.0566777789990107</v>
      </c>
      <c r="AB30" s="148">
        <f>AA30*0.15</f>
        <v>0.60850166684985163</v>
      </c>
      <c r="AC30" s="147" t="s">
        <v>55</v>
      </c>
      <c r="AD30" s="147" t="s">
        <v>55</v>
      </c>
      <c r="AE30" s="147" t="s">
        <v>55</v>
      </c>
      <c r="AF30" s="71">
        <v>1</v>
      </c>
      <c r="AG30" s="71">
        <v>1</v>
      </c>
      <c r="AH30" s="70">
        <f t="shared" ref="AH30:AH33" si="48">0.0005*F30</f>
        <v>1.3000000000000001E-2</v>
      </c>
      <c r="AI30" s="70">
        <v>0.02</v>
      </c>
      <c r="AJ30" s="70">
        <v>2</v>
      </c>
      <c r="AK30" s="72">
        <f>AI30*I30+AH30</f>
        <v>1.3144000000000001E-2</v>
      </c>
      <c r="AL30" s="72">
        <f t="shared" ref="AL30:AL32" si="49">0.1*AK30</f>
        <v>1.3144000000000003E-3</v>
      </c>
      <c r="AM30" s="73">
        <f>AF30*1.72+115*0.012*AG30</f>
        <v>3.1</v>
      </c>
      <c r="AN30" s="73">
        <f>AJ30*0.1</f>
        <v>0.2</v>
      </c>
      <c r="AO30" s="72">
        <f>10068.2*I30*POWER(10,-6)</f>
        <v>7.2491039999999997E-5</v>
      </c>
      <c r="AP30" s="73">
        <f t="shared" si="9"/>
        <v>3.31453089104</v>
      </c>
      <c r="AQ30" s="74">
        <f>AF30*H30</f>
        <v>4.5500000000000013E-6</v>
      </c>
      <c r="AR30" s="74">
        <f>AG30*H30</f>
        <v>4.5500000000000013E-6</v>
      </c>
      <c r="AS30" s="74">
        <f>H30*AP30</f>
        <v>1.5081115554232004E-5</v>
      </c>
    </row>
    <row r="31" spans="1:45" s="70" customFormat="1" ht="17.25" thickBot="1" x14ac:dyDescent="0.35">
      <c r="A31" s="63" t="s">
        <v>123</v>
      </c>
      <c r="B31" s="64" t="s">
        <v>116</v>
      </c>
      <c r="C31" s="65" t="s">
        <v>161</v>
      </c>
      <c r="D31" s="66" t="s">
        <v>162</v>
      </c>
      <c r="E31" s="67">
        <v>5.0000000000000004E-6</v>
      </c>
      <c r="F31" s="63">
        <v>26</v>
      </c>
      <c r="G31" s="63">
        <v>8.3375999999999988E-3</v>
      </c>
      <c r="H31" s="67">
        <f t="shared" si="47"/>
        <v>1.083888E-6</v>
      </c>
      <c r="I31" s="68">
        <f>I30</f>
        <v>7.1999999999999989E-3</v>
      </c>
      <c r="J31" s="68">
        <f>I31*0.5</f>
        <v>3.5999999999999995E-3</v>
      </c>
      <c r="K31" s="69"/>
      <c r="L31" s="153">
        <f t="shared" si="41"/>
        <v>2.0910440702293663E-2</v>
      </c>
      <c r="M31" s="153">
        <f t="shared" si="42"/>
        <v>7.8855607989058782</v>
      </c>
      <c r="N31" s="153">
        <f t="shared" si="43"/>
        <v>0.16489055148985282</v>
      </c>
      <c r="O31" s="70" t="str">
        <f t="shared" si="6"/>
        <v>С30</v>
      </c>
      <c r="P31" s="70" t="str">
        <f t="shared" si="44"/>
        <v>Технологический трубопровод блока топочной (Ду = 32; P=1,2; L=26)</v>
      </c>
      <c r="Q31" s="70" t="str">
        <f t="shared" si="45"/>
        <v>Частичное- взрыв</v>
      </c>
      <c r="R31" s="147" t="s">
        <v>55</v>
      </c>
      <c r="S31" s="147" t="s">
        <v>55</v>
      </c>
      <c r="T31" s="147" t="s">
        <v>55</v>
      </c>
      <c r="U31" s="147" t="s">
        <v>55</v>
      </c>
      <c r="V31" s="147">
        <v>8</v>
      </c>
      <c r="W31" s="147">
        <v>12</v>
      </c>
      <c r="X31" s="147">
        <v>17</v>
      </c>
      <c r="Y31" s="147">
        <v>27</v>
      </c>
      <c r="Z31" s="147">
        <v>65</v>
      </c>
      <c r="AA31" s="147" t="s">
        <v>55</v>
      </c>
      <c r="AB31" s="147"/>
      <c r="AC31" s="147" t="s">
        <v>55</v>
      </c>
      <c r="AD31" s="147" t="s">
        <v>55</v>
      </c>
      <c r="AE31" s="147" t="s">
        <v>55</v>
      </c>
      <c r="AF31" s="70">
        <v>1</v>
      </c>
      <c r="AG31" s="70">
        <v>1</v>
      </c>
      <c r="AH31" s="70">
        <f t="shared" si="48"/>
        <v>1.3000000000000001E-2</v>
      </c>
      <c r="AI31" s="70">
        <v>0.02</v>
      </c>
      <c r="AJ31" s="70">
        <v>2</v>
      </c>
      <c r="AK31" s="72">
        <f>AI31*J31+AH31</f>
        <v>1.3072E-2</v>
      </c>
      <c r="AL31" s="72">
        <f t="shared" si="49"/>
        <v>1.3072000000000001E-3</v>
      </c>
      <c r="AM31" s="73">
        <f>AF31*1.72+115*0.012*AG31</f>
        <v>3.1</v>
      </c>
      <c r="AN31" s="73">
        <f>AJ31*0.1</f>
        <v>0.2</v>
      </c>
      <c r="AO31" s="72">
        <f>10068.2*I31*POWER(10,-6)</f>
        <v>7.2491039999999997E-5</v>
      </c>
      <c r="AP31" s="73">
        <f t="shared" si="9"/>
        <v>3.3144516910399999</v>
      </c>
      <c r="AQ31" s="74">
        <f>AF31*H31</f>
        <v>1.083888E-6</v>
      </c>
      <c r="AR31" s="74">
        <f>AG31*H31</f>
        <v>1.083888E-6</v>
      </c>
      <c r="AS31" s="74">
        <f>H31*AP31</f>
        <v>3.5924944144979632E-6</v>
      </c>
    </row>
    <row r="32" spans="1:45" s="70" customFormat="1" ht="17.25" thickBot="1" x14ac:dyDescent="0.35">
      <c r="A32" s="63" t="s">
        <v>124</v>
      </c>
      <c r="B32" s="64" t="s">
        <v>116</v>
      </c>
      <c r="C32" s="65" t="s">
        <v>156</v>
      </c>
      <c r="D32" s="66" t="s">
        <v>108</v>
      </c>
      <c r="E32" s="67">
        <v>5.0000000000000004E-6</v>
      </c>
      <c r="F32" s="63">
        <v>26</v>
      </c>
      <c r="G32" s="63">
        <v>2.6402399999999999E-2</v>
      </c>
      <c r="H32" s="67">
        <f>E32*F32*G32</f>
        <v>3.4323120000000005E-6</v>
      </c>
      <c r="I32" s="68">
        <f>I30</f>
        <v>7.1999999999999989E-3</v>
      </c>
      <c r="J32" s="68">
        <f>I32</f>
        <v>7.1999999999999989E-3</v>
      </c>
      <c r="K32" s="69"/>
      <c r="L32" s="153">
        <f t="shared" si="41"/>
        <v>2.0910440702293663E-2</v>
      </c>
      <c r="M32" s="153">
        <f t="shared" si="42"/>
        <v>7.8855607989058782</v>
      </c>
      <c r="N32" s="153">
        <f t="shared" si="43"/>
        <v>0.16489055148985282</v>
      </c>
      <c r="O32" s="70" t="str">
        <f t="shared" si="6"/>
        <v>С31</v>
      </c>
      <c r="P32" s="70" t="str">
        <f t="shared" si="44"/>
        <v>Технологический трубопровод блока топочной (Ду = 32; P=1,2; L=26)</v>
      </c>
      <c r="Q32" s="70" t="str">
        <f t="shared" si="45"/>
        <v>Частичное-вспышка</v>
      </c>
      <c r="R32" s="147" t="s">
        <v>55</v>
      </c>
      <c r="S32" s="147" t="s">
        <v>55</v>
      </c>
      <c r="T32" s="147" t="s">
        <v>55</v>
      </c>
      <c r="U32" s="147" t="s">
        <v>55</v>
      </c>
      <c r="V32" s="147" t="s">
        <v>55</v>
      </c>
      <c r="W32" s="147" t="s">
        <v>55</v>
      </c>
      <c r="X32" s="147" t="s">
        <v>55</v>
      </c>
      <c r="Y32" s="147" t="s">
        <v>55</v>
      </c>
      <c r="Z32" s="147" t="s">
        <v>55</v>
      </c>
      <c r="AA32" s="147" t="s">
        <v>55</v>
      </c>
      <c r="AB32" s="147" t="s">
        <v>55</v>
      </c>
      <c r="AC32" s="147" t="s">
        <v>55</v>
      </c>
      <c r="AD32" s="147" t="s">
        <v>55</v>
      </c>
      <c r="AE32" s="147">
        <v>9</v>
      </c>
      <c r="AF32" s="70">
        <v>1</v>
      </c>
      <c r="AG32" s="70">
        <v>0.999999999999999</v>
      </c>
      <c r="AH32" s="70">
        <f t="shared" si="48"/>
        <v>1.3000000000000001E-2</v>
      </c>
      <c r="AI32" s="70">
        <v>0.02</v>
      </c>
      <c r="AJ32" s="70">
        <v>2</v>
      </c>
      <c r="AK32" s="72">
        <f>AI32*J32+AH32</f>
        <v>1.3144000000000001E-2</v>
      </c>
      <c r="AL32" s="72">
        <f t="shared" si="49"/>
        <v>1.3144000000000003E-3</v>
      </c>
      <c r="AM32" s="73">
        <f>AF32*1.72+115*0.012*AG32</f>
        <v>3.0999999999999988</v>
      </c>
      <c r="AN32" s="73">
        <f>AJ32*0.1</f>
        <v>0.2</v>
      </c>
      <c r="AO32" s="72">
        <f>10068.2*I32*POWER(10,-6)</f>
        <v>7.2491039999999997E-5</v>
      </c>
      <c r="AP32" s="73">
        <f t="shared" si="9"/>
        <v>3.3145308910399991</v>
      </c>
      <c r="AQ32" s="74">
        <f>AF32*H32</f>
        <v>3.4323120000000005E-6</v>
      </c>
      <c r="AR32" s="74">
        <f>AG32*H32</f>
        <v>3.4323119999999971E-6</v>
      </c>
      <c r="AS32" s="74">
        <f>H32*AP32</f>
        <v>1.1376504151687283E-5</v>
      </c>
    </row>
    <row r="33" spans="1:45" s="70" customFormat="1" ht="17.25" thickBot="1" x14ac:dyDescent="0.35">
      <c r="A33" s="63" t="s">
        <v>125</v>
      </c>
      <c r="B33" s="64" t="s">
        <v>116</v>
      </c>
      <c r="C33" s="65" t="s">
        <v>150</v>
      </c>
      <c r="D33" s="66" t="s">
        <v>46</v>
      </c>
      <c r="E33" s="67">
        <v>5.0000000000000004E-6</v>
      </c>
      <c r="F33" s="63">
        <v>26</v>
      </c>
      <c r="G33" s="63">
        <v>0.93025999999999998</v>
      </c>
      <c r="H33" s="67">
        <f t="shared" ref="H33" si="50">E33*F33*G33</f>
        <v>1.2093380000000002E-4</v>
      </c>
      <c r="I33" s="68">
        <f>I31</f>
        <v>7.1999999999999989E-3</v>
      </c>
      <c r="J33" s="68">
        <v>0</v>
      </c>
      <c r="K33" s="69"/>
      <c r="L33" s="153">
        <f t="shared" si="41"/>
        <v>2.0910440702293663E-2</v>
      </c>
      <c r="M33" s="153">
        <f t="shared" si="42"/>
        <v>7.8855607989058782</v>
      </c>
      <c r="N33" s="153">
        <f t="shared" si="43"/>
        <v>0.16489055148985282</v>
      </c>
      <c r="O33" s="70" t="str">
        <f t="shared" si="6"/>
        <v>С32</v>
      </c>
      <c r="P33" s="70" t="str">
        <f t="shared" si="44"/>
        <v>Технологический трубопровод блока топочной (Ду = 32; P=1,2; L=26)</v>
      </c>
      <c r="Q33" s="70" t="str">
        <f t="shared" si="45"/>
        <v>Частичное-ликвидация</v>
      </c>
      <c r="R33" s="147" t="s">
        <v>55</v>
      </c>
      <c r="S33" s="147" t="s">
        <v>55</v>
      </c>
      <c r="T33" s="147" t="s">
        <v>55</v>
      </c>
      <c r="U33" s="147" t="s">
        <v>55</v>
      </c>
      <c r="V33" s="147" t="s">
        <v>55</v>
      </c>
      <c r="W33" s="147" t="s">
        <v>55</v>
      </c>
      <c r="X33" s="147" t="s">
        <v>55</v>
      </c>
      <c r="Y33" s="147" t="s">
        <v>55</v>
      </c>
      <c r="Z33" s="147" t="s">
        <v>55</v>
      </c>
      <c r="AA33" s="147" t="s">
        <v>55</v>
      </c>
      <c r="AB33" s="147" t="s">
        <v>55</v>
      </c>
      <c r="AC33" s="147" t="s">
        <v>55</v>
      </c>
      <c r="AD33" s="147" t="s">
        <v>55</v>
      </c>
      <c r="AE33" s="147" t="s">
        <v>55</v>
      </c>
      <c r="AF33" s="71">
        <v>0</v>
      </c>
      <c r="AG33" s="71">
        <v>0</v>
      </c>
      <c r="AH33" s="70">
        <f t="shared" si="48"/>
        <v>1.3000000000000001E-2</v>
      </c>
      <c r="AI33" s="70">
        <v>0.02</v>
      </c>
      <c r="AJ33" s="70">
        <v>2</v>
      </c>
      <c r="AK33" s="72">
        <f>AI33*I33+AH33</f>
        <v>1.3144000000000001E-2</v>
      </c>
      <c r="AL33" s="72">
        <f>0.1*AK33</f>
        <v>1.3144000000000003E-3</v>
      </c>
      <c r="AM33" s="73">
        <f>AF33*1.72+115*0.012*AG33</f>
        <v>0</v>
      </c>
      <c r="AN33" s="73">
        <f>AJ33*0.1</f>
        <v>0.2</v>
      </c>
      <c r="AO33" s="72">
        <f>1333*I33*POWER(10,-6)</f>
        <v>9.5975999999999977E-6</v>
      </c>
      <c r="AP33" s="73">
        <f t="shared" si="9"/>
        <v>0.21446799759999999</v>
      </c>
      <c r="AQ33" s="74">
        <f>AF33*H33</f>
        <v>0</v>
      </c>
      <c r="AR33" s="74">
        <f>AG33*H33</f>
        <v>0</v>
      </c>
      <c r="AS33" s="74">
        <f>H33*AP33</f>
        <v>2.5936429928158884E-5</v>
      </c>
    </row>
    <row r="34" spans="1:45" s="121" customFormat="1" ht="17.25" thickBot="1" x14ac:dyDescent="0.35">
      <c r="A34" s="63" t="s">
        <v>126</v>
      </c>
      <c r="B34" s="115" t="s">
        <v>117</v>
      </c>
      <c r="C34" s="116" t="s">
        <v>153</v>
      </c>
      <c r="D34" s="117" t="s">
        <v>92</v>
      </c>
      <c r="E34" s="118">
        <v>2.9999999999999999E-7</v>
      </c>
      <c r="F34" s="114">
        <v>35</v>
      </c>
      <c r="G34" s="114">
        <v>0.2</v>
      </c>
      <c r="H34" s="118">
        <f>E34*F34*G34</f>
        <v>2.0999999999999998E-6</v>
      </c>
      <c r="I34" s="119">
        <f>K34*12/1000</f>
        <v>0.12</v>
      </c>
      <c r="J34" s="119">
        <f>I34</f>
        <v>0.12</v>
      </c>
      <c r="K34" s="120">
        <v>10</v>
      </c>
      <c r="L34" s="153">
        <f>PI()*POWER(0.045,2)*26</f>
        <v>0.16540485321150258</v>
      </c>
      <c r="M34" s="153">
        <f t="shared" si="42"/>
        <v>7.8855607989058782</v>
      </c>
      <c r="N34" s="153">
        <f t="shared" ref="N34" si="51">M34*L34</f>
        <v>1.3043100264334058</v>
      </c>
      <c r="O34" s="70" t="str">
        <f t="shared" si="6"/>
        <v>С33</v>
      </c>
      <c r="P34" s="121" t="str">
        <f>B34</f>
        <v>Технологический трубопровод блока редуцирования (Ду = 89; P=1,2; L=35)</v>
      </c>
      <c r="Q34" s="121" t="str">
        <f t="shared" si="45"/>
        <v>Полное-факел</v>
      </c>
      <c r="R34" s="147" t="s">
        <v>55</v>
      </c>
      <c r="S34" s="147" t="s">
        <v>55</v>
      </c>
      <c r="T34" s="147" t="s">
        <v>55</v>
      </c>
      <c r="U34" s="147" t="s">
        <v>55</v>
      </c>
      <c r="V34" s="147" t="s">
        <v>55</v>
      </c>
      <c r="W34" s="147" t="s">
        <v>55</v>
      </c>
      <c r="X34" s="147" t="s">
        <v>55</v>
      </c>
      <c r="Y34" s="147" t="s">
        <v>55</v>
      </c>
      <c r="Z34" s="147" t="s">
        <v>55</v>
      </c>
      <c r="AA34" s="148">
        <f>12.5*POWER(K34,0.4)</f>
        <v>31.398580393869757</v>
      </c>
      <c r="AB34" s="148">
        <f>AA34*0.15</f>
        <v>4.7097870590804636</v>
      </c>
      <c r="AC34" s="147" t="s">
        <v>55</v>
      </c>
      <c r="AD34" s="147" t="s">
        <v>55</v>
      </c>
      <c r="AE34" s="147" t="s">
        <v>55</v>
      </c>
      <c r="AF34" s="122">
        <v>1</v>
      </c>
      <c r="AG34" s="122">
        <v>1</v>
      </c>
      <c r="AH34" s="70">
        <f>0.005*F34</f>
        <v>0.17500000000000002</v>
      </c>
      <c r="AI34" s="70">
        <v>0.02</v>
      </c>
      <c r="AJ34" s="70">
        <v>10</v>
      </c>
      <c r="AK34" s="123">
        <f>AI34*I34+AH34</f>
        <v>0.17740000000000003</v>
      </c>
      <c r="AL34" s="123">
        <f>0.1*AK34</f>
        <v>1.7740000000000002E-2</v>
      </c>
      <c r="AM34" s="124">
        <f>AF34*1.72+115*0.012*AG34</f>
        <v>3.1</v>
      </c>
      <c r="AN34" s="124">
        <f>AJ34*0.1</f>
        <v>1</v>
      </c>
      <c r="AO34" s="72">
        <f>10068.2*I34*POWER(10,-6)</f>
        <v>1.208184E-3</v>
      </c>
      <c r="AP34" s="73">
        <f t="shared" si="9"/>
        <v>4.2963481840000002</v>
      </c>
      <c r="AQ34" s="74">
        <f>AF34*H34</f>
        <v>2.0999999999999998E-6</v>
      </c>
      <c r="AR34" s="74">
        <f>AG34*H34</f>
        <v>2.0999999999999998E-6</v>
      </c>
      <c r="AS34" s="74">
        <f>H34*AP34</f>
        <v>9.0223311863999997E-6</v>
      </c>
    </row>
    <row r="35" spans="1:45" s="121" customFormat="1" ht="17.25" thickBot="1" x14ac:dyDescent="0.35">
      <c r="A35" s="63" t="s">
        <v>127</v>
      </c>
      <c r="B35" s="115" t="s">
        <v>117</v>
      </c>
      <c r="C35" s="116" t="s">
        <v>159</v>
      </c>
      <c r="D35" s="117" t="s">
        <v>160</v>
      </c>
      <c r="E35" s="118">
        <v>2.9999999999999999E-7</v>
      </c>
      <c r="F35" s="114">
        <v>35</v>
      </c>
      <c r="G35" s="114">
        <v>0.1152</v>
      </c>
      <c r="H35" s="118">
        <f t="shared" ref="H35:H36" si="52">E35*F35*G35</f>
        <v>1.2095999999999998E-6</v>
      </c>
      <c r="I35" s="119">
        <f>I34</f>
        <v>0.12</v>
      </c>
      <c r="J35" s="119">
        <f>I35*0.5</f>
        <v>0.06</v>
      </c>
      <c r="K35" s="120"/>
      <c r="L35" s="155"/>
      <c r="M35" s="155"/>
      <c r="N35" s="155"/>
      <c r="O35" s="70" t="str">
        <f t="shared" si="6"/>
        <v>С34</v>
      </c>
      <c r="P35" s="121" t="str">
        <f t="shared" ref="P35:P44" si="53">B35</f>
        <v>Технологический трубопровод блока редуцирования (Ду = 89; P=1,2; L=35)</v>
      </c>
      <c r="Q35" s="121" t="str">
        <f t="shared" ref="Q35:Q44" si="54">D35</f>
        <v>Полное- взрыв</v>
      </c>
      <c r="R35" s="147" t="s">
        <v>55</v>
      </c>
      <c r="S35" s="147" t="s">
        <v>55</v>
      </c>
      <c r="T35" s="147" t="s">
        <v>55</v>
      </c>
      <c r="U35" s="147" t="s">
        <v>55</v>
      </c>
      <c r="V35" s="147">
        <v>23</v>
      </c>
      <c r="W35" s="147">
        <v>32</v>
      </c>
      <c r="X35" s="147">
        <v>45</v>
      </c>
      <c r="Y35" s="147">
        <v>74</v>
      </c>
      <c r="Z35" s="147">
        <v>165</v>
      </c>
      <c r="AA35" s="147" t="s">
        <v>55</v>
      </c>
      <c r="AB35" s="147" t="s">
        <v>55</v>
      </c>
      <c r="AC35" s="147" t="s">
        <v>55</v>
      </c>
      <c r="AD35" s="147" t="s">
        <v>55</v>
      </c>
      <c r="AE35" s="147" t="s">
        <v>55</v>
      </c>
      <c r="AF35" s="122">
        <v>2</v>
      </c>
      <c r="AG35" s="122">
        <v>1</v>
      </c>
      <c r="AH35" s="70">
        <f>0.005*F35</f>
        <v>0.17500000000000002</v>
      </c>
      <c r="AI35" s="70">
        <v>0.02</v>
      </c>
      <c r="AJ35" s="70">
        <v>10</v>
      </c>
      <c r="AK35" s="123">
        <f>AI35*I35+AH35</f>
        <v>0.17740000000000003</v>
      </c>
      <c r="AL35" s="123">
        <f t="shared" ref="AL35:AL36" si="55">0.1*AK35</f>
        <v>1.7740000000000002E-2</v>
      </c>
      <c r="AM35" s="124">
        <f>AF35*1.72+115*0.012*AG35</f>
        <v>4.82</v>
      </c>
      <c r="AN35" s="124">
        <f>AJ35*0.1</f>
        <v>1</v>
      </c>
      <c r="AO35" s="72">
        <f>10068.2*I35*POWER(10,-6)</f>
        <v>1.208184E-3</v>
      </c>
      <c r="AP35" s="73">
        <f t="shared" si="9"/>
        <v>6.0163481840000008</v>
      </c>
      <c r="AQ35" s="74">
        <f>AF35*H35</f>
        <v>2.4191999999999996E-6</v>
      </c>
      <c r="AR35" s="74">
        <f>AG35*H35</f>
        <v>1.2095999999999998E-6</v>
      </c>
      <c r="AS35" s="74">
        <f>H35*AP35</f>
        <v>7.2773747633664002E-6</v>
      </c>
    </row>
    <row r="36" spans="1:45" s="121" customFormat="1" ht="17.25" thickBot="1" x14ac:dyDescent="0.35">
      <c r="A36" s="63" t="s">
        <v>128</v>
      </c>
      <c r="B36" s="115" t="s">
        <v>117</v>
      </c>
      <c r="C36" s="116" t="s">
        <v>154</v>
      </c>
      <c r="D36" s="121" t="s">
        <v>107</v>
      </c>
      <c r="E36" s="118">
        <v>2.9999999999999999E-7</v>
      </c>
      <c r="F36" s="114">
        <v>35</v>
      </c>
      <c r="G36" s="114">
        <v>7.6800000000000007E-2</v>
      </c>
      <c r="H36" s="118">
        <f t="shared" si="52"/>
        <v>8.0640000000000002E-7</v>
      </c>
      <c r="I36" s="119">
        <f>I34</f>
        <v>0.12</v>
      </c>
      <c r="J36" s="119">
        <f>I36</f>
        <v>0.12</v>
      </c>
      <c r="K36" s="120"/>
      <c r="L36" s="155"/>
      <c r="M36" s="155"/>
      <c r="N36" s="155"/>
      <c r="O36" s="70" t="str">
        <f t="shared" si="6"/>
        <v>С35</v>
      </c>
      <c r="P36" s="121" t="str">
        <f t="shared" si="53"/>
        <v>Технологический трубопровод блока редуцирования (Ду = 89; P=1,2; L=35)</v>
      </c>
      <c r="Q36" s="121" t="str">
        <f t="shared" si="54"/>
        <v>Полное-вспышка</v>
      </c>
      <c r="R36" s="147" t="s">
        <v>55</v>
      </c>
      <c r="S36" s="147" t="s">
        <v>55</v>
      </c>
      <c r="T36" s="147" t="s">
        <v>55</v>
      </c>
      <c r="U36" s="147" t="s">
        <v>55</v>
      </c>
      <c r="V36" s="147" t="s">
        <v>55</v>
      </c>
      <c r="W36" s="147" t="s">
        <v>55</v>
      </c>
      <c r="X36" s="147" t="s">
        <v>55</v>
      </c>
      <c r="Y36" s="147" t="s">
        <v>55</v>
      </c>
      <c r="Z36" s="147" t="s">
        <v>55</v>
      </c>
      <c r="AA36" s="147" t="s">
        <v>55</v>
      </c>
      <c r="AB36" s="147" t="s">
        <v>55</v>
      </c>
      <c r="AC36" s="147" t="s">
        <v>55</v>
      </c>
      <c r="AD36" s="147" t="s">
        <v>55</v>
      </c>
      <c r="AE36" s="147">
        <v>22</v>
      </c>
      <c r="AF36" s="121">
        <v>1</v>
      </c>
      <c r="AG36" s="121">
        <v>1</v>
      </c>
      <c r="AH36" s="70">
        <f>0.005*F36</f>
        <v>0.17500000000000002</v>
      </c>
      <c r="AI36" s="70">
        <v>0.02</v>
      </c>
      <c r="AJ36" s="70">
        <v>10</v>
      </c>
      <c r="AK36" s="123">
        <f>AI36*J36+AH36</f>
        <v>0.17740000000000003</v>
      </c>
      <c r="AL36" s="123">
        <f t="shared" si="55"/>
        <v>1.7740000000000002E-2</v>
      </c>
      <c r="AM36" s="124">
        <f>AF36*1.72+115*0.012*AG36</f>
        <v>3.1</v>
      </c>
      <c r="AN36" s="124">
        <f>AJ36*0.1</f>
        <v>1</v>
      </c>
      <c r="AO36" s="72">
        <f>10068.2*I36*POWER(10,-6)</f>
        <v>1.208184E-3</v>
      </c>
      <c r="AP36" s="73">
        <f t="shared" si="9"/>
        <v>4.2963481840000002</v>
      </c>
      <c r="AQ36" s="74">
        <f>AF36*H36</f>
        <v>8.0640000000000002E-7</v>
      </c>
      <c r="AR36" s="74">
        <f>AG36*H36</f>
        <v>8.0640000000000002E-7</v>
      </c>
      <c r="AS36" s="74">
        <f>H36*AP36</f>
        <v>3.4645751755776003E-6</v>
      </c>
    </row>
    <row r="37" spans="1:45" s="121" customFormat="1" ht="17.25" thickBot="1" x14ac:dyDescent="0.35">
      <c r="A37" s="63" t="s">
        <v>129</v>
      </c>
      <c r="B37" s="115" t="s">
        <v>117</v>
      </c>
      <c r="C37" s="116" t="s">
        <v>150</v>
      </c>
      <c r="D37" s="117" t="s">
        <v>45</v>
      </c>
      <c r="E37" s="118">
        <v>2.9999999999999999E-7</v>
      </c>
      <c r="F37" s="114">
        <v>35</v>
      </c>
      <c r="G37" s="114">
        <v>0.6080000000000001</v>
      </c>
      <c r="H37" s="118">
        <f>E37*F37*G37</f>
        <v>6.384000000000001E-6</v>
      </c>
      <c r="I37" s="119">
        <f>I35</f>
        <v>0.12</v>
      </c>
      <c r="J37" s="119">
        <v>0</v>
      </c>
      <c r="K37" s="120"/>
      <c r="L37" s="155"/>
      <c r="M37" s="155"/>
      <c r="N37" s="155"/>
      <c r="O37" s="70" t="str">
        <f t="shared" si="6"/>
        <v>С36</v>
      </c>
      <c r="P37" s="121" t="str">
        <f t="shared" si="53"/>
        <v>Технологический трубопровод блока редуцирования (Ду = 89; P=1,2; L=35)</v>
      </c>
      <c r="Q37" s="121" t="str">
        <f t="shared" si="54"/>
        <v>Полное-ликвидация</v>
      </c>
      <c r="R37" s="147" t="s">
        <v>55</v>
      </c>
      <c r="S37" s="147" t="s">
        <v>55</v>
      </c>
      <c r="T37" s="147" t="s">
        <v>55</v>
      </c>
      <c r="U37" s="147" t="s">
        <v>55</v>
      </c>
      <c r="V37" s="147" t="s">
        <v>55</v>
      </c>
      <c r="W37" s="147" t="s">
        <v>55</v>
      </c>
      <c r="X37" s="147" t="s">
        <v>55</v>
      </c>
      <c r="Y37" s="147" t="s">
        <v>55</v>
      </c>
      <c r="Z37" s="147" t="s">
        <v>55</v>
      </c>
      <c r="AA37" s="147" t="s">
        <v>55</v>
      </c>
      <c r="AB37" s="147" t="s">
        <v>55</v>
      </c>
      <c r="AC37" s="147" t="s">
        <v>55</v>
      </c>
      <c r="AD37" s="147" t="s">
        <v>55</v>
      </c>
      <c r="AE37" s="147" t="s">
        <v>55</v>
      </c>
      <c r="AF37" s="122">
        <v>0</v>
      </c>
      <c r="AG37" s="122">
        <v>0</v>
      </c>
      <c r="AH37" s="70">
        <f>0.005*F37</f>
        <v>0.17500000000000002</v>
      </c>
      <c r="AI37" s="70">
        <v>0.02</v>
      </c>
      <c r="AJ37" s="70">
        <v>10</v>
      </c>
      <c r="AK37" s="123">
        <f>AI37*I37+AH37</f>
        <v>0.17740000000000003</v>
      </c>
      <c r="AL37" s="123">
        <f>0.1*AK37</f>
        <v>1.7740000000000002E-2</v>
      </c>
      <c r="AM37" s="124">
        <f>AF37*1.72+115*0.012*AG37</f>
        <v>0</v>
      </c>
      <c r="AN37" s="124">
        <f>AJ37*0.1</f>
        <v>1</v>
      </c>
      <c r="AO37" s="72">
        <f>1333*I37*POWER(10,-6)</f>
        <v>1.5996000000000001E-4</v>
      </c>
      <c r="AP37" s="73">
        <f t="shared" si="9"/>
        <v>1.1952999600000001</v>
      </c>
      <c r="AQ37" s="74">
        <f>AF37*H37</f>
        <v>0</v>
      </c>
      <c r="AR37" s="74">
        <f>AG37*H37</f>
        <v>0</v>
      </c>
      <c r="AS37" s="74">
        <f>H37*AP37</f>
        <v>7.6307949446400013E-6</v>
      </c>
    </row>
    <row r="38" spans="1:45" s="121" customFormat="1" ht="17.25" thickBot="1" x14ac:dyDescent="0.35">
      <c r="A38" s="63" t="s">
        <v>130</v>
      </c>
      <c r="B38" s="115" t="s">
        <v>117</v>
      </c>
      <c r="C38" s="116" t="s">
        <v>155</v>
      </c>
      <c r="D38" s="117" t="s">
        <v>93</v>
      </c>
      <c r="E38" s="118">
        <v>1.9999999999999999E-6</v>
      </c>
      <c r="F38" s="114">
        <v>35</v>
      </c>
      <c r="G38" s="114">
        <v>3.5000000000000003E-2</v>
      </c>
      <c r="H38" s="118">
        <f t="shared" ref="H38:H39" si="56">E38*F38*G38</f>
        <v>2.4499999999999998E-6</v>
      </c>
      <c r="I38" s="119">
        <f>K38*120/1000</f>
        <v>1.5600000000000001E-2</v>
      </c>
      <c r="J38" s="119">
        <f>I38</f>
        <v>1.5600000000000001E-2</v>
      </c>
      <c r="K38" s="120">
        <v>0.13</v>
      </c>
      <c r="L38" s="155"/>
      <c r="M38" s="155"/>
      <c r="N38" s="155"/>
      <c r="O38" s="70" t="str">
        <f t="shared" si="6"/>
        <v>С37</v>
      </c>
      <c r="P38" s="121" t="str">
        <f t="shared" si="53"/>
        <v>Технологический трубопровод блока редуцирования (Ду = 89; P=1,2; L=35)</v>
      </c>
      <c r="Q38" s="121" t="str">
        <f t="shared" si="54"/>
        <v>Частичное-факел</v>
      </c>
      <c r="R38" s="147" t="s">
        <v>55</v>
      </c>
      <c r="S38" s="147" t="s">
        <v>55</v>
      </c>
      <c r="T38" s="147" t="s">
        <v>55</v>
      </c>
      <c r="U38" s="147" t="s">
        <v>55</v>
      </c>
      <c r="V38" s="147" t="s">
        <v>55</v>
      </c>
      <c r="W38" s="147" t="s">
        <v>55</v>
      </c>
      <c r="X38" s="147" t="s">
        <v>55</v>
      </c>
      <c r="Y38" s="147" t="s">
        <v>55</v>
      </c>
      <c r="Z38" s="147" t="s">
        <v>55</v>
      </c>
      <c r="AA38" s="148">
        <f>12.5*POWER(K38,0.4)</f>
        <v>5.5269731391023198</v>
      </c>
      <c r="AB38" s="148">
        <f>AA38*0.15</f>
        <v>0.82904597086534793</v>
      </c>
      <c r="AC38" s="147" t="s">
        <v>55</v>
      </c>
      <c r="AD38" s="147" t="s">
        <v>55</v>
      </c>
      <c r="AE38" s="147" t="s">
        <v>55</v>
      </c>
      <c r="AF38" s="122">
        <v>1</v>
      </c>
      <c r="AG38" s="122">
        <v>1</v>
      </c>
      <c r="AH38" s="70">
        <f t="shared" ref="AH38:AH41" si="57">0.0005*F38</f>
        <v>1.7500000000000002E-2</v>
      </c>
      <c r="AI38" s="70">
        <v>0.02</v>
      </c>
      <c r="AJ38" s="70">
        <v>2</v>
      </c>
      <c r="AK38" s="123">
        <f>AI38*I38+AH38</f>
        <v>1.7812000000000001E-2</v>
      </c>
      <c r="AL38" s="123">
        <f t="shared" ref="AL38:AL40" si="58">0.1*AK38</f>
        <v>1.7812000000000001E-3</v>
      </c>
      <c r="AM38" s="124">
        <f>AF38*1.72+115*0.012*AG38</f>
        <v>3.1</v>
      </c>
      <c r="AN38" s="124">
        <f>AJ38*0.1</f>
        <v>0.2</v>
      </c>
      <c r="AO38" s="72">
        <f>10068.2*I38*POWER(10,-6)</f>
        <v>1.5706392000000002E-4</v>
      </c>
      <c r="AP38" s="73">
        <f t="shared" si="9"/>
        <v>3.3197502639200001</v>
      </c>
      <c r="AQ38" s="74">
        <f>AF38*H38</f>
        <v>2.4499999999999998E-6</v>
      </c>
      <c r="AR38" s="74">
        <f>AG38*H38</f>
        <v>2.4499999999999998E-6</v>
      </c>
      <c r="AS38" s="74">
        <f>H38*AP38</f>
        <v>8.1333881466039996E-6</v>
      </c>
    </row>
    <row r="39" spans="1:45" s="121" customFormat="1" ht="17.25" thickBot="1" x14ac:dyDescent="0.35">
      <c r="A39" s="63" t="s">
        <v>131</v>
      </c>
      <c r="B39" s="115" t="s">
        <v>117</v>
      </c>
      <c r="C39" s="116" t="s">
        <v>161</v>
      </c>
      <c r="D39" s="117" t="s">
        <v>162</v>
      </c>
      <c r="E39" s="118">
        <v>1.9999999999999999E-6</v>
      </c>
      <c r="F39" s="114">
        <v>35</v>
      </c>
      <c r="G39" s="114">
        <v>8.3375999999999988E-3</v>
      </c>
      <c r="H39" s="118">
        <f t="shared" si="56"/>
        <v>5.8363199999999984E-7</v>
      </c>
      <c r="I39" s="119">
        <f>I38</f>
        <v>1.5600000000000001E-2</v>
      </c>
      <c r="J39" s="119">
        <f>I39*0.5</f>
        <v>7.8000000000000005E-3</v>
      </c>
      <c r="K39" s="120"/>
      <c r="L39" s="155"/>
      <c r="M39" s="155"/>
      <c r="N39" s="155"/>
      <c r="O39" s="70" t="str">
        <f t="shared" si="6"/>
        <v>С38</v>
      </c>
      <c r="P39" s="121" t="str">
        <f t="shared" si="53"/>
        <v>Технологический трубопровод блока редуцирования (Ду = 89; P=1,2; L=35)</v>
      </c>
      <c r="Q39" s="121" t="str">
        <f t="shared" si="54"/>
        <v>Частичное- взрыв</v>
      </c>
      <c r="R39" s="147" t="s">
        <v>55</v>
      </c>
      <c r="S39" s="147" t="s">
        <v>55</v>
      </c>
      <c r="T39" s="147" t="s">
        <v>55</v>
      </c>
      <c r="U39" s="147" t="s">
        <v>55</v>
      </c>
      <c r="V39" s="147">
        <v>11</v>
      </c>
      <c r="W39" s="147">
        <v>16</v>
      </c>
      <c r="X39" s="147">
        <v>23</v>
      </c>
      <c r="Y39" s="147">
        <v>35</v>
      </c>
      <c r="Z39" s="147">
        <v>79</v>
      </c>
      <c r="AA39" s="147" t="s">
        <v>55</v>
      </c>
      <c r="AB39" s="147" t="s">
        <v>55</v>
      </c>
      <c r="AC39" s="147" t="s">
        <v>55</v>
      </c>
      <c r="AD39" s="147" t="s">
        <v>55</v>
      </c>
      <c r="AE39" s="147" t="s">
        <v>55</v>
      </c>
      <c r="AF39" s="121">
        <v>1</v>
      </c>
      <c r="AG39" s="121">
        <v>1</v>
      </c>
      <c r="AH39" s="70">
        <f t="shared" si="57"/>
        <v>1.7500000000000002E-2</v>
      </c>
      <c r="AI39" s="70">
        <v>0.02</v>
      </c>
      <c r="AJ39" s="70">
        <v>2</v>
      </c>
      <c r="AK39" s="123">
        <f>AI39*I39+AH39</f>
        <v>1.7812000000000001E-2</v>
      </c>
      <c r="AL39" s="123">
        <f t="shared" si="58"/>
        <v>1.7812000000000001E-3</v>
      </c>
      <c r="AM39" s="124">
        <f>AF39*1.72+115*0.012*AG39</f>
        <v>3.1</v>
      </c>
      <c r="AN39" s="124">
        <f>AJ39*0.1</f>
        <v>0.2</v>
      </c>
      <c r="AO39" s="72">
        <f>10068.2*I39*POWER(10,-6)</f>
        <v>1.5706392000000002E-4</v>
      </c>
      <c r="AP39" s="73">
        <f t="shared" si="9"/>
        <v>3.3197502639200001</v>
      </c>
      <c r="AQ39" s="74">
        <f>AF39*H39</f>
        <v>5.8363199999999984E-7</v>
      </c>
      <c r="AR39" s="74">
        <f>AG39*H39</f>
        <v>5.8363199999999984E-7</v>
      </c>
      <c r="AS39" s="74">
        <f>H39*AP39</f>
        <v>1.937512486032157E-6</v>
      </c>
    </row>
    <row r="40" spans="1:45" s="121" customFormat="1" ht="17.25" thickBot="1" x14ac:dyDescent="0.35">
      <c r="A40" s="63" t="s">
        <v>132</v>
      </c>
      <c r="B40" s="115" t="s">
        <v>117</v>
      </c>
      <c r="C40" s="116" t="s">
        <v>156</v>
      </c>
      <c r="D40" s="117" t="s">
        <v>108</v>
      </c>
      <c r="E40" s="118">
        <v>1.9999999999999999E-6</v>
      </c>
      <c r="F40" s="114">
        <v>35</v>
      </c>
      <c r="G40" s="114">
        <v>2.6402399999999999E-2</v>
      </c>
      <c r="H40" s="118">
        <f>E40*F40*G40</f>
        <v>1.8481679999999999E-6</v>
      </c>
      <c r="I40" s="119">
        <f>I38</f>
        <v>1.5600000000000001E-2</v>
      </c>
      <c r="J40" s="119">
        <f>I40</f>
        <v>1.5600000000000001E-2</v>
      </c>
      <c r="K40" s="120"/>
      <c r="L40" s="155"/>
      <c r="M40" s="155"/>
      <c r="N40" s="155"/>
      <c r="O40" s="70" t="str">
        <f t="shared" si="6"/>
        <v>С39</v>
      </c>
      <c r="P40" s="121" t="str">
        <f t="shared" si="53"/>
        <v>Технологический трубопровод блока редуцирования (Ду = 89; P=1,2; L=35)</v>
      </c>
      <c r="Q40" s="121" t="str">
        <f t="shared" si="54"/>
        <v>Частичное-вспышка</v>
      </c>
      <c r="R40" s="147" t="s">
        <v>55</v>
      </c>
      <c r="S40" s="147" t="s">
        <v>55</v>
      </c>
      <c r="T40" s="147" t="s">
        <v>55</v>
      </c>
      <c r="U40" s="147" t="s">
        <v>55</v>
      </c>
      <c r="V40" s="147" t="s">
        <v>55</v>
      </c>
      <c r="W40" s="147" t="s">
        <v>55</v>
      </c>
      <c r="X40" s="147" t="s">
        <v>55</v>
      </c>
      <c r="Y40" s="147" t="s">
        <v>55</v>
      </c>
      <c r="Z40" s="147" t="s">
        <v>55</v>
      </c>
      <c r="AA40" s="147" t="s">
        <v>55</v>
      </c>
      <c r="AB40" s="147" t="s">
        <v>55</v>
      </c>
      <c r="AC40" s="147" t="s">
        <v>55</v>
      </c>
      <c r="AD40" s="147" t="s">
        <v>55</v>
      </c>
      <c r="AE40" s="147">
        <v>11</v>
      </c>
      <c r="AF40" s="121">
        <v>1</v>
      </c>
      <c r="AG40" s="121">
        <v>0.999999999999999</v>
      </c>
      <c r="AH40" s="70">
        <f t="shared" si="57"/>
        <v>1.7500000000000002E-2</v>
      </c>
      <c r="AI40" s="70">
        <v>0.02</v>
      </c>
      <c r="AJ40" s="70">
        <v>2</v>
      </c>
      <c r="AK40" s="123">
        <f>AI40*I40+AH40</f>
        <v>1.7812000000000001E-2</v>
      </c>
      <c r="AL40" s="123">
        <f t="shared" si="58"/>
        <v>1.7812000000000001E-3</v>
      </c>
      <c r="AM40" s="124">
        <f>AF40*1.72+115*0.012*AG40</f>
        <v>3.0999999999999988</v>
      </c>
      <c r="AN40" s="124">
        <f>AJ40*0.1</f>
        <v>0.2</v>
      </c>
      <c r="AO40" s="72">
        <f>10068.2*I40*POWER(10,-6)</f>
        <v>1.5706392000000002E-4</v>
      </c>
      <c r="AP40" s="73">
        <f t="shared" si="9"/>
        <v>3.3197502639199987</v>
      </c>
      <c r="AQ40" s="74">
        <f>AF40*H40</f>
        <v>1.8481679999999999E-6</v>
      </c>
      <c r="AR40" s="74">
        <f>AG40*H40</f>
        <v>1.848167999999998E-6</v>
      </c>
      <c r="AS40" s="74">
        <f>H40*AP40</f>
        <v>6.1354562057684963E-6</v>
      </c>
    </row>
    <row r="41" spans="1:45" s="121" customFormat="1" ht="17.25" thickBot="1" x14ac:dyDescent="0.35">
      <c r="A41" s="63" t="s">
        <v>133</v>
      </c>
      <c r="B41" s="115" t="s">
        <v>117</v>
      </c>
      <c r="C41" s="116" t="s">
        <v>150</v>
      </c>
      <c r="D41" s="117" t="s">
        <v>46</v>
      </c>
      <c r="E41" s="118">
        <v>1.9999999999999999E-6</v>
      </c>
      <c r="F41" s="114">
        <v>35</v>
      </c>
      <c r="G41" s="114">
        <v>0.93025999999999998</v>
      </c>
      <c r="H41" s="118">
        <f t="shared" ref="H41:H44" si="59">E41*F41*G41</f>
        <v>6.5118199999999996E-5</v>
      </c>
      <c r="I41" s="119">
        <f>I39</f>
        <v>1.5600000000000001E-2</v>
      </c>
      <c r="J41" s="119">
        <v>0</v>
      </c>
      <c r="K41" s="120"/>
      <c r="L41" s="155"/>
      <c r="M41" s="155"/>
      <c r="N41" s="155"/>
      <c r="O41" s="70" t="str">
        <f t="shared" si="6"/>
        <v>С40</v>
      </c>
      <c r="P41" s="121" t="str">
        <f t="shared" si="53"/>
        <v>Технологический трубопровод блока редуцирования (Ду = 89; P=1,2; L=35)</v>
      </c>
      <c r="Q41" s="121" t="str">
        <f t="shared" si="54"/>
        <v>Частичное-ликвидация</v>
      </c>
      <c r="R41" s="147" t="s">
        <v>55</v>
      </c>
      <c r="S41" s="147" t="s">
        <v>55</v>
      </c>
      <c r="T41" s="147" t="s">
        <v>55</v>
      </c>
      <c r="U41" s="147" t="s">
        <v>55</v>
      </c>
      <c r="V41" s="147" t="s">
        <v>55</v>
      </c>
      <c r="W41" s="147" t="s">
        <v>55</v>
      </c>
      <c r="X41" s="147" t="s">
        <v>55</v>
      </c>
      <c r="Y41" s="147" t="s">
        <v>55</v>
      </c>
      <c r="Z41" s="147" t="s">
        <v>55</v>
      </c>
      <c r="AA41" s="147" t="s">
        <v>55</v>
      </c>
      <c r="AB41" s="147" t="s">
        <v>55</v>
      </c>
      <c r="AC41" s="147" t="s">
        <v>55</v>
      </c>
      <c r="AD41" s="147" t="s">
        <v>55</v>
      </c>
      <c r="AE41" s="147" t="s">
        <v>55</v>
      </c>
      <c r="AF41" s="122">
        <v>0</v>
      </c>
      <c r="AG41" s="122">
        <v>0</v>
      </c>
      <c r="AH41" s="70">
        <f t="shared" si="57"/>
        <v>1.7500000000000002E-2</v>
      </c>
      <c r="AI41" s="70">
        <v>0.02</v>
      </c>
      <c r="AJ41" s="70">
        <v>2</v>
      </c>
      <c r="AK41" s="123">
        <f>AI41*I41+AH41</f>
        <v>1.7812000000000001E-2</v>
      </c>
      <c r="AL41" s="123">
        <f>0.1*AK41</f>
        <v>1.7812000000000001E-3</v>
      </c>
      <c r="AM41" s="124">
        <f>AF41*1.72+115*0.012*AG41</f>
        <v>0</v>
      </c>
      <c r="AN41" s="124">
        <f>AJ41*0.1</f>
        <v>0.2</v>
      </c>
      <c r="AO41" s="72">
        <f>1333*I41*POWER(10,-6)</f>
        <v>2.0794800000000003E-5</v>
      </c>
      <c r="AP41" s="73">
        <f t="shared" si="9"/>
        <v>0.21961399480000002</v>
      </c>
      <c r="AQ41" s="74">
        <f>AF41*H41</f>
        <v>0</v>
      </c>
      <c r="AR41" s="74">
        <f>AG41*H41</f>
        <v>0</v>
      </c>
      <c r="AS41" s="74">
        <f>H41*AP41</f>
        <v>1.4300868036185361E-5</v>
      </c>
    </row>
    <row r="42" spans="1:45" s="132" customFormat="1" ht="17.25" thickBot="1" x14ac:dyDescent="0.35">
      <c r="A42" s="63" t="s">
        <v>134</v>
      </c>
      <c r="B42" s="126" t="s">
        <v>142</v>
      </c>
      <c r="C42" s="127" t="s">
        <v>157</v>
      </c>
      <c r="D42" s="128" t="s">
        <v>44</v>
      </c>
      <c r="E42" s="129">
        <v>9.9999999999999995E-7</v>
      </c>
      <c r="F42" s="125">
        <v>1</v>
      </c>
      <c r="G42" s="125">
        <v>0.05</v>
      </c>
      <c r="H42" s="129">
        <f>E42*F42*G42</f>
        <v>4.9999999999999998E-8</v>
      </c>
      <c r="I42" s="130">
        <v>1.66</v>
      </c>
      <c r="J42" s="130">
        <v>1.66</v>
      </c>
      <c r="K42" s="131"/>
      <c r="L42" s="154"/>
      <c r="M42" s="154"/>
      <c r="N42" s="154"/>
      <c r="O42" s="70" t="str">
        <f t="shared" si="6"/>
        <v>С41</v>
      </c>
      <c r="P42" s="132" t="str">
        <f t="shared" si="53"/>
        <v>Подземная емкость хранения одоранта</v>
      </c>
      <c r="Q42" s="132" t="str">
        <f t="shared" si="54"/>
        <v>Полное-пожар</v>
      </c>
      <c r="R42" s="147">
        <v>13</v>
      </c>
      <c r="S42" s="147">
        <v>17</v>
      </c>
      <c r="T42" s="147">
        <v>24</v>
      </c>
      <c r="U42" s="147">
        <v>43</v>
      </c>
      <c r="V42" s="147" t="s">
        <v>55</v>
      </c>
      <c r="W42" s="147" t="s">
        <v>55</v>
      </c>
      <c r="X42" s="147" t="s">
        <v>55</v>
      </c>
      <c r="Y42" s="147" t="s">
        <v>55</v>
      </c>
      <c r="Z42" s="147" t="s">
        <v>55</v>
      </c>
      <c r="AA42" s="147" t="s">
        <v>55</v>
      </c>
      <c r="AB42" s="147" t="s">
        <v>55</v>
      </c>
      <c r="AC42" s="147" t="s">
        <v>55</v>
      </c>
      <c r="AD42" s="147" t="s">
        <v>55</v>
      </c>
      <c r="AE42" s="147" t="s">
        <v>55</v>
      </c>
      <c r="AF42" s="133">
        <v>0</v>
      </c>
      <c r="AG42" s="133">
        <v>1</v>
      </c>
      <c r="AH42" s="132">
        <v>0.3</v>
      </c>
      <c r="AI42" s="132">
        <v>0.08</v>
      </c>
      <c r="AJ42" s="132">
        <v>3</v>
      </c>
      <c r="AK42" s="123">
        <f>AI42*I42+AH42</f>
        <v>0.43279999999999996</v>
      </c>
      <c r="AL42" s="123">
        <f t="shared" ref="AL42:AL44" si="60">0.1*AK42</f>
        <v>4.3279999999999999E-2</v>
      </c>
      <c r="AM42" s="135">
        <f>AF42*1.72+115*0.012*AG42</f>
        <v>1.3800000000000001</v>
      </c>
      <c r="AN42" s="135">
        <f>AJ42*0.1</f>
        <v>0.30000000000000004</v>
      </c>
      <c r="AO42" s="72">
        <f>56068.2*I42*POWER(10,-6)</f>
        <v>9.3073211999999975E-2</v>
      </c>
      <c r="AP42" s="73">
        <f t="shared" si="9"/>
        <v>2.249153212</v>
      </c>
      <c r="AQ42" s="74">
        <f>AF42*H42</f>
        <v>0</v>
      </c>
      <c r="AR42" s="74">
        <f>AG42*H42</f>
        <v>4.9999999999999998E-8</v>
      </c>
      <c r="AS42" s="74">
        <f>H42*AP42</f>
        <v>1.1245766059999999E-7</v>
      </c>
    </row>
    <row r="43" spans="1:45" s="132" customFormat="1" ht="17.25" thickBot="1" x14ac:dyDescent="0.35">
      <c r="A43" s="63" t="s">
        <v>135</v>
      </c>
      <c r="B43" s="126" t="s">
        <v>142</v>
      </c>
      <c r="C43" s="127" t="s">
        <v>163</v>
      </c>
      <c r="D43" s="128" t="s">
        <v>164</v>
      </c>
      <c r="E43" s="129">
        <v>9.9999999999999995E-7</v>
      </c>
      <c r="F43" s="125">
        <v>1</v>
      </c>
      <c r="G43" s="125">
        <v>0.05</v>
      </c>
      <c r="H43" s="129">
        <f t="shared" si="59"/>
        <v>4.9999999999999998E-8</v>
      </c>
      <c r="I43" s="130">
        <v>1.66</v>
      </c>
      <c r="J43" s="130">
        <v>5.0000000000000001E-3</v>
      </c>
      <c r="K43" s="131"/>
      <c r="L43" s="154"/>
      <c r="M43" s="154"/>
      <c r="N43" s="154"/>
      <c r="O43" s="70" t="str">
        <f t="shared" si="6"/>
        <v>С42</v>
      </c>
      <c r="P43" s="132" t="str">
        <f t="shared" si="53"/>
        <v>Подземная емкость хранения одоранта</v>
      </c>
      <c r="Q43" s="132" t="str">
        <f t="shared" si="54"/>
        <v>Полное  взрыв</v>
      </c>
      <c r="R43" s="147" t="s">
        <v>55</v>
      </c>
      <c r="S43" s="147" t="s">
        <v>55</v>
      </c>
      <c r="T43" s="147" t="s">
        <v>55</v>
      </c>
      <c r="U43" s="147" t="s">
        <v>55</v>
      </c>
      <c r="V43" s="147">
        <v>5</v>
      </c>
      <c r="W43" s="147">
        <v>7</v>
      </c>
      <c r="X43" s="147">
        <v>10</v>
      </c>
      <c r="Y43" s="147">
        <v>16</v>
      </c>
      <c r="Z43" s="147">
        <v>25</v>
      </c>
      <c r="AA43" s="147" t="s">
        <v>55</v>
      </c>
      <c r="AB43" s="147" t="s">
        <v>55</v>
      </c>
      <c r="AC43" s="147" t="s">
        <v>55</v>
      </c>
      <c r="AD43" s="147" t="s">
        <v>55</v>
      </c>
      <c r="AE43" s="147" t="s">
        <v>55</v>
      </c>
      <c r="AF43" s="133">
        <v>0</v>
      </c>
      <c r="AG43" s="133">
        <v>1</v>
      </c>
      <c r="AH43" s="132">
        <v>0.3</v>
      </c>
      <c r="AI43" s="132">
        <v>0.08</v>
      </c>
      <c r="AJ43" s="132">
        <v>3</v>
      </c>
      <c r="AK43" s="123">
        <f>AI43*I43+AH43</f>
        <v>0.43279999999999996</v>
      </c>
      <c r="AL43" s="123">
        <f t="shared" si="60"/>
        <v>4.3279999999999999E-2</v>
      </c>
      <c r="AM43" s="135">
        <f t="shared" ref="AM43:AM44" si="61">AF43*1.72+115*0.012*AG43</f>
        <v>1.3800000000000001</v>
      </c>
      <c r="AN43" s="135">
        <f>AJ43*0.1</f>
        <v>0.30000000000000004</v>
      </c>
      <c r="AO43" s="72">
        <f>18068.2*I43*POWER(10,-6)</f>
        <v>2.9993211999999998E-2</v>
      </c>
      <c r="AP43" s="73">
        <f t="shared" si="9"/>
        <v>2.1860732120000002</v>
      </c>
      <c r="AQ43" s="74">
        <f>AF43*H43</f>
        <v>0</v>
      </c>
      <c r="AR43" s="74">
        <f>AG43*H43</f>
        <v>4.9999999999999998E-8</v>
      </c>
      <c r="AS43" s="74">
        <f>H43*AP43</f>
        <v>1.093036606E-7</v>
      </c>
    </row>
    <row r="44" spans="1:45" s="132" customFormat="1" ht="17.25" thickBot="1" x14ac:dyDescent="0.35">
      <c r="A44" s="63" t="s">
        <v>136</v>
      </c>
      <c r="B44" s="126" t="s">
        <v>142</v>
      </c>
      <c r="C44" s="127" t="s">
        <v>158</v>
      </c>
      <c r="D44" s="132" t="s">
        <v>88</v>
      </c>
      <c r="E44" s="129">
        <v>9.9999999999999995E-7</v>
      </c>
      <c r="F44" s="125">
        <v>1</v>
      </c>
      <c r="G44" s="125">
        <v>0.9</v>
      </c>
      <c r="H44" s="129">
        <f t="shared" si="59"/>
        <v>8.9999999999999996E-7</v>
      </c>
      <c r="I44" s="130">
        <v>1.66</v>
      </c>
      <c r="J44" s="130">
        <v>0.05</v>
      </c>
      <c r="K44" s="131"/>
      <c r="L44" s="154"/>
      <c r="M44" s="154"/>
      <c r="N44" s="154"/>
      <c r="O44" s="70" t="str">
        <f t="shared" si="6"/>
        <v>С43</v>
      </c>
      <c r="P44" s="132" t="str">
        <f t="shared" si="53"/>
        <v>Подземная емкость хранения одоранта</v>
      </c>
      <c r="Q44" s="132" t="str">
        <f t="shared" si="54"/>
        <v>Полное-токси</v>
      </c>
      <c r="R44" s="147" t="s">
        <v>55</v>
      </c>
      <c r="S44" s="147" t="s">
        <v>55</v>
      </c>
      <c r="T44" s="147" t="s">
        <v>55</v>
      </c>
      <c r="U44" s="147" t="s">
        <v>55</v>
      </c>
      <c r="V44" s="147" t="s">
        <v>55</v>
      </c>
      <c r="W44" s="147" t="s">
        <v>55</v>
      </c>
      <c r="X44" s="147" t="s">
        <v>55</v>
      </c>
      <c r="Y44" s="147" t="s">
        <v>55</v>
      </c>
      <c r="Z44" s="147" t="s">
        <v>55</v>
      </c>
      <c r="AA44" s="147" t="s">
        <v>55</v>
      </c>
      <c r="AB44" s="147" t="s">
        <v>55</v>
      </c>
      <c r="AC44" s="147">
        <v>10</v>
      </c>
      <c r="AD44" s="147">
        <v>60</v>
      </c>
      <c r="AE44" s="147" t="s">
        <v>55</v>
      </c>
      <c r="AF44" s="132">
        <v>0</v>
      </c>
      <c r="AG44" s="132">
        <v>1</v>
      </c>
      <c r="AH44" s="132">
        <v>0.3</v>
      </c>
      <c r="AI44" s="132">
        <v>0.08</v>
      </c>
      <c r="AJ44" s="132">
        <v>3</v>
      </c>
      <c r="AK44" s="123">
        <f>AI44*I44+AH44</f>
        <v>0.43279999999999996</v>
      </c>
      <c r="AL44" s="123">
        <f t="shared" si="60"/>
        <v>4.3279999999999999E-2</v>
      </c>
      <c r="AM44" s="135">
        <f t="shared" si="61"/>
        <v>1.3800000000000001</v>
      </c>
      <c r="AN44" s="135">
        <f>AJ44*0.1</f>
        <v>0.30000000000000004</v>
      </c>
      <c r="AO44" s="72">
        <f>12068.2*I44*POWER(10,-6)</f>
        <v>2.0033211999999998E-2</v>
      </c>
      <c r="AP44" s="73">
        <f t="shared" si="9"/>
        <v>2.1761132120000002</v>
      </c>
      <c r="AQ44" s="74">
        <f>AF44*H44</f>
        <v>0</v>
      </c>
      <c r="AR44" s="74">
        <f>AG44*H44</f>
        <v>8.9999999999999996E-7</v>
      </c>
      <c r="AS44" s="74">
        <f>H44*AP44</f>
        <v>1.9585018908E-6</v>
      </c>
    </row>
    <row r="45" spans="1:45" x14ac:dyDescent="0.3">
      <c r="AP45" s="1" t="s">
        <v>168</v>
      </c>
      <c r="AQ45" s="62">
        <f>SUM(AQ2:AQ44)</f>
        <v>3.6804799999999997E-5</v>
      </c>
      <c r="AR45" s="62">
        <f>SUM(AR2:AR44)</f>
        <v>1.2409999999999998E-4</v>
      </c>
    </row>
    <row r="46" spans="1:45" x14ac:dyDescent="0.3">
      <c r="AP46" s="1" t="s">
        <v>169</v>
      </c>
      <c r="AQ46" s="62">
        <f>AQ45/7</f>
        <v>5.257828571428571E-6</v>
      </c>
      <c r="AR46" s="62">
        <f>AR45/7</f>
        <v>1.7728571428571426E-5</v>
      </c>
    </row>
  </sheetData>
  <phoneticPr fontId="2" type="noConversion"/>
  <conditionalFormatting sqref="Q1:Q1048576">
    <cfRule type="containsText" dxfId="2" priority="4" operator="containsText" text="взрыв">
      <formula>NOT(ISERROR(SEARCH("взрыв",Q1)))</formula>
    </cfRule>
    <cfRule type="containsText" dxfId="1" priority="5" operator="containsText" text="факел">
      <formula>NOT(ISERROR(SEARCH("факел",Q1)))</formula>
    </cfRule>
    <cfRule type="containsText" dxfId="0" priority="6" operator="containsText" text="пожар">
      <formula>NOT(ISERROR(SEARCH("пожар",Q1)))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3" workbookViewId="0">
      <selection activeCell="M28" sqref="M28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4" max="14" width="9.28515625" bestFit="1" customWidth="1"/>
    <col min="15" max="15" width="79.28515625" customWidth="1"/>
  </cols>
  <sheetData>
    <row r="1" spans="1:15" ht="15.75" thickBot="1" x14ac:dyDescent="0.3">
      <c r="A1" s="149" t="s">
        <v>69</v>
      </c>
      <c r="B1" s="150"/>
      <c r="G1" s="43"/>
    </row>
    <row r="2" spans="1:15" ht="79.5" thickBot="1" x14ac:dyDescent="0.3">
      <c r="A2" s="44" t="s">
        <v>70</v>
      </c>
      <c r="B2" s="45" t="s">
        <v>71</v>
      </c>
      <c r="C2" s="46" t="s">
        <v>83</v>
      </c>
      <c r="D2" s="46" t="s">
        <v>84</v>
      </c>
      <c r="E2" s="46" t="s">
        <v>85</v>
      </c>
      <c r="F2" s="46" t="s">
        <v>72</v>
      </c>
      <c r="G2" s="46" t="s">
        <v>73</v>
      </c>
    </row>
    <row r="3" spans="1:15" ht="16.5" thickBot="1" x14ac:dyDescent="0.3">
      <c r="A3" s="47">
        <v>1</v>
      </c>
      <c r="B3" s="48" t="s">
        <v>74</v>
      </c>
      <c r="C3" s="49">
        <v>5000</v>
      </c>
      <c r="D3" s="49">
        <v>1.08</v>
      </c>
      <c r="E3" s="49">
        <v>0.10042</v>
      </c>
      <c r="F3" s="49">
        <v>0.79800000000000004</v>
      </c>
      <c r="G3" s="50">
        <f>C3*F3*E3*D3</f>
        <v>432.72986400000002</v>
      </c>
    </row>
    <row r="4" spans="1:15" ht="19.5" thickBot="1" x14ac:dyDescent="0.3">
      <c r="A4" s="47">
        <v>2</v>
      </c>
      <c r="B4" s="48" t="s">
        <v>75</v>
      </c>
      <c r="C4" s="49">
        <v>64289</v>
      </c>
      <c r="D4" s="49">
        <v>1.08</v>
      </c>
      <c r="E4" s="49">
        <v>0.10042</v>
      </c>
      <c r="F4" s="49">
        <v>6.6000000000000003E-2</v>
      </c>
      <c r="G4" s="50">
        <f t="shared" ref="G4:G10" si="0">C4*F4*E4*D4</f>
        <v>460.17665036640005</v>
      </c>
    </row>
    <row r="5" spans="1:15" ht="19.5" thickBot="1" x14ac:dyDescent="0.3">
      <c r="A5" s="47">
        <v>3</v>
      </c>
      <c r="B5" s="48" t="s">
        <v>76</v>
      </c>
      <c r="C5" s="49">
        <v>10723</v>
      </c>
      <c r="D5" s="49">
        <v>1.08</v>
      </c>
      <c r="E5" s="49">
        <v>0.10042</v>
      </c>
      <c r="F5" s="49">
        <v>0.26</v>
      </c>
      <c r="G5" s="50">
        <f t="shared" si="0"/>
        <v>302.36646772799998</v>
      </c>
    </row>
    <row r="6" spans="1:15" ht="19.5" thickBot="1" x14ac:dyDescent="0.3">
      <c r="A6" s="47">
        <v>4</v>
      </c>
      <c r="B6" s="48" t="s">
        <v>77</v>
      </c>
      <c r="C6" s="49">
        <v>50000</v>
      </c>
      <c r="D6" s="49">
        <v>1.08</v>
      </c>
      <c r="E6" s="49">
        <v>0.10042</v>
      </c>
      <c r="F6" s="49">
        <v>1E-3</v>
      </c>
      <c r="G6" s="50">
        <f t="shared" si="0"/>
        <v>5.4226800000000006</v>
      </c>
    </row>
    <row r="7" spans="1:15" ht="16.5" thickBot="1" x14ac:dyDescent="0.3">
      <c r="A7" s="47">
        <v>5</v>
      </c>
      <c r="B7" s="48" t="s">
        <v>78</v>
      </c>
      <c r="C7" s="49">
        <v>50000</v>
      </c>
      <c r="D7" s="49">
        <v>1.08</v>
      </c>
      <c r="E7" s="49">
        <v>0.10042</v>
      </c>
      <c r="F7" s="49">
        <v>1.615</v>
      </c>
      <c r="G7" s="50">
        <f t="shared" si="0"/>
        <v>8757.628200000001</v>
      </c>
    </row>
    <row r="8" spans="1:15" ht="16.5" thickBot="1" x14ac:dyDescent="0.3">
      <c r="A8" s="47">
        <v>6</v>
      </c>
      <c r="B8" s="48" t="s">
        <v>79</v>
      </c>
      <c r="C8" s="49">
        <v>50000</v>
      </c>
      <c r="D8" s="49">
        <v>1.08</v>
      </c>
      <c r="E8" s="49">
        <v>0.10042</v>
      </c>
      <c r="F8" s="49">
        <v>0.01</v>
      </c>
      <c r="G8" s="50">
        <f t="shared" si="0"/>
        <v>54.226800000000004</v>
      </c>
    </row>
    <row r="9" spans="1:15" ht="16.5" thickBot="1" x14ac:dyDescent="0.3">
      <c r="A9" s="47">
        <v>8</v>
      </c>
      <c r="B9" s="48" t="s">
        <v>80</v>
      </c>
      <c r="C9" s="49">
        <v>50000</v>
      </c>
      <c r="D9" s="49">
        <v>1.08</v>
      </c>
      <c r="E9" s="49">
        <v>0.10042</v>
      </c>
      <c r="F9" s="49">
        <v>0.01</v>
      </c>
      <c r="G9" s="50">
        <f t="shared" si="0"/>
        <v>54.226800000000004</v>
      </c>
    </row>
    <row r="10" spans="1:15" ht="19.5" thickBot="1" x14ac:dyDescent="0.3">
      <c r="A10" s="47">
        <v>9</v>
      </c>
      <c r="B10" s="48" t="s">
        <v>81</v>
      </c>
      <c r="C10" s="49">
        <v>93.5</v>
      </c>
      <c r="D10" s="49">
        <v>1.08</v>
      </c>
      <c r="E10" s="49">
        <v>0.10042</v>
      </c>
      <c r="F10" s="49">
        <v>0.14000000000000001</v>
      </c>
      <c r="G10" s="50">
        <f t="shared" si="0"/>
        <v>1.4196576240000001</v>
      </c>
    </row>
    <row r="11" spans="1:15" ht="16.5" thickBot="1" x14ac:dyDescent="0.3">
      <c r="A11" s="51"/>
      <c r="B11" s="52"/>
      <c r="C11" s="52"/>
      <c r="D11" s="52"/>
      <c r="E11" s="151" t="s">
        <v>82</v>
      </c>
      <c r="F11" s="152"/>
      <c r="G11" s="53">
        <f>SUM(G3:G10)</f>
        <v>10068.197119718401</v>
      </c>
    </row>
    <row r="13" spans="1:15" ht="15.75" thickBot="1" x14ac:dyDescent="0.3"/>
    <row r="14" spans="1:15" ht="120.75" thickBot="1" x14ac:dyDescent="0.35">
      <c r="A14" s="44" t="s">
        <v>70</v>
      </c>
      <c r="B14" s="45" t="s">
        <v>71</v>
      </c>
      <c r="C14" s="46" t="s">
        <v>83</v>
      </c>
      <c r="D14" s="46" t="s">
        <v>84</v>
      </c>
      <c r="E14" s="46" t="s">
        <v>85</v>
      </c>
      <c r="F14" s="46" t="s">
        <v>72</v>
      </c>
      <c r="G14" s="46" t="s">
        <v>73</v>
      </c>
      <c r="O14" s="54" t="s">
        <v>87</v>
      </c>
    </row>
    <row r="15" spans="1:15" ht="16.5" thickBot="1" x14ac:dyDescent="0.3">
      <c r="A15" s="47">
        <v>1</v>
      </c>
      <c r="B15" s="48" t="s">
        <v>86</v>
      </c>
      <c r="C15" s="49">
        <v>12292</v>
      </c>
      <c r="D15" s="49">
        <v>1.08</v>
      </c>
      <c r="E15" s="49">
        <v>0.10042</v>
      </c>
      <c r="F15" s="49">
        <v>1</v>
      </c>
      <c r="G15" s="50">
        <f>C15*F15*E15*D15</f>
        <v>1333.1116512000001</v>
      </c>
    </row>
    <row r="19" spans="14:15" ht="15.75" thickBot="1" x14ac:dyDescent="0.3"/>
    <row r="20" spans="14:15" ht="16.5" thickBot="1" x14ac:dyDescent="0.3">
      <c r="N20" s="59"/>
      <c r="O20" s="58"/>
    </row>
    <row r="21" spans="14:15" ht="16.5" thickBot="1" x14ac:dyDescent="0.3">
      <c r="N21" s="60"/>
      <c r="O21" s="5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Емкость(одорант)</vt:lpstr>
      <vt:lpstr>ГАЗОПРОВОД НАРУЖНЫЙ</vt:lpstr>
      <vt:lpstr>ГАЗОПРОВОД ВНУТРЕННИЙ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2023-08-14T19:33:28Z</dcterms:modified>
</cp:coreProperties>
</file>