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python\ENPZ_del\"/>
    </mc:Choice>
  </mc:AlternateContent>
  <xr:revisionPtr revIDLastSave="0" documentId="13_ncr:1_{FB3565EA-4546-4341-91AF-8B7D204396A0}" xr6:coauthVersionLast="47" xr6:coauthVersionMax="47" xr10:uidLastSave="{00000000-0000-0000-0000-000000000000}"/>
  <bookViews>
    <workbookView xWindow="-108" yWindow="-108" windowWidth="30936" windowHeight="16896" firstSheet="1" activeTab="6" xr2:uid="{00000000-000D-0000-FFFF-FFFF00000000}"/>
  </bookViews>
  <sheets>
    <sheet name="А10 (трубопровод ЕНПЗ)" sheetId="7" r:id="rId1"/>
    <sheet name="А10 (автоцистерна ЕНПЗ)" sheetId="6" r:id="rId2"/>
    <sheet name="А9 насос ЕНПЗ)" sheetId="5" r:id="rId3"/>
    <sheet name="А1(резервуар ЕНПЗ)" sheetId="4" r:id="rId4"/>
    <sheet name="А7 (емк.давление ЕНПЗ)" sheetId="3" r:id="rId5"/>
    <sheet name="Расчет оборудования" sheetId="1" r:id="rId6"/>
    <sheet name="Сценарии" sheetId="2" r:id="rId7"/>
    <sheet name="Лист3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76" i="2" l="1"/>
  <c r="AL49" i="2"/>
  <c r="AN49" i="2" s="1"/>
  <c r="AK49" i="2"/>
  <c r="AJ49" i="2"/>
  <c r="AC49" i="2"/>
  <c r="AH49" i="2" s="1"/>
  <c r="AI49" i="2" s="1"/>
  <c r="AN48" i="2"/>
  <c r="AL48" i="2"/>
  <c r="AK48" i="2"/>
  <c r="AJ48" i="2"/>
  <c r="AC48" i="2"/>
  <c r="AH48" i="2" s="1"/>
  <c r="AI48" i="2" s="1"/>
  <c r="AM48" i="2" s="1"/>
  <c r="AO48" i="2" s="1"/>
  <c r="AL47" i="2"/>
  <c r="AN47" i="2" s="1"/>
  <c r="AK47" i="2"/>
  <c r="AJ47" i="2"/>
  <c r="AC47" i="2"/>
  <c r="AH47" i="2" s="1"/>
  <c r="AI47" i="2" s="1"/>
  <c r="AL46" i="2"/>
  <c r="AN46" i="2" s="1"/>
  <c r="AK46" i="2"/>
  <c r="AJ46" i="2"/>
  <c r="AH46" i="2"/>
  <c r="AI46" i="2" s="1"/>
  <c r="AL45" i="2"/>
  <c r="AN45" i="2" s="1"/>
  <c r="AK45" i="2"/>
  <c r="AJ45" i="2"/>
  <c r="AH45" i="2"/>
  <c r="AI45" i="2" s="1"/>
  <c r="AL44" i="2"/>
  <c r="AN44" i="2" s="1"/>
  <c r="AK44" i="2"/>
  <c r="AJ44" i="2"/>
  <c r="AH44" i="2"/>
  <c r="AI44" i="2" s="1"/>
  <c r="AL43" i="2"/>
  <c r="AN43" i="2" s="1"/>
  <c r="AK43" i="2"/>
  <c r="AJ43" i="2"/>
  <c r="AC43" i="2"/>
  <c r="AH43" i="2" s="1"/>
  <c r="AI43" i="2" s="1"/>
  <c r="AN42" i="2"/>
  <c r="AL42" i="2"/>
  <c r="AK42" i="2"/>
  <c r="AJ42" i="2"/>
  <c r="AC42" i="2"/>
  <c r="AH42" i="2" s="1"/>
  <c r="AI42" i="2" s="1"/>
  <c r="AM42" i="2" s="1"/>
  <c r="AO42" i="2" s="1"/>
  <c r="AL41" i="2"/>
  <c r="AN41" i="2" s="1"/>
  <c r="AK41" i="2"/>
  <c r="AM41" i="2" s="1"/>
  <c r="AO41" i="2" s="1"/>
  <c r="AJ41" i="2"/>
  <c r="AC41" i="2"/>
  <c r="AH41" i="2" s="1"/>
  <c r="AI41" i="2" s="1"/>
  <c r="AL40" i="2"/>
  <c r="AN40" i="2" s="1"/>
  <c r="AK40" i="2"/>
  <c r="AJ40" i="2"/>
  <c r="AH40" i="2"/>
  <c r="AI40" i="2" s="1"/>
  <c r="AN39" i="2"/>
  <c r="AL39" i="2"/>
  <c r="AK39" i="2"/>
  <c r="AJ39" i="2"/>
  <c r="AH39" i="2"/>
  <c r="AI39" i="2" s="1"/>
  <c r="AL38" i="2"/>
  <c r="AN38" i="2" s="1"/>
  <c r="AK38" i="2"/>
  <c r="AJ38" i="2"/>
  <c r="AH38" i="2"/>
  <c r="AI38" i="2" s="1"/>
  <c r="AL33" i="2"/>
  <c r="AL32" i="2"/>
  <c r="AN32" i="2" s="1"/>
  <c r="AH33" i="2"/>
  <c r="AI33" i="2" s="1"/>
  <c r="AH32" i="2"/>
  <c r="AI32" i="2"/>
  <c r="AL37" i="2"/>
  <c r="AN37" i="2" s="1"/>
  <c r="AK37" i="2"/>
  <c r="AJ37" i="2"/>
  <c r="AC37" i="2"/>
  <c r="AH37" i="2" s="1"/>
  <c r="AI37" i="2" s="1"/>
  <c r="AN36" i="2"/>
  <c r="AL36" i="2"/>
  <c r="AK36" i="2"/>
  <c r="AJ36" i="2"/>
  <c r="AC36" i="2"/>
  <c r="AH36" i="2" s="1"/>
  <c r="AI36" i="2" s="1"/>
  <c r="AM36" i="2" s="1"/>
  <c r="AO36" i="2" s="1"/>
  <c r="AL35" i="2"/>
  <c r="AN35" i="2" s="1"/>
  <c r="AK35" i="2"/>
  <c r="AJ35" i="2"/>
  <c r="AC35" i="2"/>
  <c r="AH35" i="2" s="1"/>
  <c r="AI35" i="2" s="1"/>
  <c r="AN34" i="2"/>
  <c r="AM34" i="2"/>
  <c r="AO34" i="2" s="1"/>
  <c r="AL34" i="2"/>
  <c r="AK34" i="2"/>
  <c r="AJ34" i="2"/>
  <c r="AI34" i="2"/>
  <c r="AH34" i="2"/>
  <c r="AN33" i="2"/>
  <c r="AK33" i="2"/>
  <c r="AJ33" i="2"/>
  <c r="AK32" i="2"/>
  <c r="AJ32" i="2"/>
  <c r="AL31" i="2"/>
  <c r="AN31" i="2" s="1"/>
  <c r="AK31" i="2"/>
  <c r="AJ31" i="2"/>
  <c r="AC31" i="2"/>
  <c r="AH31" i="2" s="1"/>
  <c r="AI31" i="2" s="1"/>
  <c r="AN30" i="2"/>
  <c r="AL30" i="2"/>
  <c r="AK30" i="2"/>
  <c r="AJ30" i="2"/>
  <c r="AC30" i="2"/>
  <c r="AH30" i="2" s="1"/>
  <c r="AI30" i="2" s="1"/>
  <c r="AM30" i="2" s="1"/>
  <c r="AO30" i="2" s="1"/>
  <c r="AL29" i="2"/>
  <c r="AN29" i="2" s="1"/>
  <c r="AK29" i="2"/>
  <c r="AJ29" i="2"/>
  <c r="AC29" i="2"/>
  <c r="AH29" i="2" s="1"/>
  <c r="AI29" i="2" s="1"/>
  <c r="AN28" i="2"/>
  <c r="AL28" i="2"/>
  <c r="AK28" i="2"/>
  <c r="AJ28" i="2"/>
  <c r="AI28" i="2"/>
  <c r="AM28" i="2" s="1"/>
  <c r="AO28" i="2" s="1"/>
  <c r="AH28" i="2"/>
  <c r="AL27" i="2"/>
  <c r="AN27" i="2" s="1"/>
  <c r="AK27" i="2"/>
  <c r="AJ27" i="2"/>
  <c r="AI27" i="2"/>
  <c r="AH27" i="2"/>
  <c r="AL26" i="2"/>
  <c r="AM26" i="2" s="1"/>
  <c r="AO26" i="2" s="1"/>
  <c r="AK26" i="2"/>
  <c r="AJ26" i="2"/>
  <c r="AH26" i="2"/>
  <c r="AI26" i="2" s="1"/>
  <c r="AL24" i="2"/>
  <c r="AN24" i="2" s="1"/>
  <c r="AL25" i="2"/>
  <c r="AN25" i="2" s="1"/>
  <c r="AK25" i="2"/>
  <c r="AJ25" i="2"/>
  <c r="AC25" i="2"/>
  <c r="AH25" i="2" s="1"/>
  <c r="AI25" i="2" s="1"/>
  <c r="AK24" i="2"/>
  <c r="AJ24" i="2"/>
  <c r="AC24" i="2"/>
  <c r="AH24" i="2" s="1"/>
  <c r="AI24" i="2" s="1"/>
  <c r="AM24" i="2" s="1"/>
  <c r="AO24" i="2" s="1"/>
  <c r="AL23" i="2"/>
  <c r="AN23" i="2" s="1"/>
  <c r="AK23" i="2"/>
  <c r="AJ23" i="2"/>
  <c r="AC23" i="2"/>
  <c r="AH23" i="2" s="1"/>
  <c r="AI23" i="2" s="1"/>
  <c r="AL22" i="2"/>
  <c r="AN22" i="2" s="1"/>
  <c r="AK22" i="2"/>
  <c r="AJ22" i="2"/>
  <c r="AH22" i="2"/>
  <c r="AI22" i="2" s="1"/>
  <c r="AN21" i="2"/>
  <c r="AL21" i="2"/>
  <c r="AK21" i="2"/>
  <c r="AJ21" i="2"/>
  <c r="AH21" i="2"/>
  <c r="AI21" i="2" s="1"/>
  <c r="AL20" i="2"/>
  <c r="AN20" i="2" s="1"/>
  <c r="AK20" i="2"/>
  <c r="AJ20" i="2"/>
  <c r="AH20" i="2"/>
  <c r="AI20" i="2" s="1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AH12" i="2"/>
  <c r="AH11" i="2"/>
  <c r="AH10" i="2"/>
  <c r="AH9" i="2"/>
  <c r="AH8" i="2"/>
  <c r="AH13" i="2"/>
  <c r="AI8" i="2"/>
  <c r="AJ2" i="2"/>
  <c r="AH2" i="2"/>
  <c r="K36" i="2"/>
  <c r="K73" i="2"/>
  <c r="K70" i="2"/>
  <c r="K67" i="2"/>
  <c r="K64" i="2"/>
  <c r="K61" i="2"/>
  <c r="K58" i="2"/>
  <c r="K54" i="2"/>
  <c r="K51" i="2"/>
  <c r="K48" i="2"/>
  <c r="K45" i="2"/>
  <c r="K39" i="2"/>
  <c r="J39" i="2" s="1"/>
  <c r="K42" i="2"/>
  <c r="K21" i="2"/>
  <c r="J21" i="2" s="1"/>
  <c r="K24" i="2"/>
  <c r="K27" i="2"/>
  <c r="J27" i="2" s="1"/>
  <c r="K30" i="2"/>
  <c r="K33" i="2"/>
  <c r="J33" i="2" s="1"/>
  <c r="K71" i="2"/>
  <c r="I69" i="2"/>
  <c r="K69" i="2"/>
  <c r="K65" i="2"/>
  <c r="K63" i="2"/>
  <c r="I61" i="2"/>
  <c r="I62" i="2"/>
  <c r="I60" i="2"/>
  <c r="K59" i="2"/>
  <c r="I57" i="2"/>
  <c r="K57" i="2"/>
  <c r="K53" i="2"/>
  <c r="K50" i="2"/>
  <c r="I55" i="2"/>
  <c r="I54" i="2"/>
  <c r="I53" i="2"/>
  <c r="I51" i="2"/>
  <c r="I52" i="2" s="1"/>
  <c r="J50" i="2"/>
  <c r="K5" i="2"/>
  <c r="K11" i="2"/>
  <c r="K17" i="2"/>
  <c r="K23" i="2"/>
  <c r="K29" i="2"/>
  <c r="K41" i="2"/>
  <c r="K47" i="2"/>
  <c r="K44" i="2"/>
  <c r="J45" i="2" s="1"/>
  <c r="I49" i="2"/>
  <c r="I48" i="2"/>
  <c r="I47" i="2"/>
  <c r="I45" i="2"/>
  <c r="I46" i="2" s="1"/>
  <c r="J44" i="2"/>
  <c r="I43" i="2"/>
  <c r="I42" i="2"/>
  <c r="I41" i="2"/>
  <c r="I39" i="2"/>
  <c r="I40" i="2" s="1"/>
  <c r="J38" i="2"/>
  <c r="I37" i="2"/>
  <c r="I36" i="2"/>
  <c r="I35" i="2"/>
  <c r="I33" i="2"/>
  <c r="I34" i="2" s="1"/>
  <c r="J32" i="2"/>
  <c r="I31" i="2"/>
  <c r="I30" i="2"/>
  <c r="I29" i="2"/>
  <c r="I27" i="2"/>
  <c r="I28" i="2" s="1"/>
  <c r="J26" i="2"/>
  <c r="I25" i="2"/>
  <c r="I24" i="2"/>
  <c r="I23" i="2"/>
  <c r="I21" i="2"/>
  <c r="I22" i="2" s="1"/>
  <c r="J20" i="2"/>
  <c r="J14" i="2"/>
  <c r="K15" i="2"/>
  <c r="J15" i="2" s="1"/>
  <c r="I19" i="2"/>
  <c r="K8" i="2"/>
  <c r="K9" i="2" s="1"/>
  <c r="J9" i="2" s="1"/>
  <c r="K4" i="2"/>
  <c r="K2" i="2" s="1"/>
  <c r="K3" i="2" s="1"/>
  <c r="J3" i="2" s="1"/>
  <c r="H74" i="2"/>
  <c r="H73" i="2"/>
  <c r="H72" i="2"/>
  <c r="H71" i="2"/>
  <c r="H70" i="2"/>
  <c r="H69" i="2"/>
  <c r="H68" i="2"/>
  <c r="H67" i="2"/>
  <c r="H66" i="2"/>
  <c r="H65" i="2"/>
  <c r="H64" i="2"/>
  <c r="H63" i="2"/>
  <c r="L2" i="2"/>
  <c r="M2" i="2"/>
  <c r="N2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O21" i="8"/>
  <c r="O20" i="8"/>
  <c r="AJ57" i="2"/>
  <c r="AK57" i="2"/>
  <c r="AJ58" i="2"/>
  <c r="AK58" i="2"/>
  <c r="AH59" i="2"/>
  <c r="AI59" i="2" s="1"/>
  <c r="AJ59" i="2"/>
  <c r="AK59" i="2"/>
  <c r="AJ60" i="2"/>
  <c r="AK60" i="2"/>
  <c r="AJ61" i="2"/>
  <c r="AK61" i="2"/>
  <c r="AH62" i="2"/>
  <c r="AI62" i="2" s="1"/>
  <c r="AJ62" i="2"/>
  <c r="AK62" i="2"/>
  <c r="AJ63" i="2"/>
  <c r="AK63" i="2"/>
  <c r="AJ64" i="2"/>
  <c r="AK64" i="2"/>
  <c r="AH65" i="2"/>
  <c r="AI65" i="2" s="1"/>
  <c r="AJ65" i="2"/>
  <c r="AK65" i="2"/>
  <c r="AJ66" i="2"/>
  <c r="AK66" i="2"/>
  <c r="AJ67" i="2"/>
  <c r="AK67" i="2"/>
  <c r="AH68" i="2"/>
  <c r="AI68" i="2" s="1"/>
  <c r="AJ68" i="2"/>
  <c r="AK68" i="2"/>
  <c r="AJ69" i="2"/>
  <c r="AK69" i="2"/>
  <c r="AJ70" i="2"/>
  <c r="AK70" i="2"/>
  <c r="AH71" i="2"/>
  <c r="AI71" i="2" s="1"/>
  <c r="AJ71" i="2"/>
  <c r="AK71" i="2"/>
  <c r="AJ72" i="2"/>
  <c r="AK72" i="2"/>
  <c r="AJ73" i="2"/>
  <c r="AK73" i="2"/>
  <c r="AH74" i="2"/>
  <c r="AI74" i="2" s="1"/>
  <c r="AJ74" i="2"/>
  <c r="AK74" i="2"/>
  <c r="AK2" i="2"/>
  <c r="AJ3" i="2"/>
  <c r="AK3" i="2"/>
  <c r="AH4" i="2"/>
  <c r="AI4" i="2" s="1"/>
  <c r="AJ4" i="2"/>
  <c r="AK4" i="2"/>
  <c r="AC5" i="2"/>
  <c r="AJ5" i="2"/>
  <c r="AK5" i="2"/>
  <c r="AC6" i="2"/>
  <c r="AJ6" i="2"/>
  <c r="AK6" i="2"/>
  <c r="AC7" i="2"/>
  <c r="AJ7" i="2"/>
  <c r="AK7" i="2"/>
  <c r="AJ8" i="2"/>
  <c r="AK8" i="2"/>
  <c r="AI9" i="2"/>
  <c r="AJ9" i="2"/>
  <c r="AK9" i="2"/>
  <c r="AI10" i="2"/>
  <c r="AJ10" i="2"/>
  <c r="AK10" i="2"/>
  <c r="AC11" i="2"/>
  <c r="AI11" i="2" s="1"/>
  <c r="AJ11" i="2"/>
  <c r="AK11" i="2"/>
  <c r="AC12" i="2"/>
  <c r="AI12" i="2" s="1"/>
  <c r="AJ12" i="2"/>
  <c r="AK12" i="2"/>
  <c r="AC13" i="2"/>
  <c r="AI13" i="2" s="1"/>
  <c r="AJ13" i="2"/>
  <c r="AK13" i="2"/>
  <c r="AJ14" i="2"/>
  <c r="AK14" i="2"/>
  <c r="AJ15" i="2"/>
  <c r="AK15" i="2"/>
  <c r="AH16" i="2"/>
  <c r="AI16" i="2" s="1"/>
  <c r="AJ16" i="2"/>
  <c r="AK16" i="2"/>
  <c r="AC17" i="2"/>
  <c r="AJ17" i="2"/>
  <c r="AK17" i="2"/>
  <c r="AC18" i="2"/>
  <c r="AJ18" i="2"/>
  <c r="AK18" i="2"/>
  <c r="AC19" i="2"/>
  <c r="AJ19" i="2"/>
  <c r="AK19" i="2"/>
  <c r="AH50" i="2"/>
  <c r="AI50" i="2" s="1"/>
  <c r="AJ50" i="2"/>
  <c r="AK50" i="2"/>
  <c r="AJ51" i="2"/>
  <c r="AK51" i="2"/>
  <c r="AH52" i="2"/>
  <c r="AI52" i="2" s="1"/>
  <c r="AJ52" i="2"/>
  <c r="AK52" i="2"/>
  <c r="AC53" i="2"/>
  <c r="AJ53" i="2"/>
  <c r="AK53" i="2"/>
  <c r="AC54" i="2"/>
  <c r="AH54" i="2" s="1"/>
  <c r="AI54" i="2" s="1"/>
  <c r="AJ54" i="2"/>
  <c r="AK54" i="2"/>
  <c r="AC55" i="2"/>
  <c r="AH55" i="2" s="1"/>
  <c r="AI55" i="2" s="1"/>
  <c r="AJ55" i="2"/>
  <c r="AK55" i="2"/>
  <c r="I28" i="3"/>
  <c r="AM44" i="2" l="1"/>
  <c r="AO44" i="2" s="1"/>
  <c r="AM47" i="2"/>
  <c r="AO47" i="2" s="1"/>
  <c r="AM46" i="2"/>
  <c r="AO46" i="2" s="1"/>
  <c r="AM49" i="2"/>
  <c r="AO49" i="2" s="1"/>
  <c r="AM45" i="2"/>
  <c r="AO45" i="2" s="1"/>
  <c r="AM39" i="2"/>
  <c r="AO39" i="2" s="1"/>
  <c r="AM38" i="2"/>
  <c r="AO38" i="2" s="1"/>
  <c r="AM40" i="2"/>
  <c r="AO40" i="2" s="1"/>
  <c r="AM43" i="2"/>
  <c r="AO43" i="2" s="1"/>
  <c r="AM32" i="2"/>
  <c r="AO32" i="2" s="1"/>
  <c r="AM35" i="2"/>
  <c r="AO35" i="2" s="1"/>
  <c r="AM37" i="2"/>
  <c r="AO37" i="2" s="1"/>
  <c r="AM33" i="2"/>
  <c r="AO33" i="2" s="1"/>
  <c r="AN26" i="2"/>
  <c r="AM29" i="2"/>
  <c r="AO29" i="2" s="1"/>
  <c r="AM31" i="2"/>
  <c r="AO31" i="2" s="1"/>
  <c r="AM27" i="2"/>
  <c r="AO27" i="2" s="1"/>
  <c r="AM21" i="2"/>
  <c r="AO21" i="2" s="1"/>
  <c r="AM20" i="2"/>
  <c r="AO20" i="2" s="1"/>
  <c r="AM23" i="2"/>
  <c r="AO23" i="2" s="1"/>
  <c r="AM22" i="2"/>
  <c r="AO22" i="2" s="1"/>
  <c r="AM25" i="2"/>
  <c r="AO25" i="2" s="1"/>
  <c r="J70" i="2"/>
  <c r="J64" i="2"/>
  <c r="J58" i="2"/>
  <c r="J51" i="2"/>
  <c r="J69" i="2"/>
  <c r="AH69" i="2"/>
  <c r="AI69" i="2" s="1"/>
  <c r="I70" i="2"/>
  <c r="I72" i="2"/>
  <c r="I63" i="2"/>
  <c r="AH61" i="2"/>
  <c r="AI61" i="2" s="1"/>
  <c r="AH57" i="2"/>
  <c r="AI57" i="2" s="1"/>
  <c r="J57" i="2"/>
  <c r="K60" i="2"/>
  <c r="AH60" i="2"/>
  <c r="AI60" i="2" s="1"/>
  <c r="I58" i="2"/>
  <c r="J60" i="2"/>
  <c r="AL59" i="2"/>
  <c r="AM59" i="2" s="1"/>
  <c r="AL58" i="2"/>
  <c r="J61" i="2"/>
  <c r="AL57" i="2"/>
  <c r="J54" i="2"/>
  <c r="AH51" i="2"/>
  <c r="AI51" i="2" s="1"/>
  <c r="AH53" i="2"/>
  <c r="AI53" i="2" s="1"/>
  <c r="J53" i="2"/>
  <c r="J42" i="2"/>
  <c r="J48" i="2"/>
  <c r="J47" i="2"/>
  <c r="J41" i="2"/>
  <c r="J36" i="2"/>
  <c r="J35" i="2"/>
  <c r="J30" i="2"/>
  <c r="J29" i="2"/>
  <c r="J24" i="2"/>
  <c r="J23" i="2"/>
  <c r="I15" i="2"/>
  <c r="AH15" i="2" s="1"/>
  <c r="AI15" i="2" s="1"/>
  <c r="AH14" i="2"/>
  <c r="AI14" i="2" s="1"/>
  <c r="I17" i="2"/>
  <c r="AH17" i="2" s="1"/>
  <c r="AI17" i="2" s="1"/>
  <c r="I18" i="2"/>
  <c r="AH18" i="2" s="1"/>
  <c r="AI18" i="2" s="1"/>
  <c r="AH19" i="2"/>
  <c r="AI19" i="2" s="1"/>
  <c r="I2" i="2"/>
  <c r="J2" i="2" s="1"/>
  <c r="AM9" i="2"/>
  <c r="AM10" i="2"/>
  <c r="I8" i="2"/>
  <c r="J8" i="2" s="1"/>
  <c r="AM8" i="2"/>
  <c r="G15" i="8"/>
  <c r="G4" i="8"/>
  <c r="G5" i="8"/>
  <c r="G6" i="8"/>
  <c r="G7" i="8"/>
  <c r="G8" i="8"/>
  <c r="G9" i="8"/>
  <c r="G10" i="8"/>
  <c r="G3" i="8"/>
  <c r="AM57" i="2" l="1"/>
  <c r="I73" i="2"/>
  <c r="AH73" i="2" s="1"/>
  <c r="AI73" i="2" s="1"/>
  <c r="AH70" i="2"/>
  <c r="AI70" i="2" s="1"/>
  <c r="I71" i="2"/>
  <c r="I74" i="2" s="1"/>
  <c r="AH72" i="2"/>
  <c r="AI72" i="2" s="1"/>
  <c r="K72" i="2"/>
  <c r="J72" i="2"/>
  <c r="I64" i="2"/>
  <c r="J63" i="2"/>
  <c r="I66" i="2"/>
  <c r="AH63" i="2"/>
  <c r="AI63" i="2" s="1"/>
  <c r="I59" i="2"/>
  <c r="AH58" i="2"/>
  <c r="AI58" i="2" s="1"/>
  <c r="AM58" i="2" s="1"/>
  <c r="AL61" i="2"/>
  <c r="AM61" i="2" s="1"/>
  <c r="AL62" i="2"/>
  <c r="AM62" i="2" s="1"/>
  <c r="I7" i="2"/>
  <c r="AH7" i="2" s="1"/>
  <c r="AI7" i="2" s="1"/>
  <c r="I16" i="2"/>
  <c r="J17" i="2"/>
  <c r="AI2" i="2"/>
  <c r="I6" i="2"/>
  <c r="AH6" i="2" s="1"/>
  <c r="AI6" i="2" s="1"/>
  <c r="I5" i="2"/>
  <c r="I3" i="2"/>
  <c r="I13" i="2"/>
  <c r="I12" i="2"/>
  <c r="I9" i="2"/>
  <c r="I10" i="2" s="1"/>
  <c r="I11" i="2"/>
  <c r="G11" i="8"/>
  <c r="J73" i="2" l="1"/>
  <c r="AL71" i="2"/>
  <c r="AM71" i="2" s="1"/>
  <c r="AL70" i="2"/>
  <c r="AM70" i="2" s="1"/>
  <c r="AL69" i="2"/>
  <c r="AM69" i="2" s="1"/>
  <c r="AH66" i="2"/>
  <c r="AI66" i="2" s="1"/>
  <c r="K66" i="2"/>
  <c r="J66" i="2"/>
  <c r="I67" i="2"/>
  <c r="AH67" i="2" s="1"/>
  <c r="AI67" i="2" s="1"/>
  <c r="AH64" i="2"/>
  <c r="AI64" i="2" s="1"/>
  <c r="I65" i="2"/>
  <c r="I68" i="2" s="1"/>
  <c r="K18" i="2"/>
  <c r="J18" i="2" s="1"/>
  <c r="J5" i="2"/>
  <c r="K6" i="2"/>
  <c r="J6" i="2" s="1"/>
  <c r="AH5" i="2"/>
  <c r="AI5" i="2" s="1"/>
  <c r="AH3" i="2"/>
  <c r="AI3" i="2" s="1"/>
  <c r="I4" i="2"/>
  <c r="K12" i="2"/>
  <c r="J12" i="2" s="1"/>
  <c r="J11" i="2"/>
  <c r="AM11" i="2" s="1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H55" i="2"/>
  <c r="H54" i="2"/>
  <c r="H53" i="2"/>
  <c r="H52" i="2"/>
  <c r="H51" i="2"/>
  <c r="H50" i="2"/>
  <c r="O53" i="1"/>
  <c r="M53" i="1"/>
  <c r="J53" i="1"/>
  <c r="O52" i="1"/>
  <c r="N52" i="1" s="1"/>
  <c r="M52" i="1"/>
  <c r="J52" i="1"/>
  <c r="O51" i="1"/>
  <c r="M51" i="1"/>
  <c r="J51" i="1"/>
  <c r="O50" i="1"/>
  <c r="O49" i="1"/>
  <c r="O48" i="1"/>
  <c r="J50" i="1"/>
  <c r="M50" i="1"/>
  <c r="M49" i="1"/>
  <c r="J49" i="1"/>
  <c r="N49" i="1" s="1"/>
  <c r="H34" i="6"/>
  <c r="H30" i="6"/>
  <c r="H26" i="6"/>
  <c r="H22" i="6"/>
  <c r="H20" i="6"/>
  <c r="H17" i="6"/>
  <c r="H13" i="6"/>
  <c r="H9" i="6"/>
  <c r="H5" i="6"/>
  <c r="H3" i="6"/>
  <c r="H34" i="7"/>
  <c r="H30" i="7"/>
  <c r="I30" i="7" s="1"/>
  <c r="H26" i="7"/>
  <c r="H22" i="7"/>
  <c r="H20" i="7"/>
  <c r="H17" i="7"/>
  <c r="H13" i="7"/>
  <c r="I13" i="7" s="1"/>
  <c r="H9" i="7"/>
  <c r="H5" i="7"/>
  <c r="H3" i="7"/>
  <c r="B14" i="7"/>
  <c r="B14" i="6"/>
  <c r="I13" i="6"/>
  <c r="H19" i="2"/>
  <c r="H18" i="2"/>
  <c r="H17" i="2"/>
  <c r="H16" i="2"/>
  <c r="H15" i="2"/>
  <c r="H14" i="2"/>
  <c r="O43" i="1"/>
  <c r="O46" i="1"/>
  <c r="O47" i="1"/>
  <c r="O45" i="1"/>
  <c r="H13" i="2"/>
  <c r="H12" i="2"/>
  <c r="H11" i="2"/>
  <c r="H10" i="2"/>
  <c r="H9" i="2"/>
  <c r="H8" i="2"/>
  <c r="B48" i="1"/>
  <c r="M48" i="1"/>
  <c r="J48" i="1"/>
  <c r="AL74" i="2" l="1"/>
  <c r="AM74" i="2" s="1"/>
  <c r="AL73" i="2"/>
  <c r="AM73" i="2" s="1"/>
  <c r="J67" i="2"/>
  <c r="AL65" i="2"/>
  <c r="AM65" i="2" s="1"/>
  <c r="AL64" i="2"/>
  <c r="AM64" i="2" s="1"/>
  <c r="AL63" i="2"/>
  <c r="AM63" i="2" s="1"/>
  <c r="AM13" i="2"/>
  <c r="AM12" i="2"/>
  <c r="AO12" i="2" s="1"/>
  <c r="AM3" i="2"/>
  <c r="AM4" i="2"/>
  <c r="AM6" i="2"/>
  <c r="AM2" i="2"/>
  <c r="AM5" i="2"/>
  <c r="AM7" i="2"/>
  <c r="AL52" i="2"/>
  <c r="AM52" i="2" s="1"/>
  <c r="AO52" i="2" s="1"/>
  <c r="AL54" i="2"/>
  <c r="AM54" i="2" s="1"/>
  <c r="AO54" i="2" s="1"/>
  <c r="AL50" i="2"/>
  <c r="AM50" i="2" s="1"/>
  <c r="AO50" i="2" s="1"/>
  <c r="AL53" i="2"/>
  <c r="AM53" i="2" s="1"/>
  <c r="AO53" i="2" s="1"/>
  <c r="AL55" i="2"/>
  <c r="AM55" i="2" s="1"/>
  <c r="AO55" i="2" s="1"/>
  <c r="AL51" i="2"/>
  <c r="AM51" i="2" s="1"/>
  <c r="AO51" i="2" s="1"/>
  <c r="AM17" i="2"/>
  <c r="AO17" i="2" s="1"/>
  <c r="AM19" i="2"/>
  <c r="AO19" i="2" s="1"/>
  <c r="AM15" i="2"/>
  <c r="AO15" i="2" s="1"/>
  <c r="AM16" i="2"/>
  <c r="AO16" i="2" s="1"/>
  <c r="AM18" i="2"/>
  <c r="AO18" i="2" s="1"/>
  <c r="AM14" i="2"/>
  <c r="AO14" i="2" s="1"/>
  <c r="AN8" i="2"/>
  <c r="AO8" i="2"/>
  <c r="AN9" i="2"/>
  <c r="AO9" i="2"/>
  <c r="AN10" i="2"/>
  <c r="AO10" i="2"/>
  <c r="AN13" i="2"/>
  <c r="AO13" i="2"/>
  <c r="AN11" i="2"/>
  <c r="AO11" i="2"/>
  <c r="N53" i="1"/>
  <c r="P53" i="1" s="1"/>
  <c r="P52" i="1"/>
  <c r="N51" i="1"/>
  <c r="P51" i="1"/>
  <c r="N50" i="1"/>
  <c r="P50" i="1" s="1"/>
  <c r="P49" i="1"/>
  <c r="I34" i="7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N48" i="1"/>
  <c r="P48" i="1" s="1"/>
  <c r="AL68" i="2" l="1"/>
  <c r="AM68" i="2" s="1"/>
  <c r="AL67" i="2"/>
  <c r="AM67" i="2" s="1"/>
  <c r="AN12" i="2"/>
  <c r="AN16" i="2"/>
  <c r="AN14" i="2"/>
  <c r="AN52" i="2"/>
  <c r="AN54" i="2"/>
  <c r="AN15" i="2"/>
  <c r="AN53" i="2"/>
  <c r="AN50" i="2"/>
  <c r="AN18" i="2"/>
  <c r="AN19" i="2"/>
  <c r="AN55" i="2"/>
  <c r="AN17" i="2"/>
  <c r="AN51" i="2"/>
  <c r="H7" i="2"/>
  <c r="H6" i="2"/>
  <c r="H5" i="2"/>
  <c r="H4" i="2"/>
  <c r="H3" i="2"/>
  <c r="H2" i="2"/>
  <c r="B36" i="1"/>
  <c r="N36" i="1" s="1"/>
  <c r="J36" i="1"/>
  <c r="M36" i="1"/>
  <c r="O32" i="1"/>
  <c r="O28" i="1"/>
  <c r="N74" i="2"/>
  <c r="M74" i="2"/>
  <c r="L74" i="2"/>
  <c r="N73" i="2"/>
  <c r="M73" i="2"/>
  <c r="L73" i="2"/>
  <c r="N72" i="2"/>
  <c r="M72" i="2"/>
  <c r="L72" i="2"/>
  <c r="AL72" i="2"/>
  <c r="AM72" i="2" s="1"/>
  <c r="N71" i="2"/>
  <c r="M71" i="2"/>
  <c r="L71" i="2"/>
  <c r="N70" i="2"/>
  <c r="M70" i="2"/>
  <c r="L70" i="2"/>
  <c r="N69" i="2"/>
  <c r="M69" i="2"/>
  <c r="L69" i="2"/>
  <c r="N68" i="2"/>
  <c r="M68" i="2"/>
  <c r="L68" i="2"/>
  <c r="N67" i="2"/>
  <c r="M67" i="2"/>
  <c r="L67" i="2"/>
  <c r="N66" i="2"/>
  <c r="M66" i="2"/>
  <c r="L66" i="2"/>
  <c r="AL66" i="2"/>
  <c r="AM66" i="2" s="1"/>
  <c r="N65" i="2"/>
  <c r="M65" i="2"/>
  <c r="L65" i="2"/>
  <c r="N64" i="2"/>
  <c r="M64" i="2"/>
  <c r="L64" i="2"/>
  <c r="N63" i="2"/>
  <c r="M63" i="2"/>
  <c r="L63" i="2"/>
  <c r="AN65" i="2" l="1"/>
  <c r="AO65" i="2"/>
  <c r="AN69" i="2"/>
  <c r="AO69" i="2"/>
  <c r="AN72" i="2"/>
  <c r="AO72" i="2"/>
  <c r="AN63" i="2"/>
  <c r="AO63" i="2"/>
  <c r="AN66" i="2"/>
  <c r="AO66" i="2"/>
  <c r="AN2" i="2"/>
  <c r="AO2" i="2"/>
  <c r="AN3" i="2"/>
  <c r="AO3" i="2"/>
  <c r="AN70" i="2"/>
  <c r="AO70" i="2"/>
  <c r="AN4" i="2"/>
  <c r="AO4" i="2"/>
  <c r="AN68" i="2"/>
  <c r="AO68" i="2"/>
  <c r="AN5" i="2"/>
  <c r="AO5" i="2"/>
  <c r="AN6" i="2"/>
  <c r="AO6" i="2"/>
  <c r="AN74" i="2"/>
  <c r="AO74" i="2"/>
  <c r="AN64" i="2"/>
  <c r="AO64" i="2"/>
  <c r="AN73" i="2"/>
  <c r="AO73" i="2"/>
  <c r="AN67" i="2"/>
  <c r="AO67" i="2"/>
  <c r="AN7" i="2"/>
  <c r="AO7" i="2"/>
  <c r="AN71" i="2"/>
  <c r="AO71" i="2"/>
  <c r="O36" i="1"/>
  <c r="P36" i="1"/>
  <c r="N57" i="2"/>
  <c r="N58" i="2"/>
  <c r="N59" i="2"/>
  <c r="N60" i="2"/>
  <c r="N61" i="2"/>
  <c r="N62" i="2"/>
  <c r="N1" i="2"/>
  <c r="L57" i="2"/>
  <c r="M57" i="2"/>
  <c r="L58" i="2"/>
  <c r="M58" i="2"/>
  <c r="L59" i="2"/>
  <c r="M59" i="2"/>
  <c r="L60" i="2"/>
  <c r="M60" i="2"/>
  <c r="L61" i="2"/>
  <c r="M61" i="2"/>
  <c r="L62" i="2"/>
  <c r="M62" i="2"/>
  <c r="M1" i="2"/>
  <c r="L1" i="2"/>
  <c r="R5" i="1" l="1"/>
  <c r="H62" i="2"/>
  <c r="H61" i="2"/>
  <c r="AL60" i="2"/>
  <c r="AM60" i="2" s="1"/>
  <c r="H60" i="2"/>
  <c r="H59" i="2"/>
  <c r="H58" i="2"/>
  <c r="H57" i="2"/>
  <c r="J34" i="5"/>
  <c r="J30" i="5"/>
  <c r="J26" i="5"/>
  <c r="J22" i="5"/>
  <c r="I34" i="5"/>
  <c r="I30" i="5"/>
  <c r="B14" i="5"/>
  <c r="J20" i="5" s="1"/>
  <c r="I26" i="5"/>
  <c r="I22" i="5"/>
  <c r="I20" i="5"/>
  <c r="I17" i="5"/>
  <c r="J17" i="5" s="1"/>
  <c r="I13" i="5"/>
  <c r="J13" i="5" s="1"/>
  <c r="I9" i="5"/>
  <c r="J9" i="5" s="1"/>
  <c r="I5" i="5"/>
  <c r="J5" i="5" s="1"/>
  <c r="I3" i="5"/>
  <c r="J3" i="5" s="1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M65" i="4"/>
  <c r="L65" i="4"/>
  <c r="L61" i="4"/>
  <c r="M61" i="4" s="1"/>
  <c r="L58" i="4"/>
  <c r="M58" i="4" s="1"/>
  <c r="L54" i="4"/>
  <c r="M54" i="4" s="1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J28" i="3"/>
  <c r="I24" i="3"/>
  <c r="J24" i="3" s="1"/>
  <c r="I20" i="3"/>
  <c r="I17" i="3"/>
  <c r="B15" i="3"/>
  <c r="B14" i="3"/>
  <c r="I13" i="3"/>
  <c r="J13" i="3" s="1"/>
  <c r="I9" i="3"/>
  <c r="I5" i="3"/>
  <c r="I3" i="3"/>
  <c r="AN57" i="2" l="1"/>
  <c r="AO57" i="2"/>
  <c r="AN59" i="2"/>
  <c r="AO59" i="2"/>
  <c r="AN60" i="2"/>
  <c r="AO60" i="2"/>
  <c r="AN58" i="2"/>
  <c r="AO58" i="2"/>
  <c r="AN61" i="2"/>
  <c r="AO61" i="2"/>
  <c r="AN62" i="2"/>
  <c r="AO62" i="2"/>
  <c r="J9" i="3"/>
  <c r="J34" i="3"/>
  <c r="J17" i="3"/>
  <c r="J20" i="3"/>
  <c r="M12" i="4"/>
  <c r="M21" i="4"/>
  <c r="J3" i="3"/>
  <c r="J5" i="3"/>
  <c r="M40" i="1" l="1"/>
  <c r="M38" i="1"/>
  <c r="M39" i="1"/>
  <c r="M37" i="1"/>
  <c r="M41" i="1"/>
  <c r="M42" i="1"/>
  <c r="M25" i="1"/>
  <c r="B44" i="1"/>
  <c r="O44" i="1" s="1"/>
  <c r="B39" i="1"/>
  <c r="O39" i="1" s="1"/>
  <c r="B34" i="1"/>
  <c r="O34" i="1" s="1"/>
  <c r="M34" i="1"/>
  <c r="M35" i="1"/>
  <c r="O35" i="1"/>
  <c r="O37" i="1"/>
  <c r="O38" i="1"/>
  <c r="O40" i="1"/>
  <c r="O41" i="1"/>
  <c r="O42" i="1"/>
  <c r="M43" i="1"/>
  <c r="M44" i="1"/>
  <c r="M33" i="1"/>
  <c r="O33" i="1"/>
  <c r="M32" i="1"/>
  <c r="N8" i="1"/>
  <c r="M2" i="1"/>
  <c r="M26" i="1"/>
  <c r="M27" i="1"/>
  <c r="M28" i="1"/>
  <c r="M29" i="1"/>
  <c r="M30" i="1"/>
  <c r="M31" i="1"/>
  <c r="B31" i="1"/>
  <c r="O31" i="1" s="1"/>
  <c r="M19" i="1"/>
  <c r="M20" i="1"/>
  <c r="M21" i="1"/>
  <c r="M22" i="1"/>
  <c r="M23" i="1"/>
  <c r="M24" i="1"/>
  <c r="M18" i="1"/>
  <c r="M17" i="1"/>
  <c r="M13" i="1"/>
  <c r="M14" i="1"/>
  <c r="M15" i="1"/>
  <c r="M16" i="1"/>
  <c r="M12" i="1"/>
  <c r="B24" i="1"/>
  <c r="M3" i="1"/>
  <c r="M4" i="1"/>
  <c r="M5" i="1"/>
  <c r="M6" i="1"/>
  <c r="M7" i="1"/>
  <c r="M8" i="1"/>
  <c r="M9" i="1"/>
  <c r="M10" i="1"/>
  <c r="M11" i="1"/>
  <c r="O18" i="1"/>
  <c r="O19" i="1"/>
  <c r="O20" i="1"/>
  <c r="O21" i="1"/>
  <c r="O22" i="1"/>
  <c r="O23" i="1"/>
  <c r="O25" i="1"/>
  <c r="O26" i="1"/>
  <c r="O27" i="1"/>
  <c r="O29" i="1"/>
  <c r="O30" i="1"/>
  <c r="B17" i="1"/>
  <c r="O17" i="1" s="1"/>
  <c r="B11" i="1"/>
  <c r="O11" i="1" s="1"/>
  <c r="J12" i="1"/>
  <c r="N12" i="1" s="1"/>
  <c r="O12" i="1"/>
  <c r="O13" i="1"/>
  <c r="O14" i="1"/>
  <c r="O15" i="1"/>
  <c r="O16" i="1"/>
  <c r="O3" i="1"/>
  <c r="O4" i="1"/>
  <c r="O5" i="1"/>
  <c r="O6" i="1"/>
  <c r="O7" i="1"/>
  <c r="O8" i="1"/>
  <c r="O9" i="1"/>
  <c r="O10" i="1"/>
  <c r="O2" i="1"/>
  <c r="J2" i="1"/>
  <c r="N2" i="1" s="1"/>
  <c r="J3" i="1"/>
  <c r="N3" i="1" s="1"/>
  <c r="J4" i="1"/>
  <c r="N4" i="1" s="1"/>
  <c r="J5" i="1"/>
  <c r="N5" i="1" s="1"/>
  <c r="J6" i="1"/>
  <c r="N6" i="1" s="1"/>
  <c r="J7" i="1"/>
  <c r="N7" i="1" s="1"/>
  <c r="J8" i="1"/>
  <c r="J9" i="1"/>
  <c r="N9" i="1" s="1"/>
  <c r="J10" i="1"/>
  <c r="N10" i="1" s="1"/>
  <c r="J11" i="1"/>
  <c r="J13" i="1"/>
  <c r="N13" i="1" s="1"/>
  <c r="J14" i="1"/>
  <c r="N14" i="1" s="1"/>
  <c r="J15" i="1"/>
  <c r="J16" i="1"/>
  <c r="N16" i="1" s="1"/>
  <c r="J17" i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J32" i="1"/>
  <c r="N32" i="1" s="1"/>
  <c r="J33" i="1"/>
  <c r="N33" i="1" s="1"/>
  <c r="J34" i="1"/>
  <c r="J35" i="1"/>
  <c r="J37" i="1"/>
  <c r="N37" i="1" s="1"/>
  <c r="J38" i="1"/>
  <c r="N38" i="1" s="1"/>
  <c r="J39" i="1"/>
  <c r="J40" i="1"/>
  <c r="N40" i="1" s="1"/>
  <c r="J41" i="1"/>
  <c r="J42" i="1"/>
  <c r="N42" i="1" s="1"/>
  <c r="J43" i="1"/>
  <c r="J44" i="1"/>
  <c r="J45" i="1"/>
  <c r="J46" i="1"/>
  <c r="J47" i="1"/>
  <c r="N47" i="1" s="1"/>
  <c r="P43" i="1" l="1"/>
  <c r="N34" i="1"/>
  <c r="P34" i="1" s="1"/>
  <c r="N11" i="1"/>
  <c r="P11" i="1" s="1"/>
  <c r="P46" i="1"/>
  <c r="R2" i="1"/>
  <c r="N24" i="1"/>
  <c r="P24" i="1" s="1"/>
  <c r="R4" i="1"/>
  <c r="N17" i="1"/>
  <c r="P17" i="1" s="1"/>
  <c r="R3" i="1"/>
  <c r="P45" i="1"/>
  <c r="N44" i="1"/>
  <c r="P44" i="1" s="1"/>
  <c r="N15" i="1"/>
  <c r="P15" i="1" s="1"/>
  <c r="N31" i="1"/>
  <c r="P31" i="1" s="1"/>
  <c r="P47" i="1"/>
  <c r="P38" i="1"/>
  <c r="P37" i="1"/>
  <c r="P35" i="1"/>
  <c r="P33" i="1"/>
  <c r="P32" i="1"/>
  <c r="P42" i="1"/>
  <c r="P41" i="1"/>
  <c r="P40" i="1"/>
  <c r="N39" i="1"/>
  <c r="P39" i="1" s="1"/>
  <c r="P3" i="1"/>
  <c r="P18" i="1"/>
  <c r="O24" i="1"/>
  <c r="P16" i="1"/>
  <c r="P20" i="1"/>
  <c r="P29" i="1"/>
  <c r="P2" i="1"/>
  <c r="P12" i="1"/>
  <c r="P23" i="1"/>
  <c r="P14" i="1"/>
  <c r="P19" i="1"/>
  <c r="P22" i="1"/>
  <c r="P21" i="1"/>
  <c r="P7" i="1"/>
  <c r="P9" i="1"/>
  <c r="P8" i="1"/>
  <c r="P30" i="1"/>
  <c r="P27" i="1"/>
  <c r="P28" i="1"/>
  <c r="P26" i="1"/>
  <c r="P25" i="1"/>
  <c r="P13" i="1"/>
  <c r="P10" i="1"/>
  <c r="P6" i="1"/>
  <c r="P5" i="1"/>
  <c r="P4" i="1"/>
</calcChain>
</file>

<file path=xl/sharedStrings.xml><?xml version="1.0" encoding="utf-8"?>
<sst xmlns="http://schemas.openxmlformats.org/spreadsheetml/2006/main" count="1418" uniqueCount="277">
  <si>
    <t>Колонна Т-101</t>
  </si>
  <si>
    <t>Оборудование</t>
  </si>
  <si>
    <t>Масса</t>
  </si>
  <si>
    <t>Тем-ра</t>
  </si>
  <si>
    <t>Колонна Т-100/1</t>
  </si>
  <si>
    <t>Давление</t>
  </si>
  <si>
    <t>Аппарат V-100/2</t>
  </si>
  <si>
    <t>Разделитель V-100/1</t>
  </si>
  <si>
    <t>Аппарат V-100/3</t>
  </si>
  <si>
    <t>Электродегидратор V-101</t>
  </si>
  <si>
    <t>Разделитель V-100/4</t>
  </si>
  <si>
    <t>Аппарат V-100/5</t>
  </si>
  <si>
    <t>120 м3/ч</t>
  </si>
  <si>
    <t>2 шт</t>
  </si>
  <si>
    <t>Насос центробежный Р-100/1 А, В</t>
  </si>
  <si>
    <t>Текплообменнник Е-105А/В/С</t>
  </si>
  <si>
    <t>Теплообменник Е-201</t>
  </si>
  <si>
    <t>Колонна Т-201</t>
  </si>
  <si>
    <t>Емкость V-202</t>
  </si>
  <si>
    <t>Сепаратор V-201</t>
  </si>
  <si>
    <t>Насос центробежный, Р-201А,В</t>
  </si>
  <si>
    <t>Емкость V-301</t>
  </si>
  <si>
    <t>Реактор R-301</t>
  </si>
  <si>
    <t>Теплообменник Е-302</t>
  </si>
  <si>
    <t>Ресивер V-303</t>
  </si>
  <si>
    <t>Колонна Т-301</t>
  </si>
  <si>
    <t>Сепаратор V-302</t>
  </si>
  <si>
    <t>Насос центробежный, Р-301А, В</t>
  </si>
  <si>
    <t>2шт</t>
  </si>
  <si>
    <t>Колонна Т-401</t>
  </si>
  <si>
    <t>Сепаратор V-401</t>
  </si>
  <si>
    <t>Реактор R-401</t>
  </si>
  <si>
    <t>Колонна Т-402</t>
  </si>
  <si>
    <t>Сепаратор V-403</t>
  </si>
  <si>
    <t>ДТ</t>
  </si>
  <si>
    <t>Бензин</t>
  </si>
  <si>
    <t>Сепаратор V-402</t>
  </si>
  <si>
    <t>Насос центробежный Р-403А,В</t>
  </si>
  <si>
    <t>Абсорбер Т-502</t>
  </si>
  <si>
    <t>0,1 сероводород</t>
  </si>
  <si>
    <t>Колонна Т-503</t>
  </si>
  <si>
    <t>0,05 сероводород</t>
  </si>
  <si>
    <t>Насос центробежный, Р-501А</t>
  </si>
  <si>
    <t>Сборник серы V-603</t>
  </si>
  <si>
    <t>сера</t>
  </si>
  <si>
    <t>Насос полупогружной Р-601</t>
  </si>
  <si>
    <t>1 шт</t>
  </si>
  <si>
    <t>Теплообменник Е-704</t>
  </si>
  <si>
    <t>Емкость V-705</t>
  </si>
  <si>
    <t>Насос центробежный, Р-702А,В</t>
  </si>
  <si>
    <t>Емкость V-207</t>
  </si>
  <si>
    <t>Емкость Е-9/2</t>
  </si>
  <si>
    <t>4шт</t>
  </si>
  <si>
    <t>Насос центробежный, Н-9/3</t>
  </si>
  <si>
    <t>РВС-3</t>
  </si>
  <si>
    <t>4 шт</t>
  </si>
  <si>
    <t>Емкость Е-1</t>
  </si>
  <si>
    <t>3шт</t>
  </si>
  <si>
    <t>6шт</t>
  </si>
  <si>
    <t>Теплоѐмкость жидкости, Дж/(кг*К)</t>
  </si>
  <si>
    <t>Температура кипения, С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</si>
  <si>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</si>
  <si>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</si>
  <si>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</si>
  <si>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</si>
  <si>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</si>
  <si>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</si>
  <si>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</si>
  <si>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</si>
  <si>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АСН (автоцистерна)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</si>
  <si>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</si>
  <si>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</si>
  <si>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</si>
  <si>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</si>
  <si>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</si>
  <si>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</si>
  <si>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</si>
  <si>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</si>
  <si>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</si>
  <si>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Полное разрушение→ мгновенное воспламенение→ пожар пролива</t>
  </si>
  <si>
    <t>С2</t>
  </si>
  <si>
    <t>С3</t>
  </si>
  <si>
    <t>С4</t>
  </si>
  <si>
    <t>С5</t>
  </si>
  <si>
    <t>С6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</si>
  <si>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</si>
  <si>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</si>
  <si>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</si>
  <si>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</si>
  <si>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</si>
  <si>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</si>
  <si>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</si>
  <si>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</si>
  <si>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</si>
  <si>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</si>
  <si>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</si>
  <si>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</si>
  <si>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</si>
  <si>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</si>
  <si>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</si>
  <si>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</si>
  <si>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</si>
  <si>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</si>
  <si>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</si>
  <si>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</si>
  <si>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</si>
  <si>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</si>
  <si>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</si>
  <si>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</si>
  <si>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</si>
  <si>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</si>
  <si>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</si>
  <si>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</si>
  <si>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</si>
  <si>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</si>
  <si>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</si>
  <si>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</si>
  <si>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</si>
  <si>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</si>
  <si>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</si>
  <si>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</si>
  <si>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</si>
  <si>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</si>
  <si>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</si>
  <si>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</si>
  <si>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</si>
  <si>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</si>
  <si>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</si>
  <si>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</si>
  <si>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</si>
  <si>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</si>
  <si>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</si>
  <si>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</si>
  <si>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</si>
  <si>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</si>
  <si>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</si>
  <si>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</si>
  <si>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</si>
  <si>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</si>
  <si>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</si>
  <si>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</si>
  <si>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</si>
  <si>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</si>
  <si>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</si>
  <si>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</si>
  <si>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</si>
  <si>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</si>
  <si>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</si>
  <si>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</si>
  <si>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</si>
  <si>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</si>
  <si>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</si>
  <si>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</si>
  <si>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</si>
  <si>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</si>
  <si>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</si>
  <si>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</si>
  <si>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</si>
  <si>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</si>
  <si>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</si>
  <si>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</si>
  <si>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</si>
  <si>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</si>
  <si>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</si>
  <si>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</si>
  <si>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</si>
  <si>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</si>
  <si>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</si>
  <si>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</si>
  <si>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</si>
  <si>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</si>
  <si>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</si>
  <si>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</si>
  <si>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</si>
  <si>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</si>
  <si>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</si>
  <si>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</si>
  <si>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</si>
  <si>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</si>
  <si>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Частичное-вспышка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</si>
  <si>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</si>
  <si>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</si>
  <si>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</si>
  <si>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</si>
  <si>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</si>
  <si>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</si>
  <si>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</si>
  <si>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</si>
  <si>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</si>
  <si>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</si>
  <si>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</si>
  <si>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</si>
  <si>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Разрушение трубопровода насоса→ мгновенное воспламенение→ горение жидкостного факела</t>
  </si>
  <si>
    <t>Полное-жидкостной факел</t>
  </si>
  <si>
    <t>Разрушение трубопровода насоса (без капельной смеси)→ мгновенное воспламенение→ горение пролива</t>
  </si>
  <si>
    <t>Полное-вспышка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</si>
  <si>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</si>
  <si>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</si>
  <si>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</si>
  <si>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</si>
  <si>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</si>
  <si>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</si>
  <si>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</si>
  <si>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</si>
  <si>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</si>
  <si>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</si>
  <si>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</si>
  <si>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</si>
  <si>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Полное пожар</t>
  </si>
  <si>
    <t>-</t>
  </si>
  <si>
    <t>С88</t>
  </si>
  <si>
    <t>С89</t>
  </si>
  <si>
    <t>С90</t>
  </si>
  <si>
    <t>Реактор R-201, 202, 203</t>
  </si>
  <si>
    <t>Емкость V-205, V-206</t>
  </si>
  <si>
    <t>Колонна Т-202, Т-203</t>
  </si>
  <si>
    <t>Частичное разрушение→ мгновенное воспламенение→ пожар пролива</t>
  </si>
  <si>
    <t>Частичное-пожар</t>
  </si>
  <si>
    <t>Насос центробежный,Н-4/1</t>
  </si>
  <si>
    <t>Взрыв облака ТВС</t>
  </si>
  <si>
    <t>Разрыв трубопровода на сечение</t>
  </si>
  <si>
    <t>Трубопровод «от Н-402 до Т-401» № HL-4116</t>
  </si>
  <si>
    <t>Трубопровод «р. R-301 - тр.пр. т-к Е-302»</t>
  </si>
  <si>
    <t>Трубопровод «С теплообменника ЦКППН до перехода на Ду159»</t>
  </si>
  <si>
    <t>Трубопровод «С теплообменника ЦКППН в ТЦ»</t>
  </si>
  <si>
    <t>Трубопровод «От блока задвижек №2 на прием АСН-1,2,3,4»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</si>
  <si>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</si>
  <si>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</si>
  <si>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</si>
  <si>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</si>
  <si>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</si>
  <si>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</si>
  <si>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</si>
  <si>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</si>
  <si>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Кол.риск, чел/год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</si>
  <si>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</si>
  <si>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</si>
  <si>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</si>
  <si>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</si>
  <si>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</si>
  <si>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</si>
  <si>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</si>
  <si>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</si>
  <si>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</si>
  <si>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</si>
  <si>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</si>
  <si>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</si>
  <si>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</si>
  <si>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</si>
  <si>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</si>
  <si>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</si>
  <si>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</si>
  <si>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</si>
  <si>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</si>
  <si>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</si>
  <si>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</si>
  <si>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</si>
  <si>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</si>
  <si>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Разрушение трубопровода насоса→ отсутствие мгновенного воспламенения→ последующее воспламенение→ взрыв облака</t>
  </si>
  <si>
    <t>Разрушение трубопровода насоса→ отсутствие мгновенного воспламенения→ отсуствие последующего воспламенения→ ликвидация аварии</t>
  </si>
  <si>
    <t>Разрушение трубопровода насоса(без капельной смеси)→ отсутствие мгновенного воспламенения→ последующее воспламенение→ пожар-вспышка</t>
  </si>
  <si>
    <t>Разрушение трубопровода насоса(без капельной смеси)→ отсутствие мгновенного воспламенения→ отсуствие последующего воспламенения→ ликвидация аварии</t>
  </si>
  <si>
    <t>Полное разрушение→ отсутствие мгновенного воспламенения→ отсроченное воспламенение → взрыв облака ТВС</t>
  </si>
  <si>
    <t>Полное разрушение→ отсутствие мгновенного воспламенения→ отсутствие отсроченного воспламенения → ликвидация аварии</t>
  </si>
  <si>
    <t>Частичное разрушение→ отсутствие мгновенного воспламенения→ отсроченное воспламенение → взрыв облака ТВС</t>
  </si>
  <si>
    <t>Частичное разрушение→ отсутствие мгновенного воспламенения→ отсутствие отсроченного воспламенения → ликвидация аварии</t>
  </si>
  <si>
    <t>Реактор Р-1</t>
  </si>
  <si>
    <t>Реактор Р-2</t>
  </si>
  <si>
    <t>Емкость Е-6/1</t>
  </si>
  <si>
    <t>Емкость Е-14/1</t>
  </si>
  <si>
    <t>Емкость Е-11/1</t>
  </si>
  <si>
    <t>Емкость Е-24</t>
  </si>
  <si>
    <t>Технологический трубопровод транспортировки спиртового растворителя от емкости Н14/4 до всех емкостей площадки ТСЕ, пл. ИКН-4, ПК ИКН, ПК ИКАР</t>
  </si>
  <si>
    <t>Насос Н-14/1</t>
  </si>
  <si>
    <t>Насос Н-14/2</t>
  </si>
  <si>
    <t>Насос Н-6/1</t>
  </si>
  <si>
    <t>Емкость Е-21/2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</si>
</sst>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TimesNewRomanPSMT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2" fillId="7" borderId="1" xfId="0" applyFont="1" applyFill="1" applyBorder="1" applyAlignment="1">
      <alignment vertical="center" wrapText="1"/>
    </xf>
    <xf numFmtId="0" fontId="0" fillId="7" borderId="0" xfId="0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0" fillId="4" borderId="0" xfId="0" applyNumberFormat="1" applyFill="1"/>
    <xf numFmtId="2" fontId="1" fillId="0" borderId="0" xfId="0" applyNumberFormat="1" applyFont="1" applyAlignment="1">
      <alignment wrapText="1"/>
    </xf>
    <xf numFmtId="2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1" fillId="0" borderId="0" xfId="0" applyNumberFormat="1" applyFont="1"/>
    <xf numFmtId="0" fontId="5" fillId="8" borderId="2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9" borderId="2" xfId="0" applyFont="1" applyFill="1" applyBorder="1" applyAlignment="1">
      <alignment horizontal="right" vertical="center"/>
    </xf>
    <xf numFmtId="0" fontId="5" fillId="9" borderId="3" xfId="0" applyFont="1" applyFill="1" applyBorder="1" applyAlignment="1">
      <alignment horizontal="right" vertical="center"/>
    </xf>
    <xf numFmtId="0" fontId="5" fillId="10" borderId="2" xfId="0" applyFont="1" applyFill="1" applyBorder="1" applyAlignment="1">
      <alignment horizontal="right" vertical="center"/>
    </xf>
    <xf numFmtId="0" fontId="5" fillId="10" borderId="3" xfId="0" applyFont="1" applyFill="1" applyBorder="1" applyAlignment="1">
      <alignment horizontal="right" vertical="center"/>
    </xf>
    <xf numFmtId="2" fontId="0" fillId="6" borderId="0" xfId="0" applyNumberFormat="1" applyFill="1"/>
    <xf numFmtId="2" fontId="0" fillId="7" borderId="0" xfId="0" applyNumberFormat="1" applyFill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wrapText="1"/>
    </xf>
    <xf numFmtId="11" fontId="7" fillId="0" borderId="0" xfId="0" applyNumberFormat="1" applyFont="1"/>
    <xf numFmtId="0" fontId="7" fillId="12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12" borderId="0" xfId="0" applyFont="1" applyFill="1"/>
    <xf numFmtId="0" fontId="0" fillId="12" borderId="0" xfId="0" applyFill="1"/>
    <xf numFmtId="0" fontId="7" fillId="12" borderId="0" xfId="0" applyFont="1" applyFill="1" applyAlignment="1">
      <alignment horizontal="right"/>
    </xf>
    <xf numFmtId="0" fontId="7" fillId="12" borderId="1" xfId="0" applyFont="1" applyFill="1" applyBorder="1"/>
    <xf numFmtId="164" fontId="0" fillId="12" borderId="1" xfId="0" applyNumberFormat="1" applyFill="1" applyBorder="1"/>
    <xf numFmtId="11" fontId="7" fillId="0" borderId="1" xfId="0" applyNumberFormat="1" applyFont="1" applyBorder="1"/>
    <xf numFmtId="0" fontId="8" fillId="12" borderId="4" xfId="0" applyFont="1" applyFill="1" applyBorder="1" applyAlignment="1">
      <alignment horizontal="left"/>
    </xf>
    <xf numFmtId="0" fontId="7" fillId="12" borderId="5" xfId="0" applyFont="1" applyFill="1" applyBorder="1"/>
    <xf numFmtId="164" fontId="0" fillId="12" borderId="0" xfId="0" applyNumberFormat="1" applyFill="1"/>
    <xf numFmtId="0" fontId="7" fillId="12" borderId="6" xfId="0" applyFont="1" applyFill="1" applyBorder="1"/>
    <xf numFmtId="0" fontId="7" fillId="12" borderId="7" xfId="0" applyFont="1" applyFill="1" applyBorder="1"/>
    <xf numFmtId="0" fontId="8" fillId="12" borderId="7" xfId="0" applyFont="1" applyFill="1" applyBorder="1" applyAlignment="1">
      <alignment horizontal="left"/>
    </xf>
    <xf numFmtId="0" fontId="7" fillId="12" borderId="7" xfId="0" applyFont="1" applyFill="1" applyBorder="1" applyAlignment="1">
      <alignment horizontal="right"/>
    </xf>
    <xf numFmtId="0" fontId="7" fillId="12" borderId="8" xfId="0" applyFont="1" applyFill="1" applyBorder="1" applyAlignment="1">
      <alignment horizontal="right"/>
    </xf>
    <xf numFmtId="0" fontId="7" fillId="12" borderId="8" xfId="0" applyFont="1" applyFill="1" applyBorder="1"/>
    <xf numFmtId="11" fontId="9" fillId="12" borderId="6" xfId="0" applyNumberFormat="1" applyFont="1" applyFill="1" applyBorder="1"/>
    <xf numFmtId="0" fontId="7" fillId="12" borderId="9" xfId="0" applyFont="1" applyFill="1" applyBorder="1" applyAlignment="1">
      <alignment horizontal="right"/>
    </xf>
    <xf numFmtId="11" fontId="9" fillId="12" borderId="0" xfId="0" applyNumberFormat="1" applyFont="1" applyFill="1"/>
    <xf numFmtId="0" fontId="7" fillId="12" borderId="6" xfId="0" applyFont="1" applyFill="1" applyBorder="1" applyAlignment="1">
      <alignment horizontal="right"/>
    </xf>
    <xf numFmtId="0" fontId="7" fillId="12" borderId="7" xfId="0" applyFont="1" applyFill="1" applyBorder="1" applyAlignment="1">
      <alignment horizontal="left"/>
    </xf>
    <xf numFmtId="0" fontId="8" fillId="12" borderId="8" xfId="0" applyFont="1" applyFill="1" applyBorder="1" applyAlignment="1">
      <alignment horizontal="left"/>
    </xf>
    <xf numFmtId="165" fontId="7" fillId="12" borderId="1" xfId="0" applyNumberFormat="1" applyFont="1" applyFill="1" applyBorder="1"/>
    <xf numFmtId="165" fontId="7" fillId="12" borderId="0" xfId="0" applyNumberFormat="1" applyFont="1" applyFill="1"/>
    <xf numFmtId="0" fontId="7" fillId="12" borderId="4" xfId="0" applyFont="1" applyFill="1" applyBorder="1"/>
    <xf numFmtId="0" fontId="7" fillId="12" borderId="4" xfId="0" applyFont="1" applyFill="1" applyBorder="1" applyAlignment="1">
      <alignment horizontal="left"/>
    </xf>
    <xf numFmtId="0" fontId="8" fillId="12" borderId="0" xfId="0" applyFont="1" applyFill="1" applyAlignment="1">
      <alignment horizontal="left"/>
    </xf>
    <xf numFmtId="0" fontId="7" fillId="12" borderId="10" xfId="0" applyFont="1" applyFill="1" applyBorder="1"/>
    <xf numFmtId="0" fontId="7" fillId="12" borderId="11" xfId="0" applyFont="1" applyFill="1" applyBorder="1"/>
    <xf numFmtId="0" fontId="7" fillId="12" borderId="10" xfId="0" applyFont="1" applyFill="1" applyBorder="1" applyAlignment="1">
      <alignment horizontal="right"/>
    </xf>
    <xf numFmtId="0" fontId="7" fillId="12" borderId="9" xfId="0" applyFont="1" applyFill="1" applyBorder="1"/>
    <xf numFmtId="11" fontId="7" fillId="12" borderId="11" xfId="0" applyNumberFormat="1" applyFont="1" applyFill="1" applyBorder="1"/>
    <xf numFmtId="0" fontId="7" fillId="12" borderId="0" xfId="0" applyFont="1" applyFill="1" applyAlignment="1">
      <alignment horizontal="left"/>
    </xf>
    <xf numFmtId="0" fontId="10" fillId="12" borderId="0" xfId="0" applyFont="1" applyFill="1" applyAlignment="1">
      <alignment horizontal="right"/>
    </xf>
    <xf numFmtId="0" fontId="8" fillId="12" borderId="7" xfId="0" applyFont="1" applyFill="1" applyBorder="1"/>
    <xf numFmtId="0" fontId="8" fillId="12" borderId="0" xfId="0" applyFont="1" applyFill="1"/>
    <xf numFmtId="11" fontId="8" fillId="12" borderId="6" xfId="0" applyNumberFormat="1" applyFont="1" applyFill="1" applyBorder="1"/>
    <xf numFmtId="11" fontId="8" fillId="12" borderId="0" xfId="0" applyNumberFormat="1" applyFont="1" applyFill="1"/>
    <xf numFmtId="0" fontId="7" fillId="12" borderId="11" xfId="0" applyFont="1" applyFill="1" applyBorder="1" applyAlignment="1">
      <alignment horizontal="right"/>
    </xf>
    <xf numFmtId="0" fontId="7" fillId="12" borderId="12" xfId="0" applyFont="1" applyFill="1" applyBorder="1"/>
    <xf numFmtId="0" fontId="7" fillId="12" borderId="13" xfId="0" applyFont="1" applyFill="1" applyBorder="1"/>
    <xf numFmtId="0" fontId="8" fillId="0" borderId="0" xfId="0" applyFont="1" applyAlignment="1">
      <alignment horizontal="left"/>
    </xf>
    <xf numFmtId="0" fontId="7" fillId="3" borderId="1" xfId="0" applyFont="1" applyFill="1" applyBorder="1"/>
    <xf numFmtId="0" fontId="0" fillId="3" borderId="1" xfId="0" applyFill="1" applyBorder="1" applyAlignment="1">
      <alignment wrapText="1"/>
    </xf>
    <xf numFmtId="11" fontId="7" fillId="3" borderId="1" xfId="0" applyNumberFormat="1" applyFont="1" applyFill="1" applyBorder="1"/>
    <xf numFmtId="0" fontId="0" fillId="3" borderId="1" xfId="0" applyFill="1" applyBorder="1"/>
    <xf numFmtId="0" fontId="7" fillId="3" borderId="9" xfId="0" applyFont="1" applyFill="1" applyBorder="1"/>
    <xf numFmtId="0" fontId="7" fillId="3" borderId="7" xfId="0" applyFont="1" applyFill="1" applyBorder="1"/>
    <xf numFmtId="0" fontId="7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11" fontId="7" fillId="6" borderId="1" xfId="0" applyNumberFormat="1" applyFont="1" applyFill="1" applyBorder="1"/>
    <xf numFmtId="0" fontId="7" fillId="6" borderId="9" xfId="0" applyFont="1" applyFill="1" applyBorder="1"/>
    <xf numFmtId="0" fontId="7" fillId="6" borderId="7" xfId="0" applyFont="1" applyFill="1" applyBorder="1"/>
    <xf numFmtId="0" fontId="7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1" fontId="7" fillId="4" borderId="1" xfId="0" applyNumberFormat="1" applyFont="1" applyFill="1" applyBorder="1"/>
    <xf numFmtId="0" fontId="7" fillId="4" borderId="9" xfId="0" applyFont="1" applyFill="1" applyBorder="1"/>
    <xf numFmtId="0" fontId="7" fillId="4" borderId="7" xfId="0" applyFont="1" applyFill="1" applyBorder="1"/>
    <xf numFmtId="0" fontId="7" fillId="7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11" fontId="7" fillId="7" borderId="1" xfId="0" applyNumberFormat="1" applyFont="1" applyFill="1" applyBorder="1"/>
    <xf numFmtId="0" fontId="7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11" fontId="7" fillId="5" borderId="1" xfId="0" applyNumberFormat="1" applyFont="1" applyFill="1" applyBorder="1"/>
    <xf numFmtId="0" fontId="10" fillId="12" borderId="0" xfId="0" applyFont="1" applyFill="1"/>
    <xf numFmtId="0" fontId="11" fillId="12" borderId="0" xfId="0" applyFont="1" applyFill="1"/>
    <xf numFmtId="0" fontId="10" fillId="0" borderId="0" xfId="0" applyFont="1"/>
    <xf numFmtId="0" fontId="10" fillId="12" borderId="1" xfId="0" applyFont="1" applyFill="1" applyBorder="1"/>
    <xf numFmtId="164" fontId="11" fillId="12" borderId="1" xfId="0" applyNumberFormat="1" applyFont="1" applyFill="1" applyBorder="1"/>
    <xf numFmtId="11" fontId="10" fillId="0" borderId="1" xfId="0" applyNumberFormat="1" applyFont="1" applyBorder="1"/>
    <xf numFmtId="0" fontId="10" fillId="12" borderId="5" xfId="0" applyFont="1" applyFill="1" applyBorder="1"/>
    <xf numFmtId="164" fontId="11" fillId="12" borderId="0" xfId="0" applyNumberFormat="1" applyFont="1" applyFill="1"/>
    <xf numFmtId="0" fontId="10" fillId="12" borderId="6" xfId="0" applyFont="1" applyFill="1" applyBorder="1"/>
    <xf numFmtId="0" fontId="10" fillId="12" borderId="7" xfId="0" applyFont="1" applyFill="1" applyBorder="1"/>
    <xf numFmtId="11" fontId="10" fillId="0" borderId="0" xfId="0" applyNumberFormat="1" applyFont="1"/>
    <xf numFmtId="0" fontId="10" fillId="12" borderId="7" xfId="0" applyFont="1" applyFill="1" applyBorder="1" applyAlignment="1">
      <alignment horizontal="right"/>
    </xf>
    <xf numFmtId="0" fontId="10" fillId="12" borderId="8" xfId="0" applyFont="1" applyFill="1" applyBorder="1" applyAlignment="1">
      <alignment horizontal="right"/>
    </xf>
    <xf numFmtId="0" fontId="10" fillId="12" borderId="8" xfId="0" applyFont="1" applyFill="1" applyBorder="1"/>
    <xf numFmtId="0" fontId="10" fillId="12" borderId="9" xfId="0" applyFont="1" applyFill="1" applyBorder="1" applyAlignment="1">
      <alignment horizontal="right"/>
    </xf>
    <xf numFmtId="0" fontId="7" fillId="0" borderId="8" xfId="0" applyFont="1" applyBorder="1"/>
    <xf numFmtId="164" fontId="7" fillId="0" borderId="0" xfId="0" applyNumberFormat="1" applyFont="1"/>
    <xf numFmtId="164" fontId="7" fillId="4" borderId="1" xfId="0" applyNumberFormat="1" applyFont="1" applyFill="1" applyBorder="1"/>
    <xf numFmtId="0" fontId="6" fillId="12" borderId="0" xfId="0" applyFont="1" applyFill="1"/>
    <xf numFmtId="164" fontId="7" fillId="6" borderId="1" xfId="0" applyNumberFormat="1" applyFont="1" applyFill="1" applyBorder="1"/>
    <xf numFmtId="164" fontId="7" fillId="3" borderId="1" xfId="0" applyNumberFormat="1" applyFont="1" applyFill="1" applyBorder="1"/>
    <xf numFmtId="164" fontId="7" fillId="7" borderId="1" xfId="0" applyNumberFormat="1" applyFont="1" applyFill="1" applyBorder="1"/>
    <xf numFmtId="0" fontId="7" fillId="12" borderId="14" xfId="0" applyFont="1" applyFill="1" applyBorder="1" applyAlignment="1">
      <alignment wrapText="1"/>
    </xf>
    <xf numFmtId="0" fontId="7" fillId="12" borderId="15" xfId="0" applyFont="1" applyFill="1" applyBorder="1" applyAlignment="1">
      <alignment wrapText="1"/>
    </xf>
    <xf numFmtId="165" fontId="7" fillId="12" borderId="1" xfId="0" applyNumberFormat="1" applyFont="1" applyFill="1" applyBorder="1" applyAlignment="1">
      <alignment wrapText="1"/>
    </xf>
    <xf numFmtId="165" fontId="11" fillId="12" borderId="0" xfId="0" applyNumberFormat="1" applyFont="1" applyFill="1"/>
    <xf numFmtId="165" fontId="11" fillId="12" borderId="1" xfId="0" applyNumberFormat="1" applyFont="1" applyFill="1" applyBorder="1"/>
    <xf numFmtId="165" fontId="0" fillId="0" borderId="0" xfId="0" applyNumberFormat="1"/>
    <xf numFmtId="0" fontId="10" fillId="12" borderId="11" xfId="0" applyFont="1" applyFill="1" applyBorder="1"/>
    <xf numFmtId="0" fontId="10" fillId="12" borderId="11" xfId="0" applyFont="1" applyFill="1" applyBorder="1" applyAlignment="1">
      <alignment horizontal="right"/>
    </xf>
    <xf numFmtId="11" fontId="9" fillId="12" borderId="10" xfId="0" applyNumberFormat="1" applyFont="1" applyFill="1" applyBorder="1"/>
    <xf numFmtId="11" fontId="9" fillId="12" borderId="13" xfId="0" applyNumberFormat="1" applyFont="1" applyFill="1" applyBorder="1"/>
    <xf numFmtId="0" fontId="7" fillId="0" borderId="11" xfId="0" applyFont="1" applyBorder="1"/>
    <xf numFmtId="0" fontId="0" fillId="2" borderId="0" xfId="0" applyFill="1" applyAlignment="1">
      <alignment wrapText="1"/>
    </xf>
    <xf numFmtId="0" fontId="6" fillId="12" borderId="0" xfId="0" applyFont="1" applyFill="1" applyAlignment="1">
      <alignment wrapText="1"/>
    </xf>
    <xf numFmtId="0" fontId="0" fillId="0" borderId="18" xfId="0" applyBorder="1"/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19" xfId="0" applyFont="1" applyBorder="1" applyAlignment="1">
      <alignment vertical="center"/>
    </xf>
    <xf numFmtId="0" fontId="12" fillId="0" borderId="19" xfId="0" applyFont="1" applyBorder="1" applyAlignment="1">
      <alignment horizontal="center" vertical="center"/>
    </xf>
    <xf numFmtId="166" fontId="12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2" fillId="0" borderId="2" xfId="0" applyNumberFormat="1" applyFont="1" applyBorder="1" applyAlignment="1">
      <alignment horizontal="center" vertical="center"/>
    </xf>
    <xf numFmtId="0" fontId="14" fillId="0" borderId="0" xfId="0" applyFont="1" applyAlignment="1">
      <alignment wrapText="1"/>
    </xf>
    <xf numFmtId="165" fontId="7" fillId="3" borderId="0" xfId="0" applyNumberFormat="1" applyFont="1" applyFill="1"/>
    <xf numFmtId="2" fontId="7" fillId="3" borderId="0" xfId="0" applyNumberFormat="1" applyFont="1" applyFill="1"/>
    <xf numFmtId="0" fontId="0" fillId="11" borderId="0" xfId="0" applyFill="1"/>
    <xf numFmtId="165" fontId="7" fillId="11" borderId="0" xfId="0" applyNumberFormat="1" applyFont="1" applyFill="1"/>
    <xf numFmtId="2" fontId="7" fillId="11" borderId="0" xfId="0" applyNumberFormat="1" applyFont="1" applyFill="1"/>
    <xf numFmtId="11" fontId="7" fillId="11" borderId="0" xfId="0" applyNumberFormat="1" applyFont="1" applyFill="1"/>
    <xf numFmtId="165" fontId="7" fillId="6" borderId="0" xfId="0" applyNumberFormat="1" applyFont="1" applyFill="1"/>
    <xf numFmtId="2" fontId="7" fillId="6" borderId="0" xfId="0" applyNumberFormat="1" applyFont="1" applyFill="1"/>
    <xf numFmtId="165" fontId="7" fillId="4" borderId="0" xfId="0" applyNumberFormat="1" applyFont="1" applyFill="1"/>
    <xf numFmtId="2" fontId="7" fillId="4" borderId="0" xfId="0" applyNumberFormat="1" applyFont="1" applyFill="1"/>
    <xf numFmtId="11" fontId="7" fillId="6" borderId="0" xfId="0" applyNumberFormat="1" applyFont="1" applyFill="1"/>
    <xf numFmtId="11" fontId="7" fillId="3" borderId="0" xfId="0" applyNumberFormat="1" applyFont="1" applyFill="1"/>
    <xf numFmtId="11" fontId="7" fillId="4" borderId="0" xfId="0" applyNumberFormat="1" applyFont="1" applyFill="1"/>
    <xf numFmtId="11" fontId="0" fillId="0" borderId="0" xfId="0" applyNumberFormat="1"/>
    <xf numFmtId="11" fontId="4" fillId="0" borderId="22" xfId="0" applyNumberFormat="1" applyFont="1" applyBorder="1" applyAlignment="1">
      <alignment horizontal="center" vertical="center" wrapText="1"/>
    </xf>
    <xf numFmtId="11" fontId="4" fillId="0" borderId="23" xfId="0" applyNumberFormat="1" applyFont="1" applyBorder="1" applyAlignment="1">
      <alignment horizontal="center" vertical="center" wrapText="1"/>
    </xf>
    <xf numFmtId="0" fontId="7" fillId="13" borderId="1" xfId="0" applyFont="1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11" fontId="7" fillId="13" borderId="1" xfId="0" applyNumberFormat="1" applyFont="1" applyFill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164" fontId="0" fillId="7" borderId="1" xfId="0" applyNumberFormat="1" applyFill="1" applyBorder="1"/>
    <xf numFmtId="164" fontId="0" fillId="6" borderId="1" xfId="0" applyNumberFormat="1" applyFill="1" applyBorder="1"/>
    <xf numFmtId="164" fontId="0" fillId="4" borderId="1" xfId="0" applyNumberFormat="1" applyFill="1" applyBorder="1"/>
    <xf numFmtId="2" fontId="7" fillId="6" borderId="1" xfId="0" applyNumberFormat="1" applyFont="1" applyFill="1" applyBorder="1"/>
    <xf numFmtId="164" fontId="0" fillId="3" borderId="1" xfId="0" applyNumberFormat="1" applyFill="1" applyBorder="1"/>
    <xf numFmtId="164" fontId="7" fillId="5" borderId="1" xfId="0" applyNumberFormat="1" applyFont="1" applyFill="1" applyBorder="1"/>
    <xf numFmtId="164" fontId="0" fillId="5" borderId="1" xfId="0" applyNumberFormat="1" applyFill="1" applyBorder="1"/>
    <xf numFmtId="164" fontId="7" fillId="13" borderId="1" xfId="0" applyNumberFormat="1" applyFont="1" applyFill="1" applyBorder="1"/>
    <xf numFmtId="164" fontId="0" fillId="3" borderId="0" xfId="0" applyNumberFormat="1" applyFill="1"/>
    <xf numFmtId="11" fontId="0" fillId="3" borderId="0" xfId="0" applyNumberFormat="1" applyFill="1"/>
    <xf numFmtId="164" fontId="0" fillId="5" borderId="0" xfId="0" applyNumberFormat="1" applyFill="1"/>
    <xf numFmtId="11" fontId="0" fillId="5" borderId="0" xfId="0" applyNumberFormat="1" applyFill="1"/>
    <xf numFmtId="0" fontId="0" fillId="13" borderId="0" xfId="0" applyFill="1"/>
    <xf numFmtId="2" fontId="0" fillId="13" borderId="0" xfId="0" applyNumberFormat="1" applyFill="1"/>
    <xf numFmtId="164" fontId="0" fillId="13" borderId="0" xfId="0" applyNumberFormat="1" applyFill="1"/>
    <xf numFmtId="11" fontId="0" fillId="13" borderId="0" xfId="0" applyNumberFormat="1" applyFill="1"/>
    <xf numFmtId="2" fontId="0" fillId="11" borderId="0" xfId="0" applyNumberFormat="1" applyFill="1"/>
    <xf numFmtId="164" fontId="0" fillId="11" borderId="0" xfId="0" applyNumberFormat="1" applyFill="1"/>
    <xf numFmtId="11" fontId="0" fillId="11" borderId="0" xfId="0" applyNumberFormat="1" applyFill="1"/>
    <xf numFmtId="164" fontId="0" fillId="6" borderId="0" xfId="0" applyNumberFormat="1" applyFill="1"/>
    <xf numFmtId="11" fontId="0" fillId="6" borderId="0" xfId="0" applyNumberFormat="1" applyFill="1"/>
    <xf numFmtId="164" fontId="7" fillId="11" borderId="0" xfId="0" applyNumberFormat="1" applyFont="1" applyFill="1"/>
    <xf numFmtId="164" fontId="7" fillId="6" borderId="0" xfId="0" applyNumberFormat="1" applyFont="1" applyFill="1"/>
    <xf numFmtId="164" fontId="7" fillId="4" borderId="0" xfId="0" applyNumberFormat="1" applyFont="1" applyFill="1"/>
    <xf numFmtId="164" fontId="7" fillId="3" borderId="0" xfId="0" applyNumberFormat="1" applyFont="1" applyFill="1"/>
  </cellXfs>
  <cellStyles count="1">
    <cellStyle name="Обычный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63</xdr:row>
      <xdr:rowOff>0</xdr:rowOff>
    </xdr:from>
    <xdr:to>
      <xdr:col>15</xdr:col>
      <xdr:colOff>312420</xdr:colOff>
      <xdr:row>68</xdr:row>
      <xdr:rowOff>60960</xdr:rowOff>
    </xdr:to>
    <xdr:pic>
      <xdr:nvPicPr>
        <xdr:cNvPr id="3" name="Рисунок 2" descr="к определению категорий помещений по пожарной и пожарной опасности - формула Сучкова">
          <a:extLst>
            <a:ext uri="{FF2B5EF4-FFF2-40B4-BE49-F238E27FC236}">
              <a16:creationId xmlns:a16="http://schemas.microsoft.com/office/drawing/2014/main" id="{B86DBEE3-2271-76E4-063C-EF666C678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0840" y="14211300"/>
          <a:ext cx="70027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C608-8180-41B8-827A-805191FA70AA}">
  <dimension ref="B1:N35"/>
  <sheetViews>
    <sheetView workbookViewId="0">
      <pane ySplit="1" topLeftCell="A2" activePane="bottomLeft" state="frozen"/>
      <selection pane="bottomLeft" activeCell="K10" sqref="K10"/>
    </sheetView>
  </sheetViews>
  <sheetFormatPr defaultColWidth="8.88671875" defaultRowHeight="14.4"/>
  <cols>
    <col min="1" max="1" width="8.88671875" style="33"/>
    <col min="2" max="2" width="14" style="33" customWidth="1"/>
    <col min="3" max="3" width="18.33203125" style="33" customWidth="1"/>
    <col min="4" max="4" width="21.6640625" style="33" customWidth="1"/>
    <col min="5" max="5" width="17.33203125" style="33" customWidth="1"/>
    <col min="6" max="6" width="28.44140625" style="33" customWidth="1"/>
    <col min="7" max="7" width="12" style="33" hidden="1" customWidth="1"/>
    <col min="8" max="8" width="12.109375" style="132" customWidth="1"/>
    <col min="9" max="9" width="16.6640625" style="33" customWidth="1"/>
    <col min="10" max="13" width="8.88671875" style="33"/>
    <col min="14" max="14" width="8.88671875" style="121"/>
    <col min="15" max="16384" width="8.88671875" style="33"/>
  </cols>
  <sheetData>
    <row r="1" spans="2:14" ht="58.95" customHeight="1">
      <c r="B1" s="36" t="s">
        <v>220</v>
      </c>
      <c r="C1" s="127" t="s">
        <v>141</v>
      </c>
      <c r="D1" s="36" t="s">
        <v>142</v>
      </c>
      <c r="E1" s="36" t="s">
        <v>143</v>
      </c>
      <c r="F1" s="36" t="s">
        <v>144</v>
      </c>
      <c r="G1" s="36" t="s">
        <v>70</v>
      </c>
      <c r="H1" s="129" t="s">
        <v>74</v>
      </c>
      <c r="I1" s="37" t="s">
        <v>145</v>
      </c>
    </row>
    <row r="2" spans="2:14">
      <c r="B2" s="105"/>
      <c r="C2" s="105"/>
      <c r="D2" s="105"/>
      <c r="E2" s="105"/>
      <c r="F2" s="105"/>
      <c r="G2" s="105"/>
      <c r="H2" s="130"/>
      <c r="I2" s="107"/>
    </row>
    <row r="3" spans="2:14">
      <c r="B3" s="105"/>
      <c r="C3" s="105"/>
      <c r="D3" s="105"/>
      <c r="E3" s="105"/>
      <c r="F3" s="70" t="s">
        <v>146</v>
      </c>
      <c r="G3" s="108"/>
      <c r="H3" s="131">
        <f>C9*D4</f>
        <v>0.2</v>
      </c>
      <c r="I3" s="110">
        <f>B14*H3</f>
        <v>2.0000000000000002E-5</v>
      </c>
    </row>
    <row r="4" spans="2:14">
      <c r="B4" s="105"/>
      <c r="C4" s="70" t="s">
        <v>149</v>
      </c>
      <c r="D4" s="44">
        <v>0.2</v>
      </c>
      <c r="E4" s="111"/>
      <c r="F4" s="111"/>
      <c r="G4" s="105"/>
      <c r="H4" s="130"/>
      <c r="I4" s="107"/>
    </row>
    <row r="5" spans="2:14">
      <c r="B5" s="105"/>
      <c r="C5" s="113"/>
      <c r="D5" s="114"/>
      <c r="E5" s="105"/>
      <c r="F5" s="70" t="s">
        <v>219</v>
      </c>
      <c r="G5" s="108"/>
      <c r="H5" s="131">
        <f>C9*D7*F6</f>
        <v>4.0000000000000008E-2</v>
      </c>
      <c r="I5" s="110">
        <f>B14*H5</f>
        <v>4.0000000000000007E-6</v>
      </c>
    </row>
    <row r="6" spans="2:14">
      <c r="B6" s="133"/>
      <c r="C6" s="105"/>
      <c r="D6" s="114"/>
      <c r="E6" s="70" t="s">
        <v>147</v>
      </c>
      <c r="F6" s="44">
        <v>0.05</v>
      </c>
      <c r="G6" s="105"/>
      <c r="H6" s="130"/>
      <c r="I6" s="115"/>
    </row>
    <row r="7" spans="2:14">
      <c r="B7" s="133"/>
      <c r="C7" s="70" t="s">
        <v>153</v>
      </c>
      <c r="D7" s="49">
        <v>0.8</v>
      </c>
      <c r="E7" s="105"/>
      <c r="F7" s="114"/>
      <c r="G7" s="105"/>
      <c r="H7" s="130"/>
      <c r="I7" s="115"/>
    </row>
    <row r="8" spans="2:14">
      <c r="B8" s="133"/>
      <c r="C8" s="105"/>
      <c r="D8" s="114"/>
      <c r="E8" s="44">
        <v>1</v>
      </c>
      <c r="F8" s="49">
        <v>0.95</v>
      </c>
      <c r="G8" s="105"/>
      <c r="H8" s="130"/>
      <c r="I8" s="115"/>
    </row>
    <row r="9" spans="2:14">
      <c r="B9" s="134" t="s">
        <v>151</v>
      </c>
      <c r="C9" s="63">
        <v>1</v>
      </c>
      <c r="D9" s="116" t="s">
        <v>152</v>
      </c>
      <c r="E9" s="116" t="s">
        <v>150</v>
      </c>
      <c r="F9" s="117" t="s">
        <v>154</v>
      </c>
      <c r="G9" s="108"/>
      <c r="H9" s="131">
        <f>C9*D7*E8*F8</f>
        <v>0.76</v>
      </c>
      <c r="I9" s="110">
        <f>B14*H9</f>
        <v>7.6000000000000004E-5</v>
      </c>
    </row>
    <row r="10" spans="2:14">
      <c r="B10" s="133"/>
      <c r="C10" s="105"/>
      <c r="D10" s="114"/>
      <c r="E10" s="114"/>
      <c r="F10" s="105"/>
      <c r="G10" s="105"/>
      <c r="H10" s="130"/>
      <c r="I10" s="115"/>
    </row>
    <row r="11" spans="2:14">
      <c r="B11" s="133"/>
      <c r="C11" s="105"/>
      <c r="D11" s="118"/>
      <c r="E11" s="114"/>
      <c r="F11" s="105"/>
      <c r="G11" s="105"/>
      <c r="H11" s="130"/>
      <c r="I11" s="115"/>
      <c r="N11" s="121">
        <v>0.2</v>
      </c>
    </row>
    <row r="12" spans="2:14">
      <c r="B12" s="133"/>
      <c r="C12" s="105"/>
      <c r="D12" s="105"/>
      <c r="E12" s="114"/>
      <c r="F12" s="105"/>
      <c r="G12" s="105"/>
      <c r="H12" s="130"/>
      <c r="I12" s="115"/>
      <c r="N12" s="121">
        <v>4.0000000000000008E-2</v>
      </c>
    </row>
    <row r="13" spans="2:14">
      <c r="B13" s="133"/>
      <c r="C13" s="105"/>
      <c r="D13" s="105"/>
      <c r="E13" s="49">
        <v>0</v>
      </c>
      <c r="F13" s="70" t="s">
        <v>146</v>
      </c>
      <c r="G13" s="108"/>
      <c r="H13" s="131">
        <f>F14*E13*D7*C9</f>
        <v>0</v>
      </c>
      <c r="I13" s="110">
        <f>H13*B14</f>
        <v>0</v>
      </c>
      <c r="N13" s="121">
        <v>0.76</v>
      </c>
    </row>
    <row r="14" spans="2:14">
      <c r="B14" s="135">
        <f>0.0001</f>
        <v>1E-4</v>
      </c>
      <c r="C14" s="105"/>
      <c r="D14" s="70" t="s">
        <v>155</v>
      </c>
      <c r="E14" s="119" t="s">
        <v>147</v>
      </c>
      <c r="F14" s="44">
        <v>0.05</v>
      </c>
      <c r="G14" s="105"/>
      <c r="H14" s="130"/>
      <c r="I14" s="115"/>
      <c r="N14" s="121">
        <v>0.2</v>
      </c>
    </row>
    <row r="15" spans="2:14">
      <c r="B15" s="136"/>
      <c r="C15" s="105"/>
      <c r="D15" s="105"/>
      <c r="E15" s="118"/>
      <c r="F15" s="114"/>
      <c r="G15" s="105"/>
      <c r="H15" s="130"/>
      <c r="I15" s="115"/>
      <c r="N15" s="121">
        <v>4.0000000000000008E-2</v>
      </c>
    </row>
    <row r="16" spans="2:14">
      <c r="B16" s="133"/>
      <c r="C16" s="105"/>
      <c r="D16" s="105"/>
      <c r="E16" s="105"/>
      <c r="F16" s="49">
        <v>0.95</v>
      </c>
      <c r="G16" s="105"/>
      <c r="H16" s="130"/>
      <c r="I16" s="115"/>
      <c r="N16" s="121">
        <v>0.76</v>
      </c>
    </row>
    <row r="17" spans="2:9">
      <c r="B17" s="133"/>
      <c r="C17" s="105"/>
      <c r="D17" s="105"/>
      <c r="E17" s="70" t="s">
        <v>150</v>
      </c>
      <c r="F17" s="117" t="s">
        <v>154</v>
      </c>
      <c r="G17" s="108"/>
      <c r="H17" s="131">
        <f>F16*E13*D7*C9</f>
        <v>0</v>
      </c>
      <c r="I17" s="110">
        <f>B14*H17</f>
        <v>0</v>
      </c>
    </row>
    <row r="18" spans="2:9">
      <c r="B18" s="134" t="s">
        <v>157</v>
      </c>
      <c r="C18" s="63">
        <v>1</v>
      </c>
      <c r="D18" s="105"/>
      <c r="E18" s="105"/>
      <c r="F18" s="105"/>
      <c r="G18" s="105"/>
      <c r="H18" s="130"/>
      <c r="I18" s="115"/>
    </row>
    <row r="19" spans="2:9">
      <c r="B19" s="133"/>
      <c r="C19" s="105"/>
      <c r="D19" s="105"/>
      <c r="E19" s="105"/>
      <c r="F19" s="105"/>
      <c r="G19" s="105"/>
      <c r="H19" s="130"/>
      <c r="I19" s="107"/>
    </row>
    <row r="20" spans="2:9">
      <c r="B20" s="133"/>
      <c r="C20" s="105"/>
      <c r="D20" s="105"/>
      <c r="E20" s="105"/>
      <c r="F20" s="70" t="s">
        <v>146</v>
      </c>
      <c r="G20" s="108"/>
      <c r="H20" s="131">
        <f>C18*D21</f>
        <v>0.2</v>
      </c>
      <c r="I20" s="110">
        <f>B14*H20</f>
        <v>2.0000000000000002E-5</v>
      </c>
    </row>
    <row r="21" spans="2:9">
      <c r="B21" s="133"/>
      <c r="C21" s="70" t="s">
        <v>149</v>
      </c>
      <c r="D21" s="44">
        <v>0.2</v>
      </c>
      <c r="E21" s="111"/>
      <c r="F21" s="111"/>
      <c r="G21" s="105"/>
      <c r="H21" s="130"/>
      <c r="I21" s="107"/>
    </row>
    <row r="22" spans="2:9">
      <c r="B22" s="137"/>
      <c r="C22" s="113"/>
      <c r="D22" s="114"/>
      <c r="E22" s="105"/>
      <c r="F22" s="70" t="s">
        <v>161</v>
      </c>
      <c r="G22" s="108"/>
      <c r="H22" s="131">
        <f>C18*D24*F23</f>
        <v>4.0000000000000008E-2</v>
      </c>
      <c r="I22" s="110">
        <f>B14*H22</f>
        <v>4.0000000000000007E-6</v>
      </c>
    </row>
    <row r="23" spans="2:9">
      <c r="B23" s="105"/>
      <c r="C23" s="105"/>
      <c r="D23" s="114"/>
      <c r="E23" s="70" t="s">
        <v>147</v>
      </c>
      <c r="F23" s="44">
        <v>0.05</v>
      </c>
      <c r="G23" s="105"/>
      <c r="H23" s="130"/>
      <c r="I23" s="115"/>
    </row>
    <row r="24" spans="2:9">
      <c r="B24" s="105"/>
      <c r="C24" s="70" t="s">
        <v>153</v>
      </c>
      <c r="D24" s="49">
        <v>0.8</v>
      </c>
      <c r="E24" s="105"/>
      <c r="F24" s="114"/>
      <c r="G24" s="105"/>
      <c r="H24" s="130"/>
      <c r="I24" s="115"/>
    </row>
    <row r="25" spans="2:9">
      <c r="B25" s="105"/>
      <c r="C25" s="105"/>
      <c r="D25" s="114"/>
      <c r="E25" s="44">
        <v>1</v>
      </c>
      <c r="F25" s="49">
        <v>0.95</v>
      </c>
      <c r="G25" s="105"/>
      <c r="H25" s="130"/>
      <c r="I25" s="115"/>
    </row>
    <row r="26" spans="2:9">
      <c r="B26" s="105"/>
      <c r="C26" s="105"/>
      <c r="D26" s="116" t="s">
        <v>152</v>
      </c>
      <c r="E26" s="116" t="s">
        <v>150</v>
      </c>
      <c r="F26" s="117" t="s">
        <v>154</v>
      </c>
      <c r="G26" s="108"/>
      <c r="H26" s="131">
        <f>C18*D24*E25*F25</f>
        <v>0.76</v>
      </c>
      <c r="I26" s="110">
        <f>B14*H26</f>
        <v>7.6000000000000004E-5</v>
      </c>
    </row>
    <row r="27" spans="2:9">
      <c r="B27" s="105"/>
      <c r="C27" s="105"/>
      <c r="D27" s="114"/>
      <c r="E27" s="114"/>
      <c r="F27" s="105"/>
      <c r="G27" s="105"/>
      <c r="H27" s="130"/>
      <c r="I27" s="115"/>
    </row>
    <row r="28" spans="2:9">
      <c r="B28" s="105"/>
      <c r="C28" s="105"/>
      <c r="D28" s="118"/>
      <c r="E28" s="114"/>
      <c r="F28" s="105"/>
      <c r="G28" s="105"/>
      <c r="H28" s="130"/>
      <c r="I28" s="115"/>
    </row>
    <row r="29" spans="2:9">
      <c r="B29" s="105"/>
      <c r="C29" s="105"/>
      <c r="D29" s="105"/>
      <c r="E29" s="114"/>
      <c r="F29" s="105"/>
      <c r="G29" s="105"/>
      <c r="H29" s="130"/>
      <c r="I29" s="115"/>
    </row>
    <row r="30" spans="2:9">
      <c r="B30" s="105"/>
      <c r="C30" s="105"/>
      <c r="D30" s="105"/>
      <c r="E30" s="49">
        <v>0</v>
      </c>
      <c r="F30" s="70" t="s">
        <v>146</v>
      </c>
      <c r="G30" s="108"/>
      <c r="H30" s="131">
        <f>F31*E30*D24*C18</f>
        <v>0</v>
      </c>
      <c r="I30" s="110">
        <f>H30*B14</f>
        <v>0</v>
      </c>
    </row>
    <row r="31" spans="2:9">
      <c r="B31" s="105"/>
      <c r="C31" s="105"/>
      <c r="D31" s="70" t="s">
        <v>155</v>
      </c>
      <c r="E31" s="119" t="s">
        <v>147</v>
      </c>
      <c r="F31" s="44">
        <v>0.05</v>
      </c>
      <c r="G31" s="105"/>
      <c r="H31" s="130"/>
      <c r="I31" s="115"/>
    </row>
    <row r="32" spans="2:9">
      <c r="B32" s="105"/>
      <c r="C32" s="105"/>
      <c r="D32" s="105"/>
      <c r="E32" s="118"/>
      <c r="F32" s="114"/>
      <c r="G32" s="105"/>
      <c r="H32" s="130"/>
      <c r="I32" s="115"/>
    </row>
    <row r="33" spans="2:9">
      <c r="B33" s="105"/>
      <c r="C33" s="105"/>
      <c r="D33" s="105"/>
      <c r="E33" s="105"/>
      <c r="F33" s="49">
        <v>0.95</v>
      </c>
      <c r="G33" s="105"/>
      <c r="H33" s="130"/>
      <c r="I33" s="115"/>
    </row>
    <row r="34" spans="2:9">
      <c r="B34" s="105"/>
      <c r="C34" s="105"/>
      <c r="D34" s="105"/>
      <c r="E34" s="70" t="s">
        <v>150</v>
      </c>
      <c r="F34" s="117" t="s">
        <v>154</v>
      </c>
      <c r="G34" s="108"/>
      <c r="H34" s="131">
        <f>F33*E30*D24*C18</f>
        <v>0</v>
      </c>
      <c r="I34" s="110">
        <f>B14*H34</f>
        <v>0</v>
      </c>
    </row>
    <row r="35" spans="2:9">
      <c r="C35" s="105"/>
      <c r="D35" s="105"/>
      <c r="E35" s="105"/>
      <c r="F35" s="105"/>
      <c r="G35" s="105"/>
      <c r="H35" s="130"/>
      <c r="I35" s="115"/>
    </row>
  </sheetData>
  <conditionalFormatting sqref="I3:I18 I20:I35">
    <cfRule type="cellIs" dxfId="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E6F6-9433-49C3-8A0C-A8077C54A02A}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8671875" defaultRowHeight="14.4"/>
  <cols>
    <col min="1" max="1" width="8.88671875" style="33"/>
    <col min="2" max="2" width="14" style="33" customWidth="1"/>
    <col min="3" max="3" width="18.33203125" style="33" customWidth="1"/>
    <col min="4" max="4" width="21.6640625" style="33" customWidth="1"/>
    <col min="5" max="5" width="17.33203125" style="33" customWidth="1"/>
    <col min="6" max="6" width="28.44140625" style="33" customWidth="1"/>
    <col min="7" max="7" width="12" style="33" hidden="1" customWidth="1"/>
    <col min="8" max="8" width="12.109375" style="132" customWidth="1"/>
    <col min="9" max="9" width="16.6640625" style="33" customWidth="1"/>
    <col min="10" max="13" width="8.88671875" style="33"/>
    <col min="14" max="14" width="8.88671875" style="121"/>
    <col min="15" max="16384" width="8.88671875" style="33"/>
  </cols>
  <sheetData>
    <row r="1" spans="2:9" ht="58.95" customHeight="1">
      <c r="B1" s="36" t="s">
        <v>139</v>
      </c>
      <c r="C1" s="127" t="s">
        <v>141</v>
      </c>
      <c r="D1" s="36" t="s">
        <v>142</v>
      </c>
      <c r="E1" s="36" t="s">
        <v>143</v>
      </c>
      <c r="F1" s="36" t="s">
        <v>144</v>
      </c>
      <c r="G1" s="36" t="s">
        <v>70</v>
      </c>
      <c r="H1" s="129" t="s">
        <v>74</v>
      </c>
      <c r="I1" s="37" t="s">
        <v>145</v>
      </c>
    </row>
    <row r="2" spans="2:9">
      <c r="B2" s="105"/>
      <c r="C2" s="105"/>
      <c r="D2" s="105"/>
      <c r="E2" s="105"/>
      <c r="F2" s="105"/>
      <c r="G2" s="105"/>
      <c r="H2" s="130"/>
      <c r="I2" s="107"/>
    </row>
    <row r="3" spans="2:9">
      <c r="B3" s="105"/>
      <c r="C3" s="105"/>
      <c r="D3" s="105"/>
      <c r="E3" s="105"/>
      <c r="F3" s="70" t="s">
        <v>146</v>
      </c>
      <c r="G3" s="108"/>
      <c r="H3" s="131">
        <f>C9*D4</f>
        <v>0.05</v>
      </c>
      <c r="I3" s="110">
        <f>B14*H3</f>
        <v>5.0000000000000004E-6</v>
      </c>
    </row>
    <row r="4" spans="2:9">
      <c r="B4" s="105"/>
      <c r="C4" s="70" t="s">
        <v>147</v>
      </c>
      <c r="D4" s="44">
        <v>0.05</v>
      </c>
      <c r="E4" s="111"/>
      <c r="F4" s="111"/>
      <c r="G4" s="105"/>
      <c r="H4" s="130"/>
      <c r="I4" s="107"/>
    </row>
    <row r="5" spans="2:9">
      <c r="B5" s="105"/>
      <c r="C5" s="113"/>
      <c r="D5" s="114"/>
      <c r="E5" s="105"/>
      <c r="F5" s="70" t="s">
        <v>219</v>
      </c>
      <c r="G5" s="108"/>
      <c r="H5" s="131">
        <f>C9*D7*F6</f>
        <v>4.7500000000000001E-2</v>
      </c>
      <c r="I5" s="110">
        <f>B14*H5</f>
        <v>4.7500000000000003E-6</v>
      </c>
    </row>
    <row r="6" spans="2:9">
      <c r="B6" s="133"/>
      <c r="C6" s="105"/>
      <c r="D6" s="114"/>
      <c r="E6" s="70" t="s">
        <v>147</v>
      </c>
      <c r="F6" s="44">
        <v>0.05</v>
      </c>
      <c r="G6" s="105"/>
      <c r="H6" s="130"/>
      <c r="I6" s="115"/>
    </row>
    <row r="7" spans="2:9">
      <c r="B7" s="133"/>
      <c r="C7" s="70" t="s">
        <v>150</v>
      </c>
      <c r="D7" s="49">
        <v>0.95</v>
      </c>
      <c r="E7" s="105"/>
      <c r="F7" s="114"/>
      <c r="G7" s="105"/>
      <c r="H7" s="130"/>
      <c r="I7" s="115"/>
    </row>
    <row r="8" spans="2:9">
      <c r="B8" s="133"/>
      <c r="C8" s="105"/>
      <c r="D8" s="114"/>
      <c r="E8" s="44">
        <v>1</v>
      </c>
      <c r="F8" s="49">
        <v>0.95</v>
      </c>
      <c r="G8" s="105"/>
      <c r="H8" s="130"/>
      <c r="I8" s="115"/>
    </row>
    <row r="9" spans="2:9">
      <c r="B9" s="134" t="s">
        <v>151</v>
      </c>
      <c r="C9" s="63">
        <v>1</v>
      </c>
      <c r="D9" s="116" t="s">
        <v>152</v>
      </c>
      <c r="E9" s="116" t="s">
        <v>150</v>
      </c>
      <c r="F9" s="117" t="s">
        <v>154</v>
      </c>
      <c r="G9" s="108"/>
      <c r="H9" s="131">
        <f>C9*D7*E8*F8</f>
        <v>0.90249999999999997</v>
      </c>
      <c r="I9" s="110">
        <f>B14*H9</f>
        <v>9.0249999999999998E-5</v>
      </c>
    </row>
    <row r="10" spans="2:9">
      <c r="B10" s="133"/>
      <c r="C10" s="105"/>
      <c r="D10" s="114"/>
      <c r="E10" s="114"/>
      <c r="F10" s="105"/>
      <c r="G10" s="105"/>
      <c r="H10" s="130"/>
      <c r="I10" s="115"/>
    </row>
    <row r="11" spans="2:9">
      <c r="B11" s="133"/>
      <c r="C11" s="105"/>
      <c r="D11" s="118"/>
      <c r="E11" s="114"/>
      <c r="F11" s="105"/>
      <c r="G11" s="105"/>
      <c r="H11" s="130"/>
      <c r="I11" s="115"/>
    </row>
    <row r="12" spans="2:9">
      <c r="B12" s="133"/>
      <c r="C12" s="105"/>
      <c r="D12" s="105"/>
      <c r="E12" s="114"/>
      <c r="F12" s="105"/>
      <c r="G12" s="105"/>
      <c r="H12" s="130"/>
      <c r="I12" s="115"/>
    </row>
    <row r="13" spans="2:9">
      <c r="B13" s="133"/>
      <c r="C13" s="105"/>
      <c r="D13" s="105"/>
      <c r="E13" s="49">
        <v>0</v>
      </c>
      <c r="F13" s="70" t="s">
        <v>146</v>
      </c>
      <c r="G13" s="108"/>
      <c r="H13" s="131">
        <f>F14*E13*D7*C9</f>
        <v>0</v>
      </c>
      <c r="I13" s="110">
        <f>H13*B14</f>
        <v>0</v>
      </c>
    </row>
    <row r="14" spans="2:9">
      <c r="B14" s="135">
        <f>0.0001</f>
        <v>1E-4</v>
      </c>
      <c r="C14" s="105"/>
      <c r="D14" s="70" t="s">
        <v>155</v>
      </c>
      <c r="E14" s="119" t="s">
        <v>147</v>
      </c>
      <c r="F14" s="44">
        <v>0.05</v>
      </c>
      <c r="G14" s="105"/>
      <c r="H14" s="130"/>
      <c r="I14" s="115"/>
    </row>
    <row r="15" spans="2:9">
      <c r="B15" s="136"/>
      <c r="C15" s="105"/>
      <c r="D15" s="105"/>
      <c r="E15" s="118"/>
      <c r="F15" s="114"/>
      <c r="G15" s="105"/>
      <c r="H15" s="130"/>
      <c r="I15" s="115"/>
    </row>
    <row r="16" spans="2:9">
      <c r="B16" s="133"/>
      <c r="C16" s="105"/>
      <c r="D16" s="105"/>
      <c r="E16" s="105"/>
      <c r="F16" s="49">
        <v>0.95</v>
      </c>
      <c r="G16" s="105"/>
      <c r="H16" s="130"/>
      <c r="I16" s="115"/>
    </row>
    <row r="17" spans="2:9">
      <c r="B17" s="133"/>
      <c r="C17" s="105"/>
      <c r="D17" s="105"/>
      <c r="E17" s="70" t="s">
        <v>150</v>
      </c>
      <c r="F17" s="117" t="s">
        <v>154</v>
      </c>
      <c r="G17" s="108"/>
      <c r="H17" s="131">
        <f>F16*E13*D7*C9</f>
        <v>0</v>
      </c>
      <c r="I17" s="110">
        <f>B14*H17</f>
        <v>0</v>
      </c>
    </row>
    <row r="18" spans="2:9">
      <c r="B18" s="134" t="s">
        <v>157</v>
      </c>
      <c r="C18" s="63">
        <v>1</v>
      </c>
      <c r="D18" s="105"/>
      <c r="E18" s="105"/>
      <c r="F18" s="105"/>
      <c r="G18" s="105"/>
      <c r="H18" s="130"/>
      <c r="I18" s="115"/>
    </row>
    <row r="19" spans="2:9">
      <c r="B19" s="133"/>
      <c r="C19" s="105"/>
      <c r="D19" s="105"/>
      <c r="E19" s="105"/>
      <c r="F19" s="105"/>
      <c r="G19" s="105"/>
      <c r="H19" s="130"/>
      <c r="I19" s="107"/>
    </row>
    <row r="20" spans="2:9">
      <c r="B20" s="133"/>
      <c r="C20" s="105"/>
      <c r="D20" s="105"/>
      <c r="E20" s="105"/>
      <c r="F20" s="70" t="s">
        <v>146</v>
      </c>
      <c r="G20" s="108"/>
      <c r="H20" s="131">
        <f>C18*D21</f>
        <v>0.05</v>
      </c>
      <c r="I20" s="110">
        <f>B14*H20</f>
        <v>5.0000000000000004E-6</v>
      </c>
    </row>
    <row r="21" spans="2:9">
      <c r="B21" s="133"/>
      <c r="C21" s="70" t="s">
        <v>147</v>
      </c>
      <c r="D21" s="44">
        <v>0.05</v>
      </c>
      <c r="E21" s="111"/>
      <c r="F21" s="111"/>
      <c r="G21" s="105"/>
      <c r="H21" s="130"/>
      <c r="I21" s="107"/>
    </row>
    <row r="22" spans="2:9">
      <c r="B22" s="137"/>
      <c r="C22" s="113"/>
      <c r="D22" s="114"/>
      <c r="E22" s="105"/>
      <c r="F22" s="70" t="s">
        <v>161</v>
      </c>
      <c r="G22" s="108"/>
      <c r="H22" s="131">
        <f>C18*D24*F23</f>
        <v>4.7500000000000001E-2</v>
      </c>
      <c r="I22" s="110">
        <f>B14*H22</f>
        <v>4.7500000000000003E-6</v>
      </c>
    </row>
    <row r="23" spans="2:9">
      <c r="B23" s="105"/>
      <c r="C23" s="105"/>
      <c r="D23" s="114"/>
      <c r="E23" s="70" t="s">
        <v>147</v>
      </c>
      <c r="F23" s="44">
        <v>0.05</v>
      </c>
      <c r="G23" s="105"/>
      <c r="H23" s="130"/>
      <c r="I23" s="115"/>
    </row>
    <row r="24" spans="2:9">
      <c r="B24" s="105"/>
      <c r="C24" s="70" t="s">
        <v>150</v>
      </c>
      <c r="D24" s="49">
        <v>0.95</v>
      </c>
      <c r="E24" s="105"/>
      <c r="F24" s="114"/>
      <c r="G24" s="105"/>
      <c r="H24" s="130"/>
      <c r="I24" s="115"/>
    </row>
    <row r="25" spans="2:9">
      <c r="B25" s="105"/>
      <c r="C25" s="105"/>
      <c r="D25" s="114"/>
      <c r="E25" s="44">
        <v>1</v>
      </c>
      <c r="F25" s="49">
        <v>0.95</v>
      </c>
      <c r="G25" s="105"/>
      <c r="H25" s="130"/>
      <c r="I25" s="115"/>
    </row>
    <row r="26" spans="2:9">
      <c r="B26" s="105"/>
      <c r="C26" s="105"/>
      <c r="D26" s="116" t="s">
        <v>152</v>
      </c>
      <c r="E26" s="116" t="s">
        <v>150</v>
      </c>
      <c r="F26" s="117" t="s">
        <v>154</v>
      </c>
      <c r="G26" s="108"/>
      <c r="H26" s="131">
        <f>C18*D24*E25*F25</f>
        <v>0.90249999999999997</v>
      </c>
      <c r="I26" s="110">
        <f>B14*H26</f>
        <v>9.0249999999999998E-5</v>
      </c>
    </row>
    <row r="27" spans="2:9">
      <c r="B27" s="105"/>
      <c r="C27" s="105"/>
      <c r="D27" s="114"/>
      <c r="E27" s="114"/>
      <c r="F27" s="105"/>
      <c r="G27" s="105"/>
      <c r="H27" s="130"/>
      <c r="I27" s="115"/>
    </row>
    <row r="28" spans="2:9">
      <c r="B28" s="105"/>
      <c r="C28" s="105"/>
      <c r="D28" s="118"/>
      <c r="E28" s="114"/>
      <c r="F28" s="105"/>
      <c r="G28" s="105"/>
      <c r="H28" s="130"/>
      <c r="I28" s="115"/>
    </row>
    <row r="29" spans="2:9">
      <c r="B29" s="105"/>
      <c r="C29" s="105"/>
      <c r="D29" s="105"/>
      <c r="E29" s="114"/>
      <c r="F29" s="105"/>
      <c r="G29" s="105"/>
      <c r="H29" s="130"/>
      <c r="I29" s="115"/>
    </row>
    <row r="30" spans="2:9">
      <c r="B30" s="105"/>
      <c r="C30" s="105"/>
      <c r="D30" s="105"/>
      <c r="E30" s="49">
        <v>0</v>
      </c>
      <c r="F30" s="70" t="s">
        <v>146</v>
      </c>
      <c r="G30" s="108"/>
      <c r="H30" s="131">
        <f>F31*E30*D24*C18</f>
        <v>0</v>
      </c>
      <c r="I30" s="110">
        <f>H30*B14</f>
        <v>0</v>
      </c>
    </row>
    <row r="31" spans="2:9">
      <c r="B31" s="105"/>
      <c r="C31" s="105"/>
      <c r="D31" s="70" t="s">
        <v>155</v>
      </c>
      <c r="E31" s="119" t="s">
        <v>147</v>
      </c>
      <c r="F31" s="44">
        <v>0.05</v>
      </c>
      <c r="G31" s="105"/>
      <c r="H31" s="130"/>
      <c r="I31" s="115"/>
    </row>
    <row r="32" spans="2:9">
      <c r="B32" s="105"/>
      <c r="C32" s="105"/>
      <c r="D32" s="105"/>
      <c r="E32" s="118"/>
      <c r="F32" s="114"/>
      <c r="G32" s="105"/>
      <c r="H32" s="130"/>
      <c r="I32" s="115"/>
    </row>
    <row r="33" spans="2:9">
      <c r="B33" s="105"/>
      <c r="C33" s="105"/>
      <c r="D33" s="105"/>
      <c r="E33" s="105"/>
      <c r="F33" s="49">
        <v>0.95</v>
      </c>
      <c r="G33" s="105"/>
      <c r="H33" s="130"/>
      <c r="I33" s="115"/>
    </row>
    <row r="34" spans="2:9">
      <c r="B34" s="105"/>
      <c r="C34" s="105"/>
      <c r="D34" s="105"/>
      <c r="E34" s="70" t="s">
        <v>150</v>
      </c>
      <c r="F34" s="117" t="s">
        <v>154</v>
      </c>
      <c r="G34" s="108"/>
      <c r="H34" s="131">
        <f>F33*E30*D24*C18</f>
        <v>0</v>
      </c>
      <c r="I34" s="110">
        <f>B14*H34</f>
        <v>0</v>
      </c>
    </row>
    <row r="35" spans="2:9">
      <c r="C35" s="105"/>
      <c r="D35" s="105"/>
      <c r="E35" s="105"/>
      <c r="F35" s="105"/>
      <c r="G35" s="105"/>
      <c r="H35" s="130"/>
      <c r="I35" s="115"/>
    </row>
  </sheetData>
  <conditionalFormatting sqref="I3:I18 I20:I35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4" width="8.88671875" style="33"/>
    <col min="15" max="15" width="8.88671875" style="121"/>
    <col min="16" max="16384" width="8.88671875" style="33"/>
  </cols>
  <sheetData>
    <row r="1" spans="2:10" ht="58.95" customHeight="1">
      <c r="B1" s="128" t="s">
        <v>183</v>
      </c>
      <c r="C1" s="127"/>
      <c r="D1" s="127" t="s">
        <v>141</v>
      </c>
      <c r="E1" s="36" t="s">
        <v>142</v>
      </c>
      <c r="F1" s="36" t="s">
        <v>143</v>
      </c>
      <c r="G1" s="36" t="s">
        <v>144</v>
      </c>
      <c r="H1" s="36" t="s">
        <v>70</v>
      </c>
      <c r="I1" s="36" t="s">
        <v>74</v>
      </c>
      <c r="J1" s="37" t="s">
        <v>145</v>
      </c>
    </row>
    <row r="2" spans="2:10">
      <c r="B2" s="105"/>
      <c r="C2" s="105"/>
      <c r="D2" s="105"/>
      <c r="E2" s="105"/>
      <c r="F2" s="105"/>
      <c r="G2" s="105"/>
      <c r="H2" s="105"/>
      <c r="I2" s="106"/>
      <c r="J2" s="107"/>
    </row>
    <row r="3" spans="2:10">
      <c r="B3" s="105"/>
      <c r="C3" s="105"/>
      <c r="D3" s="105"/>
      <c r="E3" s="105"/>
      <c r="F3" s="105"/>
      <c r="G3" s="70" t="s">
        <v>156</v>
      </c>
      <c r="H3" s="108"/>
      <c r="I3" s="109">
        <f>C9*E4</f>
        <v>1.4999999999999999E-2</v>
      </c>
      <c r="J3" s="110">
        <f>B14*I3</f>
        <v>1.5E-6</v>
      </c>
    </row>
    <row r="4" spans="2:10">
      <c r="B4" s="105"/>
      <c r="C4" s="105"/>
      <c r="D4" s="70" t="s">
        <v>147</v>
      </c>
      <c r="E4" s="44">
        <v>0.05</v>
      </c>
      <c r="F4" s="111"/>
      <c r="G4" s="111"/>
      <c r="H4" s="105"/>
      <c r="I4" s="112"/>
      <c r="J4" s="107"/>
    </row>
    <row r="5" spans="2:10">
      <c r="B5" s="105"/>
      <c r="C5" s="113"/>
      <c r="D5" s="113"/>
      <c r="E5" s="114"/>
      <c r="F5" s="105"/>
      <c r="G5" s="70" t="s">
        <v>148</v>
      </c>
      <c r="H5" s="108"/>
      <c r="I5" s="109">
        <f>C9*E7*G6</f>
        <v>1.4249999999999999E-2</v>
      </c>
      <c r="J5" s="110">
        <f>B14*I5</f>
        <v>1.4249999999999999E-6</v>
      </c>
    </row>
    <row r="6" spans="2:10">
      <c r="B6" s="105"/>
      <c r="C6" s="114"/>
      <c r="D6" s="105"/>
      <c r="E6" s="114"/>
      <c r="F6" s="70" t="s">
        <v>147</v>
      </c>
      <c r="G6" s="44">
        <v>0.05</v>
      </c>
      <c r="H6" s="105"/>
      <c r="I6" s="112"/>
      <c r="J6" s="115"/>
    </row>
    <row r="7" spans="2:10">
      <c r="B7" s="105"/>
      <c r="C7" s="114"/>
      <c r="D7" s="70" t="s">
        <v>150</v>
      </c>
      <c r="E7" s="49">
        <v>0.95</v>
      </c>
      <c r="F7" s="105"/>
      <c r="G7" s="114"/>
      <c r="H7" s="105"/>
      <c r="I7" s="112"/>
      <c r="J7" s="115"/>
    </row>
    <row r="8" spans="2:10">
      <c r="B8" s="105"/>
      <c r="C8" s="114"/>
      <c r="D8" s="105"/>
      <c r="E8" s="114"/>
      <c r="F8" s="44">
        <v>1</v>
      </c>
      <c r="G8" s="49">
        <v>0.95</v>
      </c>
      <c r="H8" s="105"/>
      <c r="I8" s="112"/>
      <c r="J8" s="115"/>
    </row>
    <row r="9" spans="2:10">
      <c r="B9" s="70" t="s">
        <v>184</v>
      </c>
      <c r="C9" s="49">
        <v>0.3</v>
      </c>
      <c r="D9" s="105"/>
      <c r="E9" s="116" t="s">
        <v>152</v>
      </c>
      <c r="F9" s="116" t="s">
        <v>150</v>
      </c>
      <c r="G9" s="117" t="s">
        <v>154</v>
      </c>
      <c r="H9" s="108"/>
      <c r="I9" s="109">
        <f>C9*E7*F8*G8</f>
        <v>0.27074999999999999</v>
      </c>
      <c r="J9" s="110">
        <f>B14*I9</f>
        <v>2.7075000000000001E-5</v>
      </c>
    </row>
    <row r="10" spans="2:10">
      <c r="B10" s="105"/>
      <c r="C10" s="114"/>
      <c r="D10" s="105"/>
      <c r="E10" s="114"/>
      <c r="F10" s="114"/>
      <c r="G10" s="105"/>
      <c r="H10" s="105"/>
      <c r="I10" s="112"/>
      <c r="J10" s="115"/>
    </row>
    <row r="11" spans="2:10">
      <c r="B11" s="105"/>
      <c r="C11" s="114"/>
      <c r="D11" s="105"/>
      <c r="E11" s="118"/>
      <c r="F11" s="114"/>
      <c r="G11" s="105"/>
      <c r="H11" s="105"/>
      <c r="I11" s="112"/>
      <c r="J11" s="115"/>
    </row>
    <row r="12" spans="2:10">
      <c r="B12" s="105"/>
      <c r="C12" s="114"/>
      <c r="D12" s="105"/>
      <c r="E12" s="105"/>
      <c r="F12" s="114"/>
      <c r="G12" s="105"/>
      <c r="H12" s="105"/>
      <c r="I12" s="112"/>
      <c r="J12" s="115"/>
    </row>
    <row r="13" spans="2:10">
      <c r="B13" s="105"/>
      <c r="C13" s="114"/>
      <c r="D13" s="105"/>
      <c r="E13" s="105"/>
      <c r="F13" s="49">
        <v>0</v>
      </c>
      <c r="G13" s="70" t="s">
        <v>146</v>
      </c>
      <c r="H13" s="108"/>
      <c r="I13" s="109">
        <f>G14*F13*E7*C9</f>
        <v>0</v>
      </c>
      <c r="J13" s="110">
        <f>I13*B14</f>
        <v>0</v>
      </c>
    </row>
    <row r="14" spans="2:10">
      <c r="B14" s="53">
        <f>0.0001</f>
        <v>1E-4</v>
      </c>
      <c r="C14" s="114"/>
      <c r="D14" s="105"/>
      <c r="E14" s="70" t="s">
        <v>155</v>
      </c>
      <c r="F14" s="119" t="s">
        <v>147</v>
      </c>
      <c r="G14" s="44">
        <v>0.05</v>
      </c>
      <c r="H14" s="105"/>
      <c r="I14" s="112"/>
      <c r="J14" s="115"/>
    </row>
    <row r="15" spans="2:10">
      <c r="B15" s="55"/>
      <c r="C15" s="114"/>
      <c r="D15" s="105"/>
      <c r="E15" s="105"/>
      <c r="F15" s="118"/>
      <c r="G15" s="114"/>
      <c r="H15" s="105"/>
      <c r="I15" s="112"/>
      <c r="J15" s="115"/>
    </row>
    <row r="16" spans="2:10">
      <c r="B16" s="105"/>
      <c r="C16" s="114"/>
      <c r="D16" s="105"/>
      <c r="E16" s="105"/>
      <c r="F16" s="105"/>
      <c r="G16" s="49">
        <v>0.95</v>
      </c>
      <c r="H16" s="105"/>
      <c r="I16" s="112"/>
      <c r="J16" s="115"/>
    </row>
    <row r="17" spans="2:15">
      <c r="B17" s="105"/>
      <c r="C17" s="114"/>
      <c r="D17" s="105"/>
      <c r="E17" s="105"/>
      <c r="F17" s="70" t="s">
        <v>150</v>
      </c>
      <c r="G17" s="117" t="s">
        <v>154</v>
      </c>
      <c r="H17" s="108"/>
      <c r="I17" s="109">
        <f>G16*F13*E7*C9</f>
        <v>0</v>
      </c>
      <c r="J17" s="110">
        <f>B14*I17</f>
        <v>0</v>
      </c>
    </row>
    <row r="18" spans="2:15">
      <c r="B18" s="70" t="s">
        <v>185</v>
      </c>
      <c r="C18" s="49">
        <v>0.7</v>
      </c>
      <c r="D18" s="105"/>
      <c r="E18" s="105"/>
      <c r="F18" s="105"/>
      <c r="G18" s="105"/>
      <c r="H18" s="105"/>
      <c r="I18" s="112"/>
      <c r="J18" s="115"/>
    </row>
    <row r="19" spans="2:15">
      <c r="B19" s="105"/>
      <c r="C19" s="114"/>
      <c r="D19" s="105"/>
      <c r="E19" s="105"/>
      <c r="F19" s="105"/>
      <c r="G19" s="105"/>
      <c r="H19" s="105"/>
      <c r="I19" s="106"/>
      <c r="J19" s="107"/>
      <c r="O19" s="121">
        <v>1.4999999999999999E-2</v>
      </c>
    </row>
    <row r="20" spans="2:15">
      <c r="B20" s="105"/>
      <c r="C20" s="114"/>
      <c r="D20" s="105"/>
      <c r="E20" s="105"/>
      <c r="F20" s="105"/>
      <c r="G20" s="70" t="s">
        <v>146</v>
      </c>
      <c r="H20" s="108"/>
      <c r="I20" s="109">
        <f>C18*E21</f>
        <v>3.4999999999999996E-2</v>
      </c>
      <c r="J20" s="110">
        <f>B14*I20</f>
        <v>3.4999999999999999E-6</v>
      </c>
      <c r="O20" s="121">
        <v>1.4249999999999999E-2</v>
      </c>
    </row>
    <row r="21" spans="2:15">
      <c r="B21" s="105"/>
      <c r="C21" s="114"/>
      <c r="D21" s="70" t="s">
        <v>147</v>
      </c>
      <c r="E21" s="44">
        <v>0.05</v>
      </c>
      <c r="F21" s="111"/>
      <c r="G21" s="111"/>
      <c r="H21" s="105"/>
      <c r="I21" s="112"/>
      <c r="J21" s="107"/>
      <c r="O21" s="121">
        <v>0.27074999999999999</v>
      </c>
    </row>
    <row r="22" spans="2:15">
      <c r="C22" s="120"/>
      <c r="D22" s="113"/>
      <c r="E22" s="114"/>
      <c r="F22" s="105"/>
      <c r="G22" s="70" t="s">
        <v>161</v>
      </c>
      <c r="H22" s="108"/>
      <c r="I22" s="109">
        <f>C18*E24*G23</f>
        <v>3.3249999999999995E-2</v>
      </c>
      <c r="J22" s="110">
        <f>B14*I22</f>
        <v>3.3249999999999995E-6</v>
      </c>
      <c r="O22" s="121">
        <v>3.4999999999999996E-2</v>
      </c>
    </row>
    <row r="23" spans="2:15">
      <c r="B23" s="105"/>
      <c r="C23" s="105"/>
      <c r="D23" s="105"/>
      <c r="E23" s="114"/>
      <c r="F23" s="70" t="s">
        <v>147</v>
      </c>
      <c r="G23" s="44">
        <v>0.05</v>
      </c>
      <c r="H23" s="105"/>
      <c r="I23" s="112"/>
      <c r="J23" s="115"/>
      <c r="O23" s="121">
        <v>3.3249999999999995E-2</v>
      </c>
    </row>
    <row r="24" spans="2:15">
      <c r="B24" s="105"/>
      <c r="C24" s="105"/>
      <c r="D24" s="70" t="s">
        <v>150</v>
      </c>
      <c r="E24" s="49">
        <v>0.95</v>
      </c>
      <c r="F24" s="105"/>
      <c r="G24" s="114"/>
      <c r="H24" s="105"/>
      <c r="I24" s="112"/>
      <c r="J24" s="115"/>
      <c r="O24" s="121">
        <v>0.63174999999999992</v>
      </c>
    </row>
    <row r="25" spans="2:15">
      <c r="B25" s="105"/>
      <c r="C25" s="70"/>
      <c r="D25" s="105"/>
      <c r="E25" s="114"/>
      <c r="F25" s="44">
        <v>1</v>
      </c>
      <c r="G25" s="49">
        <v>0.95</v>
      </c>
      <c r="H25" s="105"/>
      <c r="I25" s="112"/>
      <c r="J25" s="115"/>
    </row>
    <row r="26" spans="2:15">
      <c r="B26" s="105"/>
      <c r="C26" s="105"/>
      <c r="D26" s="105"/>
      <c r="E26" s="116" t="s">
        <v>152</v>
      </c>
      <c r="F26" s="116" t="s">
        <v>150</v>
      </c>
      <c r="G26" s="117" t="s">
        <v>154</v>
      </c>
      <c r="H26" s="108"/>
      <c r="I26" s="109">
        <f>C18*E24*F25*G25</f>
        <v>0.63174999999999992</v>
      </c>
      <c r="J26" s="110">
        <f>B14*I26</f>
        <v>6.3174999999999991E-5</v>
      </c>
    </row>
    <row r="27" spans="2:15">
      <c r="B27" s="105"/>
      <c r="C27" s="105"/>
      <c r="D27" s="105"/>
      <c r="E27" s="114"/>
      <c r="F27" s="114"/>
      <c r="G27" s="105"/>
      <c r="H27" s="105"/>
      <c r="I27" s="112"/>
      <c r="J27" s="115"/>
    </row>
    <row r="28" spans="2:15">
      <c r="B28" s="105"/>
      <c r="C28" s="105"/>
      <c r="D28" s="105"/>
      <c r="E28" s="118"/>
      <c r="F28" s="114"/>
      <c r="G28" s="105"/>
      <c r="H28" s="105"/>
      <c r="I28" s="112"/>
      <c r="J28" s="115"/>
    </row>
    <row r="29" spans="2:15">
      <c r="B29" s="105"/>
      <c r="C29" s="70"/>
      <c r="D29" s="105"/>
      <c r="E29" s="105"/>
      <c r="F29" s="114"/>
      <c r="G29" s="105"/>
      <c r="H29" s="105"/>
      <c r="I29" s="112"/>
      <c r="J29" s="115"/>
    </row>
    <row r="30" spans="2:15">
      <c r="B30" s="105"/>
      <c r="C30" s="105"/>
      <c r="D30" s="105"/>
      <c r="E30" s="105"/>
      <c r="F30" s="49">
        <v>0</v>
      </c>
      <c r="G30" s="70" t="s">
        <v>146</v>
      </c>
      <c r="H30" s="108"/>
      <c r="I30" s="109">
        <f>G31*F30*E24*C18</f>
        <v>0</v>
      </c>
      <c r="J30" s="110">
        <f>I30*B14</f>
        <v>0</v>
      </c>
    </row>
    <row r="31" spans="2:15">
      <c r="B31" s="105"/>
      <c r="C31" s="105"/>
      <c r="D31" s="105"/>
      <c r="E31" s="70" t="s">
        <v>155</v>
      </c>
      <c r="F31" s="119" t="s">
        <v>147</v>
      </c>
      <c r="G31" s="44">
        <v>0.05</v>
      </c>
      <c r="H31" s="105"/>
      <c r="I31" s="112"/>
      <c r="J31" s="115"/>
    </row>
    <row r="32" spans="2:15">
      <c r="B32" s="105"/>
      <c r="C32" s="105"/>
      <c r="D32" s="105"/>
      <c r="E32" s="105"/>
      <c r="F32" s="118"/>
      <c r="G32" s="114"/>
      <c r="H32" s="105"/>
      <c r="I32" s="112"/>
      <c r="J32" s="115"/>
    </row>
    <row r="33" spans="2:10">
      <c r="B33" s="105"/>
      <c r="C33" s="105"/>
      <c r="D33" s="105"/>
      <c r="E33" s="105"/>
      <c r="F33" s="105"/>
      <c r="G33" s="49">
        <v>0.95</v>
      </c>
      <c r="H33" s="105"/>
      <c r="I33" s="112"/>
      <c r="J33" s="115"/>
    </row>
    <row r="34" spans="2:10">
      <c r="B34" s="105"/>
      <c r="C34" s="105"/>
      <c r="D34" s="105"/>
      <c r="E34" s="105"/>
      <c r="F34" s="70" t="s">
        <v>150</v>
      </c>
      <c r="G34" s="117" t="s">
        <v>154</v>
      </c>
      <c r="H34" s="108"/>
      <c r="I34" s="109">
        <f>G33*F30*E24*C18</f>
        <v>0</v>
      </c>
      <c r="J34" s="110">
        <f>B14*I34</f>
        <v>0</v>
      </c>
    </row>
    <row r="35" spans="2:10">
      <c r="D35" s="105"/>
      <c r="E35" s="105"/>
      <c r="F35" s="105"/>
      <c r="G35" s="105"/>
      <c r="H35" s="105"/>
      <c r="I35" s="112"/>
      <c r="J35" s="115"/>
    </row>
  </sheetData>
  <conditionalFormatting sqref="J3:J18 J20:J35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T126"/>
  <sheetViews>
    <sheetView zoomScale="70" zoomScaleNormal="70" workbookViewId="0">
      <pane ySplit="1" topLeftCell="A71" activePane="bottomLeft" state="frozen"/>
      <selection pane="bottomLeft" activeCell="C1" sqref="C1:L125"/>
    </sheetView>
  </sheetViews>
  <sheetFormatPr defaultColWidth="8.88671875" defaultRowHeight="13.8"/>
  <cols>
    <col min="1" max="2" width="8.88671875" style="33"/>
    <col min="3" max="3" width="12.44140625" style="33" customWidth="1"/>
    <col min="4" max="4" width="12.5546875" style="33" customWidth="1"/>
    <col min="5" max="5" width="14.6640625" style="33" customWidth="1"/>
    <col min="6" max="6" width="11.33203125" style="33" customWidth="1"/>
    <col min="7" max="7" width="13" style="33" customWidth="1"/>
    <col min="8" max="9" width="15.33203125" style="33" customWidth="1"/>
    <col min="10" max="10" width="30.5546875" style="33" customWidth="1"/>
    <col min="11" max="11" width="10.6640625" style="33" customWidth="1"/>
    <col min="12" max="12" width="11.109375" style="33" customWidth="1"/>
    <col min="13" max="13" width="13.6640625" style="33" customWidth="1"/>
    <col min="14" max="16384" width="8.88671875" style="33"/>
  </cols>
  <sheetData>
    <row r="1" spans="3:13" ht="66.75" customHeight="1">
      <c r="C1" s="36" t="s">
        <v>139</v>
      </c>
      <c r="D1" s="36" t="s">
        <v>162</v>
      </c>
      <c r="E1" s="36" t="s">
        <v>163</v>
      </c>
      <c r="F1" s="36" t="s">
        <v>164</v>
      </c>
      <c r="G1" s="36" t="s">
        <v>165</v>
      </c>
      <c r="H1" s="36" t="s">
        <v>166</v>
      </c>
      <c r="I1" s="36" t="s">
        <v>167</v>
      </c>
      <c r="J1" s="36" t="s">
        <v>144</v>
      </c>
      <c r="K1" s="36" t="s">
        <v>70</v>
      </c>
      <c r="L1" s="36" t="s">
        <v>74</v>
      </c>
      <c r="M1" s="37" t="s">
        <v>145</v>
      </c>
    </row>
    <row r="2" spans="3:13"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3:13">
      <c r="C3" s="38"/>
      <c r="D3" s="38"/>
      <c r="E3" s="38"/>
      <c r="F3" s="38"/>
      <c r="G3" s="38"/>
      <c r="H3" s="38"/>
      <c r="I3" s="38"/>
      <c r="J3" s="40" t="s">
        <v>168</v>
      </c>
      <c r="K3" s="41"/>
      <c r="L3" s="59">
        <f>G4*F8*E13*D52</f>
        <v>0</v>
      </c>
      <c r="M3" s="43">
        <f>C66*L3</f>
        <v>0</v>
      </c>
    </row>
    <row r="4" spans="3:13">
      <c r="C4" s="38"/>
      <c r="D4" s="38"/>
      <c r="E4" s="38"/>
      <c r="F4" s="40" t="s">
        <v>147</v>
      </c>
      <c r="G4" s="44">
        <v>0.05</v>
      </c>
      <c r="H4" s="45"/>
      <c r="I4" s="45"/>
      <c r="J4" s="45"/>
      <c r="K4" s="38"/>
      <c r="L4" s="60"/>
    </row>
    <row r="5" spans="3:13">
      <c r="C5" s="38"/>
      <c r="D5" s="38"/>
      <c r="E5" s="38"/>
      <c r="F5" s="38"/>
      <c r="G5" s="48"/>
      <c r="H5" s="38"/>
      <c r="I5" s="38"/>
      <c r="J5" s="40" t="s">
        <v>169</v>
      </c>
      <c r="K5" s="41"/>
      <c r="L5" s="59">
        <f>J6*H8*G9*E13*D52</f>
        <v>0</v>
      </c>
      <c r="M5" s="43">
        <f>L5*C66</f>
        <v>0</v>
      </c>
    </row>
    <row r="6" spans="3:13">
      <c r="C6" s="38"/>
      <c r="D6" s="38"/>
      <c r="E6" s="38"/>
      <c r="F6" s="61"/>
      <c r="G6" s="48"/>
      <c r="H6" s="38"/>
      <c r="I6" s="40" t="s">
        <v>147</v>
      </c>
      <c r="J6" s="44">
        <v>0.05</v>
      </c>
      <c r="K6" s="38"/>
      <c r="L6" s="60"/>
    </row>
    <row r="7" spans="3:13">
      <c r="C7" s="38"/>
      <c r="D7" s="38"/>
      <c r="E7" s="38"/>
      <c r="F7" s="48"/>
      <c r="G7" s="48"/>
      <c r="H7" s="38"/>
      <c r="I7" s="38"/>
      <c r="J7" s="48"/>
      <c r="K7" s="38"/>
      <c r="L7" s="60"/>
    </row>
    <row r="8" spans="3:13">
      <c r="C8" s="38"/>
      <c r="D8" s="38"/>
      <c r="E8" s="40" t="s">
        <v>152</v>
      </c>
      <c r="F8" s="49">
        <v>1</v>
      </c>
      <c r="G8" s="50" t="s">
        <v>152</v>
      </c>
      <c r="H8" s="62">
        <v>1</v>
      </c>
      <c r="I8" s="45"/>
      <c r="J8" s="48"/>
      <c r="K8" s="38"/>
      <c r="L8" s="60"/>
    </row>
    <row r="9" spans="3:13">
      <c r="C9" s="38"/>
      <c r="D9" s="38"/>
      <c r="E9" s="38"/>
      <c r="F9" s="50" t="s">
        <v>150</v>
      </c>
      <c r="G9" s="58">
        <v>0.95</v>
      </c>
      <c r="H9" s="48"/>
      <c r="I9" s="40" t="s">
        <v>150</v>
      </c>
      <c r="J9" s="51" t="s">
        <v>154</v>
      </c>
      <c r="K9" s="41"/>
      <c r="L9" s="59">
        <f>J10*H8*G9*F8*E13*D52</f>
        <v>0</v>
      </c>
      <c r="M9" s="43">
        <f>L9*C66</f>
        <v>0</v>
      </c>
    </row>
    <row r="10" spans="3:13">
      <c r="C10" s="38"/>
      <c r="D10" s="38"/>
      <c r="E10" s="38"/>
      <c r="F10" s="48"/>
      <c r="G10" s="38"/>
      <c r="H10" s="48"/>
      <c r="I10" s="38"/>
      <c r="J10" s="63">
        <v>0.95</v>
      </c>
      <c r="K10" s="38"/>
      <c r="L10" s="38"/>
    </row>
    <row r="11" spans="3:13">
      <c r="C11" s="38"/>
      <c r="D11" s="38"/>
      <c r="E11" s="61"/>
      <c r="F11" s="48"/>
      <c r="G11" s="40"/>
      <c r="H11" s="48"/>
      <c r="I11" s="38"/>
      <c r="J11" s="38"/>
      <c r="K11" s="38"/>
      <c r="L11" s="38"/>
    </row>
    <row r="12" spans="3:13">
      <c r="C12" s="38"/>
      <c r="D12" s="38"/>
      <c r="E12" s="48"/>
      <c r="F12" s="48"/>
      <c r="G12" s="40" t="s">
        <v>155</v>
      </c>
      <c r="H12" s="57">
        <v>0</v>
      </c>
      <c r="I12" s="38"/>
      <c r="J12" s="40" t="s">
        <v>146</v>
      </c>
      <c r="K12" s="41"/>
      <c r="L12" s="59">
        <f>J13*H12*G9*F8*E13*D52</f>
        <v>0</v>
      </c>
      <c r="M12" s="43">
        <f>L12*C66</f>
        <v>0</v>
      </c>
    </row>
    <row r="13" spans="3:13">
      <c r="C13" s="38"/>
      <c r="D13" s="40" t="s">
        <v>170</v>
      </c>
      <c r="E13" s="49">
        <v>0</v>
      </c>
      <c r="F13" s="48"/>
      <c r="G13" s="38"/>
      <c r="H13" s="48"/>
      <c r="I13" s="40" t="s">
        <v>147</v>
      </c>
      <c r="J13" s="44">
        <v>0.05</v>
      </c>
      <c r="K13" s="38"/>
      <c r="L13" s="38"/>
    </row>
    <row r="14" spans="3:13">
      <c r="C14" s="38"/>
      <c r="D14" s="47"/>
      <c r="E14" s="48"/>
      <c r="F14" s="48"/>
      <c r="G14" s="38"/>
      <c r="H14" s="52"/>
      <c r="I14" s="64"/>
      <c r="J14" s="48"/>
      <c r="K14" s="38"/>
      <c r="L14" s="38"/>
    </row>
    <row r="15" spans="3:13">
      <c r="C15" s="38"/>
      <c r="D15" s="48"/>
      <c r="E15" s="48"/>
      <c r="F15" s="48"/>
      <c r="G15" s="38"/>
      <c r="H15" s="38"/>
      <c r="I15" s="38"/>
      <c r="J15" s="48"/>
      <c r="K15" s="38"/>
      <c r="L15" s="38"/>
    </row>
    <row r="16" spans="3:13">
      <c r="C16" s="38"/>
      <c r="D16" s="48"/>
      <c r="E16" s="50" t="s">
        <v>155</v>
      </c>
      <c r="F16" s="57">
        <v>0</v>
      </c>
      <c r="G16" s="38"/>
      <c r="H16" s="38"/>
      <c r="I16" s="40" t="s">
        <v>150</v>
      </c>
      <c r="J16" s="51" t="s">
        <v>154</v>
      </c>
      <c r="K16" s="41"/>
      <c r="L16" s="59">
        <f>J17*H12*G9*F8*E13*D52</f>
        <v>0</v>
      </c>
      <c r="M16" s="43">
        <f>L16*C66</f>
        <v>0</v>
      </c>
    </row>
    <row r="17" spans="3:13">
      <c r="C17" s="38"/>
      <c r="D17" s="48"/>
      <c r="E17" s="48"/>
      <c r="F17" s="48"/>
      <c r="G17" s="38"/>
      <c r="H17" s="38"/>
      <c r="I17" s="38"/>
      <c r="J17" s="63">
        <v>0.95</v>
      </c>
      <c r="K17" s="38"/>
      <c r="L17" s="38"/>
    </row>
    <row r="18" spans="3:13">
      <c r="C18" s="38"/>
      <c r="D18" s="48"/>
      <c r="E18" s="48"/>
      <c r="F18" s="48"/>
      <c r="G18" s="38"/>
      <c r="H18" s="38"/>
      <c r="I18" s="38"/>
      <c r="J18" s="38"/>
      <c r="K18" s="38"/>
      <c r="L18" s="38"/>
    </row>
    <row r="19" spans="3:13">
      <c r="C19" s="65"/>
      <c r="D19" s="38"/>
      <c r="E19" s="48"/>
      <c r="F19" s="48"/>
      <c r="G19" s="47"/>
      <c r="H19" s="47"/>
      <c r="I19" s="47"/>
      <c r="J19" s="66" t="s">
        <v>168</v>
      </c>
      <c r="K19" s="41"/>
      <c r="L19" s="59">
        <f>G20*F16*E13*D52</f>
        <v>0</v>
      </c>
      <c r="M19" s="43">
        <f>L19*C66</f>
        <v>0</v>
      </c>
    </row>
    <row r="20" spans="3:13">
      <c r="C20" s="38"/>
      <c r="D20" s="48"/>
      <c r="E20" s="67"/>
      <c r="F20" s="40" t="s">
        <v>147</v>
      </c>
      <c r="G20" s="49">
        <v>0.05</v>
      </c>
      <c r="H20" s="38"/>
      <c r="I20" s="38"/>
      <c r="J20" s="38"/>
      <c r="K20" s="38"/>
      <c r="L20" s="38"/>
    </row>
    <row r="21" spans="3:13">
      <c r="C21" s="38"/>
      <c r="D21" s="48"/>
      <c r="E21" s="67"/>
      <c r="F21" s="38"/>
      <c r="G21" s="48"/>
      <c r="H21" s="38"/>
      <c r="I21" s="38"/>
      <c r="J21" s="38" t="s">
        <v>169</v>
      </c>
      <c r="K21" s="41"/>
      <c r="L21" s="59">
        <f>J22*H24*G25*F16*E13*D52</f>
        <v>0</v>
      </c>
      <c r="M21" s="43">
        <f>L21*C66</f>
        <v>0</v>
      </c>
    </row>
    <row r="22" spans="3:13">
      <c r="C22" s="38"/>
      <c r="D22" s="48"/>
      <c r="E22" s="48"/>
      <c r="F22" s="45"/>
      <c r="G22" s="48"/>
      <c r="H22" s="38"/>
      <c r="I22" s="40" t="s">
        <v>147</v>
      </c>
      <c r="J22" s="44">
        <v>0.05</v>
      </c>
      <c r="K22" s="38"/>
      <c r="L22" s="60"/>
    </row>
    <row r="23" spans="3:13">
      <c r="C23" s="68"/>
      <c r="D23" s="38"/>
      <c r="E23" s="48"/>
      <c r="F23" s="38"/>
      <c r="G23" s="48"/>
      <c r="H23" s="38"/>
      <c r="I23" s="38"/>
      <c r="J23" s="48"/>
      <c r="K23" s="38"/>
      <c r="L23" s="60"/>
    </row>
    <row r="24" spans="3:13">
      <c r="C24" s="38"/>
      <c r="D24" s="48"/>
      <c r="E24" s="48"/>
      <c r="F24" s="69"/>
      <c r="G24" s="50" t="s">
        <v>152</v>
      </c>
      <c r="H24" s="44">
        <v>1</v>
      </c>
      <c r="I24" s="45"/>
      <c r="J24" s="48"/>
      <c r="K24" s="38"/>
      <c r="L24" s="60"/>
    </row>
    <row r="25" spans="3:13">
      <c r="C25" s="38"/>
      <c r="D25" s="50" t="s">
        <v>171</v>
      </c>
      <c r="E25" s="49">
        <v>1</v>
      </c>
      <c r="F25" s="40" t="s">
        <v>150</v>
      </c>
      <c r="G25" s="58">
        <v>0.95</v>
      </c>
      <c r="H25" s="48"/>
      <c r="I25" s="40" t="s">
        <v>150</v>
      </c>
      <c r="J25" s="51" t="s">
        <v>154</v>
      </c>
      <c r="K25" s="41"/>
      <c r="L25" s="59">
        <f>J26*H24*G25*F16*E13*D52</f>
        <v>0</v>
      </c>
      <c r="M25" s="43">
        <f>L25*C66</f>
        <v>0</v>
      </c>
    </row>
    <row r="26" spans="3:13">
      <c r="C26" s="38"/>
      <c r="D26" s="48"/>
      <c r="E26" s="48"/>
      <c r="F26" s="38"/>
      <c r="G26" s="38"/>
      <c r="H26" s="48"/>
      <c r="I26" s="38"/>
      <c r="J26" s="63">
        <v>0.95</v>
      </c>
      <c r="K26" s="38"/>
      <c r="L26" s="38"/>
    </row>
    <row r="27" spans="3:13">
      <c r="C27" s="38"/>
      <c r="D27" s="48"/>
      <c r="E27" s="48"/>
      <c r="F27" s="38"/>
      <c r="G27" s="40"/>
      <c r="H27" s="48"/>
      <c r="I27" s="38"/>
      <c r="J27" s="38"/>
      <c r="K27" s="38"/>
      <c r="L27" s="38"/>
    </row>
    <row r="28" spans="3:13">
      <c r="C28" s="38"/>
      <c r="D28" s="48"/>
      <c r="E28" s="48"/>
      <c r="F28" s="38"/>
      <c r="G28" s="40" t="s">
        <v>155</v>
      </c>
      <c r="H28" s="49">
        <v>0</v>
      </c>
      <c r="I28" s="38"/>
      <c r="J28" s="40" t="s">
        <v>146</v>
      </c>
      <c r="K28" s="41"/>
      <c r="L28" s="59">
        <f>J29*H28*G25*F16*E13*D52</f>
        <v>0</v>
      </c>
      <c r="M28" s="43">
        <f>L28*C66</f>
        <v>0</v>
      </c>
    </row>
    <row r="29" spans="3:13">
      <c r="C29" s="38"/>
      <c r="D29" s="48"/>
      <c r="E29" s="48"/>
      <c r="F29" s="38"/>
      <c r="G29" s="38"/>
      <c r="H29" s="48"/>
      <c r="I29" s="40" t="s">
        <v>147</v>
      </c>
      <c r="J29" s="44">
        <v>0.05</v>
      </c>
      <c r="K29" s="38"/>
      <c r="L29" s="38"/>
    </row>
    <row r="30" spans="3:13">
      <c r="C30" s="38"/>
      <c r="D30" s="48"/>
      <c r="E30" s="48"/>
      <c r="F30" s="38"/>
      <c r="G30" s="38"/>
      <c r="H30" s="52"/>
      <c r="I30" s="64"/>
      <c r="J30" s="48"/>
      <c r="K30" s="38"/>
      <c r="L30" s="38"/>
    </row>
    <row r="31" spans="3:13">
      <c r="C31" s="65"/>
      <c r="D31" s="38"/>
      <c r="E31" s="48"/>
      <c r="F31" s="38"/>
      <c r="G31" s="38"/>
      <c r="H31" s="38"/>
      <c r="I31" s="38"/>
      <c r="J31" s="48"/>
      <c r="K31" s="38"/>
      <c r="L31" s="38"/>
    </row>
    <row r="32" spans="3:13">
      <c r="C32" s="38"/>
      <c r="D32" s="48"/>
      <c r="E32" s="48"/>
      <c r="F32" s="38"/>
      <c r="G32" s="38"/>
      <c r="H32" s="38"/>
      <c r="I32" s="40" t="s">
        <v>150</v>
      </c>
      <c r="J32" s="51" t="s">
        <v>154</v>
      </c>
      <c r="K32" s="41"/>
      <c r="L32" s="59">
        <f>J33*H28*G25*F16*E13*D52</f>
        <v>0</v>
      </c>
      <c r="M32" s="43">
        <f>L32*C66</f>
        <v>0</v>
      </c>
    </row>
    <row r="33" spans="3:20">
      <c r="C33" s="38"/>
      <c r="D33" s="48"/>
      <c r="E33" s="48"/>
      <c r="F33" s="38"/>
      <c r="G33" s="38"/>
      <c r="H33" s="38"/>
      <c r="I33" s="38"/>
      <c r="J33" s="63">
        <v>0.95</v>
      </c>
      <c r="K33" s="38"/>
      <c r="L33" s="38"/>
    </row>
    <row r="34" spans="3:20">
      <c r="C34" s="38"/>
      <c r="D34" s="48"/>
      <c r="E34" s="48"/>
      <c r="F34" s="38"/>
      <c r="G34" s="38"/>
      <c r="H34" s="38"/>
      <c r="I34" s="38"/>
      <c r="J34" s="38"/>
      <c r="K34" s="38"/>
      <c r="L34" s="38"/>
    </row>
    <row r="35" spans="3:20">
      <c r="C35" s="38"/>
      <c r="D35" s="48"/>
      <c r="E35" s="48"/>
      <c r="F35" s="38"/>
      <c r="G35" s="38"/>
      <c r="H35" s="38"/>
      <c r="I35" s="38"/>
      <c r="J35" s="38"/>
      <c r="K35" s="38"/>
      <c r="L35" s="38"/>
    </row>
    <row r="36" spans="3:20">
      <c r="C36" s="38"/>
      <c r="D36" s="48"/>
      <c r="E36" s="48"/>
      <c r="F36" s="38"/>
      <c r="G36" s="38"/>
      <c r="H36" s="38"/>
      <c r="I36" s="38"/>
      <c r="J36" s="40" t="s">
        <v>168</v>
      </c>
      <c r="K36" s="41"/>
      <c r="L36" s="59">
        <f>G37*F41*E25*D52</f>
        <v>0.05</v>
      </c>
      <c r="M36" s="43">
        <f>L36*C66</f>
        <v>5.0000000000000008E-7</v>
      </c>
    </row>
    <row r="37" spans="3:20">
      <c r="C37" s="38"/>
      <c r="D37" s="48"/>
      <c r="E37" s="48"/>
      <c r="F37" s="40" t="s">
        <v>147</v>
      </c>
      <c r="G37" s="44">
        <v>0.05</v>
      </c>
      <c r="H37" s="45"/>
      <c r="I37" s="45"/>
      <c r="J37" s="45"/>
      <c r="K37" s="38"/>
      <c r="L37" s="60"/>
    </row>
    <row r="38" spans="3:20">
      <c r="C38" s="38"/>
      <c r="D38" s="48"/>
      <c r="E38" s="48"/>
      <c r="F38" s="38"/>
      <c r="G38" s="48"/>
      <c r="H38" s="38"/>
      <c r="I38" s="38"/>
      <c r="J38" s="38" t="s">
        <v>169</v>
      </c>
      <c r="K38" s="41"/>
      <c r="L38" s="59">
        <f>J39*H41*G42*F41*E25*D52</f>
        <v>4.7500000000000001E-2</v>
      </c>
      <c r="M38" s="43">
        <f>L38*C66</f>
        <v>4.7500000000000006E-7</v>
      </c>
    </row>
    <row r="39" spans="3:20">
      <c r="C39" s="38"/>
      <c r="D39" s="48"/>
      <c r="E39" s="48"/>
      <c r="F39" s="61"/>
      <c r="G39" s="48"/>
      <c r="H39" s="38"/>
      <c r="I39" s="40" t="s">
        <v>147</v>
      </c>
      <c r="J39" s="44">
        <v>0.05</v>
      </c>
      <c r="K39" s="38"/>
      <c r="L39" s="60"/>
    </row>
    <row r="40" spans="3:20">
      <c r="C40" s="38"/>
      <c r="D40" s="48"/>
      <c r="E40" s="48"/>
      <c r="F40" s="48"/>
      <c r="G40" s="48"/>
      <c r="H40" s="38"/>
      <c r="I40" s="38"/>
      <c r="J40" s="48"/>
      <c r="K40" s="38"/>
      <c r="L40" s="60"/>
    </row>
    <row r="41" spans="3:20">
      <c r="C41" s="38"/>
      <c r="D41" s="48"/>
      <c r="E41" s="50" t="s">
        <v>152</v>
      </c>
      <c r="F41" s="49">
        <v>1</v>
      </c>
      <c r="G41" s="50" t="s">
        <v>152</v>
      </c>
      <c r="H41" s="44">
        <v>1</v>
      </c>
      <c r="I41" s="45"/>
      <c r="J41" s="48"/>
      <c r="K41" s="38"/>
      <c r="L41" s="60"/>
    </row>
    <row r="42" spans="3:20">
      <c r="C42" s="38"/>
      <c r="D42" s="48"/>
      <c r="E42" s="48"/>
      <c r="F42" s="50" t="s">
        <v>150</v>
      </c>
      <c r="G42" s="58">
        <v>0.95</v>
      </c>
      <c r="H42" s="48"/>
      <c r="I42" s="40" t="s">
        <v>150</v>
      </c>
      <c r="J42" s="51" t="s">
        <v>154</v>
      </c>
      <c r="K42" s="41"/>
      <c r="L42" s="59">
        <f>J43*H41*G42*F41*E25*D52</f>
        <v>0.90249999999999997</v>
      </c>
      <c r="M42" s="43">
        <f>C66*L42</f>
        <v>9.0250000000000008E-6</v>
      </c>
    </row>
    <row r="43" spans="3:20">
      <c r="C43" s="38"/>
      <c r="D43" s="48"/>
      <c r="E43" s="52"/>
      <c r="F43" s="48"/>
      <c r="G43" s="38"/>
      <c r="H43" s="48"/>
      <c r="I43" s="38"/>
      <c r="J43" s="63">
        <v>0.95</v>
      </c>
      <c r="K43" s="38"/>
      <c r="L43" s="38"/>
    </row>
    <row r="44" spans="3:20">
      <c r="C44" s="65"/>
      <c r="D44" s="38"/>
      <c r="E44" s="45"/>
      <c r="F44" s="48"/>
      <c r="G44" s="40"/>
      <c r="H44" s="48"/>
      <c r="I44" s="38"/>
      <c r="J44" s="38"/>
      <c r="K44" s="38"/>
      <c r="L44" s="38"/>
    </row>
    <row r="45" spans="3:20">
      <c r="C45" s="38"/>
      <c r="D45" s="48"/>
      <c r="E45" s="38"/>
      <c r="F45" s="48"/>
      <c r="G45" s="40" t="s">
        <v>155</v>
      </c>
      <c r="H45" s="49">
        <v>0</v>
      </c>
      <c r="I45" s="38"/>
      <c r="J45" s="40" t="s">
        <v>146</v>
      </c>
      <c r="K45" s="41"/>
      <c r="L45" s="59">
        <f>J46*H45*G42*F41*E25*D52</f>
        <v>0</v>
      </c>
      <c r="M45" s="43">
        <f>L45*C66</f>
        <v>0</v>
      </c>
    </row>
    <row r="46" spans="3:20">
      <c r="C46" s="38"/>
      <c r="D46" s="48"/>
      <c r="E46" s="69"/>
      <c r="F46" s="48"/>
      <c r="G46" s="38"/>
      <c r="H46" s="48"/>
      <c r="I46" s="40" t="s">
        <v>147</v>
      </c>
      <c r="J46" s="44">
        <v>0.05</v>
      </c>
      <c r="K46" s="38"/>
      <c r="L46" s="38"/>
    </row>
    <row r="47" spans="3:20">
      <c r="C47" s="38"/>
      <c r="D47" s="48"/>
      <c r="E47" s="38"/>
      <c r="F47" s="48"/>
      <c r="G47" s="38"/>
      <c r="H47" s="52"/>
      <c r="I47" s="64"/>
      <c r="J47" s="48"/>
      <c r="K47" s="38"/>
      <c r="L47" s="38"/>
      <c r="T47" s="33">
        <v>0.05</v>
      </c>
    </row>
    <row r="48" spans="3:20">
      <c r="C48" s="38"/>
      <c r="D48" s="48"/>
      <c r="E48" s="38"/>
      <c r="F48" s="48"/>
      <c r="G48" s="38"/>
      <c r="H48" s="38"/>
      <c r="I48" s="38"/>
      <c r="J48" s="48"/>
      <c r="K48" s="38"/>
      <c r="L48" s="38"/>
      <c r="T48" s="33">
        <v>4.7500000000000001E-2</v>
      </c>
    </row>
    <row r="49" spans="3:20">
      <c r="C49" s="38"/>
      <c r="D49" s="48"/>
      <c r="E49" s="40" t="s">
        <v>155</v>
      </c>
      <c r="F49" s="49">
        <v>0</v>
      </c>
      <c r="G49" s="38"/>
      <c r="H49" s="38"/>
      <c r="I49" s="40" t="s">
        <v>150</v>
      </c>
      <c r="J49" s="51" t="s">
        <v>154</v>
      </c>
      <c r="K49" s="41"/>
      <c r="L49" s="59">
        <f>J50*H45*G42*F41*E25*D52</f>
        <v>0</v>
      </c>
      <c r="M49" s="43">
        <f>L49*C66</f>
        <v>0</v>
      </c>
      <c r="T49" s="33">
        <v>0.90249999999999997</v>
      </c>
    </row>
    <row r="50" spans="3:20">
      <c r="C50" s="38"/>
      <c r="D50" s="48"/>
      <c r="E50" s="38"/>
      <c r="F50" s="48"/>
      <c r="G50" s="38"/>
      <c r="H50" s="38"/>
      <c r="I50" s="38"/>
      <c r="J50" s="63">
        <v>0.95</v>
      </c>
      <c r="K50" s="38"/>
      <c r="L50" s="38"/>
      <c r="T50" s="33">
        <v>0.05</v>
      </c>
    </row>
    <row r="51" spans="3:20">
      <c r="C51" s="38"/>
      <c r="D51" s="48"/>
      <c r="E51" s="38"/>
      <c r="F51" s="48"/>
      <c r="G51" s="38"/>
      <c r="H51" s="38"/>
      <c r="I51" s="38"/>
      <c r="J51" s="38"/>
      <c r="K51" s="38"/>
      <c r="L51" s="38"/>
      <c r="T51" s="33">
        <v>4.7500000000000001E-2</v>
      </c>
    </row>
    <row r="52" spans="3:20">
      <c r="C52" s="70" t="s">
        <v>172</v>
      </c>
      <c r="D52" s="49">
        <v>1</v>
      </c>
      <c r="E52" s="38"/>
      <c r="F52" s="48"/>
      <c r="G52" s="47"/>
      <c r="H52" s="47"/>
      <c r="I52" s="47"/>
      <c r="J52" s="66" t="s">
        <v>168</v>
      </c>
      <c r="K52" s="41"/>
      <c r="L52" s="59">
        <f>G53*F49*E25*D52</f>
        <v>0</v>
      </c>
      <c r="M52" s="43">
        <f>L52*C66</f>
        <v>0</v>
      </c>
      <c r="T52" s="33">
        <v>0.90249999999999997</v>
      </c>
    </row>
    <row r="53" spans="3:20">
      <c r="C53" s="38"/>
      <c r="D53" s="71"/>
      <c r="E53" s="65"/>
      <c r="F53" s="40" t="s">
        <v>147</v>
      </c>
      <c r="G53" s="49">
        <v>0.05</v>
      </c>
      <c r="H53" s="38"/>
      <c r="I53" s="38"/>
      <c r="J53" s="38"/>
      <c r="K53" s="38"/>
      <c r="L53" s="38"/>
    </row>
    <row r="54" spans="3:20">
      <c r="C54" s="38"/>
      <c r="D54" s="71"/>
      <c r="E54" s="65"/>
      <c r="F54" s="38"/>
      <c r="G54" s="48"/>
      <c r="H54" s="38"/>
      <c r="I54" s="38"/>
      <c r="J54" s="40" t="s">
        <v>169</v>
      </c>
      <c r="K54" s="41"/>
      <c r="L54" s="59">
        <f>J55*H57*G58*F49*E25*D52</f>
        <v>0</v>
      </c>
      <c r="M54" s="43">
        <f>L54*C66</f>
        <v>0</v>
      </c>
    </row>
    <row r="55" spans="3:20">
      <c r="C55" s="38"/>
      <c r="D55" s="71"/>
      <c r="E55" s="38"/>
      <c r="F55" s="45"/>
      <c r="G55" s="48"/>
      <c r="H55" s="38"/>
      <c r="I55" s="40" t="s">
        <v>147</v>
      </c>
      <c r="J55" s="44">
        <v>0.05</v>
      </c>
      <c r="K55" s="38"/>
      <c r="L55" s="60"/>
    </row>
    <row r="56" spans="3:20">
      <c r="C56" s="38"/>
      <c r="D56" s="71"/>
      <c r="E56" s="38"/>
      <c r="F56" s="38"/>
      <c r="G56" s="48"/>
      <c r="H56" s="38"/>
      <c r="I56" s="38"/>
      <c r="J56" s="48"/>
      <c r="K56" s="38"/>
      <c r="L56" s="60"/>
    </row>
    <row r="57" spans="3:20">
      <c r="C57" s="38"/>
      <c r="D57" s="71"/>
      <c r="E57" s="38"/>
      <c r="F57" s="69"/>
      <c r="G57" s="50" t="s">
        <v>152</v>
      </c>
      <c r="H57" s="44">
        <v>1</v>
      </c>
      <c r="I57" s="45"/>
      <c r="J57" s="48"/>
      <c r="K57" s="38"/>
      <c r="L57" s="60"/>
    </row>
    <row r="58" spans="3:20">
      <c r="C58" s="38"/>
      <c r="D58" s="71"/>
      <c r="E58" s="38"/>
      <c r="F58" s="40" t="s">
        <v>150</v>
      </c>
      <c r="G58" s="58">
        <v>0.95</v>
      </c>
      <c r="H58" s="48"/>
      <c r="I58" s="40" t="s">
        <v>150</v>
      </c>
      <c r="J58" s="51" t="s">
        <v>154</v>
      </c>
      <c r="K58" s="41"/>
      <c r="L58" s="59">
        <f>J59*H57*G58*F49*E25*D52</f>
        <v>0</v>
      </c>
      <c r="M58" s="43">
        <f>L58*C66</f>
        <v>0</v>
      </c>
    </row>
    <row r="59" spans="3:20">
      <c r="C59" s="38"/>
      <c r="D59" s="71"/>
      <c r="E59" s="38"/>
      <c r="F59" s="38"/>
      <c r="G59" s="38"/>
      <c r="H59" s="48"/>
      <c r="I59" s="38"/>
      <c r="J59" s="63">
        <v>0.95</v>
      </c>
      <c r="K59" s="38"/>
      <c r="L59" s="38"/>
    </row>
    <row r="60" spans="3:20">
      <c r="C60" s="38"/>
      <c r="D60" s="71"/>
      <c r="E60" s="38"/>
      <c r="F60" s="38"/>
      <c r="G60" s="40"/>
      <c r="H60" s="48"/>
      <c r="I60" s="38"/>
      <c r="J60" s="38"/>
      <c r="K60" s="38"/>
      <c r="L60" s="38"/>
    </row>
    <row r="61" spans="3:20">
      <c r="C61" s="38"/>
      <c r="D61" s="71"/>
      <c r="E61" s="38"/>
      <c r="F61" s="38"/>
      <c r="G61" s="40" t="s">
        <v>155</v>
      </c>
      <c r="H61" s="49">
        <v>0</v>
      </c>
      <c r="I61" s="38"/>
      <c r="J61" s="40" t="s">
        <v>146</v>
      </c>
      <c r="K61" s="41"/>
      <c r="L61" s="59">
        <f>J62*H61*G58*F49*E25*D52</f>
        <v>0</v>
      </c>
      <c r="M61" s="43">
        <f>C66*L61</f>
        <v>0</v>
      </c>
    </row>
    <row r="62" spans="3:20">
      <c r="C62" s="38"/>
      <c r="D62" s="71"/>
      <c r="E62" s="38"/>
      <c r="F62" s="38"/>
      <c r="G62" s="38"/>
      <c r="H62" s="48"/>
      <c r="I62" s="40" t="s">
        <v>147</v>
      </c>
      <c r="J62" s="44">
        <v>0.05</v>
      </c>
      <c r="K62" s="38"/>
      <c r="L62" s="38"/>
    </row>
    <row r="63" spans="3:20">
      <c r="C63" s="38"/>
      <c r="D63" s="71"/>
      <c r="E63" s="38"/>
      <c r="F63" s="38"/>
      <c r="G63" s="38"/>
      <c r="H63" s="52"/>
      <c r="I63" s="64"/>
      <c r="J63" s="48"/>
      <c r="K63" s="38"/>
      <c r="L63" s="38"/>
    </row>
    <row r="64" spans="3:20">
      <c r="C64" s="38"/>
      <c r="D64" s="71"/>
      <c r="E64" s="38"/>
      <c r="F64" s="38"/>
      <c r="G64" s="38"/>
      <c r="H64" s="38"/>
      <c r="I64" s="38"/>
      <c r="J64" s="48"/>
      <c r="K64" s="38"/>
      <c r="L64" s="38"/>
    </row>
    <row r="65" spans="3:13">
      <c r="C65" s="72"/>
      <c r="D65" s="71"/>
      <c r="E65" s="38"/>
      <c r="F65" s="38"/>
      <c r="G65" s="38"/>
      <c r="H65" s="38"/>
      <c r="I65" s="40" t="s">
        <v>150</v>
      </c>
      <c r="J65" s="51" t="s">
        <v>154</v>
      </c>
      <c r="K65" s="41"/>
      <c r="L65" s="59">
        <f>J66*H61*G58*F49*E25*D52</f>
        <v>0</v>
      </c>
      <c r="M65" s="43">
        <f>L65*C66</f>
        <v>0</v>
      </c>
    </row>
    <row r="66" spans="3:13">
      <c r="C66" s="73">
        <f>0.00001</f>
        <v>1.0000000000000001E-5</v>
      </c>
      <c r="D66" s="71"/>
      <c r="E66" s="38"/>
      <c r="F66" s="38"/>
      <c r="G66" s="38"/>
      <c r="H66" s="38"/>
      <c r="I66" s="38"/>
      <c r="J66" s="63">
        <v>0.95</v>
      </c>
      <c r="K66" s="38"/>
      <c r="L66" s="38"/>
    </row>
    <row r="67" spans="3:13">
      <c r="C67" s="74">
        <v>1E-4</v>
      </c>
      <c r="D67" s="71"/>
      <c r="E67" s="38"/>
      <c r="F67" s="38"/>
      <c r="G67" s="38"/>
      <c r="H67" s="38"/>
      <c r="I67" s="38"/>
      <c r="J67" s="38"/>
      <c r="K67" s="38"/>
      <c r="L67" s="38"/>
    </row>
    <row r="68" spans="3:13">
      <c r="C68" s="38"/>
      <c r="D68" s="71"/>
      <c r="E68" s="38"/>
      <c r="F68" s="38"/>
      <c r="G68" s="38"/>
      <c r="H68" s="38"/>
      <c r="I68" s="38"/>
      <c r="J68" s="38"/>
      <c r="K68" s="38"/>
      <c r="L68" s="38"/>
    </row>
    <row r="69" spans="3:13">
      <c r="C69" s="38"/>
      <c r="D69" s="71"/>
      <c r="E69" s="38"/>
      <c r="F69" s="38"/>
      <c r="G69" s="47"/>
      <c r="H69" s="47"/>
      <c r="I69" s="47"/>
      <c r="J69" s="66" t="s">
        <v>146</v>
      </c>
      <c r="K69" s="41"/>
      <c r="L69" s="59">
        <f>G72*F83*D77</f>
        <v>0.05</v>
      </c>
      <c r="M69" s="43">
        <f>L69*C67</f>
        <v>5.0000000000000004E-6</v>
      </c>
    </row>
    <row r="70" spans="3:13">
      <c r="C70" s="38"/>
      <c r="D70" s="71"/>
      <c r="E70" s="38"/>
      <c r="F70" s="38"/>
      <c r="G70" s="48"/>
      <c r="H70" s="38"/>
      <c r="I70" s="38"/>
      <c r="J70" s="38"/>
      <c r="K70" s="38"/>
      <c r="L70" s="38"/>
    </row>
    <row r="71" spans="3:13">
      <c r="C71" s="38"/>
      <c r="D71" s="71"/>
      <c r="E71" s="38"/>
      <c r="F71" s="38"/>
      <c r="G71" s="48"/>
      <c r="H71" s="38"/>
      <c r="I71" s="38"/>
      <c r="J71" s="38"/>
      <c r="K71" s="38"/>
      <c r="L71" s="38"/>
    </row>
    <row r="72" spans="3:13">
      <c r="C72" s="38"/>
      <c r="D72" s="71"/>
      <c r="E72" s="38"/>
      <c r="F72" s="40" t="s">
        <v>147</v>
      </c>
      <c r="G72" s="49">
        <v>0.05</v>
      </c>
      <c r="H72" s="38"/>
      <c r="I72" s="38"/>
      <c r="J72" s="56" t="s">
        <v>173</v>
      </c>
      <c r="K72" s="41"/>
      <c r="L72" s="59">
        <f>J73*I75*H77*G78*F83*D77</f>
        <v>4.7500000000000001E-2</v>
      </c>
      <c r="M72" s="43">
        <f>L72*C67</f>
        <v>4.7500000000000003E-6</v>
      </c>
    </row>
    <row r="73" spans="3:13">
      <c r="C73" s="38"/>
      <c r="D73" s="71"/>
      <c r="E73" s="38"/>
      <c r="F73" s="38"/>
      <c r="G73" s="48"/>
      <c r="H73" s="38"/>
      <c r="I73" s="40" t="s">
        <v>147</v>
      </c>
      <c r="J73" s="44">
        <v>0.05</v>
      </c>
      <c r="K73" s="38"/>
      <c r="L73" s="38"/>
    </row>
    <row r="74" spans="3:13">
      <c r="C74" s="38"/>
      <c r="D74" s="71"/>
      <c r="E74" s="38"/>
      <c r="F74" s="38"/>
      <c r="G74" s="48"/>
      <c r="H74" s="38"/>
      <c r="I74" s="47"/>
      <c r="J74" s="48"/>
      <c r="K74" s="38"/>
      <c r="L74" s="38"/>
    </row>
    <row r="75" spans="3:13">
      <c r="C75" s="38"/>
      <c r="D75" s="71"/>
      <c r="E75" s="38"/>
      <c r="F75" s="38"/>
      <c r="G75" s="57"/>
      <c r="H75" s="75" t="s">
        <v>152</v>
      </c>
      <c r="I75" s="63">
        <v>1</v>
      </c>
      <c r="J75" s="48"/>
      <c r="K75" s="38"/>
      <c r="L75" s="38"/>
    </row>
    <row r="76" spans="3:13">
      <c r="C76" s="38"/>
      <c r="D76" s="71"/>
      <c r="E76" s="38"/>
      <c r="F76" s="47"/>
      <c r="G76" s="48"/>
      <c r="H76" s="64"/>
      <c r="I76" s="50" t="s">
        <v>150</v>
      </c>
      <c r="J76" s="51" t="s">
        <v>154</v>
      </c>
      <c r="K76" s="41"/>
      <c r="L76" s="59">
        <f>J77*I75*H77*G78*F83*D77</f>
        <v>0.90249999999999997</v>
      </c>
      <c r="M76" s="43">
        <f>L76*C67</f>
        <v>9.0249999999999998E-5</v>
      </c>
    </row>
    <row r="77" spans="3:13">
      <c r="C77" s="70" t="s">
        <v>157</v>
      </c>
      <c r="D77" s="49">
        <v>1</v>
      </c>
      <c r="E77" s="38"/>
      <c r="F77" s="48"/>
      <c r="G77" s="50" t="s">
        <v>152</v>
      </c>
      <c r="H77" s="49">
        <v>1</v>
      </c>
      <c r="I77" s="48"/>
      <c r="J77" s="63">
        <v>0.95</v>
      </c>
      <c r="K77" s="38"/>
      <c r="L77" s="38"/>
    </row>
    <row r="78" spans="3:13">
      <c r="C78" s="38"/>
      <c r="D78" s="48"/>
      <c r="E78" s="38"/>
      <c r="F78" s="50" t="s">
        <v>150</v>
      </c>
      <c r="G78" s="58">
        <v>0.95</v>
      </c>
      <c r="H78" s="50" t="s">
        <v>155</v>
      </c>
      <c r="I78" s="49">
        <v>0</v>
      </c>
      <c r="J78" s="56" t="s">
        <v>146</v>
      </c>
      <c r="K78" s="41"/>
      <c r="L78" s="59">
        <f>J79*I78*H77*G78*F83*D77</f>
        <v>0</v>
      </c>
      <c r="M78" s="43">
        <f>L78*C67</f>
        <v>0</v>
      </c>
    </row>
    <row r="79" spans="3:13">
      <c r="C79" s="38"/>
      <c r="D79" s="48"/>
      <c r="E79" s="38"/>
      <c r="F79" s="48"/>
      <c r="G79" s="38"/>
      <c r="H79" s="48"/>
      <c r="I79" s="50" t="s">
        <v>147</v>
      </c>
      <c r="J79" s="49">
        <v>0.05</v>
      </c>
      <c r="K79" s="38"/>
      <c r="L79" s="38"/>
    </row>
    <row r="80" spans="3:13">
      <c r="C80" s="38"/>
      <c r="D80" s="48"/>
      <c r="E80" s="38"/>
      <c r="F80" s="50"/>
      <c r="G80" s="38"/>
      <c r="H80" s="48"/>
      <c r="I80" s="52"/>
      <c r="J80" s="48"/>
      <c r="K80" s="38"/>
      <c r="L80" s="38"/>
    </row>
    <row r="81" spans="3:13">
      <c r="C81" s="38"/>
      <c r="D81" s="48"/>
      <c r="E81" s="38"/>
      <c r="F81" s="48"/>
      <c r="G81" s="38"/>
      <c r="H81" s="48"/>
      <c r="I81" s="38"/>
      <c r="J81" s="48"/>
      <c r="K81" s="38"/>
      <c r="L81" s="38"/>
    </row>
    <row r="82" spans="3:13">
      <c r="C82" s="38"/>
      <c r="D82" s="48"/>
      <c r="E82" s="38"/>
      <c r="F82" s="48"/>
      <c r="G82" s="38"/>
      <c r="H82" s="48"/>
      <c r="I82" s="40" t="s">
        <v>150</v>
      </c>
      <c r="J82" s="51" t="s">
        <v>154</v>
      </c>
      <c r="K82" s="41"/>
      <c r="L82" s="59">
        <f>J83*I78*H77*G78*F83*D77</f>
        <v>0</v>
      </c>
      <c r="M82" s="43">
        <f>L82*C67</f>
        <v>0</v>
      </c>
    </row>
    <row r="83" spans="3:13">
      <c r="C83" s="38"/>
      <c r="D83" s="48"/>
      <c r="E83" s="40" t="s">
        <v>152</v>
      </c>
      <c r="F83" s="49">
        <v>1</v>
      </c>
      <c r="G83" s="38"/>
      <c r="H83" s="48"/>
      <c r="I83" s="38"/>
      <c r="J83" s="63">
        <v>0.95</v>
      </c>
      <c r="K83" s="38"/>
      <c r="L83" s="38"/>
    </row>
    <row r="84" spans="3:13">
      <c r="C84" s="38"/>
      <c r="D84" s="48"/>
      <c r="E84" s="38"/>
      <c r="F84" s="48"/>
      <c r="G84" s="38"/>
      <c r="H84" s="48"/>
      <c r="I84" s="38"/>
      <c r="J84" s="38"/>
      <c r="K84" s="38"/>
      <c r="L84" s="38"/>
    </row>
    <row r="85" spans="3:13">
      <c r="C85" s="38"/>
      <c r="D85" s="48"/>
      <c r="E85" s="38"/>
      <c r="F85" s="48"/>
      <c r="G85" s="38"/>
      <c r="H85" s="48"/>
      <c r="I85" s="38"/>
      <c r="J85" s="56" t="s">
        <v>146</v>
      </c>
      <c r="K85" s="41"/>
      <c r="L85" s="59">
        <f>J86*I88*H86*G78*F83*D77</f>
        <v>0</v>
      </c>
      <c r="M85" s="43">
        <f>L85*C67</f>
        <v>0</v>
      </c>
    </row>
    <row r="86" spans="3:13">
      <c r="C86" s="38"/>
      <c r="D86" s="48"/>
      <c r="E86" s="38"/>
      <c r="F86" s="48"/>
      <c r="G86" s="40" t="s">
        <v>155</v>
      </c>
      <c r="H86" s="49">
        <v>0</v>
      </c>
      <c r="I86" s="40" t="s">
        <v>147</v>
      </c>
      <c r="J86" s="44">
        <v>0.05</v>
      </c>
      <c r="K86" s="38"/>
      <c r="L86" s="38"/>
    </row>
    <row r="87" spans="3:13">
      <c r="C87" s="38"/>
      <c r="D87" s="48"/>
      <c r="E87" s="38"/>
      <c r="F87" s="48"/>
      <c r="G87" s="38"/>
      <c r="H87" s="48"/>
      <c r="I87" s="47"/>
      <c r="J87" s="48"/>
      <c r="K87" s="38"/>
      <c r="L87" s="38"/>
    </row>
    <row r="88" spans="3:13">
      <c r="C88" s="38"/>
      <c r="D88" s="48"/>
      <c r="E88" s="38"/>
      <c r="F88" s="48"/>
      <c r="G88" s="38"/>
      <c r="H88" s="54" t="s">
        <v>152</v>
      </c>
      <c r="I88" s="63">
        <v>1</v>
      </c>
      <c r="J88" s="48"/>
      <c r="K88" s="38"/>
      <c r="L88" s="38"/>
    </row>
    <row r="89" spans="3:13">
      <c r="C89" s="38"/>
      <c r="D89" s="48"/>
      <c r="E89" s="38"/>
      <c r="F89" s="48"/>
      <c r="G89" s="38"/>
      <c r="H89" s="76"/>
      <c r="I89" s="50" t="s">
        <v>150</v>
      </c>
      <c r="J89" s="51" t="s">
        <v>154</v>
      </c>
      <c r="K89" s="41"/>
      <c r="L89" s="59">
        <f>J90*I88*H86*G78*F83*D77</f>
        <v>0</v>
      </c>
      <c r="M89" s="43">
        <f>L89*C67</f>
        <v>0</v>
      </c>
    </row>
    <row r="90" spans="3:13">
      <c r="C90" s="38"/>
      <c r="D90" s="52"/>
      <c r="E90" s="47"/>
      <c r="F90" s="48"/>
      <c r="G90" s="38"/>
      <c r="H90" s="69"/>
      <c r="I90" s="48"/>
      <c r="J90" s="63">
        <v>0.95</v>
      </c>
      <c r="K90" s="38"/>
      <c r="L90" s="38"/>
    </row>
    <row r="91" spans="3:13">
      <c r="C91" s="38"/>
      <c r="D91" s="38"/>
      <c r="E91" s="77"/>
      <c r="F91" s="38"/>
      <c r="G91" s="38"/>
      <c r="H91" s="40" t="s">
        <v>155</v>
      </c>
      <c r="I91" s="49">
        <v>0</v>
      </c>
      <c r="J91" s="56" t="s">
        <v>146</v>
      </c>
      <c r="K91" s="41"/>
      <c r="L91" s="59">
        <f>J92*I91*H86*G78*F83*D77</f>
        <v>0</v>
      </c>
      <c r="M91" s="43">
        <f>L91*C67</f>
        <v>0</v>
      </c>
    </row>
    <row r="92" spans="3:13">
      <c r="C92" s="38"/>
      <c r="D92" s="38"/>
      <c r="E92" s="65"/>
      <c r="F92" s="38"/>
      <c r="G92" s="38"/>
      <c r="H92" s="38"/>
      <c r="I92" s="50" t="s">
        <v>147</v>
      </c>
      <c r="J92" s="49">
        <v>0.05</v>
      </c>
      <c r="K92" s="38"/>
      <c r="L92" s="38"/>
    </row>
    <row r="93" spans="3:13">
      <c r="C93" s="38"/>
      <c r="D93" s="38"/>
      <c r="E93" s="65"/>
      <c r="F93" s="38"/>
      <c r="G93" s="38"/>
      <c r="H93" s="38"/>
      <c r="I93" s="52"/>
      <c r="J93" s="48"/>
      <c r="K93" s="38"/>
      <c r="L93" s="38"/>
    </row>
    <row r="94" spans="3:13">
      <c r="C94" s="38"/>
      <c r="D94" s="38"/>
      <c r="E94" s="65"/>
      <c r="F94" s="38"/>
      <c r="G94" s="38"/>
      <c r="H94" s="38"/>
      <c r="I94" s="38"/>
      <c r="J94" s="48"/>
      <c r="K94" s="38"/>
      <c r="L94" s="38"/>
    </row>
    <row r="95" spans="3:13">
      <c r="C95" s="38"/>
      <c r="D95" s="38"/>
      <c r="E95" s="65"/>
      <c r="F95" s="38"/>
      <c r="G95" s="38"/>
      <c r="H95" s="38"/>
      <c r="I95" s="40" t="s">
        <v>150</v>
      </c>
      <c r="J95" s="51" t="s">
        <v>154</v>
      </c>
      <c r="K95" s="41"/>
      <c r="L95" s="59">
        <f>J96*I91*H86*G78*F83*D77</f>
        <v>0</v>
      </c>
      <c r="M95" s="43">
        <f>L95*C67</f>
        <v>0</v>
      </c>
    </row>
    <row r="96" spans="3:13">
      <c r="C96" s="38"/>
      <c r="D96" s="38"/>
      <c r="E96" s="65"/>
      <c r="F96" s="38"/>
      <c r="G96" s="38"/>
      <c r="H96" s="38"/>
      <c r="I96" s="38"/>
      <c r="J96" s="63">
        <v>0.95</v>
      </c>
      <c r="K96" s="38"/>
      <c r="L96" s="38"/>
    </row>
    <row r="97" spans="3:13">
      <c r="C97" s="38"/>
      <c r="D97" s="38"/>
      <c r="E97" s="40" t="s">
        <v>155</v>
      </c>
      <c r="F97" s="57">
        <v>0</v>
      </c>
      <c r="G97" s="38"/>
      <c r="H97" s="38"/>
      <c r="I97" s="38"/>
      <c r="J97" s="38"/>
      <c r="K97" s="38"/>
      <c r="L97" s="38"/>
    </row>
    <row r="98" spans="3:13">
      <c r="C98" s="38"/>
      <c r="D98" s="38"/>
      <c r="E98" s="65"/>
      <c r="F98" s="38"/>
      <c r="G98" s="38"/>
      <c r="H98" s="38"/>
      <c r="I98" s="38"/>
      <c r="J98" s="38"/>
      <c r="K98" s="38"/>
      <c r="L98" s="38"/>
    </row>
    <row r="99" spans="3:13">
      <c r="C99" s="38"/>
      <c r="D99" s="38"/>
      <c r="E99" s="65"/>
      <c r="F99" s="38"/>
      <c r="G99" s="47"/>
      <c r="H99" s="47"/>
      <c r="I99" s="47"/>
      <c r="J99" s="66" t="s">
        <v>146</v>
      </c>
      <c r="K99" s="41"/>
      <c r="L99" s="59">
        <f>G102*F97*D77</f>
        <v>0</v>
      </c>
      <c r="M99" s="43">
        <f>L99*C67</f>
        <v>0</v>
      </c>
    </row>
    <row r="100" spans="3:13">
      <c r="C100" s="38"/>
      <c r="D100" s="38"/>
      <c r="E100" s="65"/>
      <c r="F100" s="38"/>
      <c r="G100" s="48"/>
      <c r="H100" s="38"/>
      <c r="I100" s="38"/>
      <c r="J100" s="38"/>
      <c r="K100" s="38"/>
      <c r="L100" s="38"/>
    </row>
    <row r="101" spans="3:13">
      <c r="C101" s="38"/>
      <c r="D101" s="38"/>
      <c r="E101" s="65"/>
      <c r="F101" s="38"/>
      <c r="G101" s="48"/>
      <c r="H101" s="38"/>
      <c r="I101" s="38"/>
      <c r="J101" s="38"/>
      <c r="K101" s="38"/>
      <c r="L101" s="38"/>
    </row>
    <row r="102" spans="3:13">
      <c r="C102" s="38"/>
      <c r="D102" s="38"/>
      <c r="E102" s="65"/>
      <c r="F102" s="40" t="s">
        <v>147</v>
      </c>
      <c r="G102" s="49">
        <v>0.05</v>
      </c>
      <c r="H102" s="38"/>
      <c r="I102" s="38"/>
      <c r="J102" s="56" t="s">
        <v>173</v>
      </c>
      <c r="K102" s="41"/>
      <c r="L102" s="59">
        <f>J103*I105*H107*G108*F97*D77</f>
        <v>0</v>
      </c>
      <c r="M102" s="43">
        <f>L102*C67</f>
        <v>0</v>
      </c>
    </row>
    <row r="103" spans="3:13">
      <c r="C103" s="38"/>
      <c r="D103" s="38"/>
      <c r="E103" s="65"/>
      <c r="F103" s="38"/>
      <c r="G103" s="48"/>
      <c r="H103" s="38"/>
      <c r="I103" s="40" t="s">
        <v>147</v>
      </c>
      <c r="J103" s="44">
        <v>0.05</v>
      </c>
      <c r="K103" s="38"/>
      <c r="L103" s="38"/>
    </row>
    <row r="104" spans="3:13">
      <c r="C104" s="38"/>
      <c r="D104" s="38"/>
      <c r="E104" s="65"/>
      <c r="F104" s="38"/>
      <c r="G104" s="48"/>
      <c r="H104" s="38"/>
      <c r="I104" s="47"/>
      <c r="J104" s="48"/>
      <c r="K104" s="38"/>
      <c r="L104" s="38"/>
    </row>
    <row r="105" spans="3:13">
      <c r="C105" s="38"/>
      <c r="D105" s="38"/>
      <c r="E105" s="65"/>
      <c r="F105" s="38"/>
      <c r="G105" s="57"/>
      <c r="H105" s="75" t="s">
        <v>152</v>
      </c>
      <c r="I105" s="63">
        <v>1</v>
      </c>
      <c r="J105" s="48"/>
      <c r="K105" s="38"/>
      <c r="L105" s="38"/>
    </row>
    <row r="106" spans="3:13">
      <c r="C106" s="38"/>
      <c r="D106" s="38"/>
      <c r="E106" s="65"/>
      <c r="F106" s="47"/>
      <c r="G106" s="48"/>
      <c r="H106" s="64"/>
      <c r="I106" s="50" t="s">
        <v>150</v>
      </c>
      <c r="J106" s="51" t="s">
        <v>154</v>
      </c>
      <c r="K106" s="41"/>
      <c r="L106" s="59">
        <f>J107*I105*H107*G108*F97*D77</f>
        <v>0</v>
      </c>
      <c r="M106" s="43">
        <f>L106*C67</f>
        <v>0</v>
      </c>
    </row>
    <row r="107" spans="3:13">
      <c r="C107" s="38"/>
      <c r="D107" s="38"/>
      <c r="E107" s="38"/>
      <c r="F107" s="38"/>
      <c r="G107" s="50" t="s">
        <v>152</v>
      </c>
      <c r="H107" s="49">
        <v>1</v>
      </c>
      <c r="I107" s="48"/>
      <c r="J107" s="63">
        <v>0.95</v>
      </c>
      <c r="K107" s="38"/>
      <c r="L107" s="38"/>
    </row>
    <row r="108" spans="3:13">
      <c r="C108" s="38"/>
      <c r="D108" s="38"/>
      <c r="E108" s="38"/>
      <c r="F108" s="40" t="s">
        <v>150</v>
      </c>
      <c r="G108" s="58">
        <v>0.95</v>
      </c>
      <c r="H108" s="50" t="s">
        <v>155</v>
      </c>
      <c r="I108" s="49">
        <v>0</v>
      </c>
      <c r="J108" s="56" t="s">
        <v>146</v>
      </c>
      <c r="K108" s="41"/>
      <c r="L108" s="59">
        <f>J109*I108*H107*G108*F97*D77</f>
        <v>0</v>
      </c>
      <c r="M108" s="43">
        <f>L108*C67</f>
        <v>0</v>
      </c>
    </row>
    <row r="109" spans="3:13">
      <c r="C109" s="38"/>
      <c r="D109" s="38"/>
      <c r="E109" s="38"/>
      <c r="F109" s="38"/>
      <c r="G109" s="38"/>
      <c r="H109" s="48"/>
      <c r="I109" s="50" t="s">
        <v>147</v>
      </c>
      <c r="J109" s="49">
        <v>0.05</v>
      </c>
      <c r="K109" s="38"/>
      <c r="L109" s="38"/>
    </row>
    <row r="110" spans="3:13">
      <c r="C110" s="38"/>
      <c r="D110" s="38"/>
      <c r="E110" s="38"/>
      <c r="F110" s="40"/>
      <c r="G110" s="38"/>
      <c r="H110" s="48"/>
      <c r="I110" s="52"/>
      <c r="J110" s="48"/>
      <c r="K110" s="38"/>
      <c r="L110" s="38"/>
    </row>
    <row r="111" spans="3:13">
      <c r="C111" s="38"/>
      <c r="D111" s="38"/>
      <c r="E111" s="38"/>
      <c r="F111" s="38"/>
      <c r="G111" s="38"/>
      <c r="H111" s="48"/>
      <c r="I111" s="38"/>
      <c r="J111" s="48"/>
      <c r="K111" s="38"/>
      <c r="L111" s="38"/>
    </row>
    <row r="112" spans="3:13">
      <c r="C112" s="38"/>
      <c r="D112" s="38"/>
      <c r="E112" s="38"/>
      <c r="F112" s="38"/>
      <c r="G112" s="38"/>
      <c r="H112" s="48"/>
      <c r="I112" s="40" t="s">
        <v>150</v>
      </c>
      <c r="J112" s="51" t="s">
        <v>154</v>
      </c>
      <c r="K112" s="41"/>
      <c r="L112" s="59">
        <f>J113*I108*H107*G108*F97*D77</f>
        <v>0</v>
      </c>
      <c r="M112" s="43">
        <f>L112*C67</f>
        <v>0</v>
      </c>
    </row>
    <row r="113" spans="3:13">
      <c r="C113" s="38"/>
      <c r="D113" s="38"/>
      <c r="E113" s="38"/>
      <c r="F113" s="69"/>
      <c r="G113" s="38"/>
      <c r="H113" s="48"/>
      <c r="I113" s="38"/>
      <c r="J113" s="63">
        <v>0.95</v>
      </c>
      <c r="K113" s="38"/>
      <c r="L113" s="38"/>
    </row>
    <row r="114" spans="3:13">
      <c r="C114" s="38"/>
      <c r="D114" s="38"/>
      <c r="E114" s="38"/>
      <c r="F114" s="38"/>
      <c r="G114" s="38"/>
      <c r="H114" s="48"/>
      <c r="I114" s="38"/>
      <c r="J114" s="38"/>
      <c r="K114" s="38"/>
      <c r="L114" s="38"/>
    </row>
    <row r="115" spans="3:13">
      <c r="C115" s="38"/>
      <c r="D115" s="38"/>
      <c r="E115" s="38"/>
      <c r="F115" s="38"/>
      <c r="G115" s="38"/>
      <c r="H115" s="48"/>
      <c r="I115" s="38"/>
      <c r="J115" s="56" t="s">
        <v>146</v>
      </c>
      <c r="K115" s="41"/>
      <c r="L115" s="59">
        <f>J116*I118*H116*G108*F97*D77</f>
        <v>0</v>
      </c>
      <c r="M115" s="43">
        <f>L115*C67</f>
        <v>0</v>
      </c>
    </row>
    <row r="116" spans="3:13">
      <c r="C116" s="38"/>
      <c r="D116" s="38"/>
      <c r="E116" s="38"/>
      <c r="F116" s="38"/>
      <c r="G116" s="40" t="s">
        <v>155</v>
      </c>
      <c r="H116" s="49">
        <v>0</v>
      </c>
      <c r="I116" s="40" t="s">
        <v>147</v>
      </c>
      <c r="J116" s="44">
        <v>0.05</v>
      </c>
      <c r="K116" s="38"/>
      <c r="L116" s="38"/>
    </row>
    <row r="117" spans="3:13">
      <c r="C117" s="38"/>
      <c r="D117" s="38"/>
      <c r="E117" s="38"/>
      <c r="F117" s="38"/>
      <c r="G117" s="38"/>
      <c r="H117" s="48"/>
      <c r="I117" s="47"/>
      <c r="J117" s="48"/>
      <c r="K117" s="38"/>
      <c r="L117" s="38"/>
    </row>
    <row r="118" spans="3:13">
      <c r="C118" s="38"/>
      <c r="D118" s="38"/>
      <c r="E118" s="38"/>
      <c r="F118" s="38"/>
      <c r="G118" s="38"/>
      <c r="H118" s="54" t="s">
        <v>152</v>
      </c>
      <c r="I118" s="63">
        <v>1</v>
      </c>
      <c r="J118" s="48"/>
      <c r="K118" s="38"/>
      <c r="L118" s="38"/>
    </row>
    <row r="119" spans="3:13">
      <c r="C119" s="38"/>
      <c r="D119" s="38"/>
      <c r="E119" s="38"/>
      <c r="F119" s="38"/>
      <c r="G119" s="38"/>
      <c r="H119" s="76"/>
      <c r="I119" s="50" t="s">
        <v>150</v>
      </c>
      <c r="J119" s="51" t="s">
        <v>154</v>
      </c>
      <c r="K119" s="41"/>
      <c r="L119" s="59">
        <f>J120*I118*H116*G108*F97*D77</f>
        <v>0</v>
      </c>
      <c r="M119" s="43">
        <f>L119*C67</f>
        <v>0</v>
      </c>
    </row>
    <row r="120" spans="3:13">
      <c r="C120" s="38"/>
      <c r="D120" s="38"/>
      <c r="E120" s="38"/>
      <c r="F120" s="38"/>
      <c r="G120" s="38"/>
      <c r="H120" s="69"/>
      <c r="I120" s="48"/>
      <c r="J120" s="63">
        <v>0.95</v>
      </c>
      <c r="K120" s="38"/>
      <c r="L120" s="38"/>
    </row>
    <row r="121" spans="3:13">
      <c r="C121" s="38"/>
      <c r="D121" s="38"/>
      <c r="E121" s="38"/>
      <c r="F121" s="38"/>
      <c r="G121" s="38"/>
      <c r="H121" s="40" t="s">
        <v>155</v>
      </c>
      <c r="I121" s="49">
        <v>0</v>
      </c>
      <c r="J121" s="56" t="s">
        <v>146</v>
      </c>
      <c r="K121" s="41"/>
      <c r="L121" s="59">
        <f>J122*I121*H116*G108*F97*D77</f>
        <v>0</v>
      </c>
      <c r="M121" s="43">
        <f>L121*C67</f>
        <v>0</v>
      </c>
    </row>
    <row r="122" spans="3:13">
      <c r="C122" s="38"/>
      <c r="D122" s="38"/>
      <c r="E122" s="38"/>
      <c r="F122" s="38"/>
      <c r="G122" s="38"/>
      <c r="H122" s="38"/>
      <c r="I122" s="50" t="s">
        <v>147</v>
      </c>
      <c r="J122" s="49">
        <v>0.05</v>
      </c>
      <c r="K122" s="38"/>
      <c r="L122" s="38"/>
    </row>
    <row r="123" spans="3:13">
      <c r="C123" s="38"/>
      <c r="D123" s="38"/>
      <c r="E123" s="38"/>
      <c r="F123" s="38"/>
      <c r="G123" s="38"/>
      <c r="H123" s="38"/>
      <c r="I123" s="52"/>
      <c r="J123" s="48"/>
      <c r="K123" s="38"/>
      <c r="L123" s="38"/>
    </row>
    <row r="124" spans="3:13">
      <c r="C124" s="38"/>
      <c r="D124" s="38"/>
      <c r="E124" s="38"/>
      <c r="F124" s="38"/>
      <c r="G124" s="38"/>
      <c r="H124" s="38"/>
      <c r="I124" s="38"/>
      <c r="J124" s="48"/>
      <c r="K124" s="38"/>
      <c r="L124" s="38"/>
    </row>
    <row r="125" spans="3:13">
      <c r="C125" s="38"/>
      <c r="D125" s="38"/>
      <c r="E125" s="38"/>
      <c r="F125" s="38"/>
      <c r="G125" s="38"/>
      <c r="H125" s="38"/>
      <c r="I125" s="40" t="s">
        <v>150</v>
      </c>
      <c r="J125" s="51" t="s">
        <v>154</v>
      </c>
      <c r="K125" s="41"/>
      <c r="L125" s="59">
        <f>J126*I121*H116*G108*F97*D77</f>
        <v>0</v>
      </c>
      <c r="M125" s="43">
        <f>L125*C67</f>
        <v>0</v>
      </c>
    </row>
    <row r="126" spans="3:13">
      <c r="J126" s="78">
        <v>0.95</v>
      </c>
    </row>
  </sheetData>
  <conditionalFormatting sqref="M60:M125">
    <cfRule type="cellIs" dxfId="5" priority="2" operator="greaterThan">
      <formula>0</formula>
    </cfRule>
  </conditionalFormatting>
  <conditionalFormatting sqref="M2:M125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6384" width="8.88671875" style="33"/>
  </cols>
  <sheetData>
    <row r="1" spans="2:10" ht="58.95" customHeight="1">
      <c r="B1" s="36" t="s">
        <v>139</v>
      </c>
      <c r="C1" s="36" t="s">
        <v>140</v>
      </c>
      <c r="D1" s="36" t="s">
        <v>141</v>
      </c>
      <c r="E1" s="36" t="s">
        <v>142</v>
      </c>
      <c r="F1" s="36" t="s">
        <v>143</v>
      </c>
      <c r="G1" s="36" t="s">
        <v>144</v>
      </c>
      <c r="H1" s="36" t="s">
        <v>70</v>
      </c>
      <c r="I1" s="36" t="s">
        <v>74</v>
      </c>
      <c r="J1" s="37" t="s">
        <v>145</v>
      </c>
    </row>
    <row r="2" spans="2:10">
      <c r="B2" s="38"/>
      <c r="C2" s="38"/>
      <c r="D2" s="38"/>
      <c r="E2" s="38"/>
      <c r="F2" s="38"/>
      <c r="G2" s="38"/>
      <c r="H2" s="38"/>
      <c r="I2" s="39"/>
    </row>
    <row r="3" spans="2:10">
      <c r="B3" s="38"/>
      <c r="C3" s="38"/>
      <c r="D3" s="38"/>
      <c r="E3" s="38"/>
      <c r="F3" s="38"/>
      <c r="G3" s="40" t="s">
        <v>146</v>
      </c>
      <c r="H3" s="41"/>
      <c r="I3" s="42">
        <f>C9*E4</f>
        <v>0.05</v>
      </c>
      <c r="J3" s="43">
        <f>B14*I3</f>
        <v>5.0000000000000008E-7</v>
      </c>
    </row>
    <row r="4" spans="2:10">
      <c r="B4" s="38"/>
      <c r="C4" s="38"/>
      <c r="D4" s="40" t="s">
        <v>147</v>
      </c>
      <c r="E4" s="44">
        <v>0.05</v>
      </c>
      <c r="F4" s="45"/>
      <c r="G4" s="45"/>
      <c r="H4" s="38"/>
      <c r="I4" s="46"/>
    </row>
    <row r="5" spans="2:10">
      <c r="B5" s="38"/>
      <c r="C5" s="47"/>
      <c r="D5" s="47"/>
      <c r="E5" s="48"/>
      <c r="F5" s="38"/>
      <c r="G5" s="40" t="s">
        <v>148</v>
      </c>
      <c r="H5" s="41"/>
      <c r="I5" s="42">
        <f>C9*E7*G6</f>
        <v>0.19</v>
      </c>
      <c r="J5" s="43">
        <f>B14*I5</f>
        <v>1.9000000000000002E-6</v>
      </c>
    </row>
    <row r="6" spans="2:10">
      <c r="B6" s="38"/>
      <c r="C6" s="48"/>
      <c r="D6" s="38"/>
      <c r="E6" s="48"/>
      <c r="F6" s="40" t="s">
        <v>149</v>
      </c>
      <c r="G6" s="44">
        <v>0.2</v>
      </c>
      <c r="H6" s="38"/>
      <c r="I6" s="46"/>
      <c r="J6" s="35"/>
    </row>
    <row r="7" spans="2:10">
      <c r="B7" s="38"/>
      <c r="C7" s="48"/>
      <c r="D7" s="40" t="s">
        <v>150</v>
      </c>
      <c r="E7" s="49">
        <v>0.95</v>
      </c>
      <c r="F7" s="38"/>
      <c r="G7" s="48"/>
      <c r="H7" s="38"/>
      <c r="I7" s="46"/>
      <c r="J7" s="35"/>
    </row>
    <row r="8" spans="2:10">
      <c r="B8" s="38"/>
      <c r="C8" s="48"/>
      <c r="D8" s="38"/>
      <c r="E8" s="48"/>
      <c r="F8" s="44">
        <v>1</v>
      </c>
      <c r="G8" s="49">
        <v>0.8</v>
      </c>
      <c r="H8" s="38"/>
      <c r="I8" s="46"/>
      <c r="J8" s="35"/>
    </row>
    <row r="9" spans="2:10">
      <c r="B9" s="40" t="s">
        <v>151</v>
      </c>
      <c r="C9" s="49">
        <v>1</v>
      </c>
      <c r="D9" s="38"/>
      <c r="E9" s="50" t="s">
        <v>152</v>
      </c>
      <c r="F9" s="50" t="s">
        <v>153</v>
      </c>
      <c r="G9" s="51" t="s">
        <v>154</v>
      </c>
      <c r="H9" s="41"/>
      <c r="I9" s="42">
        <f>C9*E7*F8*G8</f>
        <v>0.76</v>
      </c>
      <c r="J9" s="43">
        <f>B14*I9</f>
        <v>7.6000000000000009E-6</v>
      </c>
    </row>
    <row r="10" spans="2:10">
      <c r="B10" s="38"/>
      <c r="C10" s="48"/>
      <c r="D10" s="38"/>
      <c r="E10" s="48"/>
      <c r="F10" s="48"/>
      <c r="G10" s="38"/>
      <c r="H10" s="38"/>
      <c r="I10" s="46"/>
      <c r="J10" s="35"/>
    </row>
    <row r="11" spans="2:10">
      <c r="B11" s="38"/>
      <c r="C11" s="48"/>
      <c r="D11" s="38"/>
      <c r="E11" s="52"/>
      <c r="F11" s="48"/>
      <c r="G11" s="38"/>
      <c r="H11" s="38"/>
      <c r="I11" s="46"/>
      <c r="J11" s="35"/>
    </row>
    <row r="12" spans="2:10">
      <c r="B12" s="38"/>
      <c r="C12" s="48"/>
      <c r="D12" s="38"/>
      <c r="E12" s="38"/>
      <c r="F12" s="48"/>
      <c r="G12" s="38"/>
      <c r="H12" s="38"/>
      <c r="I12" s="46"/>
      <c r="J12" s="35"/>
    </row>
    <row r="13" spans="2:10">
      <c r="B13" s="38"/>
      <c r="C13" s="48"/>
      <c r="D13" s="38"/>
      <c r="E13" s="38"/>
      <c r="F13" s="49">
        <v>0</v>
      </c>
      <c r="G13" s="40" t="s">
        <v>146</v>
      </c>
      <c r="H13" s="41"/>
      <c r="I13" s="42">
        <f>G14*F13*E7*C9</f>
        <v>0</v>
      </c>
      <c r="J13" s="43">
        <f>I13*B14</f>
        <v>0</v>
      </c>
    </row>
    <row r="14" spans="2:10">
      <c r="B14" s="53">
        <f>0.00001</f>
        <v>1.0000000000000001E-5</v>
      </c>
      <c r="C14" s="48"/>
      <c r="D14" s="38"/>
      <c r="E14" s="40" t="s">
        <v>155</v>
      </c>
      <c r="F14" s="54" t="s">
        <v>149</v>
      </c>
      <c r="G14" s="44">
        <v>0.2</v>
      </c>
      <c r="H14" s="38"/>
      <c r="I14" s="46"/>
      <c r="J14" s="35"/>
    </row>
    <row r="15" spans="2:10">
      <c r="B15" s="55">
        <f>0.0001</f>
        <v>1E-4</v>
      </c>
      <c r="C15" s="48"/>
      <c r="D15" s="38"/>
      <c r="E15" s="38"/>
      <c r="F15" s="52"/>
      <c r="G15" s="48"/>
      <c r="H15" s="38"/>
      <c r="I15" s="46"/>
      <c r="J15" s="35"/>
    </row>
    <row r="16" spans="2:10">
      <c r="B16" s="38"/>
      <c r="C16" s="48"/>
      <c r="D16" s="38"/>
      <c r="E16" s="38"/>
      <c r="F16" s="38"/>
      <c r="G16" s="49">
        <v>0.8</v>
      </c>
      <c r="H16" s="38"/>
      <c r="I16" s="46"/>
      <c r="J16" s="35"/>
    </row>
    <row r="17" spans="2:15">
      <c r="B17" s="38"/>
      <c r="C17" s="48"/>
      <c r="D17" s="38"/>
      <c r="E17" s="38"/>
      <c r="F17" s="40" t="s">
        <v>153</v>
      </c>
      <c r="G17" s="51" t="s">
        <v>154</v>
      </c>
      <c r="H17" s="41"/>
      <c r="I17" s="42">
        <f>G16*F13*E7*C9</f>
        <v>0</v>
      </c>
      <c r="J17" s="43">
        <f>B14*I17</f>
        <v>0</v>
      </c>
    </row>
    <row r="18" spans="2:15">
      <c r="B18" s="38"/>
      <c r="C18" s="48"/>
      <c r="D18" s="38"/>
      <c r="E18" s="38"/>
      <c r="F18" s="38"/>
      <c r="G18" s="38"/>
      <c r="H18" s="38"/>
      <c r="I18" s="46"/>
      <c r="J18" s="35"/>
    </row>
    <row r="19" spans="2:15">
      <c r="B19" s="38"/>
      <c r="C19" s="48"/>
      <c r="D19" s="38"/>
      <c r="E19" s="38"/>
      <c r="F19" s="38"/>
      <c r="G19" s="38"/>
      <c r="H19" s="38"/>
      <c r="I19" s="46"/>
      <c r="J19" s="35"/>
      <c r="O19" s="33">
        <v>0.05</v>
      </c>
    </row>
    <row r="20" spans="2:15">
      <c r="B20" s="38"/>
      <c r="C20" s="48"/>
      <c r="D20" s="38"/>
      <c r="E20" s="47"/>
      <c r="F20" s="47"/>
      <c r="G20" s="56" t="s">
        <v>156</v>
      </c>
      <c r="H20" s="41"/>
      <c r="I20" s="42">
        <f>E21*D25*C22</f>
        <v>4.0000000000000008E-2</v>
      </c>
      <c r="J20" s="43">
        <f>I20*B15</f>
        <v>4.0000000000000007E-6</v>
      </c>
      <c r="O20" s="33">
        <v>0.19</v>
      </c>
    </row>
    <row r="21" spans="2:15">
      <c r="B21" s="38"/>
      <c r="C21" s="48"/>
      <c r="D21" s="40" t="s">
        <v>149</v>
      </c>
      <c r="E21" s="49">
        <v>0.2</v>
      </c>
      <c r="F21" s="38"/>
      <c r="G21" s="38"/>
      <c r="H21" s="38"/>
      <c r="I21" s="46"/>
      <c r="J21" s="35"/>
      <c r="O21" s="33">
        <v>0.76</v>
      </c>
    </row>
    <row r="22" spans="2:15">
      <c r="B22" s="40" t="s">
        <v>157</v>
      </c>
      <c r="C22" s="49">
        <v>1</v>
      </c>
      <c r="D22" s="47"/>
      <c r="E22" s="57"/>
      <c r="F22" s="38"/>
      <c r="G22" s="38"/>
      <c r="H22" s="38"/>
      <c r="I22" s="46"/>
      <c r="J22" s="35"/>
      <c r="O22" s="33">
        <v>4.0000000000000008E-2</v>
      </c>
    </row>
    <row r="23" spans="2:15">
      <c r="B23" s="38"/>
      <c r="C23" s="48"/>
      <c r="D23" s="48"/>
      <c r="E23" s="57"/>
      <c r="F23" s="38"/>
      <c r="G23" s="38"/>
      <c r="H23" s="38"/>
      <c r="I23" s="46"/>
      <c r="J23" s="35"/>
      <c r="O23" s="33">
        <v>0.16000000000000003</v>
      </c>
    </row>
    <row r="24" spans="2:15">
      <c r="B24" s="38"/>
      <c r="C24" s="48"/>
      <c r="D24" s="54" t="s">
        <v>153</v>
      </c>
      <c r="E24" s="58">
        <v>0.8</v>
      </c>
      <c r="F24" s="47"/>
      <c r="G24" s="56" t="s">
        <v>154</v>
      </c>
      <c r="H24" s="41"/>
      <c r="I24" s="42">
        <f>E24*D25*C22</f>
        <v>0.16000000000000003</v>
      </c>
      <c r="J24" s="43">
        <f>I24*B15</f>
        <v>1.6000000000000003E-5</v>
      </c>
      <c r="O24" s="33">
        <v>4.0000000000000008E-2</v>
      </c>
    </row>
    <row r="25" spans="2:15">
      <c r="B25" s="38"/>
      <c r="C25" s="54" t="s">
        <v>158</v>
      </c>
      <c r="D25" s="49">
        <v>0.2</v>
      </c>
      <c r="E25" s="38"/>
      <c r="F25" s="38"/>
      <c r="G25" s="38"/>
      <c r="H25" s="38"/>
      <c r="I25" s="46"/>
      <c r="J25" s="35"/>
      <c r="O25" s="33">
        <v>0.15200000000000002</v>
      </c>
    </row>
    <row r="26" spans="2:15">
      <c r="B26" s="38"/>
      <c r="C26" s="48"/>
      <c r="D26" s="48"/>
      <c r="E26" s="38"/>
      <c r="F26" s="38"/>
      <c r="G26" s="38"/>
      <c r="H26" s="38"/>
      <c r="I26" s="46"/>
      <c r="J26" s="35"/>
      <c r="O26" s="33">
        <v>0.6080000000000001</v>
      </c>
    </row>
    <row r="27" spans="2:15">
      <c r="B27" s="38"/>
      <c r="C27" s="52"/>
      <c r="D27" s="48"/>
      <c r="E27" s="38"/>
      <c r="F27" s="38"/>
      <c r="G27" s="38"/>
      <c r="H27" s="38"/>
      <c r="I27" s="46"/>
      <c r="J27" s="35"/>
    </row>
    <row r="28" spans="2:15">
      <c r="B28" s="38"/>
      <c r="C28" s="38"/>
      <c r="D28" s="48"/>
      <c r="E28" s="38"/>
      <c r="F28" s="38"/>
      <c r="G28" s="40" t="s">
        <v>159</v>
      </c>
      <c r="H28" s="41"/>
      <c r="I28" s="42">
        <f>E29*D30*C22</f>
        <v>4.0000000000000008E-2</v>
      </c>
      <c r="J28" s="43">
        <f>I28*B15</f>
        <v>4.0000000000000007E-6</v>
      </c>
    </row>
    <row r="29" spans="2:15">
      <c r="B29" s="38"/>
      <c r="C29" s="40" t="s">
        <v>160</v>
      </c>
      <c r="D29" s="50" t="s">
        <v>147</v>
      </c>
      <c r="E29" s="44">
        <v>0.05</v>
      </c>
      <c r="F29" s="45"/>
      <c r="G29" s="45"/>
      <c r="H29" s="38"/>
      <c r="I29" s="46"/>
      <c r="J29" s="35"/>
    </row>
    <row r="30" spans="2:15">
      <c r="B30" s="38"/>
      <c r="C30" s="38"/>
      <c r="D30" s="58">
        <v>0.8</v>
      </c>
      <c r="E30" s="48"/>
      <c r="F30" s="38"/>
      <c r="G30" s="56" t="s">
        <v>161</v>
      </c>
      <c r="H30" s="41"/>
      <c r="I30" s="42">
        <f>G31*E32*D30*C22</f>
        <v>0.15200000000000002</v>
      </c>
      <c r="J30" s="43">
        <f>I30*B15</f>
        <v>1.5200000000000004E-5</v>
      </c>
    </row>
    <row r="31" spans="2:15">
      <c r="B31" s="38"/>
      <c r="C31" s="38"/>
      <c r="D31" s="38"/>
      <c r="E31" s="48"/>
      <c r="F31" s="40" t="s">
        <v>149</v>
      </c>
      <c r="G31" s="44">
        <v>0.2</v>
      </c>
      <c r="H31" s="38"/>
      <c r="I31" s="46"/>
    </row>
    <row r="32" spans="2:15">
      <c r="B32" s="38"/>
      <c r="C32" s="38"/>
      <c r="D32" s="40" t="s">
        <v>150</v>
      </c>
      <c r="E32" s="58">
        <v>0.95</v>
      </c>
      <c r="F32" s="47"/>
      <c r="G32" s="57"/>
      <c r="H32" s="38"/>
      <c r="I32" s="46"/>
    </row>
    <row r="33" spans="2:10">
      <c r="B33" s="38"/>
      <c r="C33" s="38"/>
      <c r="D33" s="38"/>
      <c r="E33" s="38"/>
      <c r="F33" s="38"/>
      <c r="G33" s="49">
        <v>0.8</v>
      </c>
      <c r="H33" s="38"/>
      <c r="I33" s="46"/>
    </row>
    <row r="34" spans="2:10">
      <c r="B34" s="38"/>
      <c r="C34" s="38"/>
      <c r="D34" s="38"/>
      <c r="E34" s="38"/>
      <c r="F34" s="40" t="s">
        <v>153</v>
      </c>
      <c r="G34" s="51" t="s">
        <v>154</v>
      </c>
      <c r="H34" s="41"/>
      <c r="I34" s="42">
        <f>G33*E32*D30*C22</f>
        <v>0.6080000000000001</v>
      </c>
      <c r="J34" s="43">
        <f>B15*I34</f>
        <v>6.0800000000000014E-5</v>
      </c>
    </row>
  </sheetData>
  <conditionalFormatting sqref="J3:J34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3"/>
  <sheetViews>
    <sheetView workbookViewId="0">
      <pane ySplit="1" topLeftCell="A2" activePane="bottomLeft" state="frozen"/>
      <selection pane="bottomLeft" activeCell="A14" sqref="A14"/>
    </sheetView>
  </sheetViews>
  <sheetFormatPr defaultRowHeight="14.4"/>
  <cols>
    <col min="1" max="1" width="30.44140625" customWidth="1"/>
    <col min="4" max="4" width="9.88671875" customWidth="1"/>
    <col min="7" max="7" width="16.33203125" customWidth="1"/>
    <col min="8" max="8" width="12" customWidth="1"/>
    <col min="9" max="9" width="11.33203125" customWidth="1"/>
    <col min="10" max="10" width="17" style="19" customWidth="1"/>
    <col min="11" max="11" width="11.88671875" customWidth="1"/>
    <col min="13" max="13" width="15.5546875" style="19" bestFit="1" customWidth="1"/>
    <col min="14" max="14" width="12" bestFit="1" customWidth="1"/>
    <col min="16" max="16" width="12.6640625" customWidth="1"/>
  </cols>
  <sheetData>
    <row r="1" spans="1:18" s="1" customFormat="1" ht="49.2" customHeight="1" thickBot="1">
      <c r="A1" s="1" t="s">
        <v>1</v>
      </c>
      <c r="B1" s="1" t="s">
        <v>2</v>
      </c>
      <c r="C1" s="1" t="s">
        <v>3</v>
      </c>
      <c r="D1" s="1" t="s">
        <v>5</v>
      </c>
      <c r="G1" s="12" t="s">
        <v>59</v>
      </c>
      <c r="H1" s="13" t="s">
        <v>60</v>
      </c>
      <c r="I1" s="13" t="s">
        <v>61</v>
      </c>
      <c r="J1" s="15" t="s">
        <v>62</v>
      </c>
      <c r="K1" s="1" t="s">
        <v>63</v>
      </c>
      <c r="L1" s="1" t="s">
        <v>67</v>
      </c>
      <c r="M1" s="20" t="s">
        <v>65</v>
      </c>
      <c r="N1" s="1" t="s">
        <v>64</v>
      </c>
      <c r="O1" s="1" t="s">
        <v>68</v>
      </c>
      <c r="P1" s="1" t="s">
        <v>66</v>
      </c>
    </row>
    <row r="2" spans="1:18" s="4" customFormat="1" ht="15" thickBot="1">
      <c r="A2" s="4" t="s">
        <v>0</v>
      </c>
      <c r="B2" s="21">
        <v>7</v>
      </c>
      <c r="C2" s="4">
        <v>399</v>
      </c>
      <c r="D2" s="4">
        <v>0.1</v>
      </c>
      <c r="G2" s="4">
        <v>2100</v>
      </c>
      <c r="H2" s="4">
        <v>150</v>
      </c>
      <c r="I2" s="4">
        <v>300000</v>
      </c>
      <c r="J2" s="14">
        <f>1-EXP((-G2*(C2-H2+ABS(C2-H2)))/(2*I2))</f>
        <v>0.82500537153230113</v>
      </c>
      <c r="K2" s="4">
        <v>100</v>
      </c>
      <c r="L2" s="4">
        <v>-25</v>
      </c>
      <c r="M2" s="14">
        <f>POWER(10,7.54424-(2629.65/(C2+387.195)))</f>
        <v>15829.20578209678</v>
      </c>
      <c r="N2" s="14">
        <f>B2*20*(1-J2)</f>
        <v>24.49924798547784</v>
      </c>
      <c r="O2" s="14">
        <f>B2+B2*0.25</f>
        <v>8.75</v>
      </c>
      <c r="P2" s="14">
        <f t="shared" ref="P2:P31" si="0">MIN(J2*B2+POWER(10,-6)*M2*SQRT(K2)*3600*N2/1000,B2+B2*0.25)</f>
        <v>8.75</v>
      </c>
      <c r="R2" s="4">
        <f>O2*(1-J2)</f>
        <v>1.531202999092365</v>
      </c>
    </row>
    <row r="3" spans="1:18" s="4" customFormat="1" ht="15" thickBot="1">
      <c r="A3" s="4" t="s">
        <v>15</v>
      </c>
      <c r="B3" s="22">
        <v>1.26</v>
      </c>
      <c r="C3" s="4">
        <v>343</v>
      </c>
      <c r="D3" s="4">
        <v>1.28</v>
      </c>
      <c r="G3" s="4">
        <v>2100</v>
      </c>
      <c r="H3" s="4">
        <v>150</v>
      </c>
      <c r="I3" s="4">
        <v>300000</v>
      </c>
      <c r="J3" s="14">
        <f t="shared" ref="J3:J47" si="1">1-EXP((-G3*(C3-H3+ABS(C3-H3)))/(2*I3))</f>
        <v>0.74101885003781998</v>
      </c>
      <c r="K3" s="4">
        <v>100</v>
      </c>
      <c r="L3" s="4">
        <v>-25</v>
      </c>
      <c r="M3" s="14">
        <f t="shared" ref="M3:M11" si="2">POWER(10,7.54424-(2629.65/(C3+387.195)))</f>
        <v>8768.8313347931544</v>
      </c>
      <c r="N3" s="14">
        <f t="shared" ref="N3:N11" si="3">B3*20*(1-J3)</f>
        <v>6.5263249790469366</v>
      </c>
      <c r="O3" s="14">
        <f t="shared" ref="O3:O31" si="4">B3+B3*0.25</f>
        <v>1.575</v>
      </c>
      <c r="P3" s="14">
        <f t="shared" si="0"/>
        <v>1.575</v>
      </c>
      <c r="R3" s="4">
        <f>O3*(1-J3)</f>
        <v>0.40789531119043354</v>
      </c>
    </row>
    <row r="4" spans="1:18" s="4" customFormat="1" ht="15" thickBot="1">
      <c r="A4" s="4" t="s">
        <v>4</v>
      </c>
      <c r="B4" s="22">
        <v>5</v>
      </c>
      <c r="C4" s="4">
        <v>341</v>
      </c>
      <c r="D4" s="4">
        <v>0.8</v>
      </c>
      <c r="G4" s="4">
        <v>2100</v>
      </c>
      <c r="H4" s="4">
        <v>150</v>
      </c>
      <c r="I4" s="4">
        <v>300000</v>
      </c>
      <c r="J4" s="14">
        <f t="shared" si="1"/>
        <v>0.73736761492923464</v>
      </c>
      <c r="K4" s="4">
        <v>100</v>
      </c>
      <c r="L4" s="4">
        <v>-25</v>
      </c>
      <c r="M4" s="14">
        <f t="shared" si="2"/>
        <v>8571.3788174799702</v>
      </c>
      <c r="N4" s="14">
        <f t="shared" si="3"/>
        <v>26.263238507076537</v>
      </c>
      <c r="O4" s="14">
        <f t="shared" si="4"/>
        <v>6.25</v>
      </c>
      <c r="P4" s="14">
        <f t="shared" si="0"/>
        <v>6.25</v>
      </c>
      <c r="R4" s="4">
        <f>O4*(1-J4)</f>
        <v>1.6414524066922835</v>
      </c>
    </row>
    <row r="5" spans="1:18" s="4" customFormat="1" ht="15" thickBot="1">
      <c r="A5" s="4" t="s">
        <v>6</v>
      </c>
      <c r="B5" s="22">
        <v>3.6</v>
      </c>
      <c r="C5" s="4">
        <v>100</v>
      </c>
      <c r="D5" s="4">
        <v>0.9</v>
      </c>
      <c r="G5" s="4">
        <v>2100</v>
      </c>
      <c r="H5" s="4">
        <v>150</v>
      </c>
      <c r="I5" s="4">
        <v>300000</v>
      </c>
      <c r="J5" s="14">
        <f t="shared" si="1"/>
        <v>0</v>
      </c>
      <c r="K5" s="4">
        <v>100</v>
      </c>
      <c r="L5" s="4">
        <v>-25</v>
      </c>
      <c r="M5" s="14">
        <f t="shared" si="2"/>
        <v>140.18748264555614</v>
      </c>
      <c r="N5" s="14">
        <f t="shared" si="3"/>
        <v>72</v>
      </c>
      <c r="O5" s="14">
        <f t="shared" si="4"/>
        <v>4.5</v>
      </c>
      <c r="P5" s="14">
        <f t="shared" si="0"/>
        <v>0.36336595501728153</v>
      </c>
      <c r="R5" s="4">
        <f>6000/300</f>
        <v>20</v>
      </c>
    </row>
    <row r="6" spans="1:18" s="4" customFormat="1" ht="15" thickBot="1">
      <c r="A6" s="4" t="s">
        <v>7</v>
      </c>
      <c r="B6" s="22">
        <v>7</v>
      </c>
      <c r="C6" s="4">
        <v>100</v>
      </c>
      <c r="D6" s="4">
        <v>1.4</v>
      </c>
      <c r="G6" s="4">
        <v>2100</v>
      </c>
      <c r="H6" s="4">
        <v>150</v>
      </c>
      <c r="I6" s="4">
        <v>300000</v>
      </c>
      <c r="J6" s="14">
        <f t="shared" si="1"/>
        <v>0</v>
      </c>
      <c r="K6" s="4">
        <v>100</v>
      </c>
      <c r="L6" s="4">
        <v>-25</v>
      </c>
      <c r="M6" s="14">
        <f t="shared" si="2"/>
        <v>140.18748264555614</v>
      </c>
      <c r="N6" s="14">
        <f t="shared" si="3"/>
        <v>140</v>
      </c>
      <c r="O6" s="14">
        <f t="shared" si="4"/>
        <v>8.75</v>
      </c>
      <c r="P6" s="14">
        <f t="shared" si="0"/>
        <v>0.70654491253360296</v>
      </c>
    </row>
    <row r="7" spans="1:18" s="4" customFormat="1" ht="15" thickBot="1">
      <c r="A7" s="5" t="s">
        <v>8</v>
      </c>
      <c r="B7" s="22">
        <v>5.9</v>
      </c>
      <c r="C7" s="4">
        <v>100</v>
      </c>
      <c r="D7" s="4">
        <v>0.8</v>
      </c>
      <c r="G7" s="4">
        <v>2100</v>
      </c>
      <c r="H7" s="4">
        <v>150</v>
      </c>
      <c r="I7" s="4">
        <v>300000</v>
      </c>
      <c r="J7" s="14">
        <f t="shared" si="1"/>
        <v>0</v>
      </c>
      <c r="K7" s="4">
        <v>100</v>
      </c>
      <c r="L7" s="4">
        <v>-25</v>
      </c>
      <c r="M7" s="14">
        <f t="shared" si="2"/>
        <v>140.18748264555614</v>
      </c>
      <c r="N7" s="14">
        <f t="shared" si="3"/>
        <v>118</v>
      </c>
      <c r="O7" s="14">
        <f t="shared" si="4"/>
        <v>7.375</v>
      </c>
      <c r="P7" s="14">
        <f t="shared" si="0"/>
        <v>0.59551642627832257</v>
      </c>
    </row>
    <row r="8" spans="1:18" s="4" customFormat="1" ht="15" thickBot="1">
      <c r="A8" s="4" t="s">
        <v>9</v>
      </c>
      <c r="B8" s="22">
        <v>50</v>
      </c>
      <c r="C8" s="4">
        <v>150</v>
      </c>
      <c r="D8" s="4">
        <v>1.8</v>
      </c>
      <c r="G8" s="4">
        <v>2100</v>
      </c>
      <c r="H8" s="4">
        <v>150</v>
      </c>
      <c r="I8" s="4">
        <v>300000</v>
      </c>
      <c r="J8" s="14">
        <f t="shared" si="1"/>
        <v>0</v>
      </c>
      <c r="K8" s="4">
        <v>100</v>
      </c>
      <c r="L8" s="4">
        <v>-25</v>
      </c>
      <c r="M8" s="14">
        <f t="shared" si="2"/>
        <v>445.74881167858393</v>
      </c>
      <c r="N8" s="14">
        <f>500</f>
        <v>500</v>
      </c>
      <c r="O8" s="14">
        <f t="shared" si="4"/>
        <v>62.5</v>
      </c>
      <c r="P8" s="14">
        <f t="shared" si="0"/>
        <v>8.0234786102145108</v>
      </c>
    </row>
    <row r="9" spans="1:18" s="4" customFormat="1" ht="15" thickBot="1">
      <c r="A9" s="4" t="s">
        <v>10</v>
      </c>
      <c r="B9" s="22">
        <v>1.93</v>
      </c>
      <c r="C9" s="4">
        <v>100</v>
      </c>
      <c r="D9" s="4">
        <v>1.4</v>
      </c>
      <c r="G9" s="4">
        <v>2100</v>
      </c>
      <c r="H9" s="4">
        <v>150</v>
      </c>
      <c r="I9" s="4">
        <v>300000</v>
      </c>
      <c r="J9" s="14">
        <f t="shared" si="1"/>
        <v>0</v>
      </c>
      <c r="K9" s="4">
        <v>100</v>
      </c>
      <c r="L9" s="4">
        <v>-25</v>
      </c>
      <c r="M9" s="14">
        <f t="shared" si="2"/>
        <v>140.18748264555614</v>
      </c>
      <c r="N9" s="14">
        <f t="shared" si="3"/>
        <v>38.6</v>
      </c>
      <c r="O9" s="14">
        <f t="shared" si="4"/>
        <v>2.4125000000000001</v>
      </c>
      <c r="P9" s="14">
        <f t="shared" si="0"/>
        <v>0.19480452588426483</v>
      </c>
    </row>
    <row r="10" spans="1:18" s="4" customFormat="1" ht="15" thickBot="1">
      <c r="A10" s="4" t="s">
        <v>11</v>
      </c>
      <c r="B10" s="22">
        <v>2.4300000000000002</v>
      </c>
      <c r="C10" s="4">
        <v>100</v>
      </c>
      <c r="D10" s="4">
        <v>1.44</v>
      </c>
      <c r="G10" s="4">
        <v>2100</v>
      </c>
      <c r="H10" s="4">
        <v>150</v>
      </c>
      <c r="I10" s="4">
        <v>300000</v>
      </c>
      <c r="J10" s="14">
        <f t="shared" si="1"/>
        <v>0</v>
      </c>
      <c r="K10" s="4">
        <v>100</v>
      </c>
      <c r="L10" s="4">
        <v>-25</v>
      </c>
      <c r="M10" s="14">
        <f t="shared" si="2"/>
        <v>140.18748264555614</v>
      </c>
      <c r="N10" s="14">
        <f t="shared" si="3"/>
        <v>48.6</v>
      </c>
      <c r="O10" s="14">
        <f t="shared" si="4"/>
        <v>3.0375000000000001</v>
      </c>
      <c r="P10" s="14">
        <f t="shared" si="0"/>
        <v>0.24527201963666506</v>
      </c>
    </row>
    <row r="11" spans="1:18" s="4" customFormat="1" ht="15" thickBot="1">
      <c r="A11" s="4" t="s">
        <v>14</v>
      </c>
      <c r="B11" s="4">
        <f>120*0.05</f>
        <v>6</v>
      </c>
      <c r="C11" s="4">
        <v>100</v>
      </c>
      <c r="E11" s="4" t="s">
        <v>12</v>
      </c>
      <c r="F11" s="4" t="s">
        <v>13</v>
      </c>
      <c r="G11" s="4">
        <v>2100</v>
      </c>
      <c r="H11" s="4">
        <v>150</v>
      </c>
      <c r="I11" s="4">
        <v>300000</v>
      </c>
      <c r="J11" s="14">
        <f t="shared" si="1"/>
        <v>0</v>
      </c>
      <c r="K11" s="4">
        <v>100</v>
      </c>
      <c r="L11" s="4">
        <v>-25</v>
      </c>
      <c r="M11" s="14">
        <f t="shared" si="2"/>
        <v>140.18748264555614</v>
      </c>
      <c r="N11" s="14">
        <f t="shared" si="3"/>
        <v>120</v>
      </c>
      <c r="O11" s="14">
        <f t="shared" si="4"/>
        <v>7.5</v>
      </c>
      <c r="P11" s="14">
        <f t="shared" si="0"/>
        <v>0.60560992502880251</v>
      </c>
    </row>
    <row r="12" spans="1:18" s="2" customFormat="1" ht="15" thickBot="1">
      <c r="A12" s="2" t="s">
        <v>16</v>
      </c>
      <c r="B12" s="23">
        <v>1.3</v>
      </c>
      <c r="C12" s="2">
        <v>302</v>
      </c>
      <c r="D12" s="2">
        <v>2.67</v>
      </c>
      <c r="G12" s="2">
        <v>2100</v>
      </c>
      <c r="H12" s="2">
        <v>150</v>
      </c>
      <c r="I12" s="2">
        <v>300000</v>
      </c>
      <c r="J12" s="16">
        <f t="shared" si="1"/>
        <v>0.65492724495661625</v>
      </c>
      <c r="K12" s="2">
        <v>100</v>
      </c>
      <c r="L12" s="2">
        <v>-40</v>
      </c>
      <c r="M12" s="16">
        <f>POWER(10,7.54424-(2629.65/(C12+387.195)))</f>
        <v>5354.286204833541</v>
      </c>
      <c r="N12" s="16">
        <f>B12*20*(1-J12)</f>
        <v>8.9718916311279777</v>
      </c>
      <c r="O12" s="16">
        <f t="shared" si="4"/>
        <v>1.625</v>
      </c>
      <c r="P12" s="16">
        <f t="shared" si="0"/>
        <v>1.625</v>
      </c>
    </row>
    <row r="13" spans="1:18" s="2" customFormat="1" ht="15" thickBot="1">
      <c r="A13" s="2" t="s">
        <v>213</v>
      </c>
      <c r="B13" s="24">
        <v>1.08</v>
      </c>
      <c r="C13" s="2">
        <v>538</v>
      </c>
      <c r="D13" s="2">
        <v>2.25</v>
      </c>
      <c r="G13" s="2">
        <v>2100</v>
      </c>
      <c r="H13" s="2">
        <v>150</v>
      </c>
      <c r="I13" s="2">
        <v>300000</v>
      </c>
      <c r="J13" s="16">
        <f t="shared" si="1"/>
        <v>0.93386121885448881</v>
      </c>
      <c r="K13" s="2">
        <v>100</v>
      </c>
      <c r="L13" s="2">
        <v>-40</v>
      </c>
      <c r="M13" s="16">
        <f t="shared" ref="M13:M16" si="5">POWER(10,7.54424-(2629.65/(C13+387.195)))</f>
        <v>50347.083223002264</v>
      </c>
      <c r="N13" s="16">
        <f t="shared" ref="N13:N17" si="6">B13*20*(1-J13)</f>
        <v>1.4285976727430418</v>
      </c>
      <c r="O13" s="16">
        <f t="shared" si="4"/>
        <v>1.35</v>
      </c>
      <c r="P13" s="16">
        <f t="shared" si="0"/>
        <v>1.35</v>
      </c>
    </row>
    <row r="14" spans="1:18" s="2" customFormat="1" ht="15" thickBot="1">
      <c r="A14" s="2" t="s">
        <v>17</v>
      </c>
      <c r="B14" s="24">
        <v>1</v>
      </c>
      <c r="C14" s="2">
        <v>246</v>
      </c>
      <c r="D14" s="2">
        <v>1.76</v>
      </c>
      <c r="G14" s="2">
        <v>2100</v>
      </c>
      <c r="H14" s="2">
        <v>150</v>
      </c>
      <c r="I14" s="2">
        <v>300000</v>
      </c>
      <c r="J14" s="16">
        <f t="shared" si="1"/>
        <v>0.48931381663381213</v>
      </c>
      <c r="K14" s="2">
        <v>100</v>
      </c>
      <c r="L14" s="2">
        <v>-40</v>
      </c>
      <c r="M14" s="16">
        <f t="shared" si="5"/>
        <v>2461.8067211378111</v>
      </c>
      <c r="N14" s="16">
        <f t="shared" si="6"/>
        <v>10.213723667323757</v>
      </c>
      <c r="O14" s="16">
        <f t="shared" si="4"/>
        <v>1.25</v>
      </c>
      <c r="P14" s="16">
        <f t="shared" si="0"/>
        <v>1.25</v>
      </c>
    </row>
    <row r="15" spans="1:18" s="2" customFormat="1" ht="15" thickBot="1">
      <c r="A15" s="2" t="s">
        <v>18</v>
      </c>
      <c r="B15" s="24">
        <v>2.4</v>
      </c>
      <c r="C15" s="2">
        <v>111</v>
      </c>
      <c r="D15" s="2">
        <v>1.05</v>
      </c>
      <c r="G15" s="2">
        <v>2100</v>
      </c>
      <c r="H15" s="2">
        <v>150</v>
      </c>
      <c r="I15" s="2">
        <v>300000</v>
      </c>
      <c r="J15" s="16">
        <f t="shared" si="1"/>
        <v>0</v>
      </c>
      <c r="K15" s="2">
        <v>100</v>
      </c>
      <c r="L15" s="2">
        <v>-40</v>
      </c>
      <c r="M15" s="16">
        <f t="shared" si="5"/>
        <v>184.45275189353768</v>
      </c>
      <c r="N15" s="16">
        <f t="shared" si="6"/>
        <v>48</v>
      </c>
      <c r="O15" s="16">
        <f t="shared" si="4"/>
        <v>3</v>
      </c>
      <c r="P15" s="16">
        <f>MIN(J15*B15+POWER(10,-6)*M15*SQRT(K15)*3600*N15/1000,B15+B15*0.25)</f>
        <v>0.31873435527203309</v>
      </c>
    </row>
    <row r="16" spans="1:18" s="2" customFormat="1" ht="15" thickBot="1">
      <c r="A16" s="2" t="s">
        <v>19</v>
      </c>
      <c r="B16" s="24">
        <v>2.9</v>
      </c>
      <c r="C16" s="2">
        <v>96</v>
      </c>
      <c r="D16" s="2">
        <v>1.76</v>
      </c>
      <c r="G16" s="2">
        <v>2100</v>
      </c>
      <c r="H16" s="2">
        <v>150</v>
      </c>
      <c r="I16" s="2">
        <v>300000</v>
      </c>
      <c r="J16" s="16">
        <f t="shared" si="1"/>
        <v>0</v>
      </c>
      <c r="K16" s="2">
        <v>100</v>
      </c>
      <c r="L16" s="2">
        <v>-40</v>
      </c>
      <c r="M16" s="16">
        <f t="shared" si="5"/>
        <v>126.48156445418536</v>
      </c>
      <c r="N16" s="16">
        <f t="shared" si="6"/>
        <v>58</v>
      </c>
      <c r="O16" s="16">
        <f t="shared" si="4"/>
        <v>3.625</v>
      </c>
      <c r="P16" s="16">
        <f t="shared" si="0"/>
        <v>0.26409350658033903</v>
      </c>
    </row>
    <row r="17" spans="1:16" s="2" customFormat="1" ht="15" thickBot="1">
      <c r="A17" s="2" t="s">
        <v>20</v>
      </c>
      <c r="B17" s="2">
        <f>16.8*0.05</f>
        <v>0.84000000000000008</v>
      </c>
      <c r="C17" s="2">
        <v>100</v>
      </c>
      <c r="E17" s="2">
        <v>16.8</v>
      </c>
      <c r="F17" s="2" t="s">
        <v>13</v>
      </c>
      <c r="G17" s="2">
        <v>2100</v>
      </c>
      <c r="H17" s="2">
        <v>150</v>
      </c>
      <c r="I17" s="2">
        <v>300000</v>
      </c>
      <c r="J17" s="16">
        <f t="shared" si="1"/>
        <v>0</v>
      </c>
      <c r="K17" s="2">
        <v>100</v>
      </c>
      <c r="L17" s="2">
        <v>-40</v>
      </c>
      <c r="M17" s="16">
        <f>POWER(10,7.54424-(2629.65/(C17+387.195)))</f>
        <v>140.18748264555614</v>
      </c>
      <c r="N17" s="16">
        <f t="shared" si="6"/>
        <v>16.8</v>
      </c>
      <c r="O17" s="16">
        <f t="shared" si="4"/>
        <v>1.05</v>
      </c>
      <c r="P17" s="16">
        <f t="shared" si="0"/>
        <v>8.478538950403236E-2</v>
      </c>
    </row>
    <row r="18" spans="1:16" s="3" customFormat="1" ht="15" thickBot="1">
      <c r="A18" s="3" t="s">
        <v>21</v>
      </c>
      <c r="B18" s="25">
        <v>2</v>
      </c>
      <c r="C18" s="3">
        <v>121</v>
      </c>
      <c r="D18" s="3">
        <v>0.08</v>
      </c>
      <c r="E18" s="3" t="s">
        <v>35</v>
      </c>
      <c r="G18" s="3">
        <v>2100</v>
      </c>
      <c r="H18" s="3">
        <v>150</v>
      </c>
      <c r="I18" s="3">
        <v>300000</v>
      </c>
      <c r="J18" s="17">
        <f t="shared" si="1"/>
        <v>0</v>
      </c>
      <c r="K18" s="3">
        <v>100</v>
      </c>
      <c r="L18" s="3">
        <v>-40</v>
      </c>
      <c r="M18" s="17">
        <f>POWER(10,7.54424-(2629.65/(C18+387.195)))</f>
        <v>234.28791790591325</v>
      </c>
      <c r="N18" s="17">
        <f>B18*20*(1-J18)</f>
        <v>40</v>
      </c>
      <c r="O18" s="17">
        <f t="shared" si="4"/>
        <v>2.5</v>
      </c>
      <c r="P18" s="17">
        <f t="shared" si="0"/>
        <v>0.33737460178451506</v>
      </c>
    </row>
    <row r="19" spans="1:16" s="3" customFormat="1" ht="15" thickBot="1">
      <c r="A19" s="3" t="s">
        <v>22</v>
      </c>
      <c r="B19" s="26">
        <v>1</v>
      </c>
      <c r="C19" s="3">
        <v>399</v>
      </c>
      <c r="D19" s="3">
        <v>4.3600000000000003</v>
      </c>
      <c r="G19" s="3">
        <v>2100</v>
      </c>
      <c r="H19" s="3">
        <v>150</v>
      </c>
      <c r="I19" s="3">
        <v>300000</v>
      </c>
      <c r="J19" s="17">
        <f t="shared" si="1"/>
        <v>0.82500537153230113</v>
      </c>
      <c r="K19" s="3">
        <v>100</v>
      </c>
      <c r="L19" s="3">
        <v>-40</v>
      </c>
      <c r="M19" s="17">
        <f t="shared" ref="M19:M24" si="7">POWER(10,7.54424-(2629.65/(C19+387.195)))</f>
        <v>15829.20578209678</v>
      </c>
      <c r="N19" s="17">
        <f t="shared" ref="N19:N24" si="8">B19*20*(1-J19)</f>
        <v>3.4998925693539773</v>
      </c>
      <c r="O19" s="17">
        <f t="shared" si="4"/>
        <v>1.25</v>
      </c>
      <c r="P19" s="17">
        <f t="shared" si="0"/>
        <v>1.25</v>
      </c>
    </row>
    <row r="20" spans="1:16" s="3" customFormat="1" ht="15" thickBot="1">
      <c r="A20" s="3" t="s">
        <v>23</v>
      </c>
      <c r="B20" s="26">
        <v>1.1200000000000001</v>
      </c>
      <c r="C20" s="3">
        <v>410</v>
      </c>
      <c r="D20" s="3">
        <v>5.62</v>
      </c>
      <c r="G20" s="3">
        <v>2100</v>
      </c>
      <c r="H20" s="3">
        <v>150</v>
      </c>
      <c r="I20" s="3">
        <v>300000</v>
      </c>
      <c r="J20" s="17">
        <f t="shared" si="1"/>
        <v>0.83797424906611928</v>
      </c>
      <c r="K20" s="3">
        <v>100</v>
      </c>
      <c r="L20" s="3">
        <v>-40</v>
      </c>
      <c r="M20" s="17">
        <f t="shared" si="7"/>
        <v>17604.013156669684</v>
      </c>
      <c r="N20" s="17">
        <f t="shared" si="8"/>
        <v>3.6293768209189285</v>
      </c>
      <c r="O20" s="17">
        <f t="shared" si="4"/>
        <v>1.4000000000000001</v>
      </c>
      <c r="P20" s="17">
        <f t="shared" si="0"/>
        <v>1.4000000000000001</v>
      </c>
    </row>
    <row r="21" spans="1:16" s="3" customFormat="1" ht="15" thickBot="1">
      <c r="A21" s="3" t="s">
        <v>24</v>
      </c>
      <c r="B21" s="26">
        <v>2.7</v>
      </c>
      <c r="C21" s="3">
        <v>93</v>
      </c>
      <c r="D21" s="3">
        <v>0.91</v>
      </c>
      <c r="G21" s="3">
        <v>2100</v>
      </c>
      <c r="H21" s="3">
        <v>150</v>
      </c>
      <c r="I21" s="3">
        <v>300000</v>
      </c>
      <c r="J21" s="17">
        <f t="shared" si="1"/>
        <v>0</v>
      </c>
      <c r="K21" s="3">
        <v>100</v>
      </c>
      <c r="L21" s="3">
        <v>-40</v>
      </c>
      <c r="M21" s="17">
        <f t="shared" si="7"/>
        <v>116.95726702511259</v>
      </c>
      <c r="N21" s="17">
        <f t="shared" si="8"/>
        <v>54</v>
      </c>
      <c r="O21" s="17">
        <f t="shared" si="4"/>
        <v>3.375</v>
      </c>
      <c r="P21" s="17">
        <f t="shared" si="0"/>
        <v>0.22736492709681883</v>
      </c>
    </row>
    <row r="22" spans="1:16" s="3" customFormat="1" ht="15" thickBot="1">
      <c r="A22" s="3" t="s">
        <v>25</v>
      </c>
      <c r="B22" s="26">
        <v>1</v>
      </c>
      <c r="C22" s="3">
        <v>260</v>
      </c>
      <c r="D22" s="3">
        <v>0.96</v>
      </c>
      <c r="G22" s="3">
        <v>2100</v>
      </c>
      <c r="H22" s="3">
        <v>150</v>
      </c>
      <c r="I22" s="3">
        <v>300000</v>
      </c>
      <c r="J22" s="17">
        <f t="shared" si="1"/>
        <v>0.53698693168877187</v>
      </c>
      <c r="K22" s="3">
        <v>100</v>
      </c>
      <c r="L22" s="3">
        <v>-40</v>
      </c>
      <c r="M22" s="17">
        <f t="shared" si="7"/>
        <v>3027.5446918884868</v>
      </c>
      <c r="N22" s="17">
        <f t="shared" si="8"/>
        <v>9.2602613662245616</v>
      </c>
      <c r="O22" s="17">
        <f t="shared" si="4"/>
        <v>1.25</v>
      </c>
      <c r="P22" s="17">
        <f t="shared" si="0"/>
        <v>1.25</v>
      </c>
    </row>
    <row r="23" spans="1:16" s="3" customFormat="1" ht="15" thickBot="1">
      <c r="A23" s="3" t="s">
        <v>26</v>
      </c>
      <c r="B23" s="26">
        <v>2.3199999999999998</v>
      </c>
      <c r="C23" s="3">
        <v>121</v>
      </c>
      <c r="D23" s="3">
        <v>4.04</v>
      </c>
      <c r="G23" s="3">
        <v>2100</v>
      </c>
      <c r="H23" s="3">
        <v>150</v>
      </c>
      <c r="I23" s="3">
        <v>300000</v>
      </c>
      <c r="J23" s="17">
        <f t="shared" si="1"/>
        <v>0</v>
      </c>
      <c r="K23" s="3">
        <v>100</v>
      </c>
      <c r="L23" s="3">
        <v>-40</v>
      </c>
      <c r="M23" s="17">
        <f t="shared" si="7"/>
        <v>234.28791790591325</v>
      </c>
      <c r="N23" s="17">
        <f t="shared" si="8"/>
        <v>46.4</v>
      </c>
      <c r="O23" s="17">
        <f t="shared" si="4"/>
        <v>2.9</v>
      </c>
      <c r="P23" s="17">
        <f t="shared" si="0"/>
        <v>0.39135453807003745</v>
      </c>
    </row>
    <row r="24" spans="1:16" s="3" customFormat="1" ht="15" thickBot="1">
      <c r="A24" s="3" t="s">
        <v>27</v>
      </c>
      <c r="B24" s="3">
        <f>16.4*0.05</f>
        <v>0.82</v>
      </c>
      <c r="C24" s="3">
        <v>100</v>
      </c>
      <c r="E24" s="3">
        <v>16.399999999999999</v>
      </c>
      <c r="F24" s="3" t="s">
        <v>28</v>
      </c>
      <c r="G24" s="3">
        <v>2100</v>
      </c>
      <c r="H24" s="3">
        <v>150</v>
      </c>
      <c r="I24" s="3">
        <v>300000</v>
      </c>
      <c r="J24" s="17">
        <f t="shared" si="1"/>
        <v>0</v>
      </c>
      <c r="K24" s="3">
        <v>100</v>
      </c>
      <c r="L24" s="3">
        <v>-40</v>
      </c>
      <c r="M24" s="17">
        <f t="shared" si="7"/>
        <v>140.18748264555614</v>
      </c>
      <c r="N24" s="17">
        <f t="shared" si="8"/>
        <v>16.399999999999999</v>
      </c>
      <c r="O24" s="17">
        <f t="shared" si="4"/>
        <v>1.0249999999999999</v>
      </c>
      <c r="P24" s="17">
        <f t="shared" si="0"/>
        <v>8.2766689753936348E-2</v>
      </c>
    </row>
    <row r="25" spans="1:16" s="6" customFormat="1" ht="15" thickBot="1">
      <c r="A25" s="6" t="s">
        <v>29</v>
      </c>
      <c r="B25" s="27">
        <v>1</v>
      </c>
      <c r="C25" s="6">
        <v>371</v>
      </c>
      <c r="D25" s="6">
        <v>0.21</v>
      </c>
      <c r="G25" s="6">
        <v>2100</v>
      </c>
      <c r="H25" s="6">
        <v>180</v>
      </c>
      <c r="I25" s="6">
        <v>600000</v>
      </c>
      <c r="J25" s="18">
        <f t="shared" si="1"/>
        <v>0.4875232833866836</v>
      </c>
      <c r="K25" s="6">
        <v>200</v>
      </c>
      <c r="L25" s="6">
        <v>62</v>
      </c>
      <c r="M25" s="18">
        <f>POWER(10,4.26511-(695.019/(C25+223.22)))</f>
        <v>1245.8838052419615</v>
      </c>
      <c r="N25" s="18">
        <f>B25*20*(1-J25)</f>
        <v>10.249534332266329</v>
      </c>
      <c r="O25" s="18">
        <f t="shared" si="4"/>
        <v>1.25</v>
      </c>
      <c r="P25" s="18">
        <f t="shared" si="0"/>
        <v>1.1376517368557724</v>
      </c>
    </row>
    <row r="26" spans="1:16" s="6" customFormat="1" ht="15" thickBot="1">
      <c r="A26" s="6" t="s">
        <v>30</v>
      </c>
      <c r="B26" s="28">
        <v>3.6</v>
      </c>
      <c r="C26" s="6">
        <v>150</v>
      </c>
      <c r="D26" s="6">
        <v>5.2</v>
      </c>
      <c r="G26" s="6">
        <v>2100</v>
      </c>
      <c r="H26" s="6">
        <v>180</v>
      </c>
      <c r="I26" s="6">
        <v>600000</v>
      </c>
      <c r="J26" s="18">
        <f t="shared" si="1"/>
        <v>0</v>
      </c>
      <c r="K26" s="6">
        <v>200</v>
      </c>
      <c r="L26" s="6">
        <v>62</v>
      </c>
      <c r="M26" s="18">
        <f t="shared" ref="M26:M31" si="9">POWER(10,4.26511-(695.019/(C26+223.22)))</f>
        <v>252.86379203332982</v>
      </c>
      <c r="N26" s="18">
        <f t="shared" ref="N26:N32" si="10">B26*20*(1-J26)</f>
        <v>72</v>
      </c>
      <c r="O26" s="18">
        <f t="shared" si="4"/>
        <v>4.5</v>
      </c>
      <c r="P26" s="18">
        <f t="shared" si="0"/>
        <v>0.92690802349621138</v>
      </c>
    </row>
    <row r="27" spans="1:16" s="6" customFormat="1" ht="15" thickBot="1">
      <c r="A27" s="6" t="s">
        <v>31</v>
      </c>
      <c r="B27" s="28">
        <v>3</v>
      </c>
      <c r="C27" s="6">
        <v>399</v>
      </c>
      <c r="D27" s="6">
        <v>5.49</v>
      </c>
      <c r="E27" s="6" t="s">
        <v>34</v>
      </c>
      <c r="G27" s="6">
        <v>2100</v>
      </c>
      <c r="H27" s="6">
        <v>180</v>
      </c>
      <c r="I27" s="6">
        <v>600000</v>
      </c>
      <c r="J27" s="18">
        <f t="shared" si="1"/>
        <v>0.53536354668312791</v>
      </c>
      <c r="K27" s="6">
        <v>200</v>
      </c>
      <c r="L27" s="6">
        <v>62</v>
      </c>
      <c r="M27" s="18">
        <f t="shared" si="9"/>
        <v>1406.4075504416835</v>
      </c>
      <c r="N27" s="18">
        <f t="shared" si="10"/>
        <v>27.878187199012324</v>
      </c>
      <c r="O27" s="18">
        <f t="shared" si="4"/>
        <v>3.75</v>
      </c>
      <c r="P27" s="18">
        <f t="shared" si="0"/>
        <v>3.6022408460011741</v>
      </c>
    </row>
    <row r="28" spans="1:16" s="6" customFormat="1" ht="15" thickBot="1">
      <c r="A28" s="6" t="s">
        <v>32</v>
      </c>
      <c r="B28" s="28">
        <v>1</v>
      </c>
      <c r="C28" s="6">
        <v>150</v>
      </c>
      <c r="D28" s="6">
        <v>5.21</v>
      </c>
      <c r="G28" s="6">
        <v>2100</v>
      </c>
      <c r="H28" s="6">
        <v>180</v>
      </c>
      <c r="I28" s="6">
        <v>600000</v>
      </c>
      <c r="J28" s="18">
        <f t="shared" si="1"/>
        <v>0</v>
      </c>
      <c r="K28" s="6">
        <v>200</v>
      </c>
      <c r="L28" s="6">
        <v>62</v>
      </c>
      <c r="M28" s="18">
        <f t="shared" si="9"/>
        <v>252.86379203332982</v>
      </c>
      <c r="N28" s="18">
        <f t="shared" si="10"/>
        <v>20</v>
      </c>
      <c r="O28" s="18">
        <f>B28+B28*0.3</f>
        <v>1.3</v>
      </c>
      <c r="P28" s="18">
        <f t="shared" si="0"/>
        <v>0.25747445097116983</v>
      </c>
    </row>
    <row r="29" spans="1:16" s="6" customFormat="1" ht="15" thickBot="1">
      <c r="A29" s="6" t="s">
        <v>33</v>
      </c>
      <c r="B29" s="28">
        <v>1.6</v>
      </c>
      <c r="C29" s="6">
        <v>193</v>
      </c>
      <c r="D29" s="6">
        <v>0.18</v>
      </c>
      <c r="G29" s="6">
        <v>2100</v>
      </c>
      <c r="H29" s="6">
        <v>180</v>
      </c>
      <c r="I29" s="6">
        <v>600000</v>
      </c>
      <c r="J29" s="18">
        <f t="shared" si="1"/>
        <v>4.4480397428045548E-2</v>
      </c>
      <c r="K29" s="6">
        <v>200</v>
      </c>
      <c r="L29" s="6">
        <v>62</v>
      </c>
      <c r="M29" s="18">
        <f t="shared" si="9"/>
        <v>393.79875263507546</v>
      </c>
      <c r="N29" s="18">
        <f t="shared" si="10"/>
        <v>30.576627282302542</v>
      </c>
      <c r="O29" s="18">
        <f t="shared" si="4"/>
        <v>2</v>
      </c>
      <c r="P29" s="18">
        <f t="shared" si="0"/>
        <v>0.6841981925816879</v>
      </c>
    </row>
    <row r="30" spans="1:16" s="6" customFormat="1" ht="15" thickBot="1">
      <c r="A30" s="7" t="s">
        <v>36</v>
      </c>
      <c r="B30" s="28">
        <v>4</v>
      </c>
      <c r="C30" s="6">
        <v>93</v>
      </c>
      <c r="D30" s="6">
        <v>1.05</v>
      </c>
      <c r="G30" s="6">
        <v>2100</v>
      </c>
      <c r="H30" s="6">
        <v>180</v>
      </c>
      <c r="I30" s="6">
        <v>600000</v>
      </c>
      <c r="J30" s="18">
        <f t="shared" si="1"/>
        <v>0</v>
      </c>
      <c r="K30" s="6">
        <v>200</v>
      </c>
      <c r="L30" s="6">
        <v>62</v>
      </c>
      <c r="M30" s="18">
        <f t="shared" si="9"/>
        <v>116.73819293086203</v>
      </c>
      <c r="N30" s="18">
        <f t="shared" si="10"/>
        <v>80</v>
      </c>
      <c r="O30" s="18">
        <f t="shared" si="4"/>
        <v>5</v>
      </c>
      <c r="P30" s="18">
        <f t="shared" si="0"/>
        <v>0.47546707878648592</v>
      </c>
    </row>
    <row r="31" spans="1:16" s="6" customFormat="1">
      <c r="A31" s="6" t="s">
        <v>37</v>
      </c>
      <c r="B31" s="6">
        <f>66*0.05</f>
        <v>3.3000000000000003</v>
      </c>
      <c r="C31" s="6">
        <v>150</v>
      </c>
      <c r="E31" s="6">
        <v>66.5</v>
      </c>
      <c r="F31" s="6" t="s">
        <v>13</v>
      </c>
      <c r="G31" s="6">
        <v>2100</v>
      </c>
      <c r="H31" s="6">
        <v>180</v>
      </c>
      <c r="I31" s="6">
        <v>600000</v>
      </c>
      <c r="J31" s="18">
        <f t="shared" si="1"/>
        <v>0</v>
      </c>
      <c r="K31" s="6">
        <v>200</v>
      </c>
      <c r="L31" s="6">
        <v>62</v>
      </c>
      <c r="M31" s="18">
        <f t="shared" si="9"/>
        <v>252.86379203332982</v>
      </c>
      <c r="N31" s="18">
        <f t="shared" si="10"/>
        <v>66</v>
      </c>
      <c r="O31" s="18">
        <f t="shared" si="4"/>
        <v>4.125</v>
      </c>
      <c r="P31" s="18">
        <f t="shared" si="0"/>
        <v>0.84966568820486044</v>
      </c>
    </row>
    <row r="32" spans="1:16" s="4" customFormat="1">
      <c r="A32" s="4" t="s">
        <v>38</v>
      </c>
      <c r="B32" s="4">
        <v>1</v>
      </c>
      <c r="C32" s="4">
        <v>93</v>
      </c>
      <c r="D32" s="4">
        <v>0.18</v>
      </c>
      <c r="E32" s="4" t="s">
        <v>39</v>
      </c>
      <c r="G32" s="4">
        <v>2100</v>
      </c>
      <c r="H32" s="4">
        <v>150</v>
      </c>
      <c r="I32" s="4">
        <v>300000</v>
      </c>
      <c r="J32" s="14">
        <f t="shared" si="1"/>
        <v>0</v>
      </c>
      <c r="K32" s="4">
        <v>100</v>
      </c>
      <c r="L32" s="4">
        <v>-40</v>
      </c>
      <c r="M32" s="14">
        <f t="shared" ref="M32" si="11">POWER(10,7.54424-(2629.65/(C32+387.195)))</f>
        <v>116.95726702511259</v>
      </c>
      <c r="N32" s="14">
        <f t="shared" si="10"/>
        <v>20</v>
      </c>
      <c r="O32" s="14">
        <f>B32+B32*0.3</f>
        <v>1.3</v>
      </c>
      <c r="P32" s="14">
        <f t="shared" ref="P32" si="12">MIN(J32*B32+POWER(10,-6)*M32*SQRT(K32)*3600*N32/1000,B32+B32*0.25)</f>
        <v>8.4209232258081052E-2</v>
      </c>
    </row>
    <row r="33" spans="1:17" s="4" customFormat="1">
      <c r="A33" s="4" t="s">
        <v>40</v>
      </c>
      <c r="B33" s="4">
        <v>1</v>
      </c>
      <c r="C33" s="4">
        <v>154</v>
      </c>
      <c r="D33" s="4">
        <v>0.1</v>
      </c>
      <c r="E33" s="4" t="s">
        <v>41</v>
      </c>
      <c r="G33" s="4">
        <v>2100</v>
      </c>
      <c r="H33" s="4">
        <v>150</v>
      </c>
      <c r="I33" s="4">
        <v>300000</v>
      </c>
      <c r="J33" s="14">
        <f t="shared" si="1"/>
        <v>2.7611633198753149E-2</v>
      </c>
      <c r="K33" s="4">
        <v>100</v>
      </c>
      <c r="L33" s="4">
        <v>-40</v>
      </c>
      <c r="M33" s="14">
        <f t="shared" ref="M33:M34" si="13">POWER(10,7.54424-(2629.65/(C33+387.195)))</f>
        <v>484.4740249397052</v>
      </c>
      <c r="N33" s="14">
        <f t="shared" ref="N33:N34" si="14">B33*20*(1-J33)</f>
        <v>19.447767336024938</v>
      </c>
      <c r="O33" s="14">
        <f t="shared" ref="O33:O34" si="15">B33+B33*0.25</f>
        <v>1.25</v>
      </c>
      <c r="P33" s="14">
        <f t="shared" ref="P33:P34" si="16">MIN(J33*B33+POWER(10,-6)*M33*SQRT(K33)*3600*N33/1000,B33+B33*0.25)</f>
        <v>0.3668014054242506</v>
      </c>
    </row>
    <row r="34" spans="1:17" s="4" customFormat="1">
      <c r="A34" s="4" t="s">
        <v>42</v>
      </c>
      <c r="B34" s="4">
        <f>12.9*0.1</f>
        <v>1.29</v>
      </c>
      <c r="C34" s="4">
        <v>30</v>
      </c>
      <c r="E34" s="4">
        <v>12.9</v>
      </c>
      <c r="F34" s="4" t="s">
        <v>13</v>
      </c>
      <c r="G34" s="4">
        <v>2100</v>
      </c>
      <c r="H34" s="4">
        <v>150</v>
      </c>
      <c r="I34" s="4">
        <v>300000</v>
      </c>
      <c r="J34" s="14">
        <f t="shared" si="1"/>
        <v>0</v>
      </c>
      <c r="K34" s="4">
        <v>100</v>
      </c>
      <c r="L34" s="4">
        <v>-40</v>
      </c>
      <c r="M34" s="14">
        <f t="shared" si="13"/>
        <v>17.420973354452723</v>
      </c>
      <c r="N34" s="14">
        <f t="shared" si="14"/>
        <v>25.8</v>
      </c>
      <c r="O34" s="14">
        <f t="shared" si="15"/>
        <v>1.6125</v>
      </c>
      <c r="P34" s="14">
        <f t="shared" si="16"/>
        <v>1.6180600051615687E-2</v>
      </c>
    </row>
    <row r="35" spans="1:17" s="9" customFormat="1">
      <c r="A35" s="8" t="s">
        <v>43</v>
      </c>
      <c r="B35" s="9">
        <v>17</v>
      </c>
      <c r="C35" s="9">
        <v>186</v>
      </c>
      <c r="D35" s="9">
        <v>0.5</v>
      </c>
      <c r="E35" s="9" t="s">
        <v>44</v>
      </c>
      <c r="G35" s="9">
        <v>2100</v>
      </c>
      <c r="H35" s="9">
        <v>150</v>
      </c>
      <c r="I35" s="9">
        <v>300000</v>
      </c>
      <c r="J35" s="29">
        <f t="shared" si="1"/>
        <v>0.22275526193105388</v>
      </c>
      <c r="K35" s="9">
        <v>100</v>
      </c>
      <c r="L35" s="9">
        <v>-40</v>
      </c>
      <c r="M35" s="29">
        <f t="shared" ref="M35:M44" si="17">POWER(10,7.54424-(2629.65/(C35+387.195)))</f>
        <v>904.76177808729301</v>
      </c>
      <c r="N35" s="29">
        <v>100</v>
      </c>
      <c r="O35" s="29">
        <f t="shared" ref="O35:O44" si="18">B35+B35*0.25</f>
        <v>21.25</v>
      </c>
      <c r="P35" s="29">
        <f t="shared" ref="P35:P47" si="19">MIN(J35*B35+POWER(10,-6)*M35*SQRT(K35)*3600*N35/1000,B35+B35*0.25)</f>
        <v>7.0439818539421708</v>
      </c>
    </row>
    <row r="36" spans="1:17" s="9" customFormat="1">
      <c r="A36" s="9" t="s">
        <v>45</v>
      </c>
      <c r="B36" s="9">
        <f>14.3*0.1</f>
        <v>1.4300000000000002</v>
      </c>
      <c r="C36" s="9">
        <v>30</v>
      </c>
      <c r="E36" s="9">
        <v>14.3</v>
      </c>
      <c r="F36" s="9" t="s">
        <v>46</v>
      </c>
      <c r="G36" s="9">
        <v>2100</v>
      </c>
      <c r="H36" s="9">
        <v>150</v>
      </c>
      <c r="I36" s="9">
        <v>300000</v>
      </c>
      <c r="J36" s="29">
        <f t="shared" si="1"/>
        <v>0</v>
      </c>
      <c r="K36" s="9">
        <v>100</v>
      </c>
      <c r="L36" s="9">
        <v>-40</v>
      </c>
      <c r="M36" s="29">
        <f t="shared" si="17"/>
        <v>17.420973354452723</v>
      </c>
      <c r="N36" s="29">
        <f t="shared" ref="N36:N47" si="20">B36*20*(1-J36)</f>
        <v>28.6</v>
      </c>
      <c r="O36" s="29">
        <f t="shared" si="18"/>
        <v>1.7875000000000001</v>
      </c>
      <c r="P36" s="29">
        <f t="shared" si="19"/>
        <v>1.7936634165744522E-2</v>
      </c>
    </row>
    <row r="37" spans="1:17" s="3" customFormat="1">
      <c r="A37" s="3" t="s">
        <v>47</v>
      </c>
      <c r="B37" s="3">
        <v>1.1759999999999999</v>
      </c>
      <c r="C37" s="3">
        <v>400</v>
      </c>
      <c r="D37" s="3">
        <v>1.6</v>
      </c>
      <c r="E37" s="3" t="s">
        <v>34</v>
      </c>
      <c r="G37" s="3">
        <v>2100</v>
      </c>
      <c r="H37" s="3">
        <v>150</v>
      </c>
      <c r="I37" s="3">
        <v>300000</v>
      </c>
      <c r="J37" s="17">
        <f t="shared" si="1"/>
        <v>0.82622605654955483</v>
      </c>
      <c r="K37" s="3">
        <v>100</v>
      </c>
      <c r="L37" s="3">
        <v>62</v>
      </c>
      <c r="M37" s="17">
        <f>POWER(10,4.26511-(695.019/(C37+223.22)))</f>
        <v>1412.2236879551108</v>
      </c>
      <c r="N37" s="17">
        <f t="shared" si="20"/>
        <v>4.0871631499544705</v>
      </c>
      <c r="O37" s="17">
        <f t="shared" si="18"/>
        <v>1.47</v>
      </c>
      <c r="P37" s="17">
        <f t="shared" si="19"/>
        <v>1.1794334327107818</v>
      </c>
    </row>
    <row r="38" spans="1:17" s="3" customFormat="1">
      <c r="A38" s="3" t="s">
        <v>48</v>
      </c>
      <c r="B38" s="3">
        <v>2.46</v>
      </c>
      <c r="C38" s="3">
        <v>149</v>
      </c>
      <c r="D38" s="3">
        <v>0.02</v>
      </c>
      <c r="G38" s="3">
        <v>2100</v>
      </c>
      <c r="H38" s="3">
        <v>150</v>
      </c>
      <c r="I38" s="3">
        <v>300000</v>
      </c>
      <c r="J38" s="17">
        <f t="shared" si="1"/>
        <v>0</v>
      </c>
      <c r="K38" s="3">
        <v>100</v>
      </c>
      <c r="L38" s="3">
        <v>62</v>
      </c>
      <c r="M38" s="17">
        <f t="shared" ref="M38:M39" si="21">POWER(10,4.26511-(695.019/(C38+223.22)))</f>
        <v>249.96754707023152</v>
      </c>
      <c r="N38" s="17">
        <f t="shared" si="20"/>
        <v>49.2</v>
      </c>
      <c r="O38" s="17">
        <f t="shared" si="18"/>
        <v>3.0750000000000002</v>
      </c>
      <c r="P38" s="17">
        <f t="shared" si="19"/>
        <v>0.44274251937079401</v>
      </c>
    </row>
    <row r="39" spans="1:17" s="3" customFormat="1">
      <c r="A39" s="3" t="s">
        <v>49</v>
      </c>
      <c r="B39" s="3">
        <f>24*0.05</f>
        <v>1.2000000000000002</v>
      </c>
      <c r="C39" s="3">
        <v>30</v>
      </c>
      <c r="E39" s="3">
        <v>24.1</v>
      </c>
      <c r="F39" s="3" t="s">
        <v>13</v>
      </c>
      <c r="G39" s="3">
        <v>2100</v>
      </c>
      <c r="H39" s="3">
        <v>150</v>
      </c>
      <c r="I39" s="3">
        <v>300000</v>
      </c>
      <c r="J39" s="17">
        <f t="shared" si="1"/>
        <v>0</v>
      </c>
      <c r="K39" s="3">
        <v>100</v>
      </c>
      <c r="L39" s="3">
        <v>62</v>
      </c>
      <c r="M39" s="17">
        <f t="shared" si="21"/>
        <v>33.142559493409294</v>
      </c>
      <c r="N39" s="17">
        <f t="shared" si="20"/>
        <v>24.000000000000004</v>
      </c>
      <c r="O39" s="17">
        <f t="shared" si="18"/>
        <v>1.5000000000000002</v>
      </c>
      <c r="P39" s="17">
        <f t="shared" si="19"/>
        <v>2.8635171402305634E-2</v>
      </c>
    </row>
    <row r="40" spans="1:17" s="11" customFormat="1">
      <c r="A40" s="10" t="s">
        <v>214</v>
      </c>
      <c r="B40" s="11">
        <v>2.27</v>
      </c>
      <c r="C40" s="11">
        <v>53</v>
      </c>
      <c r="D40" s="11">
        <v>0.28000000000000003</v>
      </c>
      <c r="G40" s="11">
        <v>2100</v>
      </c>
      <c r="H40" s="11">
        <v>200</v>
      </c>
      <c r="I40" s="11">
        <v>600000</v>
      </c>
      <c r="J40" s="30">
        <f t="shared" si="1"/>
        <v>0</v>
      </c>
      <c r="K40" s="11">
        <v>200</v>
      </c>
      <c r="L40" s="11">
        <v>62</v>
      </c>
      <c r="M40" s="30">
        <f>POWER(10,4.26511-(695.019/(C40+223.22)))</f>
        <v>56.095867348263582</v>
      </c>
      <c r="N40" s="30">
        <f t="shared" si="20"/>
        <v>45.4</v>
      </c>
      <c r="O40" s="30">
        <f t="shared" si="18"/>
        <v>2.8374999999999999</v>
      </c>
      <c r="P40" s="30">
        <f t="shared" si="19"/>
        <v>0.12965946308725096</v>
      </c>
    </row>
    <row r="41" spans="1:17" s="11" customFormat="1">
      <c r="A41" s="11" t="s">
        <v>50</v>
      </c>
      <c r="B41" s="11">
        <v>10.7</v>
      </c>
      <c r="C41" s="11">
        <v>215</v>
      </c>
      <c r="D41" s="11">
        <v>0.158</v>
      </c>
      <c r="E41" s="11" t="s">
        <v>34</v>
      </c>
      <c r="G41" s="11">
        <v>2100</v>
      </c>
      <c r="H41" s="11">
        <v>200</v>
      </c>
      <c r="I41" s="11">
        <v>600000</v>
      </c>
      <c r="J41" s="30">
        <f t="shared" si="1"/>
        <v>5.1145678944198747E-2</v>
      </c>
      <c r="K41" s="11">
        <v>200</v>
      </c>
      <c r="L41" s="11">
        <v>62</v>
      </c>
      <c r="M41" s="30">
        <f t="shared" ref="M41:M42" si="22">POWER(10,4.26511-(695.019/(C41+223.22)))</f>
        <v>477.64501938510369</v>
      </c>
      <c r="N41" s="30">
        <v>130</v>
      </c>
      <c r="O41" s="30">
        <f t="shared" si="18"/>
        <v>13.375</v>
      </c>
      <c r="P41" s="30">
        <f t="shared" si="19"/>
        <v>3.7085616261621945</v>
      </c>
    </row>
    <row r="42" spans="1:17" s="11" customFormat="1">
      <c r="A42" s="11" t="s">
        <v>215</v>
      </c>
      <c r="B42" s="11">
        <v>1</v>
      </c>
      <c r="C42" s="11">
        <v>150</v>
      </c>
      <c r="D42" s="11">
        <v>0.3</v>
      </c>
      <c r="G42" s="11">
        <v>2100</v>
      </c>
      <c r="H42" s="11">
        <v>200</v>
      </c>
      <c r="I42" s="11">
        <v>600000</v>
      </c>
      <c r="J42" s="30">
        <f t="shared" si="1"/>
        <v>0</v>
      </c>
      <c r="K42" s="11">
        <v>200</v>
      </c>
      <c r="L42" s="11">
        <v>62</v>
      </c>
      <c r="M42" s="30">
        <f t="shared" si="22"/>
        <v>252.86379203332982</v>
      </c>
      <c r="N42" s="30">
        <f t="shared" si="20"/>
        <v>20</v>
      </c>
      <c r="O42" s="30">
        <f t="shared" si="18"/>
        <v>1.25</v>
      </c>
      <c r="P42" s="30">
        <f t="shared" si="19"/>
        <v>0.25747445097116983</v>
      </c>
    </row>
    <row r="43" spans="1:17" s="9" customFormat="1">
      <c r="A43" s="9" t="s">
        <v>51</v>
      </c>
      <c r="B43" s="9">
        <v>97.2</v>
      </c>
      <c r="C43" s="9">
        <v>38</v>
      </c>
      <c r="D43" s="9">
        <v>0.86</v>
      </c>
      <c r="F43" s="9" t="s">
        <v>52</v>
      </c>
      <c r="G43" s="9">
        <v>2100</v>
      </c>
      <c r="H43" s="9">
        <v>150</v>
      </c>
      <c r="I43" s="9">
        <v>300000</v>
      </c>
      <c r="J43" s="29">
        <f t="shared" si="1"/>
        <v>0</v>
      </c>
      <c r="K43" s="9">
        <v>100</v>
      </c>
      <c r="L43" s="9">
        <v>-40</v>
      </c>
      <c r="M43" s="29">
        <f t="shared" si="17"/>
        <v>22.891057877010731</v>
      </c>
      <c r="N43" s="29">
        <v>900</v>
      </c>
      <c r="O43" s="29">
        <f>B43</f>
        <v>97.2</v>
      </c>
      <c r="P43" s="29">
        <f t="shared" si="19"/>
        <v>0.74167027521514761</v>
      </c>
    </row>
    <row r="44" spans="1:17" s="9" customFormat="1">
      <c r="A44" s="9" t="s">
        <v>53</v>
      </c>
      <c r="B44" s="9">
        <f>63*0.05</f>
        <v>3.1500000000000004</v>
      </c>
      <c r="C44" s="9">
        <v>30</v>
      </c>
      <c r="E44" s="9">
        <v>63</v>
      </c>
      <c r="F44" s="9" t="s">
        <v>46</v>
      </c>
      <c r="G44" s="9">
        <v>2100</v>
      </c>
      <c r="H44" s="9">
        <v>150</v>
      </c>
      <c r="I44" s="9">
        <v>300000</v>
      </c>
      <c r="J44" s="29">
        <f t="shared" si="1"/>
        <v>0</v>
      </c>
      <c r="K44" s="9">
        <v>100</v>
      </c>
      <c r="L44" s="9">
        <v>-40</v>
      </c>
      <c r="M44" s="29">
        <f t="shared" si="17"/>
        <v>17.420973354452723</v>
      </c>
      <c r="N44" s="29">
        <f t="shared" si="20"/>
        <v>63.000000000000007</v>
      </c>
      <c r="O44" s="29">
        <f t="shared" si="18"/>
        <v>3.9375000000000004</v>
      </c>
      <c r="P44" s="29">
        <f t="shared" si="19"/>
        <v>3.9510767567898772E-2</v>
      </c>
    </row>
    <row r="45" spans="1:17" s="4" customFormat="1">
      <c r="A45" s="4" t="s">
        <v>54</v>
      </c>
      <c r="B45" s="4">
        <v>2950</v>
      </c>
      <c r="C45" s="4">
        <v>50</v>
      </c>
      <c r="D45" s="4">
        <v>0.1</v>
      </c>
      <c r="F45" s="4" t="s">
        <v>55</v>
      </c>
      <c r="G45" s="4">
        <v>2100</v>
      </c>
      <c r="H45" s="4">
        <v>150</v>
      </c>
      <c r="I45" s="4">
        <v>300000</v>
      </c>
      <c r="J45" s="14">
        <f t="shared" si="1"/>
        <v>0</v>
      </c>
      <c r="K45" s="4">
        <v>100</v>
      </c>
      <c r="L45" s="4">
        <v>-40</v>
      </c>
      <c r="M45" s="14">
        <v>50</v>
      </c>
      <c r="N45" s="14">
        <v>5000</v>
      </c>
      <c r="O45" s="14">
        <f>B45</f>
        <v>2950</v>
      </c>
      <c r="P45" s="14">
        <f t="shared" si="19"/>
        <v>9</v>
      </c>
    </row>
    <row r="46" spans="1:17" s="4" customFormat="1">
      <c r="A46" s="4" t="s">
        <v>56</v>
      </c>
      <c r="B46" s="4">
        <v>56</v>
      </c>
      <c r="C46" s="4">
        <v>25</v>
      </c>
      <c r="D46" s="4">
        <v>7.0000000000000007E-2</v>
      </c>
      <c r="F46" s="4" t="s">
        <v>57</v>
      </c>
      <c r="G46" s="4">
        <v>2100</v>
      </c>
      <c r="H46" s="4">
        <v>150</v>
      </c>
      <c r="I46" s="4">
        <v>300000</v>
      </c>
      <c r="J46" s="14">
        <f t="shared" si="1"/>
        <v>0</v>
      </c>
      <c r="K46" s="4">
        <v>100</v>
      </c>
      <c r="L46" s="4">
        <v>-40</v>
      </c>
      <c r="M46" s="14">
        <v>50</v>
      </c>
      <c r="N46" s="14">
        <v>600</v>
      </c>
      <c r="O46" s="14">
        <f t="shared" ref="O46:O47" si="23">B46</f>
        <v>56</v>
      </c>
      <c r="P46" s="14">
        <f t="shared" si="19"/>
        <v>1.08</v>
      </c>
    </row>
    <row r="47" spans="1:17" s="4" customFormat="1">
      <c r="A47" s="4" t="s">
        <v>69</v>
      </c>
      <c r="B47" s="4">
        <v>8.5</v>
      </c>
      <c r="C47" s="4">
        <v>30</v>
      </c>
      <c r="D47" s="4">
        <v>7.0000000000000007E-2</v>
      </c>
      <c r="F47" s="4" t="s">
        <v>58</v>
      </c>
      <c r="G47" s="4">
        <v>2100</v>
      </c>
      <c r="H47" s="4">
        <v>150</v>
      </c>
      <c r="I47" s="4">
        <v>300000</v>
      </c>
      <c r="J47" s="14">
        <f t="shared" si="1"/>
        <v>0</v>
      </c>
      <c r="K47" s="4">
        <v>100</v>
      </c>
      <c r="L47" s="4">
        <v>-40</v>
      </c>
      <c r="M47" s="14">
        <v>50</v>
      </c>
      <c r="N47" s="14">
        <f t="shared" si="20"/>
        <v>170</v>
      </c>
      <c r="O47" s="14">
        <f t="shared" si="23"/>
        <v>8.5</v>
      </c>
      <c r="P47" s="14">
        <f t="shared" si="19"/>
        <v>0.30599999999999999</v>
      </c>
    </row>
    <row r="48" spans="1:17">
      <c r="A48" s="34" t="s">
        <v>218</v>
      </c>
      <c r="B48" s="9">
        <f>63*0.07</f>
        <v>4.41</v>
      </c>
      <c r="C48" s="9">
        <v>70</v>
      </c>
      <c r="E48" s="9">
        <v>63</v>
      </c>
      <c r="F48" s="9" t="s">
        <v>46</v>
      </c>
      <c r="G48" s="9">
        <v>2100</v>
      </c>
      <c r="H48" s="9">
        <v>150</v>
      </c>
      <c r="I48" s="9">
        <v>300000</v>
      </c>
      <c r="J48" s="29">
        <f t="shared" ref="J48" si="24">1-EXP((-G48*(C48-H48+ABS(C48-H48)))/(2*I48))</f>
        <v>0</v>
      </c>
      <c r="K48" s="9">
        <v>100</v>
      </c>
      <c r="L48" s="9">
        <v>-40</v>
      </c>
      <c r="M48" s="29">
        <f t="shared" ref="M48" si="25">POWER(10,7.54424-(2629.65/(C48+387.195)))</f>
        <v>62.02070214823938</v>
      </c>
      <c r="N48" s="29">
        <f t="shared" ref="N48" si="26">B48*20*(1-J48)</f>
        <v>88.2</v>
      </c>
      <c r="O48" s="29">
        <f>B48+B48*0.25</f>
        <v>5.5125000000000002</v>
      </c>
      <c r="P48" s="29">
        <f t="shared" ref="P48" si="27">MIN(J48*B48+POWER(10,-6)*M48*SQRT(K48)*3600*N48/1000,B48+B48*0.25)</f>
        <v>0.1969281334610897</v>
      </c>
      <c r="Q48" s="29"/>
    </row>
    <row r="49" spans="1:16" ht="28.8">
      <c r="A49" s="138" t="s">
        <v>221</v>
      </c>
      <c r="B49" s="2">
        <v>2.0550000000000002</v>
      </c>
      <c r="C49" s="2">
        <v>70</v>
      </c>
      <c r="D49" s="2"/>
      <c r="E49" s="2"/>
      <c r="F49" s="2"/>
      <c r="G49" s="2">
        <v>2100</v>
      </c>
      <c r="H49" s="2">
        <v>150</v>
      </c>
      <c r="I49" s="2">
        <v>300000</v>
      </c>
      <c r="J49" s="16">
        <f t="shared" ref="J49" si="28">1-EXP((-G49*(C49-H49+ABS(C49-H49)))/(2*I49))</f>
        <v>0</v>
      </c>
      <c r="K49" s="2">
        <v>100</v>
      </c>
      <c r="L49" s="2">
        <v>-40</v>
      </c>
      <c r="M49" s="16">
        <f t="shared" ref="M49" si="29">POWER(10,7.54424-(2629.65/(C49+387.195)))</f>
        <v>62.02070214823938</v>
      </c>
      <c r="N49" s="16">
        <f>O49*20*(1-J49)</f>
        <v>63.150000000000006</v>
      </c>
      <c r="O49" s="16">
        <f>B49+B48*0.25</f>
        <v>3.1575000000000002</v>
      </c>
      <c r="P49" s="16">
        <f t="shared" ref="P49" si="30">MIN(J49*B49+POWER(10,-6)*M49*SQRT(K49)*3600*N49/1000,B49+B49*0.25)</f>
        <v>0.14099786426380742</v>
      </c>
    </row>
    <row r="50" spans="1:16" ht="28.8">
      <c r="A50" s="138" t="s">
        <v>222</v>
      </c>
      <c r="B50" s="2">
        <v>1.367</v>
      </c>
      <c r="C50" s="2">
        <v>100</v>
      </c>
      <c r="D50" s="2"/>
      <c r="E50" s="2"/>
      <c r="F50" s="2"/>
      <c r="G50" s="2">
        <v>2100</v>
      </c>
      <c r="H50" s="2">
        <v>150</v>
      </c>
      <c r="I50" s="2">
        <v>300000</v>
      </c>
      <c r="J50" s="16">
        <f t="shared" ref="J50" si="31">1-EXP((-G50*(C50-H50+ABS(C50-H50)))/(2*I50))</f>
        <v>0</v>
      </c>
      <c r="K50" s="2">
        <v>100</v>
      </c>
      <c r="L50" s="2">
        <v>-40</v>
      </c>
      <c r="M50" s="16">
        <f t="shared" ref="M50" si="32">POWER(10,7.54424-(2629.65/(C50+387.195)))</f>
        <v>140.18748264555614</v>
      </c>
      <c r="N50" s="16">
        <f>O50*20*(1-J50)</f>
        <v>37.614999999999995</v>
      </c>
      <c r="O50" s="16">
        <f>B50+B49*0.25</f>
        <v>1.8807499999999999</v>
      </c>
      <c r="P50" s="16">
        <f t="shared" ref="P50" si="33">MIN(J50*B50+POWER(10,-6)*M50*SQRT(K50)*3600*N50/1000,B50+B50*0.25)</f>
        <v>0.1898334777496534</v>
      </c>
    </row>
    <row r="51" spans="1:16" ht="43.2">
      <c r="A51" s="138" t="s">
        <v>223</v>
      </c>
      <c r="B51" s="2">
        <v>2.83</v>
      </c>
      <c r="C51" s="2">
        <v>70</v>
      </c>
      <c r="D51" s="2"/>
      <c r="E51" s="2"/>
      <c r="F51" s="2"/>
      <c r="G51" s="2">
        <v>2100</v>
      </c>
      <c r="H51" s="2">
        <v>150</v>
      </c>
      <c r="I51" s="2">
        <v>300000</v>
      </c>
      <c r="J51" s="16">
        <f t="shared" ref="J51" si="34">1-EXP((-G51*(C51-H51+ABS(C51-H51)))/(2*I51))</f>
        <v>0</v>
      </c>
      <c r="K51" s="2">
        <v>100</v>
      </c>
      <c r="L51" s="2">
        <v>-40</v>
      </c>
      <c r="M51" s="16">
        <f t="shared" ref="M51" si="35">POWER(10,7.54424-(2629.65/(C51+387.195)))</f>
        <v>62.02070214823938</v>
      </c>
      <c r="N51" s="16">
        <f>O51*20*(1-J51)</f>
        <v>70.75</v>
      </c>
      <c r="O51" s="16">
        <f>B51+B51*0.25</f>
        <v>3.5375000000000001</v>
      </c>
      <c r="P51" s="16">
        <f t="shared" ref="P51" si="36">MIN(J51*B51+POWER(10,-6)*M51*SQRT(K51)*3600*N51/1000,B51+B51*0.25)</f>
        <v>0.1579667283715657</v>
      </c>
    </row>
    <row r="52" spans="1:16" ht="28.8">
      <c r="A52" s="138" t="s">
        <v>224</v>
      </c>
      <c r="B52" s="2">
        <v>1.45</v>
      </c>
      <c r="C52" s="2">
        <v>70</v>
      </c>
      <c r="D52" s="2"/>
      <c r="E52" s="2"/>
      <c r="F52" s="2"/>
      <c r="G52" s="2">
        <v>2100</v>
      </c>
      <c r="H52" s="2">
        <v>150</v>
      </c>
      <c r="I52" s="2">
        <v>300000</v>
      </c>
      <c r="J52" s="16">
        <f t="shared" ref="J52" si="37">1-EXP((-G52*(C52-H52+ABS(C52-H52)))/(2*I52))</f>
        <v>0</v>
      </c>
      <c r="K52" s="2">
        <v>100</v>
      </c>
      <c r="L52" s="2">
        <v>-40</v>
      </c>
      <c r="M52" s="16">
        <f t="shared" ref="M52" si="38">POWER(10,7.54424-(2629.65/(C52+387.195)))</f>
        <v>62.02070214823938</v>
      </c>
      <c r="N52" s="16">
        <f>O52*20*(1-J52)</f>
        <v>36.25</v>
      </c>
      <c r="O52" s="16">
        <f>B52+B52*0.25</f>
        <v>1.8125</v>
      </c>
      <c r="P52" s="16">
        <f t="shared" ref="P52" si="39">MIN(J52*B52+POWER(10,-6)*M52*SQRT(K52)*3600*N52/1000,B52+B52*0.25)</f>
        <v>8.0937016303452389E-2</v>
      </c>
    </row>
    <row r="53" spans="1:16" ht="43.2">
      <c r="A53" s="138" t="s">
        <v>225</v>
      </c>
      <c r="B53" s="2">
        <v>1.06</v>
      </c>
      <c r="C53" s="2">
        <v>70</v>
      </c>
      <c r="D53" s="2"/>
      <c r="E53" s="2"/>
      <c r="F53" s="2"/>
      <c r="G53" s="2">
        <v>2100</v>
      </c>
      <c r="H53" s="2">
        <v>150</v>
      </c>
      <c r="I53" s="2">
        <v>300000</v>
      </c>
      <c r="J53" s="16">
        <f t="shared" ref="J53" si="40">1-EXP((-G53*(C53-H53+ABS(C53-H53)))/(2*I53))</f>
        <v>0</v>
      </c>
      <c r="K53" s="2">
        <v>100</v>
      </c>
      <c r="L53" s="2">
        <v>-40</v>
      </c>
      <c r="M53" s="16">
        <f t="shared" ref="M53" si="41">POWER(10,7.54424-(2629.65/(C53+387.195)))</f>
        <v>62.02070214823938</v>
      </c>
      <c r="N53" s="16">
        <f>O53*20*(1-J53)</f>
        <v>26.500000000000004</v>
      </c>
      <c r="O53" s="16">
        <f>B53+B53*0.25</f>
        <v>1.3250000000000002</v>
      </c>
      <c r="P53" s="16">
        <f t="shared" ref="P53" si="42">MIN(J53*B53+POWER(10,-6)*M53*SQRT(K53)*3600*N53/1000,B53+B53*0.25)</f>
        <v>5.9167749849420373E-2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tabSelected="1" zoomScale="85" zoomScaleNormal="85" workbookViewId="0">
      <pane ySplit="1" topLeftCell="A5" activePane="bottomLeft" state="frozen"/>
      <selection pane="bottomLeft" activeCell="K53" sqref="K53"/>
    </sheetView>
  </sheetViews>
  <sheetFormatPr defaultRowHeight="14.4"/>
  <cols>
    <col min="1" max="1" width="12" style="33" customWidth="1"/>
    <col min="2" max="2" width="28.88671875" style="33" customWidth="1"/>
    <col min="3" max="3" width="34.6640625" style="34" customWidth="1"/>
    <col min="4" max="4" width="33.88671875" style="34" customWidth="1"/>
    <col min="5" max="5" width="16.5546875" style="33" customWidth="1"/>
    <col min="6" max="6" width="16.33203125" style="33" customWidth="1"/>
    <col min="7" max="7" width="11.5546875" style="33" customWidth="1"/>
    <col min="8" max="8" width="16.5546875" style="33" customWidth="1"/>
    <col min="9" max="9" width="14.6640625" style="33" customWidth="1"/>
    <col min="10" max="10" width="20.6640625" style="33" customWidth="1"/>
    <col min="11" max="11" width="8.88671875" customWidth="1"/>
    <col min="12" max="12" width="13.33203125" customWidth="1"/>
    <col min="13" max="13" width="35.5546875" customWidth="1"/>
    <col min="14" max="14" width="31" customWidth="1"/>
    <col min="15" max="28" width="8.88671875" customWidth="1"/>
    <col min="29" max="29" width="17" customWidth="1"/>
    <col min="30" max="30" width="17.88671875" customWidth="1"/>
    <col min="31" max="31" width="13.33203125" customWidth="1"/>
    <col min="32" max="34" width="8.88671875" customWidth="1"/>
    <col min="35" max="35" width="12.33203125" customWidth="1"/>
    <col min="36" max="36" width="11.88671875" customWidth="1"/>
    <col min="37" max="37" width="10.44140625" customWidth="1"/>
    <col min="38" max="38" width="11.44140625" customWidth="1"/>
    <col min="39" max="39" width="12" customWidth="1"/>
    <col min="41" max="41" width="13.6640625" customWidth="1"/>
  </cols>
  <sheetData>
    <row r="1" spans="1:41" ht="54" customHeight="1">
      <c r="A1" s="31" t="s">
        <v>70</v>
      </c>
      <c r="B1" s="31" t="s">
        <v>1</v>
      </c>
      <c r="C1" s="32" t="s">
        <v>71</v>
      </c>
      <c r="D1" s="32" t="s">
        <v>174</v>
      </c>
      <c r="E1" s="32" t="s">
        <v>72</v>
      </c>
      <c r="F1" s="32" t="s">
        <v>73</v>
      </c>
      <c r="G1" s="32" t="s">
        <v>74</v>
      </c>
      <c r="H1" s="32" t="s">
        <v>75</v>
      </c>
      <c r="I1" s="32" t="s">
        <v>76</v>
      </c>
      <c r="J1" s="32" t="s">
        <v>77</v>
      </c>
      <c r="L1" s="1" t="str">
        <f>A1</f>
        <v>№ сценария</v>
      </c>
      <c r="M1" s="1" t="str">
        <f>B1</f>
        <v>Оборудование</v>
      </c>
      <c r="N1" s="1" t="str">
        <f>D1</f>
        <v>Кратко сценарий</v>
      </c>
      <c r="O1" s="123" t="s">
        <v>196</v>
      </c>
      <c r="P1" s="123" t="s">
        <v>197</v>
      </c>
      <c r="Q1" s="123" t="s">
        <v>198</v>
      </c>
      <c r="R1" s="123" t="s">
        <v>199</v>
      </c>
      <c r="S1" s="123" t="s">
        <v>200</v>
      </c>
      <c r="T1" s="123" t="s">
        <v>201</v>
      </c>
      <c r="U1" s="123" t="s">
        <v>202</v>
      </c>
      <c r="V1" s="123" t="s">
        <v>203</v>
      </c>
      <c r="W1" s="123" t="s">
        <v>204</v>
      </c>
      <c r="X1" s="123" t="s">
        <v>205</v>
      </c>
      <c r="Y1" s="123" t="s">
        <v>206</v>
      </c>
      <c r="Z1" s="123" t="s">
        <v>207</v>
      </c>
      <c r="AA1" s="32" t="s">
        <v>226</v>
      </c>
      <c r="AB1" s="32" t="s">
        <v>227</v>
      </c>
      <c r="AC1" s="139" t="s">
        <v>236</v>
      </c>
      <c r="AD1" s="13" t="s">
        <v>237</v>
      </c>
      <c r="AE1" s="13" t="s">
        <v>238</v>
      </c>
      <c r="AH1" s="32" t="s">
        <v>228</v>
      </c>
      <c r="AI1" s="32" t="s">
        <v>229</v>
      </c>
      <c r="AJ1" s="32" t="s">
        <v>230</v>
      </c>
      <c r="AK1" s="32" t="s">
        <v>231</v>
      </c>
      <c r="AL1" s="32" t="s">
        <v>232</v>
      </c>
      <c r="AM1" s="32" t="s">
        <v>233</v>
      </c>
      <c r="AN1" s="32" t="s">
        <v>234</v>
      </c>
      <c r="AO1" s="32" t="s">
        <v>235</v>
      </c>
    </row>
    <row r="2" spans="1:41">
      <c r="A2" s="91" t="s">
        <v>78</v>
      </c>
      <c r="B2" s="97" t="s">
        <v>266</v>
      </c>
      <c r="C2" s="98" t="s">
        <v>79</v>
      </c>
      <c r="D2" s="99" t="s">
        <v>175</v>
      </c>
      <c r="E2" s="100">
        <v>1.0000000000000001E-5</v>
      </c>
      <c r="F2" s="97">
        <v>4</v>
      </c>
      <c r="G2" s="97">
        <v>0.05</v>
      </c>
      <c r="H2" s="100">
        <f>E2*F2*G2</f>
        <v>2.0000000000000003E-6</v>
      </c>
      <c r="I2" s="97">
        <f>K4*0.8*0.85</f>
        <v>2.72</v>
      </c>
      <c r="J2" s="126">
        <f>I2</f>
        <v>2.72</v>
      </c>
      <c r="K2" s="176">
        <f>5*K4</f>
        <v>20</v>
      </c>
      <c r="L2" t="str">
        <f t="shared" ref="L2:L43" si="0">A2</f>
        <v>С1</v>
      </c>
      <c r="M2" t="str">
        <f t="shared" ref="M2:M43" si="1">B2</f>
        <v>Реактор Р-1</v>
      </c>
      <c r="N2" t="str">
        <f t="shared" ref="N2:N43" si="2">D2</f>
        <v>Полное-пожар</v>
      </c>
      <c r="O2">
        <v>12</v>
      </c>
      <c r="P2">
        <v>15</v>
      </c>
      <c r="Q2">
        <v>20</v>
      </c>
      <c r="R2">
        <v>34</v>
      </c>
      <c r="S2" t="s">
        <v>209</v>
      </c>
      <c r="T2" t="s">
        <v>209</v>
      </c>
      <c r="U2" t="s">
        <v>209</v>
      </c>
      <c r="V2" t="s">
        <v>209</v>
      </c>
      <c r="W2" t="s">
        <v>209</v>
      </c>
      <c r="X2" t="s">
        <v>209</v>
      </c>
      <c r="Y2" t="s">
        <v>209</v>
      </c>
      <c r="Z2" t="s">
        <v>209</v>
      </c>
      <c r="AA2" s="154">
        <v>1</v>
      </c>
      <c r="AB2" s="154">
        <v>1</v>
      </c>
      <c r="AC2" s="154">
        <v>0.25</v>
      </c>
      <c r="AD2" s="154">
        <v>1.4999999999999999E-2</v>
      </c>
      <c r="AE2" s="154">
        <v>15</v>
      </c>
      <c r="AF2" s="154"/>
      <c r="AG2" s="154"/>
      <c r="AH2" s="156">
        <f>AD2*I2+AC2</f>
        <v>0.2908</v>
      </c>
      <c r="AI2" s="197">
        <f>AH2*0.1</f>
        <v>2.9080000000000002E-2</v>
      </c>
      <c r="AJ2" s="156">
        <f>AA2*1.72+115*0.012*AB2</f>
        <v>3.1</v>
      </c>
      <c r="AK2" s="156">
        <f>AE2*0.1</f>
        <v>1.5</v>
      </c>
      <c r="AL2" s="155">
        <f>10068.2*J2*POWER(10,-6)</f>
        <v>2.7385504000000001E-2</v>
      </c>
      <c r="AM2" s="156">
        <f t="shared" ref="AM2:AM19" si="3">AL2+AK2+AJ2+AI2+AH2</f>
        <v>4.9472655040000006</v>
      </c>
      <c r="AN2" s="157">
        <f t="shared" ref="AN2:AN19" si="4">AL2*H2</f>
        <v>5.477100800000001E-8</v>
      </c>
      <c r="AO2" s="157">
        <f t="shared" ref="AO2:AO19" si="5">H2*AM2</f>
        <v>9.8945310080000022E-6</v>
      </c>
    </row>
    <row r="3" spans="1:41">
      <c r="A3" s="91" t="s">
        <v>80</v>
      </c>
      <c r="B3" s="97" t="s">
        <v>266</v>
      </c>
      <c r="C3" s="98" t="s">
        <v>262</v>
      </c>
      <c r="D3" s="99" t="s">
        <v>178</v>
      </c>
      <c r="E3" s="100">
        <v>1.0000000000000001E-5</v>
      </c>
      <c r="F3" s="97">
        <v>4</v>
      </c>
      <c r="G3" s="97">
        <v>4.7500000000000001E-2</v>
      </c>
      <c r="H3" s="100">
        <f t="shared" ref="H3:H7" si="6">E3*F3*G3</f>
        <v>1.9000000000000002E-6</v>
      </c>
      <c r="I3" s="97">
        <f>I2</f>
        <v>2.72</v>
      </c>
      <c r="J3" s="126">
        <f>0.1*K3</f>
        <v>2.16E-3</v>
      </c>
      <c r="K3" s="176">
        <f>POWER(10,-6)*SQRT(100)*30*3600*K2/1000</f>
        <v>2.1599999999999998E-2</v>
      </c>
      <c r="L3" t="str">
        <f t="shared" si="0"/>
        <v>С2</v>
      </c>
      <c r="M3" t="str">
        <f t="shared" si="1"/>
        <v>Реактор Р-1</v>
      </c>
      <c r="N3" t="str">
        <f t="shared" si="2"/>
        <v>Полное-взрыв</v>
      </c>
      <c r="O3" t="s">
        <v>209</v>
      </c>
      <c r="P3" t="s">
        <v>209</v>
      </c>
      <c r="Q3" t="s">
        <v>209</v>
      </c>
      <c r="R3" t="s">
        <v>209</v>
      </c>
      <c r="S3">
        <v>5</v>
      </c>
      <c r="T3">
        <v>12</v>
      </c>
      <c r="U3">
        <v>32</v>
      </c>
      <c r="V3">
        <v>56</v>
      </c>
      <c r="W3" t="s">
        <v>209</v>
      </c>
      <c r="X3" t="s">
        <v>209</v>
      </c>
      <c r="Y3" t="s">
        <v>209</v>
      </c>
      <c r="Z3" t="s">
        <v>209</v>
      </c>
      <c r="AA3" s="154">
        <v>1</v>
      </c>
      <c r="AB3" s="154">
        <v>1</v>
      </c>
      <c r="AC3" s="154">
        <v>0.25</v>
      </c>
      <c r="AD3" s="154">
        <v>1.4999999999999999E-2</v>
      </c>
      <c r="AE3" s="154">
        <v>15</v>
      </c>
      <c r="AF3" s="154"/>
      <c r="AG3" s="154"/>
      <c r="AH3" s="156">
        <f>AD3*I3+AC3</f>
        <v>0.2908</v>
      </c>
      <c r="AI3" s="197">
        <f t="shared" ref="AI3:AI4" si="7">AH3*0.1</f>
        <v>2.9080000000000002E-2</v>
      </c>
      <c r="AJ3" s="156">
        <f t="shared" ref="AJ3:AJ4" si="8">AA3*1.72+115*0.012*AB3</f>
        <v>3.1</v>
      </c>
      <c r="AK3" s="156">
        <f t="shared" ref="AK3:AK4" si="9">AE3*0.1</f>
        <v>1.5</v>
      </c>
      <c r="AL3" s="155">
        <f>10068.2*J3*POWER(10,-6)*10</f>
        <v>2.1747311999999999E-4</v>
      </c>
      <c r="AM3" s="156">
        <f t="shared" si="3"/>
        <v>4.9200974731200002</v>
      </c>
      <c r="AN3" s="157">
        <f t="shared" si="4"/>
        <v>4.1319892800000003E-10</v>
      </c>
      <c r="AO3" s="157">
        <f t="shared" si="5"/>
        <v>9.3481851989280021E-6</v>
      </c>
    </row>
    <row r="4" spans="1:41">
      <c r="A4" s="91" t="s">
        <v>81</v>
      </c>
      <c r="B4" s="97" t="s">
        <v>266</v>
      </c>
      <c r="C4" s="98" t="s">
        <v>263</v>
      </c>
      <c r="D4" s="99" t="s">
        <v>176</v>
      </c>
      <c r="E4" s="100">
        <v>1.0000000000000001E-5</v>
      </c>
      <c r="F4" s="97">
        <v>4</v>
      </c>
      <c r="G4" s="97">
        <v>0.90249999999999997</v>
      </c>
      <c r="H4" s="100">
        <f t="shared" si="6"/>
        <v>3.6100000000000003E-5</v>
      </c>
      <c r="I4" s="97">
        <f>I3</f>
        <v>2.72</v>
      </c>
      <c r="J4" s="126">
        <v>0</v>
      </c>
      <c r="K4" s="176">
        <f>4</f>
        <v>4</v>
      </c>
      <c r="L4" t="str">
        <f t="shared" si="0"/>
        <v>С3</v>
      </c>
      <c r="M4" t="str">
        <f t="shared" si="1"/>
        <v>Реактор Р-1</v>
      </c>
      <c r="N4" t="str">
        <f t="shared" si="2"/>
        <v>Полное-ликвидация</v>
      </c>
      <c r="O4" t="s">
        <v>209</v>
      </c>
      <c r="P4" t="s">
        <v>209</v>
      </c>
      <c r="Q4" t="s">
        <v>209</v>
      </c>
      <c r="R4" t="s">
        <v>209</v>
      </c>
      <c r="S4" t="s">
        <v>209</v>
      </c>
      <c r="T4" t="s">
        <v>209</v>
      </c>
      <c r="U4" t="s">
        <v>209</v>
      </c>
      <c r="V4" t="s">
        <v>209</v>
      </c>
      <c r="W4" t="s">
        <v>209</v>
      </c>
      <c r="X4" t="s">
        <v>209</v>
      </c>
      <c r="Y4" t="s">
        <v>209</v>
      </c>
      <c r="Z4" t="s">
        <v>209</v>
      </c>
      <c r="AA4" s="154">
        <v>0</v>
      </c>
      <c r="AB4" s="154">
        <v>0</v>
      </c>
      <c r="AC4" s="154">
        <v>0.25</v>
      </c>
      <c r="AD4" s="154">
        <v>1.4999999999999999E-2</v>
      </c>
      <c r="AE4" s="154">
        <v>15</v>
      </c>
      <c r="AF4" s="154"/>
      <c r="AG4" s="154"/>
      <c r="AH4" s="156">
        <f>AD4*J4+AC4</f>
        <v>0.25</v>
      </c>
      <c r="AI4" s="197">
        <f t="shared" si="7"/>
        <v>2.5000000000000001E-2</v>
      </c>
      <c r="AJ4" s="156">
        <f t="shared" si="8"/>
        <v>0</v>
      </c>
      <c r="AK4" s="156">
        <f t="shared" si="9"/>
        <v>1.5</v>
      </c>
      <c r="AL4" s="155">
        <f>1333*J3*POWER(10,-6)*10</f>
        <v>2.87928E-5</v>
      </c>
      <c r="AM4" s="156">
        <f t="shared" si="3"/>
        <v>1.7750287927999999</v>
      </c>
      <c r="AN4" s="157">
        <f t="shared" si="4"/>
        <v>1.0394200800000001E-9</v>
      </c>
      <c r="AO4" s="157">
        <f t="shared" si="5"/>
        <v>6.4078539420080007E-5</v>
      </c>
    </row>
    <row r="5" spans="1:41">
      <c r="A5" s="91" t="s">
        <v>82</v>
      </c>
      <c r="B5" s="97" t="s">
        <v>266</v>
      </c>
      <c r="C5" s="98" t="s">
        <v>216</v>
      </c>
      <c r="D5" s="99" t="s">
        <v>217</v>
      </c>
      <c r="E5" s="100">
        <v>1E-4</v>
      </c>
      <c r="F5" s="97">
        <v>4</v>
      </c>
      <c r="G5" s="97">
        <v>0.05</v>
      </c>
      <c r="H5" s="100">
        <f t="shared" si="6"/>
        <v>2.0000000000000002E-5</v>
      </c>
      <c r="I5" s="97">
        <f>I2*0.1</f>
        <v>0.27200000000000002</v>
      </c>
      <c r="J5" s="126">
        <f>I5</f>
        <v>0.27200000000000002</v>
      </c>
      <c r="K5" s="176">
        <f>ROUNDUP(I5*20,0)</f>
        <v>6</v>
      </c>
      <c r="L5" t="str">
        <f t="shared" si="0"/>
        <v>С4</v>
      </c>
      <c r="M5" t="str">
        <f t="shared" si="1"/>
        <v>Реактор Р-1</v>
      </c>
      <c r="N5" t="str">
        <f t="shared" si="2"/>
        <v>Частичное-пожар</v>
      </c>
      <c r="O5">
        <v>9</v>
      </c>
      <c r="P5">
        <v>11</v>
      </c>
      <c r="Q5">
        <v>14</v>
      </c>
      <c r="R5">
        <v>23</v>
      </c>
      <c r="S5" t="s">
        <v>209</v>
      </c>
      <c r="T5" t="s">
        <v>209</v>
      </c>
      <c r="U5" t="s">
        <v>209</v>
      </c>
      <c r="V5" t="s">
        <v>209</v>
      </c>
      <c r="W5" t="s">
        <v>209</v>
      </c>
      <c r="X5" t="s">
        <v>209</v>
      </c>
      <c r="Y5" t="s">
        <v>209</v>
      </c>
      <c r="Z5" t="s">
        <v>209</v>
      </c>
      <c r="AA5" s="154">
        <v>0</v>
      </c>
      <c r="AB5" s="154">
        <v>1</v>
      </c>
      <c r="AC5" s="154">
        <f>0.1*AC4</f>
        <v>2.5000000000000001E-2</v>
      </c>
      <c r="AD5" s="154">
        <v>1.4999999999999999E-2</v>
      </c>
      <c r="AE5" s="154">
        <v>5</v>
      </c>
      <c r="AF5" s="154"/>
      <c r="AG5" s="154"/>
      <c r="AH5" s="156">
        <f>AD5*I5+AC5</f>
        <v>2.9080000000000002E-2</v>
      </c>
      <c r="AI5" s="197">
        <f>AH5*0.1</f>
        <v>2.9080000000000004E-3</v>
      </c>
      <c r="AJ5" s="156">
        <f>AA5*1.72+115*0.012*AB5</f>
        <v>1.3800000000000001</v>
      </c>
      <c r="AK5" s="156">
        <f>AE5*0.1</f>
        <v>0.5</v>
      </c>
      <c r="AL5" s="155">
        <f>10068.2*J5*POWER(10,-6)</f>
        <v>2.7385504000000003E-3</v>
      </c>
      <c r="AM5" s="156">
        <f t="shared" si="3"/>
        <v>1.9147265503999999</v>
      </c>
      <c r="AN5" s="157">
        <f t="shared" si="4"/>
        <v>5.477100800000001E-8</v>
      </c>
      <c r="AO5" s="157">
        <f t="shared" si="5"/>
        <v>3.8294531008000005E-5</v>
      </c>
    </row>
    <row r="6" spans="1:41">
      <c r="A6" s="91" t="s">
        <v>83</v>
      </c>
      <c r="B6" s="97" t="s">
        <v>266</v>
      </c>
      <c r="C6" s="98" t="s">
        <v>264</v>
      </c>
      <c r="D6" s="99" t="s">
        <v>179</v>
      </c>
      <c r="E6" s="100">
        <v>1E-4</v>
      </c>
      <c r="F6" s="97">
        <v>4</v>
      </c>
      <c r="G6" s="97">
        <v>4.7500000000000001E-2</v>
      </c>
      <c r="H6" s="100">
        <f t="shared" si="6"/>
        <v>1.9000000000000001E-5</v>
      </c>
      <c r="I6" s="97">
        <f>0.1*I2</f>
        <v>0.27200000000000002</v>
      </c>
      <c r="J6" s="126">
        <f>K6</f>
        <v>6.4799999999999988E-3</v>
      </c>
      <c r="K6" s="176">
        <f>POWER(10,-6)*SQRT(100)*30*3600*K5/1000</f>
        <v>6.4799999999999988E-3</v>
      </c>
      <c r="L6" t="str">
        <f t="shared" si="0"/>
        <v>С5</v>
      </c>
      <c r="M6" t="str">
        <f t="shared" si="1"/>
        <v>Реактор Р-1</v>
      </c>
      <c r="N6" t="str">
        <f t="shared" si="2"/>
        <v>Частичное-вспышка</v>
      </c>
      <c r="O6" t="s">
        <v>209</v>
      </c>
      <c r="P6" t="s">
        <v>209</v>
      </c>
      <c r="Q6" t="s">
        <v>209</v>
      </c>
      <c r="R6" t="s">
        <v>209</v>
      </c>
      <c r="S6" t="s">
        <v>209</v>
      </c>
      <c r="T6" t="s">
        <v>209</v>
      </c>
      <c r="U6" t="s">
        <v>209</v>
      </c>
      <c r="V6" t="s">
        <v>209</v>
      </c>
      <c r="W6" t="s">
        <v>209</v>
      </c>
      <c r="X6" t="s">
        <v>209</v>
      </c>
      <c r="Y6">
        <v>6</v>
      </c>
      <c r="Z6">
        <v>7</v>
      </c>
      <c r="AA6" s="154">
        <v>0</v>
      </c>
      <c r="AB6" s="154">
        <v>1</v>
      </c>
      <c r="AC6" s="154">
        <f>0.1*AC4</f>
        <v>2.5000000000000001E-2</v>
      </c>
      <c r="AD6" s="154">
        <v>1.4999999999999999E-2</v>
      </c>
      <c r="AE6" s="154">
        <v>5</v>
      </c>
      <c r="AF6" s="154"/>
      <c r="AG6" s="154"/>
      <c r="AH6" s="156">
        <f>AD6*I6+AC6</f>
        <v>2.9080000000000002E-2</v>
      </c>
      <c r="AI6" s="197">
        <f>AH6*0.1</f>
        <v>2.9080000000000004E-3</v>
      </c>
      <c r="AJ6" s="156">
        <f>AA6*1.72+115*0.012*AB6</f>
        <v>1.3800000000000001</v>
      </c>
      <c r="AK6" s="156">
        <f>AE6*0.1</f>
        <v>0.5</v>
      </c>
      <c r="AL6" s="155">
        <f>10068.2*J6*POWER(10,-6)</f>
        <v>6.5241935999999995E-5</v>
      </c>
      <c r="AM6" s="156">
        <f t="shared" si="3"/>
        <v>1.9120532419360001</v>
      </c>
      <c r="AN6" s="157">
        <f t="shared" si="4"/>
        <v>1.239596784E-9</v>
      </c>
      <c r="AO6" s="157">
        <f t="shared" si="5"/>
        <v>3.6329011596784003E-5</v>
      </c>
    </row>
    <row r="7" spans="1:41">
      <c r="A7" s="91" t="s">
        <v>84</v>
      </c>
      <c r="B7" s="97" t="s">
        <v>266</v>
      </c>
      <c r="C7" s="98" t="s">
        <v>265</v>
      </c>
      <c r="D7" s="99" t="s">
        <v>177</v>
      </c>
      <c r="E7" s="100">
        <v>1E-4</v>
      </c>
      <c r="F7" s="97">
        <v>4</v>
      </c>
      <c r="G7" s="97">
        <v>0.90249999999999997</v>
      </c>
      <c r="H7" s="100">
        <f t="shared" si="6"/>
        <v>3.6099999999999999E-4</v>
      </c>
      <c r="I7" s="97">
        <f>0.1*I2</f>
        <v>0.27200000000000002</v>
      </c>
      <c r="J7" s="126">
        <v>0</v>
      </c>
      <c r="K7" s="176">
        <v>0</v>
      </c>
      <c r="L7" t="str">
        <f t="shared" si="0"/>
        <v>С6</v>
      </c>
      <c r="M7" t="str">
        <f t="shared" si="1"/>
        <v>Реактор Р-1</v>
      </c>
      <c r="N7" t="str">
        <f t="shared" si="2"/>
        <v>Частичное-ликвидация</v>
      </c>
      <c r="O7" t="s">
        <v>209</v>
      </c>
      <c r="P7" t="s">
        <v>209</v>
      </c>
      <c r="Q7" t="s">
        <v>209</v>
      </c>
      <c r="R7" t="s">
        <v>209</v>
      </c>
      <c r="S7" t="s">
        <v>209</v>
      </c>
      <c r="T7" t="s">
        <v>209</v>
      </c>
      <c r="U7" t="s">
        <v>209</v>
      </c>
      <c r="V7" t="s">
        <v>209</v>
      </c>
      <c r="W7" t="s">
        <v>209</v>
      </c>
      <c r="X7" t="s">
        <v>209</v>
      </c>
      <c r="Y7" t="s">
        <v>209</v>
      </c>
      <c r="Z7" t="s">
        <v>209</v>
      </c>
      <c r="AA7" s="154">
        <v>0</v>
      </c>
      <c r="AB7" s="154">
        <v>0</v>
      </c>
      <c r="AC7" s="154">
        <f>0.1*AC4</f>
        <v>2.5000000000000001E-2</v>
      </c>
      <c r="AD7" s="154">
        <v>1.4999999999999999E-2</v>
      </c>
      <c r="AE7" s="154">
        <v>5</v>
      </c>
      <c r="AF7" s="154"/>
      <c r="AG7" s="154"/>
      <c r="AH7" s="156">
        <f>AD7*I7+AC7</f>
        <v>2.9080000000000002E-2</v>
      </c>
      <c r="AI7" s="197">
        <f>AH7*0.1</f>
        <v>2.9080000000000004E-3</v>
      </c>
      <c r="AJ7" s="156">
        <f>AA7*1.72+115*0.012*AB7</f>
        <v>0</v>
      </c>
      <c r="AK7" s="156">
        <f>AE7*0.1</f>
        <v>0.5</v>
      </c>
      <c r="AL7" s="155">
        <f>1333*J6*POWER(10,-6)</f>
        <v>8.6378399999999983E-6</v>
      </c>
      <c r="AM7" s="156">
        <f t="shared" si="3"/>
        <v>0.53199663784000006</v>
      </c>
      <c r="AN7" s="157">
        <f t="shared" si="4"/>
        <v>3.1182602399999994E-9</v>
      </c>
      <c r="AO7" s="157">
        <f t="shared" si="5"/>
        <v>1.9205078626024003E-4</v>
      </c>
    </row>
    <row r="8" spans="1:41">
      <c r="A8" s="91" t="s">
        <v>85</v>
      </c>
      <c r="B8" s="85" t="s">
        <v>267</v>
      </c>
      <c r="C8" s="86" t="s">
        <v>79</v>
      </c>
      <c r="D8" s="87" t="s">
        <v>175</v>
      </c>
      <c r="E8" s="88">
        <v>1.0000000000000001E-5</v>
      </c>
      <c r="F8" s="85">
        <v>6</v>
      </c>
      <c r="G8" s="85">
        <v>0.05</v>
      </c>
      <c r="H8" s="88">
        <f>E8*F8*G8</f>
        <v>3.0000000000000005E-6</v>
      </c>
      <c r="I8" s="85">
        <f>K10*0.8*0.85</f>
        <v>4.2839999999999998</v>
      </c>
      <c r="J8" s="124">
        <f>I8</f>
        <v>4.2839999999999998</v>
      </c>
      <c r="K8" s="124">
        <f>5*K10</f>
        <v>31.5</v>
      </c>
      <c r="L8" t="str">
        <f t="shared" si="0"/>
        <v>С7</v>
      </c>
      <c r="M8" t="str">
        <f t="shared" si="1"/>
        <v>Реактор Р-2</v>
      </c>
      <c r="N8" t="str">
        <f t="shared" si="2"/>
        <v>Полное-пожар</v>
      </c>
      <c r="O8">
        <v>13</v>
      </c>
      <c r="P8">
        <v>16</v>
      </c>
      <c r="Q8">
        <v>22</v>
      </c>
      <c r="R8">
        <v>38</v>
      </c>
      <c r="S8" t="s">
        <v>209</v>
      </c>
      <c r="T8" t="s">
        <v>209</v>
      </c>
      <c r="U8" t="s">
        <v>209</v>
      </c>
      <c r="V8" t="s">
        <v>209</v>
      </c>
      <c r="W8" t="s">
        <v>209</v>
      </c>
      <c r="X8" t="s">
        <v>209</v>
      </c>
      <c r="Y8" t="s">
        <v>209</v>
      </c>
      <c r="Z8" t="s">
        <v>209</v>
      </c>
      <c r="AA8" s="9">
        <v>1</v>
      </c>
      <c r="AB8" s="9">
        <v>1</v>
      </c>
      <c r="AC8" s="9">
        <v>0.28000000000000003</v>
      </c>
      <c r="AD8" s="9">
        <v>1.4999999999999999E-2</v>
      </c>
      <c r="AE8" s="9">
        <v>15</v>
      </c>
      <c r="AF8" s="9"/>
      <c r="AG8" s="9"/>
      <c r="AH8" s="159">
        <f>AD8*I8+AC8</f>
        <v>0.34426000000000001</v>
      </c>
      <c r="AI8" s="198">
        <f>AH8*0.1</f>
        <v>3.4426000000000005E-2</v>
      </c>
      <c r="AJ8" s="159">
        <f>AA8*1.72+115*0.012*AB8</f>
        <v>3.1</v>
      </c>
      <c r="AK8" s="159">
        <f>AE8*0.1</f>
        <v>1.5</v>
      </c>
      <c r="AL8" s="158">
        <f>10068.2*J8*POWER(10,-6)</f>
        <v>4.3132168799999995E-2</v>
      </c>
      <c r="AM8" s="159">
        <f t="shared" si="3"/>
        <v>5.0218181688000003</v>
      </c>
      <c r="AN8" s="162">
        <f t="shared" si="4"/>
        <v>1.2939650640000002E-7</v>
      </c>
      <c r="AO8" s="162">
        <f t="shared" si="5"/>
        <v>1.5065454506400004E-5</v>
      </c>
    </row>
    <row r="9" spans="1:41">
      <c r="A9" s="91" t="s">
        <v>86</v>
      </c>
      <c r="B9" s="85" t="s">
        <v>267</v>
      </c>
      <c r="C9" s="86" t="s">
        <v>262</v>
      </c>
      <c r="D9" s="87" t="s">
        <v>178</v>
      </c>
      <c r="E9" s="88">
        <v>1.0000000000000001E-5</v>
      </c>
      <c r="F9" s="85">
        <v>6</v>
      </c>
      <c r="G9" s="85">
        <v>4.7500000000000001E-2</v>
      </c>
      <c r="H9" s="88">
        <f t="shared" ref="H9:H13" si="10">E9*F9*G9</f>
        <v>2.8500000000000002E-6</v>
      </c>
      <c r="I9" s="85">
        <f>I8</f>
        <v>4.2839999999999998</v>
      </c>
      <c r="J9" s="124">
        <f>0.1*K9</f>
        <v>3.4019999999999996E-3</v>
      </c>
      <c r="K9" s="177">
        <f>POWER(10,-6)*SQRT(100)*30*3600*K8/1000</f>
        <v>3.4019999999999995E-2</v>
      </c>
      <c r="L9" t="str">
        <f t="shared" si="0"/>
        <v>С8</v>
      </c>
      <c r="M9" t="str">
        <f t="shared" si="1"/>
        <v>Реактор Р-2</v>
      </c>
      <c r="N9" t="str">
        <f t="shared" si="2"/>
        <v>Полное-взрыв</v>
      </c>
      <c r="O9" t="s">
        <v>209</v>
      </c>
      <c r="P9" t="s">
        <v>209</v>
      </c>
      <c r="Q9" t="s">
        <v>209</v>
      </c>
      <c r="R9" t="s">
        <v>209</v>
      </c>
      <c r="S9">
        <v>6</v>
      </c>
      <c r="T9">
        <v>13</v>
      </c>
      <c r="U9">
        <v>38</v>
      </c>
      <c r="V9">
        <v>65</v>
      </c>
      <c r="W9" t="s">
        <v>209</v>
      </c>
      <c r="X9" t="s">
        <v>209</v>
      </c>
      <c r="Y9" t="s">
        <v>209</v>
      </c>
      <c r="Z9" t="s">
        <v>209</v>
      </c>
      <c r="AA9" s="9">
        <v>1</v>
      </c>
      <c r="AB9" s="9">
        <v>1</v>
      </c>
      <c r="AC9" s="9">
        <v>0.28000000000000003</v>
      </c>
      <c r="AD9" s="9">
        <v>1.4999999999999999E-2</v>
      </c>
      <c r="AE9" s="9">
        <v>15</v>
      </c>
      <c r="AF9" s="9"/>
      <c r="AG9" s="9"/>
      <c r="AH9" s="159">
        <f>AD9*I9+AC9</f>
        <v>0.34426000000000001</v>
      </c>
      <c r="AI9" s="198">
        <f t="shared" ref="AI9:AI10" si="11">AH9*0.1</f>
        <v>3.4426000000000005E-2</v>
      </c>
      <c r="AJ9" s="159">
        <f t="shared" ref="AJ9:AJ10" si="12">AA9*1.72+115*0.012*AB9</f>
        <v>3.1</v>
      </c>
      <c r="AK9" s="159">
        <f t="shared" ref="AK9:AK10" si="13">AE9*0.1</f>
        <v>1.5</v>
      </c>
      <c r="AL9" s="158">
        <f>10068.2*J9*POWER(10,-6)*10</f>
        <v>3.4252016400000002E-4</v>
      </c>
      <c r="AM9" s="159">
        <f t="shared" si="3"/>
        <v>4.9790285201640003</v>
      </c>
      <c r="AN9" s="162">
        <f t="shared" si="4"/>
        <v>9.7618246740000019E-10</v>
      </c>
      <c r="AO9" s="162">
        <f t="shared" si="5"/>
        <v>1.4190231282467402E-5</v>
      </c>
    </row>
    <row r="10" spans="1:41">
      <c r="A10" s="91" t="s">
        <v>87</v>
      </c>
      <c r="B10" s="85" t="s">
        <v>267</v>
      </c>
      <c r="C10" s="86" t="s">
        <v>263</v>
      </c>
      <c r="D10" s="87" t="s">
        <v>176</v>
      </c>
      <c r="E10" s="88">
        <v>1.0000000000000001E-5</v>
      </c>
      <c r="F10" s="85">
        <v>6</v>
      </c>
      <c r="G10" s="85">
        <v>0.90249999999999997</v>
      </c>
      <c r="H10" s="88">
        <f t="shared" si="10"/>
        <v>5.4150000000000008E-5</v>
      </c>
      <c r="I10" s="85">
        <f>I9</f>
        <v>4.2839999999999998</v>
      </c>
      <c r="J10" s="124">
        <v>0</v>
      </c>
      <c r="K10" s="177">
        <v>6.3</v>
      </c>
      <c r="L10" t="str">
        <f t="shared" si="0"/>
        <v>С9</v>
      </c>
      <c r="M10" t="str">
        <f t="shared" si="1"/>
        <v>Реактор Р-2</v>
      </c>
      <c r="N10" t="str">
        <f t="shared" si="2"/>
        <v>Полное-ликвидация</v>
      </c>
      <c r="O10" t="s">
        <v>209</v>
      </c>
      <c r="P10" t="s">
        <v>209</v>
      </c>
      <c r="Q10" t="s">
        <v>209</v>
      </c>
      <c r="R10" t="s">
        <v>209</v>
      </c>
      <c r="S10" t="s">
        <v>209</v>
      </c>
      <c r="T10" t="s">
        <v>209</v>
      </c>
      <c r="U10" t="s">
        <v>209</v>
      </c>
      <c r="V10" t="s">
        <v>209</v>
      </c>
      <c r="W10" t="s">
        <v>209</v>
      </c>
      <c r="X10" t="s">
        <v>209</v>
      </c>
      <c r="Y10" t="s">
        <v>209</v>
      </c>
      <c r="Z10" t="s">
        <v>209</v>
      </c>
      <c r="AA10" s="9">
        <v>0</v>
      </c>
      <c r="AB10" s="9">
        <v>0</v>
      </c>
      <c r="AC10" s="9">
        <v>0.28000000000000003</v>
      </c>
      <c r="AD10" s="9">
        <v>1.4999999999999999E-2</v>
      </c>
      <c r="AE10" s="9">
        <v>15</v>
      </c>
      <c r="AF10" s="9"/>
      <c r="AG10" s="9"/>
      <c r="AH10" s="159">
        <f>AD10*J10+AC10</f>
        <v>0.28000000000000003</v>
      </c>
      <c r="AI10" s="198">
        <f t="shared" si="11"/>
        <v>2.8000000000000004E-2</v>
      </c>
      <c r="AJ10" s="159">
        <f t="shared" si="12"/>
        <v>0</v>
      </c>
      <c r="AK10" s="159">
        <f t="shared" si="13"/>
        <v>1.5</v>
      </c>
      <c r="AL10" s="158">
        <f>1333*J9*POWER(10,-6)*10</f>
        <v>4.5348659999999992E-5</v>
      </c>
      <c r="AM10" s="159">
        <f t="shared" si="3"/>
        <v>1.8080453486600001</v>
      </c>
      <c r="AN10" s="162">
        <f t="shared" si="4"/>
        <v>2.4556299390000001E-9</v>
      </c>
      <c r="AO10" s="162">
        <f t="shared" si="5"/>
        <v>9.7905655629939016E-5</v>
      </c>
    </row>
    <row r="11" spans="1:41">
      <c r="A11" s="91" t="s">
        <v>88</v>
      </c>
      <c r="B11" s="85" t="s">
        <v>267</v>
      </c>
      <c r="C11" s="86" t="s">
        <v>216</v>
      </c>
      <c r="D11" s="87" t="s">
        <v>217</v>
      </c>
      <c r="E11" s="88">
        <v>1E-4</v>
      </c>
      <c r="F11" s="85">
        <v>6</v>
      </c>
      <c r="G11" s="85">
        <v>0.05</v>
      </c>
      <c r="H11" s="88">
        <f t="shared" si="10"/>
        <v>3.0000000000000004E-5</v>
      </c>
      <c r="I11" s="85">
        <f>I8*0.1</f>
        <v>0.4284</v>
      </c>
      <c r="J11" s="124">
        <f>I11</f>
        <v>0.4284</v>
      </c>
      <c r="K11" s="177">
        <f>ROUNDUP(I11*20,0)</f>
        <v>9</v>
      </c>
      <c r="L11" t="str">
        <f t="shared" si="0"/>
        <v>С10</v>
      </c>
      <c r="M11" t="str">
        <f t="shared" si="1"/>
        <v>Реактор Р-2</v>
      </c>
      <c r="N11" t="str">
        <f t="shared" si="2"/>
        <v>Частичное-пожар</v>
      </c>
      <c r="O11">
        <v>10</v>
      </c>
      <c r="P11">
        <v>12</v>
      </c>
      <c r="Q11">
        <v>16</v>
      </c>
      <c r="R11">
        <v>26</v>
      </c>
      <c r="S11" t="s">
        <v>209</v>
      </c>
      <c r="T11" t="s">
        <v>209</v>
      </c>
      <c r="U11" t="s">
        <v>209</v>
      </c>
      <c r="V11" t="s">
        <v>209</v>
      </c>
      <c r="W11" t="s">
        <v>209</v>
      </c>
      <c r="X11" t="s">
        <v>209</v>
      </c>
      <c r="Y11" t="s">
        <v>209</v>
      </c>
      <c r="Z11" t="s">
        <v>209</v>
      </c>
      <c r="AA11" s="9">
        <v>0</v>
      </c>
      <c r="AB11" s="9">
        <v>1</v>
      </c>
      <c r="AC11" s="9">
        <f>0.1*AC10</f>
        <v>2.8000000000000004E-2</v>
      </c>
      <c r="AD11" s="9">
        <v>1.4999999999999999E-2</v>
      </c>
      <c r="AE11" s="9">
        <v>5</v>
      </c>
      <c r="AF11" s="9"/>
      <c r="AG11" s="9"/>
      <c r="AH11" s="159">
        <f>AD11*I11+AC11</f>
        <v>3.4426000000000005E-2</v>
      </c>
      <c r="AI11" s="198">
        <f>AH11*0.1</f>
        <v>3.4426000000000005E-3</v>
      </c>
      <c r="AJ11" s="159">
        <f>AA11*1.72+115*0.012*AB11</f>
        <v>1.3800000000000001</v>
      </c>
      <c r="AK11" s="159">
        <f>AE11*0.1</f>
        <v>0.5</v>
      </c>
      <c r="AL11" s="158">
        <f>10068.2*J11*POWER(10,-6)</f>
        <v>4.3132168799999999E-3</v>
      </c>
      <c r="AM11" s="159">
        <f t="shared" si="3"/>
        <v>1.9221818168800002</v>
      </c>
      <c r="AN11" s="162">
        <f t="shared" si="4"/>
        <v>1.2939650640000002E-7</v>
      </c>
      <c r="AO11" s="162">
        <f t="shared" si="5"/>
        <v>5.7665454506400016E-5</v>
      </c>
    </row>
    <row r="12" spans="1:41">
      <c r="A12" s="91" t="s">
        <v>89</v>
      </c>
      <c r="B12" s="85" t="s">
        <v>267</v>
      </c>
      <c r="C12" s="86" t="s">
        <v>264</v>
      </c>
      <c r="D12" s="87" t="s">
        <v>179</v>
      </c>
      <c r="E12" s="88">
        <v>1E-4</v>
      </c>
      <c r="F12" s="85">
        <v>6</v>
      </c>
      <c r="G12" s="85">
        <v>4.7500000000000001E-2</v>
      </c>
      <c r="H12" s="88">
        <f t="shared" si="10"/>
        <v>2.8500000000000002E-5</v>
      </c>
      <c r="I12" s="85">
        <f>0.1*I8</f>
        <v>0.4284</v>
      </c>
      <c r="J12" s="124">
        <f>K12</f>
        <v>9.7199999999999995E-3</v>
      </c>
      <c r="K12" s="177">
        <f>POWER(10,-6)*SQRT(100)*30*3600*K11/1000</f>
        <v>9.7199999999999995E-3</v>
      </c>
      <c r="L12" t="str">
        <f t="shared" si="0"/>
        <v>С11</v>
      </c>
      <c r="M12" t="str">
        <f t="shared" si="1"/>
        <v>Реактор Р-2</v>
      </c>
      <c r="N12" t="str">
        <f t="shared" si="2"/>
        <v>Частичное-вспышка</v>
      </c>
      <c r="O12" t="s">
        <v>209</v>
      </c>
      <c r="P12" t="s">
        <v>209</v>
      </c>
      <c r="Q12" t="s">
        <v>209</v>
      </c>
      <c r="R12" t="s">
        <v>209</v>
      </c>
      <c r="S12" t="s">
        <v>209</v>
      </c>
      <c r="T12" t="s">
        <v>209</v>
      </c>
      <c r="U12" t="s">
        <v>209</v>
      </c>
      <c r="V12" t="s">
        <v>209</v>
      </c>
      <c r="W12" t="s">
        <v>209</v>
      </c>
      <c r="X12" t="s">
        <v>209</v>
      </c>
      <c r="Y12">
        <v>7</v>
      </c>
      <c r="Z12">
        <v>8</v>
      </c>
      <c r="AA12" s="9">
        <v>0</v>
      </c>
      <c r="AB12" s="9">
        <v>1</v>
      </c>
      <c r="AC12" s="9">
        <f>0.1*AC10</f>
        <v>2.8000000000000004E-2</v>
      </c>
      <c r="AD12" s="9">
        <v>1.4999999999999999E-2</v>
      </c>
      <c r="AE12" s="9">
        <v>5</v>
      </c>
      <c r="AF12" s="9"/>
      <c r="AG12" s="9"/>
      <c r="AH12" s="159">
        <f>AD12*I12+AC12</f>
        <v>3.4426000000000005E-2</v>
      </c>
      <c r="AI12" s="198">
        <f>AH12*0.1</f>
        <v>3.4426000000000005E-3</v>
      </c>
      <c r="AJ12" s="159">
        <f>AA12*1.72+115*0.012*AB12</f>
        <v>1.3800000000000001</v>
      </c>
      <c r="AK12" s="159">
        <f>AE12*0.1</f>
        <v>0.5</v>
      </c>
      <c r="AL12" s="158">
        <f>10068.2*J12*POWER(10,-6)</f>
        <v>9.7862903999999999E-5</v>
      </c>
      <c r="AM12" s="159">
        <f t="shared" si="3"/>
        <v>1.9179664629040003</v>
      </c>
      <c r="AN12" s="162">
        <f t="shared" si="4"/>
        <v>2.789092764E-9</v>
      </c>
      <c r="AO12" s="162">
        <f t="shared" si="5"/>
        <v>5.4662044192764011E-5</v>
      </c>
    </row>
    <row r="13" spans="1:41">
      <c r="A13" s="91" t="s">
        <v>90</v>
      </c>
      <c r="B13" s="85" t="s">
        <v>267</v>
      </c>
      <c r="C13" s="86" t="s">
        <v>265</v>
      </c>
      <c r="D13" s="87" t="s">
        <v>177</v>
      </c>
      <c r="E13" s="88">
        <v>1E-4</v>
      </c>
      <c r="F13" s="85">
        <v>6</v>
      </c>
      <c r="G13" s="85">
        <v>0.90249999999999997</v>
      </c>
      <c r="H13" s="88">
        <f t="shared" si="10"/>
        <v>5.4149999999999999E-4</v>
      </c>
      <c r="I13" s="85">
        <f>0.1*I8</f>
        <v>0.4284</v>
      </c>
      <c r="J13" s="124">
        <v>0</v>
      </c>
      <c r="K13" s="177">
        <v>0</v>
      </c>
      <c r="L13" t="str">
        <f t="shared" si="0"/>
        <v>С12</v>
      </c>
      <c r="M13" t="str">
        <f t="shared" si="1"/>
        <v>Реактор Р-2</v>
      </c>
      <c r="N13" t="str">
        <f t="shared" si="2"/>
        <v>Частичное-ликвидация</v>
      </c>
      <c r="O13" t="s">
        <v>209</v>
      </c>
      <c r="P13" t="s">
        <v>209</v>
      </c>
      <c r="Q13" t="s">
        <v>209</v>
      </c>
      <c r="R13" t="s">
        <v>209</v>
      </c>
      <c r="S13" t="s">
        <v>209</v>
      </c>
      <c r="T13" t="s">
        <v>209</v>
      </c>
      <c r="U13" t="s">
        <v>209</v>
      </c>
      <c r="V13" t="s">
        <v>209</v>
      </c>
      <c r="W13" t="s">
        <v>209</v>
      </c>
      <c r="X13" t="s">
        <v>209</v>
      </c>
      <c r="Y13" t="s">
        <v>209</v>
      </c>
      <c r="Z13" t="s">
        <v>209</v>
      </c>
      <c r="AA13" s="9">
        <v>0</v>
      </c>
      <c r="AB13" s="9">
        <v>0</v>
      </c>
      <c r="AC13" s="9">
        <f>0.1*AC10</f>
        <v>2.8000000000000004E-2</v>
      </c>
      <c r="AD13" s="9">
        <v>1.4999999999999999E-2</v>
      </c>
      <c r="AE13" s="9">
        <v>5</v>
      </c>
      <c r="AF13" s="9"/>
      <c r="AG13" s="9"/>
      <c r="AH13" s="159">
        <f>AD13*I13+AC13</f>
        <v>3.4426000000000005E-2</v>
      </c>
      <c r="AI13" s="198">
        <f>AH13*0.1</f>
        <v>3.4426000000000005E-3</v>
      </c>
      <c r="AJ13" s="159">
        <f>AA13*1.72+115*0.012*AB13</f>
        <v>0</v>
      </c>
      <c r="AK13" s="159">
        <f>AE13*0.1</f>
        <v>0.5</v>
      </c>
      <c r="AL13" s="158">
        <f>1333*J12*POWER(10,-6)</f>
        <v>1.2956759999999998E-5</v>
      </c>
      <c r="AM13" s="159">
        <f t="shared" si="3"/>
        <v>0.53788155675999993</v>
      </c>
      <c r="AN13" s="162">
        <f t="shared" si="4"/>
        <v>7.0160855399999991E-9</v>
      </c>
      <c r="AO13" s="162">
        <f t="shared" si="5"/>
        <v>2.9126286298553994E-4</v>
      </c>
    </row>
    <row r="14" spans="1:41">
      <c r="A14" s="91" t="s">
        <v>91</v>
      </c>
      <c r="B14" s="91" t="s">
        <v>268</v>
      </c>
      <c r="C14" s="92" t="s">
        <v>79</v>
      </c>
      <c r="D14" s="93" t="s">
        <v>175</v>
      </c>
      <c r="E14" s="94">
        <v>1.0000000000000001E-5</v>
      </c>
      <c r="F14" s="91">
        <v>3</v>
      </c>
      <c r="G14" s="91">
        <v>0.05</v>
      </c>
      <c r="H14" s="94">
        <f>E14*F14*G14</f>
        <v>1.5000000000000002E-6</v>
      </c>
      <c r="I14" s="91">
        <v>66.11</v>
      </c>
      <c r="J14" s="122">
        <f>I14</f>
        <v>66.11</v>
      </c>
      <c r="K14" s="122">
        <v>300</v>
      </c>
      <c r="L14" t="str">
        <f t="shared" si="0"/>
        <v>С13</v>
      </c>
      <c r="M14" t="str">
        <f t="shared" si="1"/>
        <v>Емкость Е-6/1</v>
      </c>
      <c r="N14" t="str">
        <f t="shared" si="2"/>
        <v>Полное-пожар</v>
      </c>
      <c r="O14">
        <v>17</v>
      </c>
      <c r="P14">
        <v>23</v>
      </c>
      <c r="Q14">
        <v>33</v>
      </c>
      <c r="R14">
        <v>61</v>
      </c>
      <c r="S14" t="s">
        <v>209</v>
      </c>
      <c r="T14" t="s">
        <v>209</v>
      </c>
      <c r="U14" t="s">
        <v>209</v>
      </c>
      <c r="V14" t="s">
        <v>209</v>
      </c>
      <c r="W14" t="s">
        <v>209</v>
      </c>
      <c r="X14" t="s">
        <v>209</v>
      </c>
      <c r="Y14" t="s">
        <v>209</v>
      </c>
      <c r="Z14" t="s">
        <v>209</v>
      </c>
      <c r="AA14" s="4">
        <v>1</v>
      </c>
      <c r="AB14" s="4">
        <v>1</v>
      </c>
      <c r="AC14" s="4">
        <v>0.46</v>
      </c>
      <c r="AD14" s="4">
        <v>1.4999999999999999E-2</v>
      </c>
      <c r="AE14" s="4">
        <v>15</v>
      </c>
      <c r="AF14" s="4"/>
      <c r="AG14" s="4"/>
      <c r="AH14" s="161">
        <f>AD14*I14+AC14</f>
        <v>1.4516499999999999</v>
      </c>
      <c r="AI14" s="199">
        <f>AH14*0.1</f>
        <v>0.14516499999999999</v>
      </c>
      <c r="AJ14" s="161">
        <f>AA14*1.72+115*0.012*AB14</f>
        <v>3.1</v>
      </c>
      <c r="AK14" s="161">
        <f>AE14*0.1</f>
        <v>1.5</v>
      </c>
      <c r="AL14" s="160">
        <f>10068.2*J14*POWER(10,-6)</f>
        <v>0.665608702</v>
      </c>
      <c r="AM14" s="161">
        <f t="shared" si="3"/>
        <v>6.8624237020000001</v>
      </c>
      <c r="AN14" s="164">
        <f t="shared" si="4"/>
        <v>9.9841305300000007E-7</v>
      </c>
      <c r="AO14" s="164">
        <f t="shared" si="5"/>
        <v>1.0293635553000001E-5</v>
      </c>
    </row>
    <row r="15" spans="1:41">
      <c r="A15" s="91" t="s">
        <v>92</v>
      </c>
      <c r="B15" s="91" t="s">
        <v>268</v>
      </c>
      <c r="C15" s="92" t="s">
        <v>262</v>
      </c>
      <c r="D15" s="93" t="s">
        <v>178</v>
      </c>
      <c r="E15" s="94">
        <v>1.0000000000000001E-5</v>
      </c>
      <c r="F15" s="91">
        <v>3</v>
      </c>
      <c r="G15" s="91">
        <v>4.7500000000000001E-2</v>
      </c>
      <c r="H15" s="94">
        <f t="shared" ref="H15:H19" si="14">E15*F15*G15</f>
        <v>1.4250000000000001E-6</v>
      </c>
      <c r="I15" s="91">
        <f>I14</f>
        <v>66.11</v>
      </c>
      <c r="J15" s="122">
        <f>0.1*K15</f>
        <v>1.0800000000000001E-2</v>
      </c>
      <c r="K15" s="178">
        <f>POWER(10,-6)*SQRT(100)*10*3600*K14/1000</f>
        <v>0.108</v>
      </c>
      <c r="L15" t="str">
        <f t="shared" si="0"/>
        <v>С14</v>
      </c>
      <c r="M15" t="str">
        <f t="shared" si="1"/>
        <v>Емкость Е-6/1</v>
      </c>
      <c r="N15" t="str">
        <f t="shared" si="2"/>
        <v>Полное-взрыв</v>
      </c>
      <c r="O15" t="s">
        <v>209</v>
      </c>
      <c r="P15" t="s">
        <v>209</v>
      </c>
      <c r="Q15" t="s">
        <v>209</v>
      </c>
      <c r="R15" t="s">
        <v>209</v>
      </c>
      <c r="S15">
        <v>10</v>
      </c>
      <c r="T15">
        <v>20</v>
      </c>
      <c r="U15">
        <v>56</v>
      </c>
      <c r="V15">
        <v>96</v>
      </c>
      <c r="W15" t="s">
        <v>209</v>
      </c>
      <c r="X15" t="s">
        <v>209</v>
      </c>
      <c r="Y15" t="s">
        <v>209</v>
      </c>
      <c r="Z15" t="s">
        <v>209</v>
      </c>
      <c r="AA15" s="4">
        <v>2</v>
      </c>
      <c r="AB15" s="4">
        <v>1</v>
      </c>
      <c r="AC15" s="4">
        <v>0.46</v>
      </c>
      <c r="AD15" s="4">
        <v>1.4999999999999999E-2</v>
      </c>
      <c r="AE15" s="4">
        <v>15</v>
      </c>
      <c r="AF15" s="4"/>
      <c r="AG15" s="4"/>
      <c r="AH15" s="161">
        <f>AD15*I15+AC15</f>
        <v>1.4516499999999999</v>
      </c>
      <c r="AI15" s="199">
        <f t="shared" ref="AI15:AI16" si="15">AH15*0.1</f>
        <v>0.14516499999999999</v>
      </c>
      <c r="AJ15" s="161">
        <f t="shared" ref="AJ15:AJ16" si="16">AA15*1.72+115*0.012*AB15</f>
        <v>4.82</v>
      </c>
      <c r="AK15" s="161">
        <f t="shared" ref="AK15:AK16" si="17">AE15*0.1</f>
        <v>1.5</v>
      </c>
      <c r="AL15" s="160">
        <f>10068.2*J15*POWER(10,-6)*10</f>
        <v>1.0873656000000001E-3</v>
      </c>
      <c r="AM15" s="161">
        <f t="shared" si="3"/>
        <v>7.9179023656000007</v>
      </c>
      <c r="AN15" s="164">
        <f t="shared" si="4"/>
        <v>1.5494959800000002E-9</v>
      </c>
      <c r="AO15" s="164">
        <f t="shared" si="5"/>
        <v>1.1283010870980003E-5</v>
      </c>
    </row>
    <row r="16" spans="1:41">
      <c r="A16" s="91" t="s">
        <v>93</v>
      </c>
      <c r="B16" s="91" t="s">
        <v>268</v>
      </c>
      <c r="C16" s="92" t="s">
        <v>263</v>
      </c>
      <c r="D16" s="93" t="s">
        <v>176</v>
      </c>
      <c r="E16" s="94">
        <v>1.0000000000000001E-5</v>
      </c>
      <c r="F16" s="91">
        <v>3</v>
      </c>
      <c r="G16" s="91">
        <v>0.90249999999999997</v>
      </c>
      <c r="H16" s="94">
        <f t="shared" si="14"/>
        <v>2.7075000000000004E-5</v>
      </c>
      <c r="I16" s="91">
        <f>I15</f>
        <v>66.11</v>
      </c>
      <c r="J16" s="122">
        <v>0</v>
      </c>
      <c r="K16" s="178"/>
      <c r="L16" t="str">
        <f t="shared" si="0"/>
        <v>С15</v>
      </c>
      <c r="M16" t="str">
        <f t="shared" si="1"/>
        <v>Емкость Е-6/1</v>
      </c>
      <c r="N16" t="str">
        <f t="shared" si="2"/>
        <v>Полное-ликвидация</v>
      </c>
      <c r="O16" t="s">
        <v>209</v>
      </c>
      <c r="P16" t="s">
        <v>209</v>
      </c>
      <c r="Q16" t="s">
        <v>209</v>
      </c>
      <c r="R16" t="s">
        <v>209</v>
      </c>
      <c r="S16" t="s">
        <v>209</v>
      </c>
      <c r="T16" t="s">
        <v>209</v>
      </c>
      <c r="U16" t="s">
        <v>209</v>
      </c>
      <c r="V16" t="s">
        <v>209</v>
      </c>
      <c r="W16" t="s">
        <v>209</v>
      </c>
      <c r="X16" t="s">
        <v>209</v>
      </c>
      <c r="Y16" t="s">
        <v>209</v>
      </c>
      <c r="Z16" t="s">
        <v>209</v>
      </c>
      <c r="AA16" s="4">
        <v>0</v>
      </c>
      <c r="AB16" s="4">
        <v>0</v>
      </c>
      <c r="AC16" s="4">
        <v>0.46</v>
      </c>
      <c r="AD16" s="4">
        <v>1.4999999999999999E-2</v>
      </c>
      <c r="AE16" s="4">
        <v>15</v>
      </c>
      <c r="AF16" s="4"/>
      <c r="AG16" s="4"/>
      <c r="AH16" s="161">
        <f>AD16*J16+AC16</f>
        <v>0.46</v>
      </c>
      <c r="AI16" s="199">
        <f t="shared" si="15"/>
        <v>4.6000000000000006E-2</v>
      </c>
      <c r="AJ16" s="161">
        <f t="shared" si="16"/>
        <v>0</v>
      </c>
      <c r="AK16" s="161">
        <f t="shared" si="17"/>
        <v>1.5</v>
      </c>
      <c r="AL16" s="160">
        <f>1333*J15*POWER(10,-6)*10</f>
        <v>1.4396400000000001E-4</v>
      </c>
      <c r="AM16" s="161">
        <f t="shared" si="3"/>
        <v>2.0061439640000001</v>
      </c>
      <c r="AN16" s="164">
        <f t="shared" si="4"/>
        <v>3.897825300000001E-9</v>
      </c>
      <c r="AO16" s="164">
        <f t="shared" si="5"/>
        <v>5.4316347825300009E-5</v>
      </c>
    </row>
    <row r="17" spans="1:41">
      <c r="A17" s="91" t="s">
        <v>94</v>
      </c>
      <c r="B17" s="91" t="s">
        <v>268</v>
      </c>
      <c r="C17" s="92" t="s">
        <v>216</v>
      </c>
      <c r="D17" s="93" t="s">
        <v>217</v>
      </c>
      <c r="E17" s="94">
        <v>1E-4</v>
      </c>
      <c r="F17" s="91">
        <v>3</v>
      </c>
      <c r="G17" s="91">
        <v>0.05</v>
      </c>
      <c r="H17" s="94">
        <f t="shared" si="14"/>
        <v>1.5000000000000002E-5</v>
      </c>
      <c r="I17" s="91">
        <f>I14*0.1</f>
        <v>6.6110000000000007</v>
      </c>
      <c r="J17" s="122">
        <f>I17</f>
        <v>6.6110000000000007</v>
      </c>
      <c r="K17" s="178">
        <f>ROUNDUP(I17*20,0)</f>
        <v>133</v>
      </c>
      <c r="L17" t="str">
        <f t="shared" si="0"/>
        <v>С16</v>
      </c>
      <c r="M17" t="str">
        <f t="shared" si="1"/>
        <v>Емкость Е-6/1</v>
      </c>
      <c r="N17" t="str">
        <f t="shared" si="2"/>
        <v>Частичное-пожар</v>
      </c>
      <c r="O17">
        <v>15</v>
      </c>
      <c r="P17">
        <v>20</v>
      </c>
      <c r="Q17">
        <v>28</v>
      </c>
      <c r="R17">
        <v>52</v>
      </c>
      <c r="S17" t="s">
        <v>209</v>
      </c>
      <c r="T17" t="s">
        <v>209</v>
      </c>
      <c r="U17" t="s">
        <v>209</v>
      </c>
      <c r="V17" t="s">
        <v>209</v>
      </c>
      <c r="W17" t="s">
        <v>209</v>
      </c>
      <c r="X17" t="s">
        <v>209</v>
      </c>
      <c r="Y17" t="s">
        <v>209</v>
      </c>
      <c r="Z17" t="s">
        <v>209</v>
      </c>
      <c r="AA17" s="4">
        <v>0</v>
      </c>
      <c r="AB17" s="4">
        <v>1</v>
      </c>
      <c r="AC17" s="4">
        <f>0.1*AC16</f>
        <v>4.6000000000000006E-2</v>
      </c>
      <c r="AD17" s="4">
        <v>1.4999999999999999E-2</v>
      </c>
      <c r="AE17" s="4">
        <v>5</v>
      </c>
      <c r="AF17" s="4"/>
      <c r="AG17" s="4"/>
      <c r="AH17" s="161">
        <f>AD17*I17+AC17</f>
        <v>0.14516500000000002</v>
      </c>
      <c r="AI17" s="199">
        <f>AH17*0.1</f>
        <v>1.4516500000000002E-2</v>
      </c>
      <c r="AJ17" s="161">
        <f>AA17*1.72+115*0.012*AB17</f>
        <v>1.3800000000000001</v>
      </c>
      <c r="AK17" s="161">
        <f>AE17*0.1</f>
        <v>0.5</v>
      </c>
      <c r="AL17" s="160">
        <f>10068.2*J17*POWER(10,-6)</f>
        <v>6.6560870199999997E-2</v>
      </c>
      <c r="AM17" s="161">
        <f t="shared" si="3"/>
        <v>2.1062423702000004</v>
      </c>
      <c r="AN17" s="164">
        <f t="shared" si="4"/>
        <v>9.9841305300000007E-7</v>
      </c>
      <c r="AO17" s="164">
        <f t="shared" si="5"/>
        <v>3.1593635553000013E-5</v>
      </c>
    </row>
    <row r="18" spans="1:41">
      <c r="A18" s="91" t="s">
        <v>95</v>
      </c>
      <c r="B18" s="91" t="s">
        <v>268</v>
      </c>
      <c r="C18" s="92" t="s">
        <v>264</v>
      </c>
      <c r="D18" s="93" t="s">
        <v>179</v>
      </c>
      <c r="E18" s="94">
        <v>1E-4</v>
      </c>
      <c r="F18" s="91">
        <v>3</v>
      </c>
      <c r="G18" s="91">
        <v>4.7500000000000001E-2</v>
      </c>
      <c r="H18" s="94">
        <f t="shared" si="14"/>
        <v>1.4250000000000001E-5</v>
      </c>
      <c r="I18" s="91">
        <f>0.1*I14</f>
        <v>6.6110000000000007</v>
      </c>
      <c r="J18" s="122">
        <f>K18</f>
        <v>4.7879999999999992E-2</v>
      </c>
      <c r="K18" s="178">
        <f>POWER(10,-6)*SQRT(100)*10*3600*K17/1000</f>
        <v>4.7879999999999992E-2</v>
      </c>
      <c r="L18" t="str">
        <f t="shared" si="0"/>
        <v>С17</v>
      </c>
      <c r="M18" t="str">
        <f t="shared" si="1"/>
        <v>Емкость Е-6/1</v>
      </c>
      <c r="N18" t="str">
        <f t="shared" si="2"/>
        <v>Частичное-вспышка</v>
      </c>
      <c r="O18" t="s">
        <v>209</v>
      </c>
      <c r="P18" t="s">
        <v>209</v>
      </c>
      <c r="Q18" t="s">
        <v>209</v>
      </c>
      <c r="R18" t="s">
        <v>209</v>
      </c>
      <c r="S18" t="s">
        <v>209</v>
      </c>
      <c r="T18" t="s">
        <v>209</v>
      </c>
      <c r="U18" t="s">
        <v>209</v>
      </c>
      <c r="V18" t="s">
        <v>209</v>
      </c>
      <c r="W18" t="s">
        <v>209</v>
      </c>
      <c r="X18" t="s">
        <v>209</v>
      </c>
      <c r="Y18">
        <v>11</v>
      </c>
      <c r="Z18">
        <v>13</v>
      </c>
      <c r="AA18" s="4">
        <v>0</v>
      </c>
      <c r="AB18" s="4">
        <v>1</v>
      </c>
      <c r="AC18" s="4">
        <f>0.1*AC16</f>
        <v>4.6000000000000006E-2</v>
      </c>
      <c r="AD18" s="4">
        <v>1.4999999999999999E-2</v>
      </c>
      <c r="AE18" s="4">
        <v>5</v>
      </c>
      <c r="AF18" s="4"/>
      <c r="AG18" s="4"/>
      <c r="AH18" s="161">
        <f>AD18*I18+AC18</f>
        <v>0.14516500000000002</v>
      </c>
      <c r="AI18" s="199">
        <f>AH18*0.1</f>
        <v>1.4516500000000002E-2</v>
      </c>
      <c r="AJ18" s="161">
        <f>AA18*1.72+115*0.012*AB18</f>
        <v>1.3800000000000001</v>
      </c>
      <c r="AK18" s="161">
        <f>AE18*0.1</f>
        <v>0.5</v>
      </c>
      <c r="AL18" s="160">
        <f>10068.2*J18*POWER(10,-6)</f>
        <v>4.8206541599999996E-4</v>
      </c>
      <c r="AM18" s="161">
        <f t="shared" si="3"/>
        <v>2.0401635654160004</v>
      </c>
      <c r="AN18" s="164">
        <f t="shared" si="4"/>
        <v>6.8694321779999998E-9</v>
      </c>
      <c r="AO18" s="164">
        <f t="shared" si="5"/>
        <v>2.9072330807178009E-5</v>
      </c>
    </row>
    <row r="19" spans="1:41">
      <c r="A19" s="91" t="s">
        <v>96</v>
      </c>
      <c r="B19" s="91" t="s">
        <v>268</v>
      </c>
      <c r="C19" s="92" t="s">
        <v>265</v>
      </c>
      <c r="D19" s="93" t="s">
        <v>177</v>
      </c>
      <c r="E19" s="94">
        <v>1E-4</v>
      </c>
      <c r="F19" s="91">
        <v>3</v>
      </c>
      <c r="G19" s="91">
        <v>0.90249999999999997</v>
      </c>
      <c r="H19" s="94">
        <f t="shared" si="14"/>
        <v>2.7074999999999999E-4</v>
      </c>
      <c r="I19" s="91">
        <f>0.1*I14</f>
        <v>6.6110000000000007</v>
      </c>
      <c r="J19" s="122">
        <v>0</v>
      </c>
      <c r="K19" s="178">
        <v>0</v>
      </c>
      <c r="L19" t="str">
        <f t="shared" si="0"/>
        <v>С18</v>
      </c>
      <c r="M19" t="str">
        <f t="shared" si="1"/>
        <v>Емкость Е-6/1</v>
      </c>
      <c r="N19" t="str">
        <f t="shared" si="2"/>
        <v>Частичное-ликвидация</v>
      </c>
      <c r="O19" t="s">
        <v>209</v>
      </c>
      <c r="P19" t="s">
        <v>209</v>
      </c>
      <c r="Q19" t="s">
        <v>209</v>
      </c>
      <c r="R19" t="s">
        <v>209</v>
      </c>
      <c r="S19" t="s">
        <v>209</v>
      </c>
      <c r="T19" t="s">
        <v>209</v>
      </c>
      <c r="U19" t="s">
        <v>209</v>
      </c>
      <c r="V19" t="s">
        <v>209</v>
      </c>
      <c r="W19" t="s">
        <v>209</v>
      </c>
      <c r="X19" t="s">
        <v>209</v>
      </c>
      <c r="Y19" t="s">
        <v>209</v>
      </c>
      <c r="Z19" t="s">
        <v>209</v>
      </c>
      <c r="AA19" s="4">
        <v>0</v>
      </c>
      <c r="AB19" s="4">
        <v>0</v>
      </c>
      <c r="AC19" s="4">
        <f>0.1*AC16</f>
        <v>4.6000000000000006E-2</v>
      </c>
      <c r="AD19" s="4">
        <v>1.4999999999999999E-2</v>
      </c>
      <c r="AE19" s="4">
        <v>5</v>
      </c>
      <c r="AF19" s="4"/>
      <c r="AG19" s="4"/>
      <c r="AH19" s="161">
        <f>AD19*I19+AC19</f>
        <v>0.14516500000000002</v>
      </c>
      <c r="AI19" s="199">
        <f>AH19*0.1</f>
        <v>1.4516500000000002E-2</v>
      </c>
      <c r="AJ19" s="161">
        <f>AA19*1.72+115*0.012*AB19</f>
        <v>0</v>
      </c>
      <c r="AK19" s="161">
        <f>AE19*0.1</f>
        <v>0.5</v>
      </c>
      <c r="AL19" s="160">
        <f>1333*J18*POWER(10,-6)</f>
        <v>6.382403999999998E-5</v>
      </c>
      <c r="AM19" s="161">
        <f t="shared" si="3"/>
        <v>0.65974532404000008</v>
      </c>
      <c r="AN19" s="164">
        <f t="shared" si="4"/>
        <v>1.7280358829999993E-8</v>
      </c>
      <c r="AO19" s="164">
        <f t="shared" si="5"/>
        <v>1.7862604648383003E-4</v>
      </c>
    </row>
    <row r="20" spans="1:41">
      <c r="A20" s="91" t="s">
        <v>97</v>
      </c>
      <c r="B20" s="79" t="s">
        <v>269</v>
      </c>
      <c r="C20" s="82" t="s">
        <v>79</v>
      </c>
      <c r="D20" s="80" t="s">
        <v>175</v>
      </c>
      <c r="E20" s="81">
        <v>1.0000000000000001E-5</v>
      </c>
      <c r="F20" s="79">
        <v>4</v>
      </c>
      <c r="G20" s="79">
        <v>0.05</v>
      </c>
      <c r="H20" s="81">
        <f>E20*F20*G20</f>
        <v>2.0000000000000003E-6</v>
      </c>
      <c r="I20" s="79">
        <v>53.35</v>
      </c>
      <c r="J20" s="125">
        <f>I20</f>
        <v>53.35</v>
      </c>
      <c r="K20" s="125">
        <v>300</v>
      </c>
      <c r="L20" t="str">
        <f t="shared" si="0"/>
        <v>С19</v>
      </c>
      <c r="M20" t="str">
        <f t="shared" si="1"/>
        <v>Емкость Е-14/1</v>
      </c>
      <c r="N20" t="str">
        <f t="shared" si="2"/>
        <v>Полное-пожар</v>
      </c>
      <c r="O20">
        <v>17</v>
      </c>
      <c r="P20">
        <v>23</v>
      </c>
      <c r="Q20">
        <v>33</v>
      </c>
      <c r="R20">
        <v>61</v>
      </c>
      <c r="S20" t="s">
        <v>209</v>
      </c>
      <c r="T20" t="s">
        <v>209</v>
      </c>
      <c r="U20" t="s">
        <v>209</v>
      </c>
      <c r="V20" t="s">
        <v>209</v>
      </c>
      <c r="W20" t="s">
        <v>209</v>
      </c>
      <c r="X20" t="s">
        <v>209</v>
      </c>
      <c r="Y20" t="s">
        <v>209</v>
      </c>
      <c r="Z20" t="s">
        <v>209</v>
      </c>
      <c r="AA20" s="3">
        <v>1</v>
      </c>
      <c r="AB20" s="3">
        <v>1</v>
      </c>
      <c r="AC20" s="3">
        <v>0.53</v>
      </c>
      <c r="AD20" s="3">
        <v>1.4999999999999999E-2</v>
      </c>
      <c r="AE20" s="3">
        <v>15</v>
      </c>
      <c r="AF20" s="3"/>
      <c r="AG20" s="3"/>
      <c r="AH20" s="17">
        <f>AD20*I20+AC20</f>
        <v>1.3302499999999999</v>
      </c>
      <c r="AI20" s="184">
        <f>AH20*0.1</f>
        <v>0.133025</v>
      </c>
      <c r="AJ20" s="3">
        <f>AA20*1.72+115*0.012*AB20</f>
        <v>3.1</v>
      </c>
      <c r="AK20" s="3">
        <f>AE20*0.1</f>
        <v>1.5</v>
      </c>
      <c r="AL20" s="184">
        <f>10068.2*J20*POWER(10,-6)</f>
        <v>0.53713847000000003</v>
      </c>
      <c r="AM20" s="17">
        <f t="shared" ref="AM20:AM25" si="18">AL20+AK20+AJ20+AI20+AH20</f>
        <v>6.6004134699999994</v>
      </c>
      <c r="AN20" s="3">
        <f t="shared" ref="AN20:AN25" si="19">AL20*H20</f>
        <v>1.0742769400000002E-6</v>
      </c>
      <c r="AO20" s="185">
        <f t="shared" ref="AO20:AO25" si="20">H20*AM20</f>
        <v>1.3200826940000001E-5</v>
      </c>
    </row>
    <row r="21" spans="1:41">
      <c r="A21" s="91" t="s">
        <v>98</v>
      </c>
      <c r="B21" s="79" t="s">
        <v>269</v>
      </c>
      <c r="C21" s="82" t="s">
        <v>262</v>
      </c>
      <c r="D21" s="80" t="s">
        <v>178</v>
      </c>
      <c r="E21" s="81">
        <v>1.0000000000000001E-5</v>
      </c>
      <c r="F21" s="79">
        <v>4</v>
      </c>
      <c r="G21" s="79">
        <v>4.7500000000000001E-2</v>
      </c>
      <c r="H21" s="81">
        <f t="shared" ref="H21:H25" si="21">E21*F21*G21</f>
        <v>1.9000000000000002E-6</v>
      </c>
      <c r="I21" s="79">
        <f>I20</f>
        <v>53.35</v>
      </c>
      <c r="J21" s="125">
        <f>0.1*K21</f>
        <v>1.0800000000000001E-2</v>
      </c>
      <c r="K21" s="180">
        <f>POWER(10,-6)*SQRT(100)*10*3600*K20/1000</f>
        <v>0.108</v>
      </c>
      <c r="L21" t="str">
        <f t="shared" si="0"/>
        <v>С20</v>
      </c>
      <c r="M21" t="str">
        <f t="shared" si="1"/>
        <v>Емкость Е-14/1</v>
      </c>
      <c r="N21" t="str">
        <f t="shared" si="2"/>
        <v>Полное-взрыв</v>
      </c>
      <c r="O21" t="s">
        <v>209</v>
      </c>
      <c r="P21" t="s">
        <v>209</v>
      </c>
      <c r="Q21" t="s">
        <v>209</v>
      </c>
      <c r="R21" t="s">
        <v>209</v>
      </c>
      <c r="S21">
        <v>10</v>
      </c>
      <c r="T21">
        <v>20</v>
      </c>
      <c r="U21">
        <v>56</v>
      </c>
      <c r="V21">
        <v>96</v>
      </c>
      <c r="W21" t="s">
        <v>209</v>
      </c>
      <c r="X21" t="s">
        <v>209</v>
      </c>
      <c r="Y21" t="s">
        <v>209</v>
      </c>
      <c r="Z21" t="s">
        <v>209</v>
      </c>
      <c r="AA21" s="3">
        <v>2</v>
      </c>
      <c r="AB21" s="3">
        <v>1</v>
      </c>
      <c r="AC21" s="3">
        <v>0.53</v>
      </c>
      <c r="AD21" s="3">
        <v>1.4999999999999999E-2</v>
      </c>
      <c r="AE21" s="3">
        <v>15</v>
      </c>
      <c r="AF21" s="3"/>
      <c r="AG21" s="3"/>
      <c r="AH21" s="17">
        <f>AD21*I21+AC21</f>
        <v>1.3302499999999999</v>
      </c>
      <c r="AI21" s="184">
        <f t="shared" ref="AI21:AI22" si="22">AH21*0.1</f>
        <v>0.133025</v>
      </c>
      <c r="AJ21" s="3">
        <f t="shared" ref="AJ21:AJ22" si="23">AA21*1.72+115*0.012*AB21</f>
        <v>4.82</v>
      </c>
      <c r="AK21" s="3">
        <f t="shared" ref="AK21:AK22" si="24">AE21*0.1</f>
        <v>1.5</v>
      </c>
      <c r="AL21" s="184">
        <f>10068.2*J21*POWER(10,-6)*10</f>
        <v>1.0873656000000001E-3</v>
      </c>
      <c r="AM21" s="17">
        <f t="shared" si="18"/>
        <v>7.7843623655999998</v>
      </c>
      <c r="AN21" s="3">
        <f t="shared" si="19"/>
        <v>2.0659946400000002E-9</v>
      </c>
      <c r="AO21" s="185">
        <f t="shared" si="20"/>
        <v>1.4790288494640001E-5</v>
      </c>
    </row>
    <row r="22" spans="1:41">
      <c r="A22" s="91" t="s">
        <v>99</v>
      </c>
      <c r="B22" s="79" t="s">
        <v>269</v>
      </c>
      <c r="C22" s="82" t="s">
        <v>263</v>
      </c>
      <c r="D22" s="80" t="s">
        <v>176</v>
      </c>
      <c r="E22" s="81">
        <v>1.0000000000000001E-5</v>
      </c>
      <c r="F22" s="79">
        <v>4</v>
      </c>
      <c r="G22" s="79">
        <v>0.90249999999999997</v>
      </c>
      <c r="H22" s="81">
        <f t="shared" si="21"/>
        <v>3.6100000000000003E-5</v>
      </c>
      <c r="I22" s="79">
        <f>I21</f>
        <v>53.35</v>
      </c>
      <c r="J22" s="125">
        <v>0</v>
      </c>
      <c r="K22" s="180"/>
      <c r="L22" t="str">
        <f t="shared" si="0"/>
        <v>С21</v>
      </c>
      <c r="M22" t="str">
        <f t="shared" si="1"/>
        <v>Емкость Е-14/1</v>
      </c>
      <c r="N22" t="str">
        <f t="shared" si="2"/>
        <v>Полное-ликвидация</v>
      </c>
      <c r="O22" t="s">
        <v>209</v>
      </c>
      <c r="P22" t="s">
        <v>209</v>
      </c>
      <c r="Q22" t="s">
        <v>209</v>
      </c>
      <c r="R22" t="s">
        <v>209</v>
      </c>
      <c r="S22" t="s">
        <v>209</v>
      </c>
      <c r="T22" t="s">
        <v>209</v>
      </c>
      <c r="U22" t="s">
        <v>209</v>
      </c>
      <c r="V22" t="s">
        <v>209</v>
      </c>
      <c r="W22" t="s">
        <v>209</v>
      </c>
      <c r="X22" t="s">
        <v>209</v>
      </c>
      <c r="Y22" t="s">
        <v>209</v>
      </c>
      <c r="Z22" t="s">
        <v>209</v>
      </c>
      <c r="AA22" s="3">
        <v>0</v>
      </c>
      <c r="AB22" s="3">
        <v>0</v>
      </c>
      <c r="AC22" s="3">
        <v>0.53</v>
      </c>
      <c r="AD22" s="3">
        <v>1.4999999999999999E-2</v>
      </c>
      <c r="AE22" s="3">
        <v>15</v>
      </c>
      <c r="AF22" s="3"/>
      <c r="AG22" s="3"/>
      <c r="AH22" s="17">
        <f>AD22*J22+AC22</f>
        <v>0.53</v>
      </c>
      <c r="AI22" s="184">
        <f t="shared" si="22"/>
        <v>5.3000000000000005E-2</v>
      </c>
      <c r="AJ22" s="3">
        <f t="shared" si="23"/>
        <v>0</v>
      </c>
      <c r="AK22" s="3">
        <f t="shared" si="24"/>
        <v>1.5</v>
      </c>
      <c r="AL22" s="184">
        <f>1333*J21*POWER(10,-6)*10</f>
        <v>1.4396400000000001E-4</v>
      </c>
      <c r="AM22" s="17">
        <f t="shared" si="18"/>
        <v>2.083143964</v>
      </c>
      <c r="AN22" s="3">
        <f t="shared" si="19"/>
        <v>5.1971004000000007E-9</v>
      </c>
      <c r="AO22" s="185">
        <f t="shared" si="20"/>
        <v>7.5201497100400001E-5</v>
      </c>
    </row>
    <row r="23" spans="1:41">
      <c r="A23" s="91" t="s">
        <v>100</v>
      </c>
      <c r="B23" s="79" t="s">
        <v>269</v>
      </c>
      <c r="C23" s="82" t="s">
        <v>216</v>
      </c>
      <c r="D23" s="80" t="s">
        <v>217</v>
      </c>
      <c r="E23" s="81">
        <v>1E-4</v>
      </c>
      <c r="F23" s="79">
        <v>4</v>
      </c>
      <c r="G23" s="79">
        <v>0.05</v>
      </c>
      <c r="H23" s="81">
        <f t="shared" si="21"/>
        <v>2.0000000000000002E-5</v>
      </c>
      <c r="I23" s="79">
        <f>I20*0.1</f>
        <v>5.3350000000000009</v>
      </c>
      <c r="J23" s="125">
        <f>I23</f>
        <v>5.3350000000000009</v>
      </c>
      <c r="K23" s="180">
        <f>ROUNDUP(I23*20,0)</f>
        <v>107</v>
      </c>
      <c r="L23" t="str">
        <f t="shared" si="0"/>
        <v>С22</v>
      </c>
      <c r="M23" t="str">
        <f t="shared" si="1"/>
        <v>Емкость Е-14/1</v>
      </c>
      <c r="N23" t="str">
        <f t="shared" si="2"/>
        <v>Частичное-пожар</v>
      </c>
      <c r="O23">
        <v>14</v>
      </c>
      <c r="P23">
        <v>19</v>
      </c>
      <c r="Q23">
        <v>27</v>
      </c>
      <c r="R23">
        <v>49</v>
      </c>
      <c r="S23" t="s">
        <v>209</v>
      </c>
      <c r="T23" t="s">
        <v>209</v>
      </c>
      <c r="U23" t="s">
        <v>209</v>
      </c>
      <c r="V23" t="s">
        <v>209</v>
      </c>
      <c r="W23" t="s">
        <v>209</v>
      </c>
      <c r="X23" t="s">
        <v>209</v>
      </c>
      <c r="Y23" t="s">
        <v>209</v>
      </c>
      <c r="Z23" t="s">
        <v>209</v>
      </c>
      <c r="AA23" s="3">
        <v>0</v>
      </c>
      <c r="AB23" s="3">
        <v>1</v>
      </c>
      <c r="AC23" s="3">
        <f>0.1*AC22</f>
        <v>5.3000000000000005E-2</v>
      </c>
      <c r="AD23" s="3">
        <v>1.4999999999999999E-2</v>
      </c>
      <c r="AE23" s="3">
        <v>5</v>
      </c>
      <c r="AF23" s="3"/>
      <c r="AG23" s="3"/>
      <c r="AH23" s="17">
        <f>AD23*I23+AC23</f>
        <v>0.133025</v>
      </c>
      <c r="AI23" s="184">
        <f>AH23*0.1</f>
        <v>1.3302500000000002E-2</v>
      </c>
      <c r="AJ23" s="3">
        <f>AA23*1.72+115*0.012*AB23</f>
        <v>1.3800000000000001</v>
      </c>
      <c r="AK23" s="3">
        <f>AE23*0.1</f>
        <v>0.5</v>
      </c>
      <c r="AL23" s="184">
        <f>10068.2*J23*POWER(10,-6)</f>
        <v>5.3713847000000009E-2</v>
      </c>
      <c r="AM23" s="17">
        <f t="shared" si="18"/>
        <v>2.0800413470000003</v>
      </c>
      <c r="AN23" s="3">
        <f t="shared" si="19"/>
        <v>1.0742769400000002E-6</v>
      </c>
      <c r="AO23" s="185">
        <f t="shared" si="20"/>
        <v>4.1600826940000012E-5</v>
      </c>
    </row>
    <row r="24" spans="1:41">
      <c r="A24" s="91" t="s">
        <v>101</v>
      </c>
      <c r="B24" s="79" t="s">
        <v>269</v>
      </c>
      <c r="C24" s="82" t="s">
        <v>264</v>
      </c>
      <c r="D24" s="80" t="s">
        <v>179</v>
      </c>
      <c r="E24" s="81">
        <v>1E-4</v>
      </c>
      <c r="F24" s="79">
        <v>4</v>
      </c>
      <c r="G24" s="79">
        <v>4.7500000000000001E-2</v>
      </c>
      <c r="H24" s="81">
        <f t="shared" si="21"/>
        <v>1.9000000000000001E-5</v>
      </c>
      <c r="I24" s="79">
        <f>0.1*I20</f>
        <v>5.3350000000000009</v>
      </c>
      <c r="J24" s="125">
        <f>K24</f>
        <v>3.8519999999999999E-2</v>
      </c>
      <c r="K24" s="180">
        <f>POWER(10,-6)*SQRT(100)*10*3600*K23/1000</f>
        <v>3.8519999999999999E-2</v>
      </c>
      <c r="L24" t="str">
        <f t="shared" si="0"/>
        <v>С23</v>
      </c>
      <c r="M24" t="str">
        <f t="shared" si="1"/>
        <v>Емкость Е-14/1</v>
      </c>
      <c r="N24" t="str">
        <f t="shared" si="2"/>
        <v>Частичное-вспышка</v>
      </c>
      <c r="O24" t="s">
        <v>209</v>
      </c>
      <c r="P24" t="s">
        <v>209</v>
      </c>
      <c r="Q24" t="s">
        <v>209</v>
      </c>
      <c r="R24" t="s">
        <v>209</v>
      </c>
      <c r="S24" t="s">
        <v>209</v>
      </c>
      <c r="T24" t="s">
        <v>209</v>
      </c>
      <c r="U24" t="s">
        <v>209</v>
      </c>
      <c r="V24" t="s">
        <v>209</v>
      </c>
      <c r="W24" t="s">
        <v>209</v>
      </c>
      <c r="X24" t="s">
        <v>209</v>
      </c>
      <c r="Y24">
        <v>11</v>
      </c>
      <c r="Z24">
        <v>13</v>
      </c>
      <c r="AA24" s="3">
        <v>0</v>
      </c>
      <c r="AB24" s="3">
        <v>1</v>
      </c>
      <c r="AC24" s="3">
        <f>0.1*AC22</f>
        <v>5.3000000000000005E-2</v>
      </c>
      <c r="AD24" s="3">
        <v>1.4999999999999999E-2</v>
      </c>
      <c r="AE24" s="3">
        <v>5</v>
      </c>
      <c r="AF24" s="3"/>
      <c r="AG24" s="3"/>
      <c r="AH24" s="17">
        <f>AD24*I24+AC24</f>
        <v>0.133025</v>
      </c>
      <c r="AI24" s="184">
        <f>AH24*0.1</f>
        <v>1.3302500000000002E-2</v>
      </c>
      <c r="AJ24" s="3">
        <f>AA24*1.72+115*0.012*AB24</f>
        <v>1.3800000000000001</v>
      </c>
      <c r="AK24" s="3">
        <f>AE24*0.1</f>
        <v>0.5</v>
      </c>
      <c r="AL24" s="184">
        <f>10068.2*J24*POWER(10,-6)</f>
        <v>3.87827064E-4</v>
      </c>
      <c r="AM24" s="17">
        <f t="shared" si="18"/>
        <v>2.0267153270640001</v>
      </c>
      <c r="AN24" s="3">
        <f t="shared" si="19"/>
        <v>7.3687142160000003E-9</v>
      </c>
      <c r="AO24" s="185">
        <f t="shared" si="20"/>
        <v>3.8507591214216007E-5</v>
      </c>
    </row>
    <row r="25" spans="1:41">
      <c r="A25" s="91" t="s">
        <v>102</v>
      </c>
      <c r="B25" s="79" t="s">
        <v>269</v>
      </c>
      <c r="C25" s="82" t="s">
        <v>265</v>
      </c>
      <c r="D25" s="80" t="s">
        <v>177</v>
      </c>
      <c r="E25" s="81">
        <v>1E-4</v>
      </c>
      <c r="F25" s="79">
        <v>4</v>
      </c>
      <c r="G25" s="79">
        <v>0.90249999999999997</v>
      </c>
      <c r="H25" s="81">
        <f t="shared" si="21"/>
        <v>3.6099999999999999E-4</v>
      </c>
      <c r="I25" s="79">
        <f>0.1*I20</f>
        <v>5.3350000000000009</v>
      </c>
      <c r="J25" s="125">
        <v>0</v>
      </c>
      <c r="K25" s="180">
        <v>0</v>
      </c>
      <c r="L25" t="str">
        <f t="shared" si="0"/>
        <v>С24</v>
      </c>
      <c r="M25" t="str">
        <f t="shared" si="1"/>
        <v>Емкость Е-14/1</v>
      </c>
      <c r="N25" t="str">
        <f t="shared" si="2"/>
        <v>Частичное-ликвидация</v>
      </c>
      <c r="O25" t="s">
        <v>209</v>
      </c>
      <c r="P25" t="s">
        <v>209</v>
      </c>
      <c r="Q25" t="s">
        <v>209</v>
      </c>
      <c r="R25" t="s">
        <v>209</v>
      </c>
      <c r="S25" t="s">
        <v>209</v>
      </c>
      <c r="T25" t="s">
        <v>209</v>
      </c>
      <c r="U25" t="s">
        <v>209</v>
      </c>
      <c r="V25" t="s">
        <v>209</v>
      </c>
      <c r="W25" t="s">
        <v>209</v>
      </c>
      <c r="X25" t="s">
        <v>209</v>
      </c>
      <c r="Y25" t="s">
        <v>209</v>
      </c>
      <c r="Z25" t="s">
        <v>209</v>
      </c>
      <c r="AA25" s="3">
        <v>0</v>
      </c>
      <c r="AB25" s="3">
        <v>0</v>
      </c>
      <c r="AC25" s="3">
        <f>0.1*AC22</f>
        <v>5.3000000000000005E-2</v>
      </c>
      <c r="AD25" s="3">
        <v>1.4999999999999999E-2</v>
      </c>
      <c r="AE25" s="3">
        <v>5</v>
      </c>
      <c r="AF25" s="3"/>
      <c r="AG25" s="3"/>
      <c r="AH25" s="17">
        <f>AD25*I25+AC25</f>
        <v>0.133025</v>
      </c>
      <c r="AI25" s="184">
        <f>AH25*0.1</f>
        <v>1.3302500000000002E-2</v>
      </c>
      <c r="AJ25" s="3">
        <f>AA25*1.72+115*0.012*AB25</f>
        <v>0</v>
      </c>
      <c r="AK25" s="3">
        <f>AE25*0.1</f>
        <v>0.5</v>
      </c>
      <c r="AL25" s="184">
        <f>1333*J24*POWER(10,-6)</f>
        <v>5.1347159999999992E-5</v>
      </c>
      <c r="AM25" s="17">
        <f t="shared" si="18"/>
        <v>0.64637884716000005</v>
      </c>
      <c r="AN25" s="3">
        <f t="shared" si="19"/>
        <v>1.8536324759999996E-8</v>
      </c>
      <c r="AO25" s="185">
        <f t="shared" si="20"/>
        <v>2.3334276382476002E-4</v>
      </c>
    </row>
    <row r="26" spans="1:41">
      <c r="A26" s="91" t="s">
        <v>103</v>
      </c>
      <c r="B26" s="101" t="s">
        <v>276</v>
      </c>
      <c r="C26" s="102" t="s">
        <v>79</v>
      </c>
      <c r="D26" s="103" t="s">
        <v>175</v>
      </c>
      <c r="E26" s="104">
        <v>1.0000000000000001E-5</v>
      </c>
      <c r="F26" s="101">
        <v>2</v>
      </c>
      <c r="G26" s="101">
        <v>0.05</v>
      </c>
      <c r="H26" s="104">
        <f>E26*F26*G26</f>
        <v>1.0000000000000002E-6</v>
      </c>
      <c r="I26" s="101">
        <v>42.56</v>
      </c>
      <c r="J26" s="181">
        <f>I26</f>
        <v>42.56</v>
      </c>
      <c r="K26" s="181">
        <v>300</v>
      </c>
      <c r="L26" t="str">
        <f t="shared" si="0"/>
        <v>С25</v>
      </c>
      <c r="M26" t="str">
        <f t="shared" si="1"/>
        <v>Емкость Е-21/2</v>
      </c>
      <c r="N26" t="str">
        <f t="shared" si="2"/>
        <v>Полное-пожар</v>
      </c>
      <c r="O26">
        <v>17</v>
      </c>
      <c r="P26">
        <v>23</v>
      </c>
      <c r="Q26">
        <v>33</v>
      </c>
      <c r="R26">
        <v>61</v>
      </c>
      <c r="S26" t="s">
        <v>209</v>
      </c>
      <c r="T26" t="s">
        <v>209</v>
      </c>
      <c r="U26" t="s">
        <v>209</v>
      </c>
      <c r="V26" t="s">
        <v>209</v>
      </c>
      <c r="W26" t="s">
        <v>209</v>
      </c>
      <c r="X26" t="s">
        <v>209</v>
      </c>
      <c r="Y26" t="s">
        <v>209</v>
      </c>
      <c r="Z26" t="s">
        <v>209</v>
      </c>
      <c r="AA26" s="6">
        <v>1</v>
      </c>
      <c r="AB26" s="6">
        <v>1</v>
      </c>
      <c r="AC26" s="6">
        <v>0.51</v>
      </c>
      <c r="AD26" s="6">
        <v>1.4999999999999999E-2</v>
      </c>
      <c r="AE26" s="6">
        <v>15</v>
      </c>
      <c r="AF26" s="6"/>
      <c r="AG26" s="6"/>
      <c r="AH26" s="18">
        <f>AD26*I26+AC26</f>
        <v>1.1484000000000001</v>
      </c>
      <c r="AI26" s="186">
        <f>AH26*0.1</f>
        <v>0.11484000000000001</v>
      </c>
      <c r="AJ26" s="6">
        <f>AA26*1.72+115*0.012*AB26</f>
        <v>3.1</v>
      </c>
      <c r="AK26" s="6">
        <f>AE26*0.1</f>
        <v>1.5</v>
      </c>
      <c r="AL26" s="186">
        <f>10068.2*J26*POWER(10,-6)</f>
        <v>0.42850259200000002</v>
      </c>
      <c r="AM26" s="18">
        <f t="shared" ref="AM26:AM31" si="25">AL26+AK26+AJ26+AI26+AH26</f>
        <v>6.2917425920000003</v>
      </c>
      <c r="AN26" s="6">
        <f t="shared" ref="AN26:AN31" si="26">AL26*H26</f>
        <v>4.2850259200000009E-7</v>
      </c>
      <c r="AO26" s="187">
        <f t="shared" ref="AO26:AO31" si="27">H26*AM26</f>
        <v>6.2917425920000014E-6</v>
      </c>
    </row>
    <row r="27" spans="1:41">
      <c r="A27" s="91" t="s">
        <v>104</v>
      </c>
      <c r="B27" s="101" t="s">
        <v>276</v>
      </c>
      <c r="C27" s="102" t="s">
        <v>262</v>
      </c>
      <c r="D27" s="103" t="s">
        <v>178</v>
      </c>
      <c r="E27" s="104">
        <v>1.0000000000000001E-5</v>
      </c>
      <c r="F27" s="101">
        <v>2</v>
      </c>
      <c r="G27" s="101">
        <v>4.7500000000000001E-2</v>
      </c>
      <c r="H27" s="104">
        <f t="shared" ref="H27:H31" si="28">E27*F27*G27</f>
        <v>9.5000000000000012E-7</v>
      </c>
      <c r="I27" s="101">
        <f>I26</f>
        <v>42.56</v>
      </c>
      <c r="J27" s="181">
        <f>0.1*K27</f>
        <v>1.0800000000000001E-2</v>
      </c>
      <c r="K27" s="182">
        <f>POWER(10,-6)*SQRT(100)*10*3600*K26/1000</f>
        <v>0.108</v>
      </c>
      <c r="L27" t="str">
        <f t="shared" si="0"/>
        <v>С26</v>
      </c>
      <c r="M27" t="str">
        <f t="shared" si="1"/>
        <v>Емкость Е-21/2</v>
      </c>
      <c r="N27" t="str">
        <f t="shared" si="2"/>
        <v>Полное-взрыв</v>
      </c>
      <c r="O27" t="s">
        <v>209</v>
      </c>
      <c r="P27" t="s">
        <v>209</v>
      </c>
      <c r="Q27" t="s">
        <v>209</v>
      </c>
      <c r="R27" t="s">
        <v>209</v>
      </c>
      <c r="S27">
        <v>10</v>
      </c>
      <c r="T27">
        <v>20</v>
      </c>
      <c r="U27">
        <v>56</v>
      </c>
      <c r="V27">
        <v>96</v>
      </c>
      <c r="W27" t="s">
        <v>209</v>
      </c>
      <c r="X27" t="s">
        <v>209</v>
      </c>
      <c r="Y27" t="s">
        <v>209</v>
      </c>
      <c r="Z27" t="s">
        <v>209</v>
      </c>
      <c r="AA27" s="6">
        <v>2</v>
      </c>
      <c r="AB27" s="6">
        <v>1</v>
      </c>
      <c r="AC27" s="6">
        <v>0.51</v>
      </c>
      <c r="AD27" s="6">
        <v>1.4999999999999999E-2</v>
      </c>
      <c r="AE27" s="6">
        <v>15</v>
      </c>
      <c r="AF27" s="6"/>
      <c r="AG27" s="6"/>
      <c r="AH27" s="18">
        <f>AD27*I27+AC27</f>
        <v>1.1484000000000001</v>
      </c>
      <c r="AI27" s="186">
        <f t="shared" ref="AI27:AI28" si="29">AH27*0.1</f>
        <v>0.11484000000000001</v>
      </c>
      <c r="AJ27" s="6">
        <f t="shared" ref="AJ27:AJ28" si="30">AA27*1.72+115*0.012*AB27</f>
        <v>4.82</v>
      </c>
      <c r="AK27" s="6">
        <f t="shared" ref="AK27:AK28" si="31">AE27*0.1</f>
        <v>1.5</v>
      </c>
      <c r="AL27" s="186">
        <f>10068.2*J27*POWER(10,-6)*10</f>
        <v>1.0873656000000001E-3</v>
      </c>
      <c r="AM27" s="18">
        <f t="shared" si="25"/>
        <v>7.5843273656000001</v>
      </c>
      <c r="AN27" s="6">
        <f t="shared" si="26"/>
        <v>1.0329973200000001E-9</v>
      </c>
      <c r="AO27" s="187">
        <f t="shared" si="27"/>
        <v>7.2051109973200012E-6</v>
      </c>
    </row>
    <row r="28" spans="1:41">
      <c r="A28" s="91" t="s">
        <v>105</v>
      </c>
      <c r="B28" s="101" t="s">
        <v>276</v>
      </c>
      <c r="C28" s="102" t="s">
        <v>263</v>
      </c>
      <c r="D28" s="103" t="s">
        <v>176</v>
      </c>
      <c r="E28" s="104">
        <v>1.0000000000000001E-5</v>
      </c>
      <c r="F28" s="101">
        <v>2</v>
      </c>
      <c r="G28" s="101">
        <v>0.90249999999999997</v>
      </c>
      <c r="H28" s="104">
        <f t="shared" si="28"/>
        <v>1.8050000000000002E-5</v>
      </c>
      <c r="I28" s="101">
        <f>I27</f>
        <v>42.56</v>
      </c>
      <c r="J28" s="181">
        <v>0</v>
      </c>
      <c r="K28" s="182"/>
      <c r="L28" t="str">
        <f t="shared" si="0"/>
        <v>С27</v>
      </c>
      <c r="M28" t="str">
        <f t="shared" si="1"/>
        <v>Емкость Е-21/2</v>
      </c>
      <c r="N28" t="str">
        <f t="shared" si="2"/>
        <v>Полное-ликвидация</v>
      </c>
      <c r="O28" t="s">
        <v>209</v>
      </c>
      <c r="P28" t="s">
        <v>209</v>
      </c>
      <c r="Q28" t="s">
        <v>209</v>
      </c>
      <c r="R28" t="s">
        <v>209</v>
      </c>
      <c r="S28" t="s">
        <v>209</v>
      </c>
      <c r="T28" t="s">
        <v>209</v>
      </c>
      <c r="U28" t="s">
        <v>209</v>
      </c>
      <c r="V28" t="s">
        <v>209</v>
      </c>
      <c r="W28" t="s">
        <v>209</v>
      </c>
      <c r="X28" t="s">
        <v>209</v>
      </c>
      <c r="Y28" t="s">
        <v>209</v>
      </c>
      <c r="Z28" t="s">
        <v>209</v>
      </c>
      <c r="AA28" s="6">
        <v>0</v>
      </c>
      <c r="AB28" s="6">
        <v>0</v>
      </c>
      <c r="AC28" s="6">
        <v>0.51</v>
      </c>
      <c r="AD28" s="6">
        <v>1.4999999999999999E-2</v>
      </c>
      <c r="AE28" s="6">
        <v>15</v>
      </c>
      <c r="AF28" s="6"/>
      <c r="AG28" s="6"/>
      <c r="AH28" s="18">
        <f>AD28*J28+AC28</f>
        <v>0.51</v>
      </c>
      <c r="AI28" s="186">
        <f t="shared" si="29"/>
        <v>5.1000000000000004E-2</v>
      </c>
      <c r="AJ28" s="6">
        <f t="shared" si="30"/>
        <v>0</v>
      </c>
      <c r="AK28" s="6">
        <f t="shared" si="31"/>
        <v>1.5</v>
      </c>
      <c r="AL28" s="186">
        <f>1333*J27*POWER(10,-6)*10</f>
        <v>1.4396400000000001E-4</v>
      </c>
      <c r="AM28" s="18">
        <f t="shared" si="25"/>
        <v>2.0611439640000002</v>
      </c>
      <c r="AN28" s="6">
        <f t="shared" si="26"/>
        <v>2.5985502000000004E-9</v>
      </c>
      <c r="AO28" s="187">
        <f t="shared" si="27"/>
        <v>3.7203648550200011E-5</v>
      </c>
    </row>
    <row r="29" spans="1:41">
      <c r="A29" s="91" t="s">
        <v>106</v>
      </c>
      <c r="B29" s="101" t="s">
        <v>276</v>
      </c>
      <c r="C29" s="102" t="s">
        <v>216</v>
      </c>
      <c r="D29" s="103" t="s">
        <v>217</v>
      </c>
      <c r="E29" s="104">
        <v>1E-4</v>
      </c>
      <c r="F29" s="101">
        <v>2</v>
      </c>
      <c r="G29" s="101">
        <v>0.05</v>
      </c>
      <c r="H29" s="104">
        <f t="shared" si="28"/>
        <v>1.0000000000000001E-5</v>
      </c>
      <c r="I29" s="101">
        <f>I26*0.1</f>
        <v>4.2560000000000002</v>
      </c>
      <c r="J29" s="181">
        <f>I29</f>
        <v>4.2560000000000002</v>
      </c>
      <c r="K29" s="182">
        <f>ROUNDUP(I29*20,0)</f>
        <v>86</v>
      </c>
      <c r="L29" t="str">
        <f t="shared" si="0"/>
        <v>С28</v>
      </c>
      <c r="M29" t="str">
        <f t="shared" si="1"/>
        <v>Емкость Е-21/2</v>
      </c>
      <c r="N29" t="str">
        <f t="shared" si="2"/>
        <v>Частичное-пожар</v>
      </c>
      <c r="O29">
        <v>14</v>
      </c>
      <c r="P29">
        <v>19</v>
      </c>
      <c r="Q29">
        <v>26</v>
      </c>
      <c r="R29">
        <v>47</v>
      </c>
      <c r="S29" t="s">
        <v>209</v>
      </c>
      <c r="T29" t="s">
        <v>209</v>
      </c>
      <c r="U29" t="s">
        <v>209</v>
      </c>
      <c r="V29" t="s">
        <v>209</v>
      </c>
      <c r="W29" t="s">
        <v>209</v>
      </c>
      <c r="X29" t="s">
        <v>209</v>
      </c>
      <c r="Y29" t="s">
        <v>209</v>
      </c>
      <c r="Z29" t="s">
        <v>209</v>
      </c>
      <c r="AA29" s="6">
        <v>0</v>
      </c>
      <c r="AB29" s="6">
        <v>1</v>
      </c>
      <c r="AC29" s="6">
        <f>0.1*AC28</f>
        <v>5.1000000000000004E-2</v>
      </c>
      <c r="AD29" s="6">
        <v>1.4999999999999999E-2</v>
      </c>
      <c r="AE29" s="6">
        <v>5</v>
      </c>
      <c r="AF29" s="6"/>
      <c r="AG29" s="6"/>
      <c r="AH29" s="18">
        <f>AD29*I29+AC29</f>
        <v>0.11484000000000001</v>
      </c>
      <c r="AI29" s="186">
        <f>AH29*0.1</f>
        <v>1.1484000000000001E-2</v>
      </c>
      <c r="AJ29" s="6">
        <f>AA29*1.72+115*0.012*AB29</f>
        <v>1.3800000000000001</v>
      </c>
      <c r="AK29" s="6">
        <f>AE29*0.1</f>
        <v>0.5</v>
      </c>
      <c r="AL29" s="186">
        <f>10068.2*J29*POWER(10,-6)</f>
        <v>4.2850259200000004E-2</v>
      </c>
      <c r="AM29" s="18">
        <f t="shared" si="25"/>
        <v>2.0491742592</v>
      </c>
      <c r="AN29" s="6">
        <f t="shared" si="26"/>
        <v>4.2850259200000009E-7</v>
      </c>
      <c r="AO29" s="187">
        <f t="shared" si="27"/>
        <v>2.0491742592000001E-5</v>
      </c>
    </row>
    <row r="30" spans="1:41">
      <c r="A30" s="91" t="s">
        <v>107</v>
      </c>
      <c r="B30" s="101" t="s">
        <v>276</v>
      </c>
      <c r="C30" s="102" t="s">
        <v>264</v>
      </c>
      <c r="D30" s="103" t="s">
        <v>179</v>
      </c>
      <c r="E30" s="104">
        <v>1E-4</v>
      </c>
      <c r="F30" s="101">
        <v>2</v>
      </c>
      <c r="G30" s="101">
        <v>4.7500000000000001E-2</v>
      </c>
      <c r="H30" s="104">
        <f t="shared" si="28"/>
        <v>9.5000000000000005E-6</v>
      </c>
      <c r="I30" s="101">
        <f>0.1*I26</f>
        <v>4.2560000000000002</v>
      </c>
      <c r="J30" s="181">
        <f>K30</f>
        <v>3.0959999999999998E-2</v>
      </c>
      <c r="K30" s="182">
        <f>POWER(10,-6)*SQRT(100)*10*3600*K29/1000</f>
        <v>3.0959999999999998E-2</v>
      </c>
      <c r="L30" t="str">
        <f t="shared" si="0"/>
        <v>С29</v>
      </c>
      <c r="M30" t="str">
        <f t="shared" si="1"/>
        <v>Емкость Е-21/2</v>
      </c>
      <c r="N30" t="str">
        <f t="shared" si="2"/>
        <v>Частичное-вспышка</v>
      </c>
      <c r="O30" t="s">
        <v>209</v>
      </c>
      <c r="P30" t="s">
        <v>209</v>
      </c>
      <c r="Q30" t="s">
        <v>209</v>
      </c>
      <c r="R30" t="s">
        <v>209</v>
      </c>
      <c r="S30" t="s">
        <v>209</v>
      </c>
      <c r="T30" t="s">
        <v>209</v>
      </c>
      <c r="U30" t="s">
        <v>209</v>
      </c>
      <c r="V30" t="s">
        <v>209</v>
      </c>
      <c r="W30" t="s">
        <v>209</v>
      </c>
      <c r="X30" t="s">
        <v>209</v>
      </c>
      <c r="Y30">
        <v>10</v>
      </c>
      <c r="Z30">
        <v>12</v>
      </c>
      <c r="AA30" s="6">
        <v>0</v>
      </c>
      <c r="AB30" s="6">
        <v>1</v>
      </c>
      <c r="AC30" s="6">
        <f>0.1*AC28</f>
        <v>5.1000000000000004E-2</v>
      </c>
      <c r="AD30" s="6">
        <v>1.4999999999999999E-2</v>
      </c>
      <c r="AE30" s="6">
        <v>5</v>
      </c>
      <c r="AF30" s="6"/>
      <c r="AG30" s="6"/>
      <c r="AH30" s="18">
        <f>AD30*I30+AC30</f>
        <v>0.11484000000000001</v>
      </c>
      <c r="AI30" s="186">
        <f>AH30*0.1</f>
        <v>1.1484000000000001E-2</v>
      </c>
      <c r="AJ30" s="6">
        <f>AA30*1.72+115*0.012*AB30</f>
        <v>1.3800000000000001</v>
      </c>
      <c r="AK30" s="6">
        <f>AE30*0.1</f>
        <v>0.5</v>
      </c>
      <c r="AL30" s="186">
        <f>10068.2*J30*POWER(10,-6)</f>
        <v>3.1171147200000001E-4</v>
      </c>
      <c r="AM30" s="18">
        <f t="shared" si="25"/>
        <v>2.0066357114720001</v>
      </c>
      <c r="AN30" s="6">
        <f t="shared" si="26"/>
        <v>2.9612589840000004E-9</v>
      </c>
      <c r="AO30" s="187">
        <f t="shared" si="27"/>
        <v>1.9063039258984003E-5</v>
      </c>
    </row>
    <row r="31" spans="1:41">
      <c r="A31" s="91" t="s">
        <v>108</v>
      </c>
      <c r="B31" s="101" t="s">
        <v>276</v>
      </c>
      <c r="C31" s="102" t="s">
        <v>265</v>
      </c>
      <c r="D31" s="103" t="s">
        <v>177</v>
      </c>
      <c r="E31" s="104">
        <v>1E-4</v>
      </c>
      <c r="F31" s="101">
        <v>2</v>
      </c>
      <c r="G31" s="101">
        <v>0.90249999999999997</v>
      </c>
      <c r="H31" s="104">
        <f t="shared" si="28"/>
        <v>1.805E-4</v>
      </c>
      <c r="I31" s="101">
        <f>0.1*I26</f>
        <v>4.2560000000000002</v>
      </c>
      <c r="J31" s="181">
        <v>0</v>
      </c>
      <c r="K31" s="182">
        <v>0</v>
      </c>
      <c r="L31" t="str">
        <f t="shared" si="0"/>
        <v>С30</v>
      </c>
      <c r="M31" t="str">
        <f t="shared" si="1"/>
        <v>Емкость Е-21/2</v>
      </c>
      <c r="N31" t="str">
        <f t="shared" si="2"/>
        <v>Частичное-ликвидация</v>
      </c>
      <c r="O31" t="s">
        <v>209</v>
      </c>
      <c r="P31" t="s">
        <v>209</v>
      </c>
      <c r="Q31" t="s">
        <v>209</v>
      </c>
      <c r="R31" t="s">
        <v>209</v>
      </c>
      <c r="S31" t="s">
        <v>209</v>
      </c>
      <c r="T31" t="s">
        <v>209</v>
      </c>
      <c r="U31" t="s">
        <v>209</v>
      </c>
      <c r="V31" t="s">
        <v>209</v>
      </c>
      <c r="W31" t="s">
        <v>209</v>
      </c>
      <c r="X31" t="s">
        <v>209</v>
      </c>
      <c r="Y31" t="s">
        <v>209</v>
      </c>
      <c r="Z31" t="s">
        <v>209</v>
      </c>
      <c r="AA31" s="6">
        <v>0</v>
      </c>
      <c r="AB31" s="6">
        <v>0</v>
      </c>
      <c r="AC31" s="6">
        <f>0.1*AC28</f>
        <v>5.1000000000000004E-2</v>
      </c>
      <c r="AD31" s="6">
        <v>1.4999999999999999E-2</v>
      </c>
      <c r="AE31" s="6">
        <v>5</v>
      </c>
      <c r="AF31" s="6"/>
      <c r="AG31" s="6"/>
      <c r="AH31" s="18">
        <f>AD31*I31+AC31</f>
        <v>0.11484000000000001</v>
      </c>
      <c r="AI31" s="186">
        <f>AH31*0.1</f>
        <v>1.1484000000000001E-2</v>
      </c>
      <c r="AJ31" s="6">
        <f>AA31*1.72+115*0.012*AB31</f>
        <v>0</v>
      </c>
      <c r="AK31" s="6">
        <f>AE31*0.1</f>
        <v>0.5</v>
      </c>
      <c r="AL31" s="186">
        <f>1333*J30*POWER(10,-6)</f>
        <v>4.1269679999999994E-5</v>
      </c>
      <c r="AM31" s="18">
        <f t="shared" si="25"/>
        <v>0.62636526968000006</v>
      </c>
      <c r="AN31" s="6">
        <f t="shared" si="26"/>
        <v>7.449177239999999E-9</v>
      </c>
      <c r="AO31" s="187">
        <f t="shared" si="27"/>
        <v>1.1305893117724001E-4</v>
      </c>
    </row>
    <row r="32" spans="1:41">
      <c r="A32" s="91" t="s">
        <v>109</v>
      </c>
      <c r="B32" s="168" t="s">
        <v>270</v>
      </c>
      <c r="C32" s="169" t="s">
        <v>79</v>
      </c>
      <c r="D32" s="170" t="s">
        <v>175</v>
      </c>
      <c r="E32" s="171">
        <v>1.0000000000000001E-5</v>
      </c>
      <c r="F32" s="168">
        <v>2</v>
      </c>
      <c r="G32" s="168">
        <v>0.05</v>
      </c>
      <c r="H32" s="171">
        <f>E32*F32*G32</f>
        <v>1.0000000000000002E-6</v>
      </c>
      <c r="I32" s="168">
        <v>399.04</v>
      </c>
      <c r="J32" s="183">
        <f>I32</f>
        <v>399.04</v>
      </c>
      <c r="K32" s="183">
        <v>400</v>
      </c>
      <c r="L32" t="str">
        <f t="shared" si="0"/>
        <v>С37</v>
      </c>
      <c r="M32" t="str">
        <f t="shared" si="1"/>
        <v>Емкость Е-11/1</v>
      </c>
      <c r="N32" t="str">
        <f t="shared" si="2"/>
        <v>Полное-пожар</v>
      </c>
      <c r="O32">
        <v>17</v>
      </c>
      <c r="P32">
        <v>24</v>
      </c>
      <c r="Q32">
        <v>35</v>
      </c>
      <c r="R32">
        <v>65</v>
      </c>
      <c r="S32" t="s">
        <v>209</v>
      </c>
      <c r="T32" t="s">
        <v>209</v>
      </c>
      <c r="U32" t="s">
        <v>209</v>
      </c>
      <c r="V32" t="s">
        <v>209</v>
      </c>
      <c r="W32" t="s">
        <v>209</v>
      </c>
      <c r="X32" t="s">
        <v>209</v>
      </c>
      <c r="Y32" t="s">
        <v>209</v>
      </c>
      <c r="Z32" t="s">
        <v>209</v>
      </c>
      <c r="AA32" s="188">
        <v>1</v>
      </c>
      <c r="AB32" s="188">
        <v>1</v>
      </c>
      <c r="AC32" s="188">
        <v>0.25</v>
      </c>
      <c r="AD32" s="188">
        <v>1.4999999999999999E-2</v>
      </c>
      <c r="AE32" s="188">
        <v>15</v>
      </c>
      <c r="AF32" s="188"/>
      <c r="AG32" s="188"/>
      <c r="AH32" s="189">
        <f>AD32*I32*0.5+AC32</f>
        <v>3.2427999999999999</v>
      </c>
      <c r="AI32" s="190">
        <f>AH32*0.1</f>
        <v>0.32428000000000001</v>
      </c>
      <c r="AJ32" s="188">
        <f>AA32*1.72+115*0.012*AB32</f>
        <v>3.1</v>
      </c>
      <c r="AK32" s="188">
        <f>AE32*0.1</f>
        <v>1.5</v>
      </c>
      <c r="AL32" s="190">
        <f>10068.2*J32*POWER(10,-6)*0.5</f>
        <v>2.0088072640000001</v>
      </c>
      <c r="AM32" s="189">
        <f t="shared" ref="AM32:AM43" si="32">AL32+AK32+AJ32+AI32+AH32</f>
        <v>10.175887264</v>
      </c>
      <c r="AN32" s="188">
        <f t="shared" ref="AN32:AN43" si="33">AL32*H32</f>
        <v>2.0088072640000002E-6</v>
      </c>
      <c r="AO32" s="191">
        <f t="shared" ref="AO32:AO43" si="34">H32*AM32</f>
        <v>1.0175887264000002E-5</v>
      </c>
    </row>
    <row r="33" spans="1:41">
      <c r="A33" s="91" t="s">
        <v>110</v>
      </c>
      <c r="B33" s="168" t="s">
        <v>270</v>
      </c>
      <c r="C33" s="169" t="s">
        <v>262</v>
      </c>
      <c r="D33" s="170" t="s">
        <v>178</v>
      </c>
      <c r="E33" s="171">
        <v>1.0000000000000001E-5</v>
      </c>
      <c r="F33" s="168">
        <v>2</v>
      </c>
      <c r="G33" s="168">
        <v>4.7500000000000001E-2</v>
      </c>
      <c r="H33" s="171">
        <f t="shared" ref="H33:H37" si="35">E33*F33*G33</f>
        <v>9.5000000000000012E-7</v>
      </c>
      <c r="I33" s="168">
        <f>I32</f>
        <v>399.04</v>
      </c>
      <c r="J33" s="183">
        <f>0.1*K33</f>
        <v>1.44E-2</v>
      </c>
      <c r="K33" s="183">
        <f>POWER(10,-6)*SQRT(100)*10*3600*K32/1000</f>
        <v>0.14399999999999999</v>
      </c>
      <c r="L33" t="str">
        <f t="shared" si="0"/>
        <v>С38</v>
      </c>
      <c r="M33" t="str">
        <f t="shared" si="1"/>
        <v>Емкость Е-11/1</v>
      </c>
      <c r="N33" t="str">
        <f t="shared" si="2"/>
        <v>Полное-взрыв</v>
      </c>
      <c r="O33" t="s">
        <v>209</v>
      </c>
      <c r="P33" t="s">
        <v>209</v>
      </c>
      <c r="Q33" t="s">
        <v>209</v>
      </c>
      <c r="R33" t="s">
        <v>209</v>
      </c>
      <c r="S33">
        <v>11</v>
      </c>
      <c r="T33">
        <v>22</v>
      </c>
      <c r="U33">
        <v>61</v>
      </c>
      <c r="V33">
        <v>105</v>
      </c>
      <c r="W33" t="s">
        <v>209</v>
      </c>
      <c r="X33" t="s">
        <v>209</v>
      </c>
      <c r="Y33" t="s">
        <v>209</v>
      </c>
      <c r="Z33" t="s">
        <v>209</v>
      </c>
      <c r="AA33" s="188">
        <v>3</v>
      </c>
      <c r="AB33" s="188">
        <v>1</v>
      </c>
      <c r="AC33" s="188">
        <v>0.25</v>
      </c>
      <c r="AD33" s="188">
        <v>1.4999999999999999E-2</v>
      </c>
      <c r="AE33" s="188">
        <v>15</v>
      </c>
      <c r="AF33" s="188"/>
      <c r="AG33" s="188"/>
      <c r="AH33" s="189">
        <f>AD33*I33*0.5+AC33</f>
        <v>3.2427999999999999</v>
      </c>
      <c r="AI33" s="190">
        <f t="shared" ref="AI33:AI34" si="36">AH33*0.1</f>
        <v>0.32428000000000001</v>
      </c>
      <c r="AJ33" s="188">
        <f t="shared" ref="AJ33:AJ34" si="37">AA33*1.72+115*0.012*AB33</f>
        <v>6.54</v>
      </c>
      <c r="AK33" s="188">
        <f t="shared" ref="AK33:AK34" si="38">AE33*0.1</f>
        <v>1.5</v>
      </c>
      <c r="AL33" s="190">
        <f>10068.2*J33*POWER(10,-6)*10</f>
        <v>1.4498207999999999E-3</v>
      </c>
      <c r="AM33" s="189">
        <f t="shared" si="32"/>
        <v>11.608529820800001</v>
      </c>
      <c r="AN33" s="188">
        <f t="shared" si="33"/>
        <v>1.3773297600000002E-9</v>
      </c>
      <c r="AO33" s="191">
        <f t="shared" si="34"/>
        <v>1.1028103329760003E-5</v>
      </c>
    </row>
    <row r="34" spans="1:41">
      <c r="A34" s="91" t="s">
        <v>111</v>
      </c>
      <c r="B34" s="168" t="s">
        <v>270</v>
      </c>
      <c r="C34" s="169" t="s">
        <v>263</v>
      </c>
      <c r="D34" s="170" t="s">
        <v>176</v>
      </c>
      <c r="E34" s="171">
        <v>1.0000000000000001E-5</v>
      </c>
      <c r="F34" s="168">
        <v>2</v>
      </c>
      <c r="G34" s="168">
        <v>0.90249999999999997</v>
      </c>
      <c r="H34" s="171">
        <f t="shared" si="35"/>
        <v>1.8050000000000002E-5</v>
      </c>
      <c r="I34" s="168">
        <f>I33</f>
        <v>399.04</v>
      </c>
      <c r="J34" s="183">
        <v>0</v>
      </c>
      <c r="K34" s="183"/>
      <c r="L34" t="str">
        <f t="shared" si="0"/>
        <v>С39</v>
      </c>
      <c r="M34" t="str">
        <f t="shared" si="1"/>
        <v>Емкость Е-11/1</v>
      </c>
      <c r="N34" t="str">
        <f t="shared" si="2"/>
        <v>Полное-ликвидация</v>
      </c>
      <c r="O34" t="s">
        <v>209</v>
      </c>
      <c r="P34" t="s">
        <v>209</v>
      </c>
      <c r="Q34" t="s">
        <v>209</v>
      </c>
      <c r="R34" t="s">
        <v>209</v>
      </c>
      <c r="S34" t="s">
        <v>209</v>
      </c>
      <c r="T34" t="s">
        <v>209</v>
      </c>
      <c r="U34" t="s">
        <v>209</v>
      </c>
      <c r="V34" t="s">
        <v>209</v>
      </c>
      <c r="W34" t="s">
        <v>209</v>
      </c>
      <c r="X34" t="s">
        <v>209</v>
      </c>
      <c r="Y34" t="s">
        <v>209</v>
      </c>
      <c r="Z34" t="s">
        <v>209</v>
      </c>
      <c r="AA34" s="188">
        <v>0</v>
      </c>
      <c r="AB34" s="188">
        <v>0</v>
      </c>
      <c r="AC34" s="188">
        <v>0.25</v>
      </c>
      <c r="AD34" s="188">
        <v>1.4999999999999999E-2</v>
      </c>
      <c r="AE34" s="188">
        <v>15</v>
      </c>
      <c r="AF34" s="188"/>
      <c r="AG34" s="188"/>
      <c r="AH34" s="189">
        <f>AD34*J34+AC34</f>
        <v>0.25</v>
      </c>
      <c r="AI34" s="190">
        <f t="shared" si="36"/>
        <v>2.5000000000000001E-2</v>
      </c>
      <c r="AJ34" s="188">
        <f t="shared" si="37"/>
        <v>0</v>
      </c>
      <c r="AK34" s="188">
        <f t="shared" si="38"/>
        <v>1.5</v>
      </c>
      <c r="AL34" s="190">
        <f>1333*J33*POWER(10,-6)*10</f>
        <v>1.9195199999999998E-4</v>
      </c>
      <c r="AM34" s="189">
        <f t="shared" si="32"/>
        <v>1.7751919519999999</v>
      </c>
      <c r="AN34" s="188">
        <f t="shared" si="33"/>
        <v>3.4647335999999998E-9</v>
      </c>
      <c r="AO34" s="191">
        <f t="shared" si="34"/>
        <v>3.2042214733600004E-5</v>
      </c>
    </row>
    <row r="35" spans="1:41">
      <c r="A35" s="91" t="s">
        <v>112</v>
      </c>
      <c r="B35" s="168" t="s">
        <v>270</v>
      </c>
      <c r="C35" s="169" t="s">
        <v>216</v>
      </c>
      <c r="D35" s="170" t="s">
        <v>217</v>
      </c>
      <c r="E35" s="171">
        <v>1E-4</v>
      </c>
      <c r="F35" s="168">
        <v>2</v>
      </c>
      <c r="G35" s="168">
        <v>0.05</v>
      </c>
      <c r="H35" s="171">
        <f t="shared" si="35"/>
        <v>1.0000000000000001E-5</v>
      </c>
      <c r="I35" s="168">
        <f>I32*0.1</f>
        <v>39.904000000000003</v>
      </c>
      <c r="J35" s="183">
        <f>I35</f>
        <v>39.904000000000003</v>
      </c>
      <c r="K35" s="183">
        <v>150</v>
      </c>
      <c r="L35" t="str">
        <f t="shared" si="0"/>
        <v>С40</v>
      </c>
      <c r="M35" t="str">
        <f t="shared" si="1"/>
        <v>Емкость Е-11/1</v>
      </c>
      <c r="N35" t="str">
        <f t="shared" si="2"/>
        <v>Частичное-пожар</v>
      </c>
      <c r="O35">
        <v>15</v>
      </c>
      <c r="P35">
        <v>21</v>
      </c>
      <c r="Q35">
        <v>29</v>
      </c>
      <c r="R35">
        <v>53</v>
      </c>
      <c r="S35" t="s">
        <v>209</v>
      </c>
      <c r="T35" t="s">
        <v>209</v>
      </c>
      <c r="U35" t="s">
        <v>209</v>
      </c>
      <c r="V35" t="s">
        <v>209</v>
      </c>
      <c r="W35" t="s">
        <v>209</v>
      </c>
      <c r="X35" t="s">
        <v>209</v>
      </c>
      <c r="Y35" t="s">
        <v>209</v>
      </c>
      <c r="Z35" t="s">
        <v>209</v>
      </c>
      <c r="AA35" s="188">
        <v>0</v>
      </c>
      <c r="AB35" s="188">
        <v>1</v>
      </c>
      <c r="AC35" s="188">
        <f>0.1*AC34</f>
        <v>2.5000000000000001E-2</v>
      </c>
      <c r="AD35" s="188">
        <v>1.4999999999999999E-2</v>
      </c>
      <c r="AE35" s="188">
        <v>5</v>
      </c>
      <c r="AF35" s="188"/>
      <c r="AG35" s="188"/>
      <c r="AH35" s="189">
        <f>AD35*I35+AC35</f>
        <v>0.62356</v>
      </c>
      <c r="AI35" s="190">
        <f>AH35*0.1</f>
        <v>6.2356000000000002E-2</v>
      </c>
      <c r="AJ35" s="188">
        <f>AA35*1.72+115*0.012*AB35</f>
        <v>1.3800000000000001</v>
      </c>
      <c r="AK35" s="188">
        <f>AE35*0.1</f>
        <v>0.5</v>
      </c>
      <c r="AL35" s="190">
        <f>10068.2*J35*POWER(10,-6)</f>
        <v>0.40176145280000009</v>
      </c>
      <c r="AM35" s="189">
        <f t="shared" si="32"/>
        <v>2.9676774527999998</v>
      </c>
      <c r="AN35" s="188">
        <f t="shared" si="33"/>
        <v>4.0176145280000013E-6</v>
      </c>
      <c r="AO35" s="191">
        <f t="shared" si="34"/>
        <v>2.9676774527999999E-5</v>
      </c>
    </row>
    <row r="36" spans="1:41">
      <c r="A36" s="91" t="s">
        <v>113</v>
      </c>
      <c r="B36" s="168" t="s">
        <v>270</v>
      </c>
      <c r="C36" s="169" t="s">
        <v>264</v>
      </c>
      <c r="D36" s="170" t="s">
        <v>179</v>
      </c>
      <c r="E36" s="171">
        <v>1E-4</v>
      </c>
      <c r="F36" s="168">
        <v>2</v>
      </c>
      <c r="G36" s="168">
        <v>4.7500000000000001E-2</v>
      </c>
      <c r="H36" s="171">
        <f t="shared" si="35"/>
        <v>9.5000000000000005E-6</v>
      </c>
      <c r="I36" s="168">
        <f>0.1*I32</f>
        <v>39.904000000000003</v>
      </c>
      <c r="J36" s="183">
        <f>K36</f>
        <v>5.3999999999999999E-2</v>
      </c>
      <c r="K36" s="183">
        <f>POWER(10,-6)*SQRT(100)*10*3600*K35/1000</f>
        <v>5.3999999999999999E-2</v>
      </c>
      <c r="L36" t="str">
        <f t="shared" si="0"/>
        <v>С41</v>
      </c>
      <c r="M36" t="str">
        <f t="shared" si="1"/>
        <v>Емкость Е-11/1</v>
      </c>
      <c r="N36" t="str">
        <f t="shared" si="2"/>
        <v>Частичное-вспышка</v>
      </c>
      <c r="O36" t="s">
        <v>209</v>
      </c>
      <c r="P36" t="s">
        <v>209</v>
      </c>
      <c r="Q36" t="s">
        <v>209</v>
      </c>
      <c r="R36" t="s">
        <v>209</v>
      </c>
      <c r="S36" t="s">
        <v>209</v>
      </c>
      <c r="T36" t="s">
        <v>209</v>
      </c>
      <c r="U36" t="s">
        <v>209</v>
      </c>
      <c r="V36" t="s">
        <v>209</v>
      </c>
      <c r="W36" t="s">
        <v>209</v>
      </c>
      <c r="X36" t="s">
        <v>209</v>
      </c>
      <c r="Y36">
        <v>12</v>
      </c>
      <c r="Z36">
        <v>14</v>
      </c>
      <c r="AA36" s="188">
        <v>0</v>
      </c>
      <c r="AB36" s="188">
        <v>1</v>
      </c>
      <c r="AC36" s="188">
        <f>0.1*AC34</f>
        <v>2.5000000000000001E-2</v>
      </c>
      <c r="AD36" s="188">
        <v>1.4999999999999999E-2</v>
      </c>
      <c r="AE36" s="188">
        <v>5</v>
      </c>
      <c r="AF36" s="188"/>
      <c r="AG36" s="188"/>
      <c r="AH36" s="189">
        <f>AD36*I36+AC36</f>
        <v>0.62356</v>
      </c>
      <c r="AI36" s="190">
        <f>AH36*0.1</f>
        <v>6.2356000000000002E-2</v>
      </c>
      <c r="AJ36" s="188">
        <f>AA36*1.72+115*0.012*AB36</f>
        <v>1.3800000000000001</v>
      </c>
      <c r="AK36" s="188">
        <f>AE36*0.1</f>
        <v>0.5</v>
      </c>
      <c r="AL36" s="190">
        <f>10068.2*J36*POWER(10,-6)</f>
        <v>5.4368280000000003E-4</v>
      </c>
      <c r="AM36" s="189">
        <f t="shared" si="32"/>
        <v>2.5664596828000001</v>
      </c>
      <c r="AN36" s="188">
        <f t="shared" si="33"/>
        <v>5.164986600000001E-9</v>
      </c>
      <c r="AO36" s="191">
        <f t="shared" si="34"/>
        <v>2.4381366986600003E-5</v>
      </c>
    </row>
    <row r="37" spans="1:41">
      <c r="A37" s="91" t="s">
        <v>114</v>
      </c>
      <c r="B37" s="168" t="s">
        <v>270</v>
      </c>
      <c r="C37" s="169" t="s">
        <v>265</v>
      </c>
      <c r="D37" s="170" t="s">
        <v>177</v>
      </c>
      <c r="E37" s="171">
        <v>1E-4</v>
      </c>
      <c r="F37" s="168">
        <v>2</v>
      </c>
      <c r="G37" s="168">
        <v>0.90249999999999997</v>
      </c>
      <c r="H37" s="171">
        <f t="shared" si="35"/>
        <v>1.805E-4</v>
      </c>
      <c r="I37" s="168">
        <f>0.1*I32</f>
        <v>39.904000000000003</v>
      </c>
      <c r="J37" s="183">
        <v>0</v>
      </c>
      <c r="K37" s="183">
        <v>0</v>
      </c>
      <c r="L37" t="str">
        <f t="shared" si="0"/>
        <v>С42</v>
      </c>
      <c r="M37" t="str">
        <f t="shared" si="1"/>
        <v>Емкость Е-11/1</v>
      </c>
      <c r="N37" t="str">
        <f t="shared" si="2"/>
        <v>Частичное-ликвидация</v>
      </c>
      <c r="O37" t="s">
        <v>209</v>
      </c>
      <c r="P37" t="s">
        <v>209</v>
      </c>
      <c r="Q37" t="s">
        <v>209</v>
      </c>
      <c r="R37" t="s">
        <v>209</v>
      </c>
      <c r="S37" t="s">
        <v>209</v>
      </c>
      <c r="T37" t="s">
        <v>209</v>
      </c>
      <c r="U37" t="s">
        <v>209</v>
      </c>
      <c r="V37" t="s">
        <v>209</v>
      </c>
      <c r="W37" t="s">
        <v>209</v>
      </c>
      <c r="X37" t="s">
        <v>209</v>
      </c>
      <c r="Y37" t="s">
        <v>209</v>
      </c>
      <c r="Z37" t="s">
        <v>209</v>
      </c>
      <c r="AA37" s="188">
        <v>0</v>
      </c>
      <c r="AB37" s="188">
        <v>0</v>
      </c>
      <c r="AC37" s="188">
        <f>0.1*AC34</f>
        <v>2.5000000000000001E-2</v>
      </c>
      <c r="AD37" s="188">
        <v>1.4999999999999999E-2</v>
      </c>
      <c r="AE37" s="188">
        <v>5</v>
      </c>
      <c r="AF37" s="188"/>
      <c r="AG37" s="188"/>
      <c r="AH37" s="189">
        <f>AD37*I37+AC37</f>
        <v>0.62356</v>
      </c>
      <c r="AI37" s="190">
        <f>AH37*0.1</f>
        <v>6.2356000000000002E-2</v>
      </c>
      <c r="AJ37" s="188">
        <f>AA37*1.72+115*0.012*AB37</f>
        <v>0</v>
      </c>
      <c r="AK37" s="188">
        <f>AE37*0.1</f>
        <v>0.5</v>
      </c>
      <c r="AL37" s="190">
        <f>1333*J36*POWER(10,-6)</f>
        <v>7.1981999999999989E-5</v>
      </c>
      <c r="AM37" s="189">
        <f t="shared" si="32"/>
        <v>1.1859879819999999</v>
      </c>
      <c r="AN37" s="188">
        <f t="shared" si="33"/>
        <v>1.2992750999999998E-8</v>
      </c>
      <c r="AO37" s="191">
        <f t="shared" si="34"/>
        <v>2.1407083075099996E-4</v>
      </c>
    </row>
    <row r="38" spans="1:41">
      <c r="A38" s="91" t="s">
        <v>115</v>
      </c>
      <c r="B38" s="97" t="s">
        <v>56</v>
      </c>
      <c r="C38" s="98" t="s">
        <v>79</v>
      </c>
      <c r="D38" s="99" t="s">
        <v>175</v>
      </c>
      <c r="E38" s="100">
        <v>1.0000000000000001E-5</v>
      </c>
      <c r="F38" s="97">
        <v>7</v>
      </c>
      <c r="G38" s="97">
        <v>0.05</v>
      </c>
      <c r="H38" s="100">
        <f>E38*F38*G38</f>
        <v>3.5000000000000004E-6</v>
      </c>
      <c r="I38" s="97">
        <v>31.2</v>
      </c>
      <c r="J38" s="126">
        <f>I38</f>
        <v>31.2</v>
      </c>
      <c r="K38" s="126">
        <v>250</v>
      </c>
      <c r="L38" t="str">
        <f t="shared" si="0"/>
        <v>С43</v>
      </c>
      <c r="M38" t="str">
        <f t="shared" si="1"/>
        <v>Емкость Е-1</v>
      </c>
      <c r="N38" t="str">
        <f t="shared" si="2"/>
        <v>Полное-пожар</v>
      </c>
      <c r="O38">
        <v>16</v>
      </c>
      <c r="P38">
        <v>22</v>
      </c>
      <c r="Q38">
        <v>32</v>
      </c>
      <c r="R38">
        <v>59</v>
      </c>
      <c r="S38" t="s">
        <v>209</v>
      </c>
      <c r="T38" t="s">
        <v>209</v>
      </c>
      <c r="U38" t="s">
        <v>209</v>
      </c>
      <c r="V38" t="s">
        <v>209</v>
      </c>
      <c r="W38" t="s">
        <v>209</v>
      </c>
      <c r="X38" t="s">
        <v>209</v>
      </c>
      <c r="Y38" t="s">
        <v>209</v>
      </c>
      <c r="Z38" t="s">
        <v>209</v>
      </c>
      <c r="AA38" s="154">
        <v>1</v>
      </c>
      <c r="AB38" s="154">
        <v>1</v>
      </c>
      <c r="AC38" s="154">
        <v>0.36</v>
      </c>
      <c r="AD38" s="154">
        <v>1.4999999999999999E-2</v>
      </c>
      <c r="AE38" s="154">
        <v>15</v>
      </c>
      <c r="AF38" s="154"/>
      <c r="AG38" s="154"/>
      <c r="AH38" s="192">
        <f>AD38*I38+AC38</f>
        <v>0.82799999999999996</v>
      </c>
      <c r="AI38" s="193">
        <f>AH38*0.1</f>
        <v>8.2799999999999999E-2</v>
      </c>
      <c r="AJ38" s="154">
        <f>AA38*1.72+115*0.012*AB38</f>
        <v>3.1</v>
      </c>
      <c r="AK38" s="154">
        <f>AE38*0.1</f>
        <v>1.5</v>
      </c>
      <c r="AL38" s="193">
        <f>10068.2*J38*POWER(10,-6)</f>
        <v>0.31412783999999999</v>
      </c>
      <c r="AM38" s="192">
        <f t="shared" si="32"/>
        <v>5.82492784</v>
      </c>
      <c r="AN38" s="154">
        <f t="shared" si="33"/>
        <v>1.0994474400000002E-6</v>
      </c>
      <c r="AO38" s="194">
        <f t="shared" si="34"/>
        <v>2.0387247440000001E-5</v>
      </c>
    </row>
    <row r="39" spans="1:41">
      <c r="A39" s="91" t="s">
        <v>116</v>
      </c>
      <c r="B39" s="97" t="s">
        <v>56</v>
      </c>
      <c r="C39" s="98" t="s">
        <v>262</v>
      </c>
      <c r="D39" s="99" t="s">
        <v>178</v>
      </c>
      <c r="E39" s="100">
        <v>1.0000000000000001E-5</v>
      </c>
      <c r="F39" s="97">
        <v>7</v>
      </c>
      <c r="G39" s="97">
        <v>4.7500000000000001E-2</v>
      </c>
      <c r="H39" s="100">
        <f t="shared" ref="H39:H43" si="39">E39*F39*G39</f>
        <v>3.3250000000000004E-6</v>
      </c>
      <c r="I39" s="97">
        <f>I38</f>
        <v>31.2</v>
      </c>
      <c r="J39" s="126">
        <f>0.1*K39</f>
        <v>8.9999999999999993E-3</v>
      </c>
      <c r="K39" s="126">
        <f>POWER(10,-6)*SQRT(100)*10*3600*K38/1000</f>
        <v>0.09</v>
      </c>
      <c r="L39" t="str">
        <f t="shared" si="0"/>
        <v>С44</v>
      </c>
      <c r="M39" t="str">
        <f t="shared" si="1"/>
        <v>Емкость Е-1</v>
      </c>
      <c r="N39" t="str">
        <f t="shared" si="2"/>
        <v>Полное-взрыв</v>
      </c>
      <c r="O39" t="s">
        <v>209</v>
      </c>
      <c r="P39" t="s">
        <v>209</v>
      </c>
      <c r="Q39" t="s">
        <v>209</v>
      </c>
      <c r="R39" t="s">
        <v>209</v>
      </c>
      <c r="S39">
        <v>9</v>
      </c>
      <c r="T39">
        <v>19</v>
      </c>
      <c r="U39">
        <v>52</v>
      </c>
      <c r="V39">
        <v>90</v>
      </c>
      <c r="W39" t="s">
        <v>209</v>
      </c>
      <c r="X39" t="s">
        <v>209</v>
      </c>
      <c r="Y39" t="s">
        <v>209</v>
      </c>
      <c r="Z39" t="s">
        <v>209</v>
      </c>
      <c r="AA39" s="154">
        <v>1</v>
      </c>
      <c r="AB39" s="154">
        <v>1</v>
      </c>
      <c r="AC39" s="154">
        <v>0.36</v>
      </c>
      <c r="AD39" s="154">
        <v>1.4999999999999999E-2</v>
      </c>
      <c r="AE39" s="154">
        <v>15</v>
      </c>
      <c r="AF39" s="154"/>
      <c r="AG39" s="154"/>
      <c r="AH39" s="192">
        <f>AD39*I39+AC39</f>
        <v>0.82799999999999996</v>
      </c>
      <c r="AI39" s="193">
        <f t="shared" ref="AI39:AI40" si="40">AH39*0.1</f>
        <v>8.2799999999999999E-2</v>
      </c>
      <c r="AJ39" s="154">
        <f t="shared" ref="AJ39:AJ40" si="41">AA39*1.72+115*0.012*AB39</f>
        <v>3.1</v>
      </c>
      <c r="AK39" s="154">
        <f t="shared" ref="AK39:AK40" si="42">AE39*0.1</f>
        <v>1.5</v>
      </c>
      <c r="AL39" s="193">
        <f>10068.2*J39*POWER(10,-6)*10</f>
        <v>9.0613799999999991E-4</v>
      </c>
      <c r="AM39" s="192">
        <f t="shared" si="32"/>
        <v>5.5117061380000001</v>
      </c>
      <c r="AN39" s="154">
        <f t="shared" si="33"/>
        <v>3.0129088500000001E-9</v>
      </c>
      <c r="AO39" s="194">
        <f t="shared" si="34"/>
        <v>1.8326422908850003E-5</v>
      </c>
    </row>
    <row r="40" spans="1:41">
      <c r="A40" s="91" t="s">
        <v>117</v>
      </c>
      <c r="B40" s="97" t="s">
        <v>56</v>
      </c>
      <c r="C40" s="98" t="s">
        <v>263</v>
      </c>
      <c r="D40" s="99" t="s">
        <v>176</v>
      </c>
      <c r="E40" s="100">
        <v>1.0000000000000001E-5</v>
      </c>
      <c r="F40" s="97">
        <v>7</v>
      </c>
      <c r="G40" s="97">
        <v>0.90249999999999997</v>
      </c>
      <c r="H40" s="100">
        <f t="shared" si="39"/>
        <v>6.3175000000000004E-5</v>
      </c>
      <c r="I40" s="97">
        <f>I39</f>
        <v>31.2</v>
      </c>
      <c r="J40" s="126">
        <v>0</v>
      </c>
      <c r="K40" s="126"/>
      <c r="L40" t="str">
        <f t="shared" si="0"/>
        <v>С45</v>
      </c>
      <c r="M40" t="str">
        <f t="shared" si="1"/>
        <v>Емкость Е-1</v>
      </c>
      <c r="N40" t="str">
        <f t="shared" si="2"/>
        <v>Полное-ликвидация</v>
      </c>
      <c r="O40" t="s">
        <v>209</v>
      </c>
      <c r="P40" t="s">
        <v>209</v>
      </c>
      <c r="Q40" t="s">
        <v>209</v>
      </c>
      <c r="R40" t="s">
        <v>209</v>
      </c>
      <c r="S40" t="s">
        <v>209</v>
      </c>
      <c r="T40" t="s">
        <v>209</v>
      </c>
      <c r="U40" t="s">
        <v>209</v>
      </c>
      <c r="V40" t="s">
        <v>209</v>
      </c>
      <c r="W40" t="s">
        <v>209</v>
      </c>
      <c r="X40" t="s">
        <v>209</v>
      </c>
      <c r="Y40" t="s">
        <v>209</v>
      </c>
      <c r="Z40" t="s">
        <v>209</v>
      </c>
      <c r="AA40" s="154">
        <v>0</v>
      </c>
      <c r="AB40" s="154">
        <v>0</v>
      </c>
      <c r="AC40" s="154">
        <v>0.36</v>
      </c>
      <c r="AD40" s="154">
        <v>1.4999999999999999E-2</v>
      </c>
      <c r="AE40" s="154">
        <v>15</v>
      </c>
      <c r="AF40" s="154"/>
      <c r="AG40" s="154"/>
      <c r="AH40" s="192">
        <f>AD40*J40+AC40</f>
        <v>0.36</v>
      </c>
      <c r="AI40" s="193">
        <f t="shared" si="40"/>
        <v>3.5999999999999997E-2</v>
      </c>
      <c r="AJ40" s="154">
        <f t="shared" si="41"/>
        <v>0</v>
      </c>
      <c r="AK40" s="154">
        <f t="shared" si="42"/>
        <v>1.5</v>
      </c>
      <c r="AL40" s="193">
        <f>1333*J39*POWER(10,-6)*10</f>
        <v>1.1996999999999999E-4</v>
      </c>
      <c r="AM40" s="192">
        <f t="shared" si="32"/>
        <v>1.89611997</v>
      </c>
      <c r="AN40" s="154">
        <f t="shared" si="33"/>
        <v>7.5791047500000007E-9</v>
      </c>
      <c r="AO40" s="194">
        <f t="shared" si="34"/>
        <v>1.1978737910475E-4</v>
      </c>
    </row>
    <row r="41" spans="1:41">
      <c r="A41" s="91" t="s">
        <v>118</v>
      </c>
      <c r="B41" s="97" t="s">
        <v>56</v>
      </c>
      <c r="C41" s="98" t="s">
        <v>216</v>
      </c>
      <c r="D41" s="99" t="s">
        <v>217</v>
      </c>
      <c r="E41" s="100">
        <v>1E-4</v>
      </c>
      <c r="F41" s="97">
        <v>7</v>
      </c>
      <c r="G41" s="97">
        <v>0.05</v>
      </c>
      <c r="H41" s="100">
        <f t="shared" si="39"/>
        <v>3.5000000000000004E-5</v>
      </c>
      <c r="I41" s="97">
        <f>I38*0.1</f>
        <v>3.12</v>
      </c>
      <c r="J41" s="126">
        <f>I41</f>
        <v>3.12</v>
      </c>
      <c r="K41" s="126">
        <f>ROUNDUP(I41*20,0)</f>
        <v>63</v>
      </c>
      <c r="L41" t="str">
        <f t="shared" si="0"/>
        <v>С46</v>
      </c>
      <c r="M41" t="str">
        <f t="shared" si="1"/>
        <v>Емкость Е-1</v>
      </c>
      <c r="N41" t="str">
        <f t="shared" si="2"/>
        <v>Частичное-пожар</v>
      </c>
      <c r="O41">
        <v>13</v>
      </c>
      <c r="P41">
        <v>17</v>
      </c>
      <c r="Q41">
        <v>24</v>
      </c>
      <c r="R41">
        <v>44</v>
      </c>
      <c r="S41" t="s">
        <v>209</v>
      </c>
      <c r="T41" t="s">
        <v>209</v>
      </c>
      <c r="U41" t="s">
        <v>209</v>
      </c>
      <c r="V41" t="s">
        <v>209</v>
      </c>
      <c r="W41" t="s">
        <v>209</v>
      </c>
      <c r="X41" t="s">
        <v>209</v>
      </c>
      <c r="Y41" t="s">
        <v>209</v>
      </c>
      <c r="Z41" t="s">
        <v>209</v>
      </c>
      <c r="AA41" s="154">
        <v>0</v>
      </c>
      <c r="AB41" s="154">
        <v>1</v>
      </c>
      <c r="AC41" s="154">
        <f>0.1*AC40</f>
        <v>3.5999999999999997E-2</v>
      </c>
      <c r="AD41" s="154">
        <v>1.4999999999999999E-2</v>
      </c>
      <c r="AE41" s="154">
        <v>5</v>
      </c>
      <c r="AF41" s="154"/>
      <c r="AG41" s="154"/>
      <c r="AH41" s="192">
        <f>AD41*I41+AC41</f>
        <v>8.2799999999999999E-2</v>
      </c>
      <c r="AI41" s="193">
        <f>AH41*0.1</f>
        <v>8.2800000000000009E-3</v>
      </c>
      <c r="AJ41" s="154">
        <f>AA41*1.72+115*0.012*AB41</f>
        <v>1.3800000000000001</v>
      </c>
      <c r="AK41" s="154">
        <f>AE41*0.1</f>
        <v>0.5</v>
      </c>
      <c r="AL41" s="193">
        <f>10068.2*J41*POWER(10,-6)</f>
        <v>3.1412783999999999E-2</v>
      </c>
      <c r="AM41" s="192">
        <f t="shared" si="32"/>
        <v>2.0024927840000002</v>
      </c>
      <c r="AN41" s="154">
        <f t="shared" si="33"/>
        <v>1.0994474400000002E-6</v>
      </c>
      <c r="AO41" s="194">
        <f t="shared" si="34"/>
        <v>7.0087247440000017E-5</v>
      </c>
    </row>
    <row r="42" spans="1:41">
      <c r="A42" s="91" t="s">
        <v>119</v>
      </c>
      <c r="B42" s="97" t="s">
        <v>56</v>
      </c>
      <c r="C42" s="98" t="s">
        <v>264</v>
      </c>
      <c r="D42" s="99" t="s">
        <v>179</v>
      </c>
      <c r="E42" s="100">
        <v>1E-4</v>
      </c>
      <c r="F42" s="97">
        <v>7</v>
      </c>
      <c r="G42" s="97">
        <v>4.7500000000000001E-2</v>
      </c>
      <c r="H42" s="100">
        <f t="shared" si="39"/>
        <v>3.3250000000000002E-5</v>
      </c>
      <c r="I42" s="97">
        <f>0.1*I38</f>
        <v>3.12</v>
      </c>
      <c r="J42" s="126">
        <f>K42</f>
        <v>2.2679999999999999E-2</v>
      </c>
      <c r="K42" s="126">
        <f>POWER(10,-6)*SQRT(100)*10*3600*K41/1000</f>
        <v>2.2679999999999999E-2</v>
      </c>
      <c r="L42" t="str">
        <f t="shared" si="0"/>
        <v>С47</v>
      </c>
      <c r="M42" t="str">
        <f t="shared" si="1"/>
        <v>Емкость Е-1</v>
      </c>
      <c r="N42" t="str">
        <f t="shared" si="2"/>
        <v>Частичное-вспышка</v>
      </c>
      <c r="O42" t="s">
        <v>209</v>
      </c>
      <c r="P42" t="s">
        <v>209</v>
      </c>
      <c r="Q42" t="s">
        <v>209</v>
      </c>
      <c r="R42" t="s">
        <v>209</v>
      </c>
      <c r="S42" t="s">
        <v>209</v>
      </c>
      <c r="T42" t="s">
        <v>209</v>
      </c>
      <c r="U42" t="s">
        <v>209</v>
      </c>
      <c r="V42" t="s">
        <v>209</v>
      </c>
      <c r="W42" t="s">
        <v>209</v>
      </c>
      <c r="X42" t="s">
        <v>209</v>
      </c>
      <c r="Y42">
        <v>9</v>
      </c>
      <c r="Z42">
        <v>10</v>
      </c>
      <c r="AA42" s="154">
        <v>0</v>
      </c>
      <c r="AB42" s="154">
        <v>1</v>
      </c>
      <c r="AC42" s="154">
        <f>0.1*AC40</f>
        <v>3.5999999999999997E-2</v>
      </c>
      <c r="AD42" s="154">
        <v>1.4999999999999999E-2</v>
      </c>
      <c r="AE42" s="154">
        <v>5</v>
      </c>
      <c r="AF42" s="154"/>
      <c r="AG42" s="154"/>
      <c r="AH42" s="192">
        <f>AD42*I42+AC42</f>
        <v>8.2799999999999999E-2</v>
      </c>
      <c r="AI42" s="193">
        <f>AH42*0.1</f>
        <v>8.2800000000000009E-3</v>
      </c>
      <c r="AJ42" s="154">
        <f>AA42*1.72+115*0.012*AB42</f>
        <v>1.3800000000000001</v>
      </c>
      <c r="AK42" s="154">
        <f>AE42*0.1</f>
        <v>0.5</v>
      </c>
      <c r="AL42" s="193">
        <f>10068.2*J42*POWER(10,-6)</f>
        <v>2.28346776E-4</v>
      </c>
      <c r="AM42" s="192">
        <f t="shared" si="32"/>
        <v>1.9713083467760002</v>
      </c>
      <c r="AN42" s="154">
        <f t="shared" si="33"/>
        <v>7.592530302E-9</v>
      </c>
      <c r="AO42" s="194">
        <f t="shared" si="34"/>
        <v>6.5546002530302017E-5</v>
      </c>
    </row>
    <row r="43" spans="1:41">
      <c r="A43" s="91" t="s">
        <v>120</v>
      </c>
      <c r="B43" s="97" t="s">
        <v>56</v>
      </c>
      <c r="C43" s="98" t="s">
        <v>265</v>
      </c>
      <c r="D43" s="99" t="s">
        <v>177</v>
      </c>
      <c r="E43" s="100">
        <v>1E-4</v>
      </c>
      <c r="F43" s="97">
        <v>7</v>
      </c>
      <c r="G43" s="97">
        <v>0.90249999999999997</v>
      </c>
      <c r="H43" s="100">
        <f t="shared" si="39"/>
        <v>6.3174999999999993E-4</v>
      </c>
      <c r="I43" s="97">
        <f>0.1*I38</f>
        <v>3.12</v>
      </c>
      <c r="J43" s="126">
        <v>0</v>
      </c>
      <c r="K43" s="126">
        <v>0</v>
      </c>
      <c r="L43" t="str">
        <f t="shared" si="0"/>
        <v>С48</v>
      </c>
      <c r="M43" t="str">
        <f t="shared" si="1"/>
        <v>Емкость Е-1</v>
      </c>
      <c r="N43" t="str">
        <f t="shared" si="2"/>
        <v>Частичное-ликвидация</v>
      </c>
      <c r="O43" t="s">
        <v>209</v>
      </c>
      <c r="P43" t="s">
        <v>209</v>
      </c>
      <c r="Q43" t="s">
        <v>209</v>
      </c>
      <c r="R43" t="s">
        <v>209</v>
      </c>
      <c r="S43" t="s">
        <v>209</v>
      </c>
      <c r="T43" t="s">
        <v>209</v>
      </c>
      <c r="U43" t="s">
        <v>209</v>
      </c>
      <c r="V43" t="s">
        <v>209</v>
      </c>
      <c r="W43" t="s">
        <v>209</v>
      </c>
      <c r="X43" t="s">
        <v>209</v>
      </c>
      <c r="Y43" t="s">
        <v>209</v>
      </c>
      <c r="Z43" t="s">
        <v>209</v>
      </c>
      <c r="AA43" s="154">
        <v>0</v>
      </c>
      <c r="AB43" s="154">
        <v>0</v>
      </c>
      <c r="AC43" s="154">
        <f>0.1*AC40</f>
        <v>3.5999999999999997E-2</v>
      </c>
      <c r="AD43" s="154">
        <v>1.4999999999999999E-2</v>
      </c>
      <c r="AE43" s="154">
        <v>5</v>
      </c>
      <c r="AF43" s="154"/>
      <c r="AG43" s="154"/>
      <c r="AH43" s="192">
        <f>AD43*I43+AC43</f>
        <v>8.2799999999999999E-2</v>
      </c>
      <c r="AI43" s="193">
        <f>AH43*0.1</f>
        <v>8.2800000000000009E-3</v>
      </c>
      <c r="AJ43" s="154">
        <f>AA43*1.72+115*0.012*AB43</f>
        <v>0</v>
      </c>
      <c r="AK43" s="154">
        <f>AE43*0.1</f>
        <v>0.5</v>
      </c>
      <c r="AL43" s="193">
        <f>1333*J42*POWER(10,-6)</f>
        <v>3.0232439999999995E-5</v>
      </c>
      <c r="AM43" s="192">
        <f t="shared" si="32"/>
        <v>0.59111023243999994</v>
      </c>
      <c r="AN43" s="154">
        <f t="shared" si="33"/>
        <v>1.9099343969999994E-8</v>
      </c>
      <c r="AO43" s="194">
        <f t="shared" si="34"/>
        <v>3.7343388934396994E-4</v>
      </c>
    </row>
    <row r="44" spans="1:41">
      <c r="A44" s="91" t="s">
        <v>121</v>
      </c>
      <c r="B44" s="85" t="s">
        <v>271</v>
      </c>
      <c r="C44" s="86" t="s">
        <v>79</v>
      </c>
      <c r="D44" s="87" t="s">
        <v>175</v>
      </c>
      <c r="E44" s="88">
        <v>1.0000000000000001E-5</v>
      </c>
      <c r="F44" s="85">
        <v>2</v>
      </c>
      <c r="G44" s="85">
        <v>0.05</v>
      </c>
      <c r="H44" s="88">
        <f>E44*F44*G44</f>
        <v>1.0000000000000002E-6</v>
      </c>
      <c r="I44" s="179">
        <v>3.93</v>
      </c>
      <c r="J44" s="124">
        <f>I44</f>
        <v>3.93</v>
      </c>
      <c r="K44" s="124">
        <f>K46*20</f>
        <v>80</v>
      </c>
      <c r="L44" t="str">
        <f t="shared" ref="L44:L49" si="43">A44</f>
        <v>С61</v>
      </c>
      <c r="M44" t="str">
        <f t="shared" ref="M44:M49" si="44">B44</f>
        <v>Емкость Е-24</v>
      </c>
      <c r="N44" t="str">
        <f t="shared" ref="N44:N49" si="45">D44</f>
        <v>Полное-пожар</v>
      </c>
      <c r="O44">
        <v>14</v>
      </c>
      <c r="P44">
        <v>18</v>
      </c>
      <c r="Q44">
        <v>25</v>
      </c>
      <c r="R44">
        <v>46</v>
      </c>
      <c r="S44" t="s">
        <v>209</v>
      </c>
      <c r="T44" t="s">
        <v>209</v>
      </c>
      <c r="U44" t="s">
        <v>209</v>
      </c>
      <c r="V44" t="s">
        <v>209</v>
      </c>
      <c r="W44" t="s">
        <v>209</v>
      </c>
      <c r="X44" t="s">
        <v>209</v>
      </c>
      <c r="Y44" t="s">
        <v>209</v>
      </c>
      <c r="Z44" t="s">
        <v>209</v>
      </c>
      <c r="AA44" s="9">
        <v>1</v>
      </c>
      <c r="AB44" s="9">
        <v>1</v>
      </c>
      <c r="AC44" s="9">
        <v>0.15</v>
      </c>
      <c r="AD44" s="9">
        <v>1.4999999999999999E-2</v>
      </c>
      <c r="AE44" s="9">
        <v>15</v>
      </c>
      <c r="AF44" s="9"/>
      <c r="AG44" s="9"/>
      <c r="AH44" s="29">
        <f>AD44*I44+AC44</f>
        <v>0.20895</v>
      </c>
      <c r="AI44" s="195">
        <f>AH44*0.1</f>
        <v>2.0895E-2</v>
      </c>
      <c r="AJ44" s="9">
        <f>AA44*1.72+115*0.012*AB44</f>
        <v>3.1</v>
      </c>
      <c r="AK44" s="9">
        <f>AE44*0.1</f>
        <v>1.5</v>
      </c>
      <c r="AL44" s="195">
        <f>10068.2*J44*POWER(10,-6)</f>
        <v>3.9568026000000006E-2</v>
      </c>
      <c r="AM44" s="29">
        <f t="shared" ref="AM44:AM49" si="46">AL44+AK44+AJ44+AI44+AH44</f>
        <v>4.8694130260000001</v>
      </c>
      <c r="AN44" s="9">
        <f t="shared" ref="AN44:AN49" si="47">AL44*H44</f>
        <v>3.9568026000000016E-8</v>
      </c>
      <c r="AO44" s="196">
        <f t="shared" ref="AO44:AO49" si="48">H44*AM44</f>
        <v>4.8694130260000008E-6</v>
      </c>
    </row>
    <row r="45" spans="1:41">
      <c r="A45" s="91" t="s">
        <v>122</v>
      </c>
      <c r="B45" s="85" t="s">
        <v>271</v>
      </c>
      <c r="C45" s="86" t="s">
        <v>262</v>
      </c>
      <c r="D45" s="87" t="s">
        <v>178</v>
      </c>
      <c r="E45" s="88">
        <v>1.0000000000000001E-5</v>
      </c>
      <c r="F45" s="85">
        <v>2</v>
      </c>
      <c r="G45" s="85">
        <v>4.7500000000000001E-2</v>
      </c>
      <c r="H45" s="88">
        <f t="shared" ref="H45:H49" si="49">E45*F45*G45</f>
        <v>9.5000000000000012E-7</v>
      </c>
      <c r="I45" s="179">
        <f>I44</f>
        <v>3.93</v>
      </c>
      <c r="J45" s="124">
        <f>0.1*K45</f>
        <v>2.8799999999999997E-3</v>
      </c>
      <c r="K45" s="124">
        <f>POWER(10,-6)*SQRT(100)*10*3600*K44/1000</f>
        <v>2.8799999999999996E-2</v>
      </c>
      <c r="L45" t="str">
        <f t="shared" si="43"/>
        <v>С62</v>
      </c>
      <c r="M45" t="str">
        <f t="shared" si="44"/>
        <v>Емкость Е-24</v>
      </c>
      <c r="N45" t="str">
        <f t="shared" si="45"/>
        <v>Полное-взрыв</v>
      </c>
      <c r="O45" t="s">
        <v>209</v>
      </c>
      <c r="P45" t="s">
        <v>209</v>
      </c>
      <c r="Q45" t="s">
        <v>209</v>
      </c>
      <c r="R45" t="s">
        <v>209</v>
      </c>
      <c r="S45">
        <v>6</v>
      </c>
      <c r="T45">
        <v>13</v>
      </c>
      <c r="U45">
        <v>36</v>
      </c>
      <c r="V45">
        <v>62</v>
      </c>
      <c r="W45" t="s">
        <v>209</v>
      </c>
      <c r="X45" t="s">
        <v>209</v>
      </c>
      <c r="Y45" t="s">
        <v>209</v>
      </c>
      <c r="Z45" t="s">
        <v>209</v>
      </c>
      <c r="AA45" s="9">
        <v>1</v>
      </c>
      <c r="AB45" s="9">
        <v>1</v>
      </c>
      <c r="AC45" s="9">
        <v>0.15</v>
      </c>
      <c r="AD45" s="9">
        <v>1.4999999999999999E-2</v>
      </c>
      <c r="AE45" s="9">
        <v>15</v>
      </c>
      <c r="AF45" s="9"/>
      <c r="AG45" s="9"/>
      <c r="AH45" s="29">
        <f>AD45*I45+AC45</f>
        <v>0.20895</v>
      </c>
      <c r="AI45" s="195">
        <f t="shared" ref="AI45:AI46" si="50">AH45*0.1</f>
        <v>2.0895E-2</v>
      </c>
      <c r="AJ45" s="9">
        <f t="shared" ref="AJ45:AJ46" si="51">AA45*1.72+115*0.012*AB45</f>
        <v>3.1</v>
      </c>
      <c r="AK45" s="9">
        <f t="shared" ref="AK45:AK46" si="52">AE45*0.1</f>
        <v>1.5</v>
      </c>
      <c r="AL45" s="195">
        <f>10068.2*J45*POWER(10,-6)*10</f>
        <v>2.8996415999999999E-4</v>
      </c>
      <c r="AM45" s="29">
        <f t="shared" si="46"/>
        <v>4.83013496416</v>
      </c>
      <c r="AN45" s="9">
        <f t="shared" si="47"/>
        <v>2.7546595200000002E-10</v>
      </c>
      <c r="AO45" s="196">
        <f t="shared" si="48"/>
        <v>4.5886282159520006E-6</v>
      </c>
    </row>
    <row r="46" spans="1:41">
      <c r="A46" s="91" t="s">
        <v>123</v>
      </c>
      <c r="B46" s="85" t="s">
        <v>271</v>
      </c>
      <c r="C46" s="86" t="s">
        <v>263</v>
      </c>
      <c r="D46" s="87" t="s">
        <v>176</v>
      </c>
      <c r="E46" s="88">
        <v>1.0000000000000001E-5</v>
      </c>
      <c r="F46" s="85">
        <v>2</v>
      </c>
      <c r="G46" s="85">
        <v>0.90249999999999997</v>
      </c>
      <c r="H46" s="88">
        <f t="shared" si="49"/>
        <v>1.8050000000000002E-5</v>
      </c>
      <c r="I46" s="179">
        <f>I45</f>
        <v>3.93</v>
      </c>
      <c r="J46" s="124">
        <v>0</v>
      </c>
      <c r="K46" s="124">
        <v>4</v>
      </c>
      <c r="L46" t="str">
        <f t="shared" si="43"/>
        <v>С63</v>
      </c>
      <c r="M46" t="str">
        <f t="shared" si="44"/>
        <v>Емкость Е-24</v>
      </c>
      <c r="N46" t="str">
        <f t="shared" si="45"/>
        <v>Полное-ликвидация</v>
      </c>
      <c r="O46" t="s">
        <v>209</v>
      </c>
      <c r="P46" t="s">
        <v>209</v>
      </c>
      <c r="Q46" t="s">
        <v>209</v>
      </c>
      <c r="R46" t="s">
        <v>209</v>
      </c>
      <c r="S46" t="s">
        <v>209</v>
      </c>
      <c r="T46" t="s">
        <v>209</v>
      </c>
      <c r="U46" t="s">
        <v>209</v>
      </c>
      <c r="V46" t="s">
        <v>209</v>
      </c>
      <c r="W46" t="s">
        <v>209</v>
      </c>
      <c r="X46" t="s">
        <v>209</v>
      </c>
      <c r="Y46" t="s">
        <v>209</v>
      </c>
      <c r="Z46" t="s">
        <v>209</v>
      </c>
      <c r="AA46" s="9">
        <v>0</v>
      </c>
      <c r="AB46" s="9">
        <v>0</v>
      </c>
      <c r="AC46" s="9">
        <v>0.15</v>
      </c>
      <c r="AD46" s="9">
        <v>1.4999999999999999E-2</v>
      </c>
      <c r="AE46" s="9">
        <v>15</v>
      </c>
      <c r="AF46" s="9"/>
      <c r="AG46" s="9"/>
      <c r="AH46" s="29">
        <f>AD46*J46+AC46</f>
        <v>0.15</v>
      </c>
      <c r="AI46" s="195">
        <f t="shared" si="50"/>
        <v>1.4999999999999999E-2</v>
      </c>
      <c r="AJ46" s="9">
        <f t="shared" si="51"/>
        <v>0</v>
      </c>
      <c r="AK46" s="9">
        <f t="shared" si="52"/>
        <v>1.5</v>
      </c>
      <c r="AL46" s="195">
        <f>1333*J45*POWER(10,-6)*10</f>
        <v>3.8390399999999991E-5</v>
      </c>
      <c r="AM46" s="29">
        <f t="shared" si="46"/>
        <v>1.6650383903999999</v>
      </c>
      <c r="AN46" s="9">
        <f t="shared" si="47"/>
        <v>6.9294671999999994E-10</v>
      </c>
      <c r="AO46" s="196">
        <f t="shared" si="48"/>
        <v>3.0053942946720003E-5</v>
      </c>
    </row>
    <row r="47" spans="1:41">
      <c r="A47" s="91" t="s">
        <v>124</v>
      </c>
      <c r="B47" s="85" t="s">
        <v>271</v>
      </c>
      <c r="C47" s="86" t="s">
        <v>216</v>
      </c>
      <c r="D47" s="87" t="s">
        <v>217</v>
      </c>
      <c r="E47" s="88">
        <v>1E-4</v>
      </c>
      <c r="F47" s="85">
        <v>2</v>
      </c>
      <c r="G47" s="85">
        <v>0.05</v>
      </c>
      <c r="H47" s="88">
        <f t="shared" si="49"/>
        <v>1.0000000000000001E-5</v>
      </c>
      <c r="I47" s="179">
        <f>I44*0.1</f>
        <v>0.39300000000000002</v>
      </c>
      <c r="J47" s="124">
        <f>I47</f>
        <v>0.39300000000000002</v>
      </c>
      <c r="K47" s="124">
        <f>ROUNDUP(I47*20,0)</f>
        <v>8</v>
      </c>
      <c r="L47" t="str">
        <f t="shared" si="43"/>
        <v>С64</v>
      </c>
      <c r="M47" t="str">
        <f t="shared" si="44"/>
        <v>Емкость Е-24</v>
      </c>
      <c r="N47" t="str">
        <f t="shared" si="45"/>
        <v>Частичное-пожар</v>
      </c>
      <c r="O47">
        <v>10</v>
      </c>
      <c r="P47">
        <v>12</v>
      </c>
      <c r="Q47">
        <v>15</v>
      </c>
      <c r="R47">
        <v>25</v>
      </c>
      <c r="S47" t="s">
        <v>209</v>
      </c>
      <c r="T47" t="s">
        <v>209</v>
      </c>
      <c r="U47" t="s">
        <v>209</v>
      </c>
      <c r="V47" t="s">
        <v>209</v>
      </c>
      <c r="W47" t="s">
        <v>209</v>
      </c>
      <c r="X47" t="s">
        <v>209</v>
      </c>
      <c r="Y47" t="s">
        <v>209</v>
      </c>
      <c r="Z47" t="s">
        <v>209</v>
      </c>
      <c r="AA47" s="9">
        <v>0</v>
      </c>
      <c r="AB47" s="9">
        <v>1</v>
      </c>
      <c r="AC47" s="9">
        <f>0.1*AC46</f>
        <v>1.4999999999999999E-2</v>
      </c>
      <c r="AD47" s="9">
        <v>1.4999999999999999E-2</v>
      </c>
      <c r="AE47" s="9">
        <v>5</v>
      </c>
      <c r="AF47" s="9"/>
      <c r="AG47" s="9"/>
      <c r="AH47" s="29">
        <f>AD47*I47+AC47</f>
        <v>2.0895E-2</v>
      </c>
      <c r="AI47" s="195">
        <f>AH47*0.1</f>
        <v>2.0895000000000002E-3</v>
      </c>
      <c r="AJ47" s="9">
        <f>AA47*1.72+115*0.012*AB47</f>
        <v>1.3800000000000001</v>
      </c>
      <c r="AK47" s="9">
        <f>AE47*0.1</f>
        <v>0.5</v>
      </c>
      <c r="AL47" s="195">
        <f>10068.2*J47*POWER(10,-6)</f>
        <v>3.9568025999999999E-3</v>
      </c>
      <c r="AM47" s="29">
        <f t="shared" si="46"/>
        <v>1.9069413026000004</v>
      </c>
      <c r="AN47" s="9">
        <f t="shared" si="47"/>
        <v>3.9568026000000002E-8</v>
      </c>
      <c r="AO47" s="196">
        <f t="shared" si="48"/>
        <v>1.9069413026000005E-5</v>
      </c>
    </row>
    <row r="48" spans="1:41">
      <c r="A48" s="91" t="s">
        <v>125</v>
      </c>
      <c r="B48" s="85" t="s">
        <v>271</v>
      </c>
      <c r="C48" s="86" t="s">
        <v>264</v>
      </c>
      <c r="D48" s="87" t="s">
        <v>179</v>
      </c>
      <c r="E48" s="88">
        <v>1E-4</v>
      </c>
      <c r="F48" s="85">
        <v>2</v>
      </c>
      <c r="G48" s="85">
        <v>4.7500000000000001E-2</v>
      </c>
      <c r="H48" s="88">
        <f t="shared" si="49"/>
        <v>9.5000000000000005E-6</v>
      </c>
      <c r="I48" s="179">
        <f>0.1*I44</f>
        <v>0.39300000000000002</v>
      </c>
      <c r="J48" s="124">
        <f>K48</f>
        <v>2.8799999999999997E-3</v>
      </c>
      <c r="K48" s="124">
        <f>POWER(10,-6)*SQRT(100)*10*3600*K47/1000</f>
        <v>2.8799999999999997E-3</v>
      </c>
      <c r="L48" t="str">
        <f t="shared" si="43"/>
        <v>С65</v>
      </c>
      <c r="M48" t="str">
        <f t="shared" si="44"/>
        <v>Емкость Е-24</v>
      </c>
      <c r="N48" t="str">
        <f t="shared" si="45"/>
        <v>Частичное-вспышка</v>
      </c>
      <c r="O48" t="s">
        <v>209</v>
      </c>
      <c r="P48" t="s">
        <v>209</v>
      </c>
      <c r="Q48" t="s">
        <v>209</v>
      </c>
      <c r="R48" t="s">
        <v>209</v>
      </c>
      <c r="S48" t="s">
        <v>209</v>
      </c>
      <c r="T48" t="s">
        <v>209</v>
      </c>
      <c r="U48" t="s">
        <v>209</v>
      </c>
      <c r="V48" t="s">
        <v>209</v>
      </c>
      <c r="W48" t="s">
        <v>209</v>
      </c>
      <c r="X48" t="s">
        <v>209</v>
      </c>
      <c r="Y48">
        <v>4</v>
      </c>
      <c r="Z48">
        <v>4</v>
      </c>
      <c r="AA48" s="9">
        <v>0</v>
      </c>
      <c r="AB48" s="9">
        <v>1</v>
      </c>
      <c r="AC48" s="9">
        <f>0.1*AC46</f>
        <v>1.4999999999999999E-2</v>
      </c>
      <c r="AD48" s="9">
        <v>1.4999999999999999E-2</v>
      </c>
      <c r="AE48" s="9">
        <v>5</v>
      </c>
      <c r="AF48" s="9"/>
      <c r="AG48" s="9"/>
      <c r="AH48" s="29">
        <f>AD48*I48+AC48</f>
        <v>2.0895E-2</v>
      </c>
      <c r="AI48" s="195">
        <f>AH48*0.1</f>
        <v>2.0895000000000002E-3</v>
      </c>
      <c r="AJ48" s="9">
        <f>AA48*1.72+115*0.012*AB48</f>
        <v>1.3800000000000001</v>
      </c>
      <c r="AK48" s="9">
        <f>AE48*0.1</f>
        <v>0.5</v>
      </c>
      <c r="AL48" s="195">
        <f>10068.2*J48*POWER(10,-6)</f>
        <v>2.8996415999999999E-5</v>
      </c>
      <c r="AM48" s="29">
        <f t="shared" si="46"/>
        <v>1.9030134964160004</v>
      </c>
      <c r="AN48" s="9">
        <f t="shared" si="47"/>
        <v>2.7546595200000002E-10</v>
      </c>
      <c r="AO48" s="196">
        <f t="shared" si="48"/>
        <v>1.8078628215952005E-5</v>
      </c>
    </row>
    <row r="49" spans="1:41">
      <c r="A49" s="91" t="s">
        <v>126</v>
      </c>
      <c r="B49" s="85" t="s">
        <v>271</v>
      </c>
      <c r="C49" s="86" t="s">
        <v>265</v>
      </c>
      <c r="D49" s="87" t="s">
        <v>177</v>
      </c>
      <c r="E49" s="88">
        <v>1E-4</v>
      </c>
      <c r="F49" s="85">
        <v>2</v>
      </c>
      <c r="G49" s="85">
        <v>0.90249999999999997</v>
      </c>
      <c r="H49" s="88">
        <f t="shared" si="49"/>
        <v>1.805E-4</v>
      </c>
      <c r="I49" s="179">
        <f>0.1*I44</f>
        <v>0.39300000000000002</v>
      </c>
      <c r="J49" s="124">
        <v>0</v>
      </c>
      <c r="K49" s="124">
        <v>0</v>
      </c>
      <c r="L49" t="str">
        <f t="shared" si="43"/>
        <v>С66</v>
      </c>
      <c r="M49" t="str">
        <f t="shared" si="44"/>
        <v>Емкость Е-24</v>
      </c>
      <c r="N49" t="str">
        <f t="shared" si="45"/>
        <v>Частичное-ликвидация</v>
      </c>
      <c r="O49" t="s">
        <v>209</v>
      </c>
      <c r="P49" t="s">
        <v>209</v>
      </c>
      <c r="Q49" t="s">
        <v>209</v>
      </c>
      <c r="R49" t="s">
        <v>209</v>
      </c>
      <c r="S49" t="s">
        <v>209</v>
      </c>
      <c r="T49" t="s">
        <v>209</v>
      </c>
      <c r="U49" t="s">
        <v>209</v>
      </c>
      <c r="V49" t="s">
        <v>209</v>
      </c>
      <c r="W49" t="s">
        <v>209</v>
      </c>
      <c r="X49" t="s">
        <v>209</v>
      </c>
      <c r="Y49" t="s">
        <v>209</v>
      </c>
      <c r="Z49" t="s">
        <v>209</v>
      </c>
      <c r="AA49" s="9">
        <v>0</v>
      </c>
      <c r="AB49" s="9">
        <v>0</v>
      </c>
      <c r="AC49" s="9">
        <f>0.1*AC46</f>
        <v>1.4999999999999999E-2</v>
      </c>
      <c r="AD49" s="9">
        <v>1.4999999999999999E-2</v>
      </c>
      <c r="AE49" s="9">
        <v>5</v>
      </c>
      <c r="AF49" s="9"/>
      <c r="AG49" s="9"/>
      <c r="AH49" s="29">
        <f>AD49*I49+AC49</f>
        <v>2.0895E-2</v>
      </c>
      <c r="AI49" s="195">
        <f>AH49*0.1</f>
        <v>2.0895000000000002E-3</v>
      </c>
      <c r="AJ49" s="9">
        <f>AA49*1.72+115*0.012*AB49</f>
        <v>0</v>
      </c>
      <c r="AK49" s="9">
        <f>AE49*0.1</f>
        <v>0.5</v>
      </c>
      <c r="AL49" s="195">
        <f>1333*J48*POWER(10,-6)</f>
        <v>3.8390399999999994E-6</v>
      </c>
      <c r="AM49" s="29">
        <f t="shared" si="46"/>
        <v>0.52298833903999997</v>
      </c>
      <c r="AN49" s="9">
        <f t="shared" si="47"/>
        <v>6.9294671999999983E-10</v>
      </c>
      <c r="AO49" s="196">
        <f t="shared" si="48"/>
        <v>9.4399395196719996E-5</v>
      </c>
    </row>
    <row r="50" spans="1:41">
      <c r="A50" s="91" t="s">
        <v>127</v>
      </c>
      <c r="B50" s="79" t="s">
        <v>272</v>
      </c>
      <c r="C50" s="82" t="s">
        <v>79</v>
      </c>
      <c r="D50" s="80" t="s">
        <v>175</v>
      </c>
      <c r="E50" s="81">
        <v>2.9999999999999999E-7</v>
      </c>
      <c r="F50" s="79">
        <v>358</v>
      </c>
      <c r="G50" s="79">
        <v>0.2</v>
      </c>
      <c r="H50" s="81">
        <f>E50*F50*G50</f>
        <v>2.1480000000000001E-5</v>
      </c>
      <c r="I50" s="79">
        <v>1.1299999999999999</v>
      </c>
      <c r="J50" s="79">
        <f>I50</f>
        <v>1.1299999999999999</v>
      </c>
      <c r="K50" s="79">
        <f>K52*150</f>
        <v>150</v>
      </c>
      <c r="L50" t="str">
        <f t="shared" ref="L50:L55" si="53">A50</f>
        <v>С67</v>
      </c>
      <c r="M50" t="str">
        <f t="shared" ref="M50:M55" si="54">B50</f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50" t="str">
        <f t="shared" ref="N50:N55" si="55">D50</f>
        <v>Полное-пожар</v>
      </c>
      <c r="O50">
        <v>15</v>
      </c>
      <c r="P50">
        <v>21</v>
      </c>
      <c r="Q50">
        <v>29</v>
      </c>
      <c r="R50">
        <v>53</v>
      </c>
      <c r="S50" t="s">
        <v>209</v>
      </c>
      <c r="T50" t="s">
        <v>209</v>
      </c>
      <c r="U50" t="s">
        <v>209</v>
      </c>
      <c r="V50" t="s">
        <v>209</v>
      </c>
      <c r="W50" t="s">
        <v>209</v>
      </c>
      <c r="X50" t="s">
        <v>209</v>
      </c>
      <c r="Y50" t="s">
        <v>209</v>
      </c>
      <c r="Z50" t="s">
        <v>209</v>
      </c>
      <c r="AA50" s="3">
        <v>0</v>
      </c>
      <c r="AB50" s="3">
        <v>1</v>
      </c>
      <c r="AC50" s="3">
        <v>0.12</v>
      </c>
      <c r="AD50" s="3">
        <v>1.4999999999999999E-2</v>
      </c>
      <c r="AE50" s="3">
        <v>15</v>
      </c>
      <c r="AF50" s="3"/>
      <c r="AG50" s="3"/>
      <c r="AH50" s="152">
        <f>AD50*I50+AC50</f>
        <v>0.13694999999999999</v>
      </c>
      <c r="AI50" s="200">
        <f>AH50*0.1</f>
        <v>1.3694999999999999E-2</v>
      </c>
      <c r="AJ50" s="153">
        <f>AA50*1.72+115*0.012*AB50</f>
        <v>1.3800000000000001</v>
      </c>
      <c r="AK50" s="153">
        <f>AE50*0.1</f>
        <v>1.5</v>
      </c>
      <c r="AL50" s="152">
        <f>10068.2*J50*POWER(10,-6)+0.0012*K53</f>
        <v>3.1777065999999993E-2</v>
      </c>
      <c r="AM50" s="153">
        <f t="shared" ref="AM50:AM55" si="56">AL50+AK50+AJ50+AI50+AH50</f>
        <v>3.0624220659999999</v>
      </c>
      <c r="AN50" s="163">
        <f t="shared" ref="AN50:AN55" si="57">AL50*H50</f>
        <v>6.8257137767999993E-7</v>
      </c>
      <c r="AO50" s="163">
        <f t="shared" ref="AO50:AO55" si="58">H50*AM50</f>
        <v>6.5780825977679994E-5</v>
      </c>
    </row>
    <row r="51" spans="1:41">
      <c r="A51" s="91" t="s">
        <v>128</v>
      </c>
      <c r="B51" s="79" t="s">
        <v>272</v>
      </c>
      <c r="C51" s="82" t="s">
        <v>262</v>
      </c>
      <c r="D51" s="80" t="s">
        <v>178</v>
      </c>
      <c r="E51" s="81">
        <v>2.9999999999999999E-7</v>
      </c>
      <c r="F51" s="79">
        <v>358</v>
      </c>
      <c r="G51" s="79">
        <v>4.0000000000000008E-2</v>
      </c>
      <c r="H51" s="81">
        <f t="shared" ref="H51:H55" si="59">E51*F51*G51</f>
        <v>4.2960000000000009E-6</v>
      </c>
      <c r="I51" s="79">
        <f>I50</f>
        <v>1.1299999999999999</v>
      </c>
      <c r="J51" s="79">
        <f>0.1*K51</f>
        <v>5.4000000000000003E-3</v>
      </c>
      <c r="K51" s="82">
        <f>POWER(10,-6)*SQRT(100)*10*3600*K50/1000</f>
        <v>5.3999999999999999E-2</v>
      </c>
      <c r="L51" t="str">
        <f t="shared" si="53"/>
        <v>С68</v>
      </c>
      <c r="M51" t="str">
        <f t="shared" si="54"/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51" t="str">
        <f t="shared" si="55"/>
        <v>Полное-взрыв</v>
      </c>
      <c r="O51" t="s">
        <v>209</v>
      </c>
      <c r="P51" t="s">
        <v>209</v>
      </c>
      <c r="Q51" t="s">
        <v>209</v>
      </c>
      <c r="R51" t="s">
        <v>209</v>
      </c>
      <c r="S51">
        <v>8</v>
      </c>
      <c r="T51">
        <v>16</v>
      </c>
      <c r="U51">
        <v>44</v>
      </c>
      <c r="V51">
        <v>76</v>
      </c>
      <c r="W51" t="s">
        <v>209</v>
      </c>
      <c r="X51" t="s">
        <v>209</v>
      </c>
      <c r="Y51" t="s">
        <v>209</v>
      </c>
      <c r="Z51" t="s">
        <v>209</v>
      </c>
      <c r="AA51" s="3">
        <v>0</v>
      </c>
      <c r="AB51" s="3">
        <v>1</v>
      </c>
      <c r="AC51" s="3">
        <v>0.12</v>
      </c>
      <c r="AD51" s="3">
        <v>1.4999999999999999E-2</v>
      </c>
      <c r="AE51" s="3">
        <v>15</v>
      </c>
      <c r="AF51" s="3"/>
      <c r="AG51" s="3"/>
      <c r="AH51" s="152">
        <f>AD51*I51+AC51</f>
        <v>0.13694999999999999</v>
      </c>
      <c r="AI51" s="200">
        <f t="shared" ref="AI51:AI52" si="60">AH51*0.1</f>
        <v>1.3694999999999999E-2</v>
      </c>
      <c r="AJ51" s="153">
        <f t="shared" ref="AJ51:AJ52" si="61">AA51*1.72+115*0.012*AB51</f>
        <v>1.3800000000000001</v>
      </c>
      <c r="AK51" s="153">
        <f t="shared" ref="AK51:AK52" si="62">AE51*0.1</f>
        <v>1.5</v>
      </c>
      <c r="AL51" s="152">
        <f>10068.2*J51*POWER(10,-6)*10+0.0012*K53</f>
        <v>2.0943682799999998E-2</v>
      </c>
      <c r="AM51" s="153">
        <f t="shared" si="56"/>
        <v>3.0515886828000003</v>
      </c>
      <c r="AN51" s="163">
        <f t="shared" si="57"/>
        <v>8.9974061308800014E-8</v>
      </c>
      <c r="AO51" s="163">
        <f t="shared" si="58"/>
        <v>1.3109624981308804E-5</v>
      </c>
    </row>
    <row r="52" spans="1:41">
      <c r="A52" s="91" t="s">
        <v>129</v>
      </c>
      <c r="B52" s="79" t="s">
        <v>272</v>
      </c>
      <c r="C52" s="82" t="s">
        <v>263</v>
      </c>
      <c r="D52" s="80" t="s">
        <v>176</v>
      </c>
      <c r="E52" s="81">
        <v>2.9999999999999999E-7</v>
      </c>
      <c r="F52" s="79">
        <v>358</v>
      </c>
      <c r="G52" s="79">
        <v>0.76</v>
      </c>
      <c r="H52" s="81">
        <f t="shared" si="59"/>
        <v>8.1624000000000003E-5</v>
      </c>
      <c r="I52" s="79">
        <f>I51</f>
        <v>1.1299999999999999</v>
      </c>
      <c r="J52" s="79">
        <v>0</v>
      </c>
      <c r="K52" s="82">
        <v>1</v>
      </c>
      <c r="L52" t="str">
        <f t="shared" si="53"/>
        <v>С69</v>
      </c>
      <c r="M52" t="str">
        <f t="shared" si="54"/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52" t="str">
        <f t="shared" si="55"/>
        <v>Полное-ликвидация</v>
      </c>
      <c r="O52" t="s">
        <v>209</v>
      </c>
      <c r="P52" t="s">
        <v>209</v>
      </c>
      <c r="Q52" t="s">
        <v>209</v>
      </c>
      <c r="R52" t="s">
        <v>209</v>
      </c>
      <c r="S52" t="s">
        <v>209</v>
      </c>
      <c r="T52" t="s">
        <v>209</v>
      </c>
      <c r="U52" t="s">
        <v>209</v>
      </c>
      <c r="V52" t="s">
        <v>209</v>
      </c>
      <c r="W52" t="s">
        <v>209</v>
      </c>
      <c r="X52" t="s">
        <v>209</v>
      </c>
      <c r="Y52" t="s">
        <v>209</v>
      </c>
      <c r="Z52" t="s">
        <v>209</v>
      </c>
      <c r="AA52" s="3">
        <v>0</v>
      </c>
      <c r="AB52" s="3">
        <v>0</v>
      </c>
      <c r="AC52" s="3">
        <v>0.12</v>
      </c>
      <c r="AD52" s="3">
        <v>1.4999999999999999E-2</v>
      </c>
      <c r="AE52" s="3">
        <v>15</v>
      </c>
      <c r="AF52" s="3"/>
      <c r="AG52" s="3"/>
      <c r="AH52" s="152">
        <f>AD52*J52+AC52</f>
        <v>0.12</v>
      </c>
      <c r="AI52" s="200">
        <f t="shared" si="60"/>
        <v>1.2E-2</v>
      </c>
      <c r="AJ52" s="153">
        <f t="shared" si="61"/>
        <v>0</v>
      </c>
      <c r="AK52" s="153">
        <f t="shared" si="62"/>
        <v>1.5</v>
      </c>
      <c r="AL52" s="152">
        <f>1333*J51*POWER(10,-6)*10+0.0012*K53</f>
        <v>2.0471982E-2</v>
      </c>
      <c r="AM52" s="153">
        <f t="shared" si="56"/>
        <v>1.6524719820000002</v>
      </c>
      <c r="AN52" s="163">
        <f t="shared" si="57"/>
        <v>1.671005058768E-6</v>
      </c>
      <c r="AO52" s="163">
        <f t="shared" si="58"/>
        <v>1.3488137305876801E-4</v>
      </c>
    </row>
    <row r="53" spans="1:41">
      <c r="A53" s="91" t="s">
        <v>130</v>
      </c>
      <c r="B53" s="79" t="s">
        <v>272</v>
      </c>
      <c r="C53" s="82" t="s">
        <v>216</v>
      </c>
      <c r="D53" s="80" t="s">
        <v>217</v>
      </c>
      <c r="E53" s="81">
        <v>1.9999999999999999E-6</v>
      </c>
      <c r="F53" s="79">
        <v>358</v>
      </c>
      <c r="G53" s="79">
        <v>0.2</v>
      </c>
      <c r="H53" s="81">
        <f t="shared" si="59"/>
        <v>1.4319999999999998E-4</v>
      </c>
      <c r="I53" s="79">
        <f>I50*0.1</f>
        <v>0.11299999999999999</v>
      </c>
      <c r="J53" s="79">
        <f>I53</f>
        <v>0.11299999999999999</v>
      </c>
      <c r="K53" s="82">
        <f>ROUNDUP(I53*150,0)</f>
        <v>17</v>
      </c>
      <c r="L53" t="str">
        <f t="shared" si="53"/>
        <v>С70</v>
      </c>
      <c r="M53" t="str">
        <f t="shared" si="54"/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53" t="str">
        <f t="shared" si="55"/>
        <v>Частичное-пожар</v>
      </c>
      <c r="O53">
        <v>12</v>
      </c>
      <c r="P53">
        <v>15</v>
      </c>
      <c r="Q53">
        <v>19</v>
      </c>
      <c r="R53">
        <v>32</v>
      </c>
      <c r="S53" t="s">
        <v>209</v>
      </c>
      <c r="T53" t="s">
        <v>209</v>
      </c>
      <c r="U53" t="s">
        <v>209</v>
      </c>
      <c r="V53" t="s">
        <v>209</v>
      </c>
      <c r="W53" t="s">
        <v>209</v>
      </c>
      <c r="X53" t="s">
        <v>209</v>
      </c>
      <c r="Y53" t="s">
        <v>209</v>
      </c>
      <c r="Z53" t="s">
        <v>209</v>
      </c>
      <c r="AA53" s="3">
        <v>0</v>
      </c>
      <c r="AB53" s="3">
        <v>1</v>
      </c>
      <c r="AC53" s="3">
        <f>0.1*AC52</f>
        <v>1.2E-2</v>
      </c>
      <c r="AD53" s="3">
        <v>1.4999999999999999E-2</v>
      </c>
      <c r="AE53" s="3">
        <v>5</v>
      </c>
      <c r="AF53" s="3"/>
      <c r="AG53" s="3"/>
      <c r="AH53" s="152">
        <f>AD53*I53+AC53</f>
        <v>1.3695000000000001E-2</v>
      </c>
      <c r="AI53" s="200">
        <f>AH53*0.1</f>
        <v>1.3695000000000001E-3</v>
      </c>
      <c r="AJ53" s="153">
        <f>AA53*1.72+115*0.012*AB53</f>
        <v>1.3800000000000001</v>
      </c>
      <c r="AK53" s="153">
        <f>AE53*0.1</f>
        <v>0.5</v>
      </c>
      <c r="AL53" s="152">
        <f>10068.2*J53*POWER(10,-6)+0.0012*K53</f>
        <v>2.1537706599999998E-2</v>
      </c>
      <c r="AM53" s="153">
        <f t="shared" si="56"/>
        <v>1.9166022066000001</v>
      </c>
      <c r="AN53" s="163">
        <f t="shared" si="57"/>
        <v>3.0841995851199993E-6</v>
      </c>
      <c r="AO53" s="163">
        <f t="shared" si="58"/>
        <v>2.7445743598512E-4</v>
      </c>
    </row>
    <row r="54" spans="1:41">
      <c r="A54" s="91" t="s">
        <v>131</v>
      </c>
      <c r="B54" s="79" t="s">
        <v>272</v>
      </c>
      <c r="C54" s="82" t="s">
        <v>264</v>
      </c>
      <c r="D54" s="80" t="s">
        <v>179</v>
      </c>
      <c r="E54" s="81">
        <v>1.9999999999999999E-6</v>
      </c>
      <c r="F54" s="79">
        <v>358</v>
      </c>
      <c r="G54" s="79">
        <v>4.0000000000000008E-2</v>
      </c>
      <c r="H54" s="81">
        <f t="shared" si="59"/>
        <v>2.8640000000000004E-5</v>
      </c>
      <c r="I54" s="79">
        <f>0.1*I50</f>
        <v>0.11299999999999999</v>
      </c>
      <c r="J54" s="79">
        <f>K54</f>
        <v>6.1200000000000004E-3</v>
      </c>
      <c r="K54" s="82">
        <f>POWER(10,-6)*SQRT(100)*10*3600*K53/1000</f>
        <v>6.1200000000000004E-3</v>
      </c>
      <c r="L54" t="str">
        <f t="shared" si="53"/>
        <v>С71</v>
      </c>
      <c r="M54" t="str">
        <f t="shared" si="54"/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54" t="str">
        <f t="shared" si="55"/>
        <v>Частичное-вспышка</v>
      </c>
      <c r="O54" t="s">
        <v>209</v>
      </c>
      <c r="P54" t="s">
        <v>209</v>
      </c>
      <c r="Q54" t="s">
        <v>209</v>
      </c>
      <c r="R54" t="s">
        <v>209</v>
      </c>
      <c r="S54" t="s">
        <v>209</v>
      </c>
      <c r="T54" t="s">
        <v>209</v>
      </c>
      <c r="U54" t="s">
        <v>209</v>
      </c>
      <c r="V54" t="s">
        <v>209</v>
      </c>
      <c r="W54" t="s">
        <v>209</v>
      </c>
      <c r="X54" t="s">
        <v>209</v>
      </c>
      <c r="Y54">
        <v>6</v>
      </c>
      <c r="Z54">
        <v>7</v>
      </c>
      <c r="AA54" s="3">
        <v>0</v>
      </c>
      <c r="AB54" s="3">
        <v>1</v>
      </c>
      <c r="AC54" s="3">
        <f>0.1*AC52</f>
        <v>1.2E-2</v>
      </c>
      <c r="AD54" s="3">
        <v>1.4999999999999999E-2</v>
      </c>
      <c r="AE54" s="3">
        <v>5</v>
      </c>
      <c r="AF54" s="3"/>
      <c r="AG54" s="3"/>
      <c r="AH54" s="152">
        <f>AD54*I54+AC54</f>
        <v>1.3695000000000001E-2</v>
      </c>
      <c r="AI54" s="200">
        <f>AH54*0.1</f>
        <v>1.3695000000000001E-3</v>
      </c>
      <c r="AJ54" s="153">
        <f>AA54*1.72+115*0.012*AB54</f>
        <v>1.3800000000000001</v>
      </c>
      <c r="AK54" s="153">
        <f>AE54*0.1</f>
        <v>0.5</v>
      </c>
      <c r="AL54" s="152">
        <f>10068.2*J54*POWER(10,-6)+0.0012*K53</f>
        <v>2.0461617383999996E-2</v>
      </c>
      <c r="AM54" s="153">
        <f t="shared" si="56"/>
        <v>1.9155261173840001</v>
      </c>
      <c r="AN54" s="163">
        <f t="shared" si="57"/>
        <v>5.8602072187775999E-7</v>
      </c>
      <c r="AO54" s="163">
        <f t="shared" si="58"/>
        <v>5.4860668001877771E-5</v>
      </c>
    </row>
    <row r="55" spans="1:41">
      <c r="A55" s="91" t="s">
        <v>132</v>
      </c>
      <c r="B55" s="79" t="s">
        <v>272</v>
      </c>
      <c r="C55" s="82" t="s">
        <v>265</v>
      </c>
      <c r="D55" s="80" t="s">
        <v>177</v>
      </c>
      <c r="E55" s="81">
        <v>1.9999999999999999E-6</v>
      </c>
      <c r="F55" s="79">
        <v>358</v>
      </c>
      <c r="G55" s="79">
        <v>0.76</v>
      </c>
      <c r="H55" s="81">
        <f t="shared" si="59"/>
        <v>5.4415999999999991E-4</v>
      </c>
      <c r="I55" s="79">
        <f>0.1*I50</f>
        <v>0.11299999999999999</v>
      </c>
      <c r="J55" s="79">
        <v>0</v>
      </c>
      <c r="K55" s="82">
        <v>0</v>
      </c>
      <c r="L55" t="str">
        <f t="shared" si="53"/>
        <v>С72</v>
      </c>
      <c r="M55" t="str">
        <f t="shared" si="54"/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55" t="str">
        <f t="shared" si="55"/>
        <v>Частичное-ликвидация</v>
      </c>
      <c r="O55" t="s">
        <v>209</v>
      </c>
      <c r="P55" t="s">
        <v>209</v>
      </c>
      <c r="Q55" t="s">
        <v>209</v>
      </c>
      <c r="R55" t="s">
        <v>209</v>
      </c>
      <c r="S55" t="s">
        <v>209</v>
      </c>
      <c r="T55" t="s">
        <v>209</v>
      </c>
      <c r="U55" t="s">
        <v>209</v>
      </c>
      <c r="V55" t="s">
        <v>209</v>
      </c>
      <c r="W55" t="s">
        <v>209</v>
      </c>
      <c r="X55" t="s">
        <v>209</v>
      </c>
      <c r="Y55" t="s">
        <v>209</v>
      </c>
      <c r="Z55" t="s">
        <v>209</v>
      </c>
      <c r="AA55" s="3">
        <v>0</v>
      </c>
      <c r="AB55" s="3">
        <v>0</v>
      </c>
      <c r="AC55" s="3">
        <f>0.1*AC52</f>
        <v>1.2E-2</v>
      </c>
      <c r="AD55" s="3">
        <v>1.4999999999999999E-2</v>
      </c>
      <c r="AE55" s="3">
        <v>5</v>
      </c>
      <c r="AF55" s="3"/>
      <c r="AG55" s="3"/>
      <c r="AH55" s="152">
        <f>AD55*I55+AC55</f>
        <v>1.3695000000000001E-2</v>
      </c>
      <c r="AI55" s="200">
        <f>AH55*0.1</f>
        <v>1.3695000000000001E-3</v>
      </c>
      <c r="AJ55" s="153">
        <f>AA55*1.72+115*0.012*AB55</f>
        <v>0</v>
      </c>
      <c r="AK55" s="153">
        <f>AE55*0.1</f>
        <v>0.5</v>
      </c>
      <c r="AL55" s="152">
        <f>1333*J54*POWER(10,-6)+0.0012*K53</f>
        <v>2.0408157959999999E-2</v>
      </c>
      <c r="AM55" s="153">
        <f t="shared" si="56"/>
        <v>0.53547265795999999</v>
      </c>
      <c r="AN55" s="163">
        <f t="shared" si="57"/>
        <v>1.1105303235513598E-5</v>
      </c>
      <c r="AO55" s="163">
        <f t="shared" si="58"/>
        <v>2.9138280155551356E-4</v>
      </c>
    </row>
    <row r="56" spans="1:41">
      <c r="O56" t="s">
        <v>209</v>
      </c>
      <c r="P56" t="s">
        <v>209</v>
      </c>
      <c r="Q56" t="s">
        <v>209</v>
      </c>
      <c r="R56" t="s">
        <v>209</v>
      </c>
      <c r="S56" t="s">
        <v>209</v>
      </c>
      <c r="T56" t="s">
        <v>209</v>
      </c>
      <c r="U56" t="s">
        <v>209</v>
      </c>
      <c r="V56" t="s">
        <v>209</v>
      </c>
      <c r="W56" t="s">
        <v>209</v>
      </c>
      <c r="X56" t="s">
        <v>209</v>
      </c>
      <c r="Y56" t="s">
        <v>209</v>
      </c>
      <c r="Z56" t="s">
        <v>209</v>
      </c>
    </row>
    <row r="57" spans="1:41">
      <c r="A57" s="91" t="s">
        <v>133</v>
      </c>
      <c r="B57" s="91" t="s">
        <v>273</v>
      </c>
      <c r="C57" s="92" t="s">
        <v>192</v>
      </c>
      <c r="D57" s="93" t="s">
        <v>193</v>
      </c>
      <c r="E57" s="94">
        <v>1.0000000000000001E-5</v>
      </c>
      <c r="F57" s="91">
        <v>15</v>
      </c>
      <c r="G57" s="122">
        <v>1.4999999999999999E-2</v>
      </c>
      <c r="H57" s="94">
        <f>E57*F57*G57</f>
        <v>2.2500000000000001E-6</v>
      </c>
      <c r="I57" s="91">
        <f>K59</f>
        <v>7.5</v>
      </c>
      <c r="J57" s="91">
        <f>I57</f>
        <v>7.5</v>
      </c>
      <c r="K57" s="95">
        <f>K59*20</f>
        <v>150</v>
      </c>
      <c r="L57" t="str">
        <f t="shared" ref="L57:M62" si="63">A57</f>
        <v>С73</v>
      </c>
      <c r="M57" t="str">
        <f t="shared" si="63"/>
        <v>Насос Н-14/1</v>
      </c>
      <c r="N57" t="str">
        <f t="shared" ref="N57:N62" si="64">D57</f>
        <v>Полное-жидкостной факел</v>
      </c>
      <c r="O57" t="s">
        <v>209</v>
      </c>
      <c r="P57" t="s">
        <v>209</v>
      </c>
      <c r="Q57" t="s">
        <v>209</v>
      </c>
      <c r="R57" t="s">
        <v>209</v>
      </c>
      <c r="S57" t="s">
        <v>209</v>
      </c>
      <c r="T57" t="s">
        <v>209</v>
      </c>
      <c r="U57" t="s">
        <v>209</v>
      </c>
      <c r="V57" t="s">
        <v>209</v>
      </c>
      <c r="W57">
        <v>8</v>
      </c>
      <c r="X57">
        <v>2</v>
      </c>
      <c r="Y57" t="s">
        <v>209</v>
      </c>
      <c r="Z57" t="s">
        <v>209</v>
      </c>
      <c r="AA57" s="4">
        <v>0</v>
      </c>
      <c r="AB57" s="4">
        <v>1</v>
      </c>
      <c r="AC57" s="4">
        <v>0.15</v>
      </c>
      <c r="AD57" s="4">
        <v>1.4999999999999999E-2</v>
      </c>
      <c r="AE57" s="4">
        <v>3</v>
      </c>
      <c r="AF57" s="4"/>
      <c r="AG57" s="4"/>
      <c r="AH57" s="160">
        <f>AD57*I57+AC57</f>
        <v>0.26249999999999996</v>
      </c>
      <c r="AI57" s="160">
        <f>AH57*0.1</f>
        <v>2.6249999999999996E-2</v>
      </c>
      <c r="AJ57" s="161">
        <f>AA57*1.72+115*0.012*AB57</f>
        <v>1.3800000000000001</v>
      </c>
      <c r="AK57" s="161">
        <f t="shared" ref="AK57:AK62" si="65">AE57*0.1</f>
        <v>0.30000000000000004</v>
      </c>
      <c r="AL57" s="160">
        <f>10068.2*J57*POWER(10,-6)+0.0012*K60</f>
        <v>0.2555115</v>
      </c>
      <c r="AM57" s="161">
        <f t="shared" ref="AM57:AM74" si="66">AL57+AK57+AJ57+AI57+AH57</f>
        <v>2.2242614999999999</v>
      </c>
      <c r="AN57" s="157">
        <f t="shared" ref="AN57:AN74" si="67">AL57*H57</f>
        <v>5.7490087499999999E-7</v>
      </c>
      <c r="AO57" s="157">
        <f t="shared" ref="AO57:AO74" si="68">H57*AM57</f>
        <v>5.0045883750000002E-6</v>
      </c>
    </row>
    <row r="58" spans="1:41">
      <c r="A58" s="91" t="s">
        <v>134</v>
      </c>
      <c r="B58" s="91" t="s">
        <v>273</v>
      </c>
      <c r="C58" s="92" t="s">
        <v>258</v>
      </c>
      <c r="D58" s="93" t="s">
        <v>178</v>
      </c>
      <c r="E58" s="94">
        <v>1.0000000000000001E-5</v>
      </c>
      <c r="F58" s="91">
        <v>15</v>
      </c>
      <c r="G58" s="122">
        <v>1.4249999999999999E-2</v>
      </c>
      <c r="H58" s="94">
        <f t="shared" ref="H58:H62" si="69">E58*F58*G58</f>
        <v>2.1374999999999999E-6</v>
      </c>
      <c r="I58" s="91">
        <f>I57</f>
        <v>7.5</v>
      </c>
      <c r="J58" s="91">
        <f>0.1*K58</f>
        <v>5.4000000000000003E-3</v>
      </c>
      <c r="K58" s="95">
        <f>POWER(10,-6)*SQRT(100)*10*3600*K57/1000</f>
        <v>5.3999999999999999E-2</v>
      </c>
      <c r="L58" t="str">
        <f t="shared" si="63"/>
        <v>С74</v>
      </c>
      <c r="M58" t="str">
        <f t="shared" si="63"/>
        <v>Насос Н-14/1</v>
      </c>
      <c r="N58" t="str">
        <f t="shared" si="64"/>
        <v>Полное-взрыв</v>
      </c>
      <c r="O58" t="s">
        <v>209</v>
      </c>
      <c r="P58" t="s">
        <v>209</v>
      </c>
      <c r="Q58" t="s">
        <v>209</v>
      </c>
      <c r="R58" t="s">
        <v>209</v>
      </c>
      <c r="S58">
        <v>8</v>
      </c>
      <c r="T58">
        <v>16</v>
      </c>
      <c r="U58">
        <v>44</v>
      </c>
      <c r="V58">
        <v>76</v>
      </c>
      <c r="W58" t="s">
        <v>209</v>
      </c>
      <c r="X58" t="s">
        <v>209</v>
      </c>
      <c r="Y58" t="s">
        <v>209</v>
      </c>
      <c r="Z58" t="s">
        <v>209</v>
      </c>
      <c r="AA58" s="4">
        <v>0</v>
      </c>
      <c r="AB58" s="4">
        <v>1</v>
      </c>
      <c r="AC58" s="4">
        <v>0.15</v>
      </c>
      <c r="AD58" s="4">
        <v>1.4999999999999999E-2</v>
      </c>
      <c r="AE58" s="4">
        <v>3</v>
      </c>
      <c r="AF58" s="4"/>
      <c r="AG58" s="4"/>
      <c r="AH58" s="160">
        <f>AD58*I58+AC58</f>
        <v>0.26249999999999996</v>
      </c>
      <c r="AI58" s="160">
        <f t="shared" ref="AI58:AI62" si="70">AH58*0.1</f>
        <v>2.6249999999999996E-2</v>
      </c>
      <c r="AJ58" s="161">
        <f t="shared" ref="AJ58:AJ62" si="71">AA58*1.72+115*0.012*AB58</f>
        <v>1.3800000000000001</v>
      </c>
      <c r="AK58" s="161">
        <f t="shared" si="65"/>
        <v>0.30000000000000004</v>
      </c>
      <c r="AL58" s="160">
        <f>10068.2*J58*POWER(10,-6)*10+0.0012*K60</f>
        <v>0.18054368279999999</v>
      </c>
      <c r="AM58" s="161">
        <f t="shared" si="66"/>
        <v>2.1492936827999998</v>
      </c>
      <c r="AN58" s="157">
        <f t="shared" si="67"/>
        <v>3.8591212198499996E-7</v>
      </c>
      <c r="AO58" s="157">
        <f t="shared" si="68"/>
        <v>4.5941152469849996E-6</v>
      </c>
    </row>
    <row r="59" spans="1:41">
      <c r="A59" s="91" t="s">
        <v>135</v>
      </c>
      <c r="B59" s="91" t="s">
        <v>273</v>
      </c>
      <c r="C59" s="92" t="s">
        <v>259</v>
      </c>
      <c r="D59" s="93" t="s">
        <v>176</v>
      </c>
      <c r="E59" s="94">
        <v>1.0000000000000001E-5</v>
      </c>
      <c r="F59" s="91">
        <v>15</v>
      </c>
      <c r="G59" s="122">
        <v>0.27074999999999999</v>
      </c>
      <c r="H59" s="94">
        <f t="shared" si="69"/>
        <v>4.0612500000000005E-5</v>
      </c>
      <c r="I59" s="91">
        <f>I58</f>
        <v>7.5</v>
      </c>
      <c r="J59" s="91">
        <v>0</v>
      </c>
      <c r="K59" s="96">
        <f>50*0.15</f>
        <v>7.5</v>
      </c>
      <c r="L59" t="str">
        <f t="shared" si="63"/>
        <v>С75</v>
      </c>
      <c r="M59" t="str">
        <f t="shared" si="63"/>
        <v>Насос Н-14/1</v>
      </c>
      <c r="N59" t="str">
        <f t="shared" si="64"/>
        <v>Полное-ликвидация</v>
      </c>
      <c r="O59" t="s">
        <v>209</v>
      </c>
      <c r="P59" t="s">
        <v>209</v>
      </c>
      <c r="Q59" t="s">
        <v>209</v>
      </c>
      <c r="R59" t="s">
        <v>209</v>
      </c>
      <c r="S59" t="s">
        <v>209</v>
      </c>
      <c r="T59" t="s">
        <v>209</v>
      </c>
      <c r="U59" t="s">
        <v>209</v>
      </c>
      <c r="V59" t="s">
        <v>209</v>
      </c>
      <c r="W59" t="s">
        <v>209</v>
      </c>
      <c r="X59" t="s">
        <v>209</v>
      </c>
      <c r="Y59" t="s">
        <v>209</v>
      </c>
      <c r="Z59" t="s">
        <v>209</v>
      </c>
      <c r="AA59" s="4">
        <v>0</v>
      </c>
      <c r="AB59" s="4">
        <v>0</v>
      </c>
      <c r="AC59" s="4">
        <v>0.15</v>
      </c>
      <c r="AD59" s="4">
        <v>1.4999999999999999E-2</v>
      </c>
      <c r="AE59" s="4">
        <v>3</v>
      </c>
      <c r="AF59" s="4"/>
      <c r="AG59" s="4"/>
      <c r="AH59" s="160">
        <f>AD59*J59+AC59</f>
        <v>0.15</v>
      </c>
      <c r="AI59" s="160">
        <f t="shared" si="70"/>
        <v>1.4999999999999999E-2</v>
      </c>
      <c r="AJ59" s="161">
        <f t="shared" si="71"/>
        <v>0</v>
      </c>
      <c r="AK59" s="161">
        <f t="shared" si="65"/>
        <v>0.30000000000000004</v>
      </c>
      <c r="AL59" s="160">
        <f>1333*J58*POWER(10,-6)*10+0.0012*K60</f>
        <v>0.18007198199999999</v>
      </c>
      <c r="AM59" s="161">
        <f t="shared" si="66"/>
        <v>0.64507198200000004</v>
      </c>
      <c r="AN59" s="157">
        <f t="shared" si="67"/>
        <v>7.3131733689750007E-6</v>
      </c>
      <c r="AO59" s="157">
        <f t="shared" si="68"/>
        <v>2.6197985868975005E-5</v>
      </c>
    </row>
    <row r="60" spans="1:41">
      <c r="A60" s="91" t="s">
        <v>136</v>
      </c>
      <c r="B60" s="91" t="s">
        <v>273</v>
      </c>
      <c r="C60" s="92" t="s">
        <v>194</v>
      </c>
      <c r="D60" s="93" t="s">
        <v>208</v>
      </c>
      <c r="E60" s="94">
        <v>1.0000000000000001E-5</v>
      </c>
      <c r="F60" s="91">
        <v>15</v>
      </c>
      <c r="G60" s="122">
        <v>3.4999999999999996E-2</v>
      </c>
      <c r="H60" s="94">
        <f t="shared" si="69"/>
        <v>5.2499999999999997E-6</v>
      </c>
      <c r="I60" s="91">
        <f>I57</f>
        <v>7.5</v>
      </c>
      <c r="J60" s="91">
        <f>I60</f>
        <v>7.5</v>
      </c>
      <c r="K60" s="96">
        <f>ROUNDUP(I60*20,0)</f>
        <v>150</v>
      </c>
      <c r="L60" t="str">
        <f t="shared" si="63"/>
        <v>С76</v>
      </c>
      <c r="M60" t="str">
        <f t="shared" si="63"/>
        <v>Насос Н-14/1</v>
      </c>
      <c r="N60" t="str">
        <f t="shared" si="64"/>
        <v>Полное пожар</v>
      </c>
      <c r="O60">
        <v>15</v>
      </c>
      <c r="P60">
        <v>21</v>
      </c>
      <c r="Q60">
        <v>29</v>
      </c>
      <c r="R60">
        <v>53</v>
      </c>
      <c r="S60" t="s">
        <v>209</v>
      </c>
      <c r="T60" t="s">
        <v>209</v>
      </c>
      <c r="U60" t="s">
        <v>209</v>
      </c>
      <c r="V60" t="s">
        <v>209</v>
      </c>
      <c r="W60" t="s">
        <v>209</v>
      </c>
      <c r="X60" t="s">
        <v>209</v>
      </c>
      <c r="Y60" t="s">
        <v>209</v>
      </c>
      <c r="Z60" t="s">
        <v>209</v>
      </c>
      <c r="AA60" s="4">
        <v>0</v>
      </c>
      <c r="AB60" s="4">
        <v>1</v>
      </c>
      <c r="AC60" s="4">
        <v>0.15</v>
      </c>
      <c r="AD60" s="4">
        <v>1.4999999999999999E-2</v>
      </c>
      <c r="AE60" s="4">
        <v>3</v>
      </c>
      <c r="AF60" s="4"/>
      <c r="AG60" s="4"/>
      <c r="AH60" s="160">
        <f>AD60*I60+AC60</f>
        <v>0.26249999999999996</v>
      </c>
      <c r="AI60" s="160">
        <f t="shared" si="70"/>
        <v>2.6249999999999996E-2</v>
      </c>
      <c r="AJ60" s="161">
        <f t="shared" si="71"/>
        <v>1.3800000000000001</v>
      </c>
      <c r="AK60" s="161">
        <f t="shared" si="65"/>
        <v>0.30000000000000004</v>
      </c>
      <c r="AL60" s="160">
        <f>10068.2*J60*POWER(10,-6)+0.0012*K60</f>
        <v>0.2555115</v>
      </c>
      <c r="AM60" s="161">
        <f t="shared" si="66"/>
        <v>2.2242614999999999</v>
      </c>
      <c r="AN60" s="157">
        <f t="shared" si="67"/>
        <v>1.3414353749999999E-6</v>
      </c>
      <c r="AO60" s="157">
        <f t="shared" si="68"/>
        <v>1.1677372874999999E-5</v>
      </c>
    </row>
    <row r="61" spans="1:41">
      <c r="A61" s="91" t="s">
        <v>137</v>
      </c>
      <c r="B61" s="91" t="s">
        <v>273</v>
      </c>
      <c r="C61" s="92" t="s">
        <v>260</v>
      </c>
      <c r="D61" s="93" t="s">
        <v>195</v>
      </c>
      <c r="E61" s="94">
        <v>1.0000000000000001E-5</v>
      </c>
      <c r="F61" s="91">
        <v>15</v>
      </c>
      <c r="G61" s="122">
        <v>3.3249999999999995E-2</v>
      </c>
      <c r="H61" s="94">
        <f t="shared" si="69"/>
        <v>4.9875000000000001E-6</v>
      </c>
      <c r="I61" s="91">
        <f t="shared" ref="I61:I62" si="72">I58</f>
        <v>7.5</v>
      </c>
      <c r="J61" s="91">
        <f>K61</f>
        <v>5.3999999999999999E-2</v>
      </c>
      <c r="K61" s="96">
        <f>POWER(10,-6)*SQRT(100)*10*3600*K60/1000</f>
        <v>5.3999999999999999E-2</v>
      </c>
      <c r="L61" t="str">
        <f t="shared" si="63"/>
        <v>С77</v>
      </c>
      <c r="M61" t="str">
        <f t="shared" si="63"/>
        <v>Насос Н-14/1</v>
      </c>
      <c r="N61" t="str">
        <f t="shared" si="64"/>
        <v>Полное-вспышка</v>
      </c>
      <c r="O61" t="s">
        <v>209</v>
      </c>
      <c r="P61" t="s">
        <v>209</v>
      </c>
      <c r="Q61" t="s">
        <v>209</v>
      </c>
      <c r="R61" t="s">
        <v>209</v>
      </c>
      <c r="S61" t="s">
        <v>209</v>
      </c>
      <c r="T61" t="s">
        <v>209</v>
      </c>
      <c r="U61" t="s">
        <v>209</v>
      </c>
      <c r="V61" t="s">
        <v>209</v>
      </c>
      <c r="W61" t="s">
        <v>209</v>
      </c>
      <c r="X61" t="s">
        <v>209</v>
      </c>
      <c r="Y61">
        <v>12</v>
      </c>
      <c r="Z61">
        <v>14</v>
      </c>
      <c r="AA61" s="4">
        <v>0</v>
      </c>
      <c r="AB61" s="4">
        <v>1</v>
      </c>
      <c r="AC61" s="4">
        <v>0.15</v>
      </c>
      <c r="AD61" s="4">
        <v>1.4999999999999999E-2</v>
      </c>
      <c r="AE61" s="4">
        <v>3</v>
      </c>
      <c r="AF61" s="4"/>
      <c r="AG61" s="4"/>
      <c r="AH61" s="160">
        <f>AD61*I61+AC61</f>
        <v>0.26249999999999996</v>
      </c>
      <c r="AI61" s="160">
        <f t="shared" si="70"/>
        <v>2.6249999999999996E-2</v>
      </c>
      <c r="AJ61" s="161">
        <f t="shared" si="71"/>
        <v>1.3800000000000001</v>
      </c>
      <c r="AK61" s="161">
        <f t="shared" si="65"/>
        <v>0.30000000000000004</v>
      </c>
      <c r="AL61" s="160">
        <f>10068.2*J61*POWER(10,-6)+0.0012*K60</f>
        <v>0.18054368279999999</v>
      </c>
      <c r="AM61" s="161">
        <f t="shared" si="66"/>
        <v>2.1492936827999998</v>
      </c>
      <c r="AN61" s="157">
        <f t="shared" si="67"/>
        <v>9.0046161796499996E-7</v>
      </c>
      <c r="AO61" s="157">
        <f t="shared" si="68"/>
        <v>1.0719602242964999E-5</v>
      </c>
    </row>
    <row r="62" spans="1:41">
      <c r="A62" s="91" t="s">
        <v>138</v>
      </c>
      <c r="B62" s="91" t="s">
        <v>273</v>
      </c>
      <c r="C62" s="92" t="s">
        <v>261</v>
      </c>
      <c r="D62" s="93" t="s">
        <v>176</v>
      </c>
      <c r="E62" s="94">
        <v>1.0000000000000001E-5</v>
      </c>
      <c r="F62" s="91">
        <v>15</v>
      </c>
      <c r="G62" s="122">
        <v>0.63174999999999992</v>
      </c>
      <c r="H62" s="94">
        <f t="shared" si="69"/>
        <v>9.4762499999999993E-5</v>
      </c>
      <c r="I62" s="91">
        <f t="shared" si="72"/>
        <v>7.5</v>
      </c>
      <c r="J62" s="91">
        <v>0</v>
      </c>
      <c r="K62" s="95">
        <v>0</v>
      </c>
      <c r="L62" t="str">
        <f t="shared" si="63"/>
        <v>С78</v>
      </c>
      <c r="M62" t="str">
        <f t="shared" si="63"/>
        <v>Насос Н-14/1</v>
      </c>
      <c r="N62" t="str">
        <f t="shared" si="64"/>
        <v>Полное-ликвидация</v>
      </c>
      <c r="O62" t="s">
        <v>209</v>
      </c>
      <c r="P62" t="s">
        <v>209</v>
      </c>
      <c r="Q62" t="s">
        <v>209</v>
      </c>
      <c r="R62" t="s">
        <v>209</v>
      </c>
      <c r="S62" t="s">
        <v>209</v>
      </c>
      <c r="T62" t="s">
        <v>209</v>
      </c>
      <c r="U62" t="s">
        <v>209</v>
      </c>
      <c r="V62" t="s">
        <v>209</v>
      </c>
      <c r="W62" t="s">
        <v>209</v>
      </c>
      <c r="X62" t="s">
        <v>209</v>
      </c>
      <c r="Y62" t="s">
        <v>209</v>
      </c>
      <c r="Z62" t="s">
        <v>209</v>
      </c>
      <c r="AA62" s="4">
        <v>0</v>
      </c>
      <c r="AB62" s="4">
        <v>0</v>
      </c>
      <c r="AC62" s="4">
        <v>0.15</v>
      </c>
      <c r="AD62" s="4">
        <v>1.4999999999999999E-2</v>
      </c>
      <c r="AE62" s="4">
        <v>3</v>
      </c>
      <c r="AF62" s="4"/>
      <c r="AG62" s="4"/>
      <c r="AH62" s="160">
        <f>AD62*J62+AC62</f>
        <v>0.15</v>
      </c>
      <c r="AI62" s="160">
        <f t="shared" si="70"/>
        <v>1.4999999999999999E-2</v>
      </c>
      <c r="AJ62" s="161">
        <f t="shared" si="71"/>
        <v>0</v>
      </c>
      <c r="AK62" s="161">
        <f t="shared" si="65"/>
        <v>0.30000000000000004</v>
      </c>
      <c r="AL62" s="160">
        <f>1333*J61*POWER(10,-6)+0.0012*K60</f>
        <v>0.18007198199999999</v>
      </c>
      <c r="AM62" s="161">
        <f t="shared" si="66"/>
        <v>0.64507198200000004</v>
      </c>
      <c r="AN62" s="157">
        <f t="shared" si="67"/>
        <v>1.7064071194274998E-5</v>
      </c>
      <c r="AO62" s="157">
        <f t="shared" si="68"/>
        <v>6.1128633694274993E-5</v>
      </c>
    </row>
    <row r="63" spans="1:41">
      <c r="A63" s="91" t="s">
        <v>180</v>
      </c>
      <c r="B63" s="85" t="s">
        <v>274</v>
      </c>
      <c r="C63" s="86" t="s">
        <v>192</v>
      </c>
      <c r="D63" s="87" t="s">
        <v>193</v>
      </c>
      <c r="E63" s="88">
        <v>1.0000000000000001E-5</v>
      </c>
      <c r="F63" s="85">
        <v>4</v>
      </c>
      <c r="G63" s="124">
        <v>1.4999999999999999E-2</v>
      </c>
      <c r="H63" s="88">
        <f>E63*F63*G63</f>
        <v>6.0000000000000008E-7</v>
      </c>
      <c r="I63" s="85">
        <f>K65</f>
        <v>5.55</v>
      </c>
      <c r="J63" s="85">
        <f>I63</f>
        <v>5.55</v>
      </c>
      <c r="K63" s="89">
        <f>K65*20</f>
        <v>111</v>
      </c>
      <c r="L63" t="str">
        <f t="shared" ref="L63:L68" si="73">A63</f>
        <v>С79</v>
      </c>
      <c r="M63" t="str">
        <f t="shared" ref="M63:M68" si="74">B63</f>
        <v>Насос Н-14/2</v>
      </c>
      <c r="N63" t="str">
        <f t="shared" ref="N63:N68" si="75">D63</f>
        <v>Полное-жидкостной факел</v>
      </c>
      <c r="O63" t="s">
        <v>209</v>
      </c>
      <c r="P63" t="s">
        <v>209</v>
      </c>
      <c r="Q63" t="s">
        <v>209</v>
      </c>
      <c r="R63" t="s">
        <v>209</v>
      </c>
      <c r="S63" t="s">
        <v>209</v>
      </c>
      <c r="T63" t="s">
        <v>209</v>
      </c>
      <c r="U63" t="s">
        <v>209</v>
      </c>
      <c r="V63" t="s">
        <v>209</v>
      </c>
      <c r="W63">
        <v>7</v>
      </c>
      <c r="X63">
        <v>2</v>
      </c>
      <c r="Y63" t="s">
        <v>209</v>
      </c>
      <c r="Z63" t="s">
        <v>209</v>
      </c>
      <c r="AA63" s="9">
        <v>0</v>
      </c>
      <c r="AB63" s="9">
        <v>1</v>
      </c>
      <c r="AC63" s="9">
        <v>0.17</v>
      </c>
      <c r="AD63" s="9">
        <v>1.4999999999999999E-2</v>
      </c>
      <c r="AE63" s="9">
        <v>3</v>
      </c>
      <c r="AF63" s="9"/>
      <c r="AG63" s="9"/>
      <c r="AH63" s="158">
        <f>AD63*I63+AC63</f>
        <v>0.25324999999999998</v>
      </c>
      <c r="AI63" s="158">
        <f>AH63*0.1</f>
        <v>2.5325E-2</v>
      </c>
      <c r="AJ63" s="159">
        <f>AA63*1.72+115*0.012*AB63</f>
        <v>1.3800000000000001</v>
      </c>
      <c r="AK63" s="159">
        <f t="shared" ref="AK63:AK68" si="76">AE63*0.1</f>
        <v>0.30000000000000004</v>
      </c>
      <c r="AL63" s="158">
        <f>10068.2*J63*POWER(10,-6)+0.0012*K66</f>
        <v>0.18907850999999998</v>
      </c>
      <c r="AM63" s="159">
        <f t="shared" si="66"/>
        <v>2.14765351</v>
      </c>
      <c r="AN63" s="162">
        <f t="shared" si="67"/>
        <v>1.13447106E-7</v>
      </c>
      <c r="AO63" s="162">
        <f t="shared" si="68"/>
        <v>1.2885921060000002E-6</v>
      </c>
    </row>
    <row r="64" spans="1:41">
      <c r="A64" s="91" t="s">
        <v>181</v>
      </c>
      <c r="B64" s="85" t="s">
        <v>274</v>
      </c>
      <c r="C64" s="86" t="s">
        <v>258</v>
      </c>
      <c r="D64" s="87" t="s">
        <v>178</v>
      </c>
      <c r="E64" s="88">
        <v>1.0000000000000001E-5</v>
      </c>
      <c r="F64" s="85">
        <v>4</v>
      </c>
      <c r="G64" s="124">
        <v>1.4249999999999999E-2</v>
      </c>
      <c r="H64" s="88">
        <f t="shared" ref="H64:H68" si="77">E64*F64*G64</f>
        <v>5.7000000000000005E-7</v>
      </c>
      <c r="I64" s="85">
        <f>I63</f>
        <v>5.55</v>
      </c>
      <c r="J64" s="85">
        <f>0.1*K64</f>
        <v>3.9960000000000004E-3</v>
      </c>
      <c r="K64" s="89">
        <f>POWER(10,-6)*SQRT(100)*10*3600*K63/1000</f>
        <v>3.9960000000000002E-2</v>
      </c>
      <c r="L64" t="str">
        <f t="shared" si="73"/>
        <v>С80</v>
      </c>
      <c r="M64" t="str">
        <f t="shared" si="74"/>
        <v>Насос Н-14/2</v>
      </c>
      <c r="N64" t="str">
        <f t="shared" si="75"/>
        <v>Полное-взрыв</v>
      </c>
      <c r="O64" t="s">
        <v>209</v>
      </c>
      <c r="P64" t="s">
        <v>209</v>
      </c>
      <c r="Q64" t="s">
        <v>209</v>
      </c>
      <c r="R64" t="s">
        <v>209</v>
      </c>
      <c r="S64">
        <v>7</v>
      </c>
      <c r="T64">
        <v>14</v>
      </c>
      <c r="U64">
        <v>40</v>
      </c>
      <c r="V64">
        <v>69</v>
      </c>
      <c r="W64" t="s">
        <v>209</v>
      </c>
      <c r="X64" t="s">
        <v>209</v>
      </c>
      <c r="Y64" t="s">
        <v>209</v>
      </c>
      <c r="Z64" t="s">
        <v>209</v>
      </c>
      <c r="AA64" s="9">
        <v>0</v>
      </c>
      <c r="AB64" s="9">
        <v>1</v>
      </c>
      <c r="AC64" s="9">
        <v>0.17</v>
      </c>
      <c r="AD64" s="9">
        <v>1.4999999999999999E-2</v>
      </c>
      <c r="AE64" s="9">
        <v>3</v>
      </c>
      <c r="AF64" s="9"/>
      <c r="AG64" s="9"/>
      <c r="AH64" s="158">
        <f>AD64*I64+AC64</f>
        <v>0.25324999999999998</v>
      </c>
      <c r="AI64" s="158">
        <f t="shared" ref="AI64:AI68" si="78">AH64*0.1</f>
        <v>2.5325E-2</v>
      </c>
      <c r="AJ64" s="159">
        <f t="shared" ref="AJ64:AJ68" si="79">AA64*1.72+115*0.012*AB64</f>
        <v>1.3800000000000001</v>
      </c>
      <c r="AK64" s="159">
        <f t="shared" si="76"/>
        <v>0.30000000000000004</v>
      </c>
      <c r="AL64" s="158">
        <f>10068.2*J64*POWER(10,-6)*10+0.0012*K66</f>
        <v>0.13360232527199997</v>
      </c>
      <c r="AM64" s="159">
        <f t="shared" si="66"/>
        <v>2.092177325272</v>
      </c>
      <c r="AN64" s="162">
        <f t="shared" si="67"/>
        <v>7.6153325405039993E-8</v>
      </c>
      <c r="AO64" s="162">
        <f t="shared" si="68"/>
        <v>1.19254107540504E-6</v>
      </c>
    </row>
    <row r="65" spans="1:41">
      <c r="A65" s="91" t="s">
        <v>182</v>
      </c>
      <c r="B65" s="85" t="s">
        <v>274</v>
      </c>
      <c r="C65" s="86" t="s">
        <v>259</v>
      </c>
      <c r="D65" s="87" t="s">
        <v>176</v>
      </c>
      <c r="E65" s="88">
        <v>1.0000000000000001E-5</v>
      </c>
      <c r="F65" s="85">
        <v>4</v>
      </c>
      <c r="G65" s="124">
        <v>0.27074999999999999</v>
      </c>
      <c r="H65" s="88">
        <f t="shared" si="77"/>
        <v>1.0830000000000001E-5</v>
      </c>
      <c r="I65" s="85">
        <f>I64</f>
        <v>5.55</v>
      </c>
      <c r="J65" s="85">
        <v>0</v>
      </c>
      <c r="K65" s="90">
        <f>37*0.15</f>
        <v>5.55</v>
      </c>
      <c r="L65" t="str">
        <f t="shared" si="73"/>
        <v>С81</v>
      </c>
      <c r="M65" t="str">
        <f t="shared" si="74"/>
        <v>Насос Н-14/2</v>
      </c>
      <c r="N65" t="str">
        <f t="shared" si="75"/>
        <v>Полное-ликвидация</v>
      </c>
      <c r="O65" t="s">
        <v>209</v>
      </c>
      <c r="P65" t="s">
        <v>209</v>
      </c>
      <c r="Q65" t="s">
        <v>209</v>
      </c>
      <c r="R65" t="s">
        <v>209</v>
      </c>
      <c r="S65" t="s">
        <v>209</v>
      </c>
      <c r="T65" t="s">
        <v>209</v>
      </c>
      <c r="U65" t="s">
        <v>209</v>
      </c>
      <c r="V65" t="s">
        <v>209</v>
      </c>
      <c r="W65" t="s">
        <v>209</v>
      </c>
      <c r="X65" t="s">
        <v>209</v>
      </c>
      <c r="Y65" t="s">
        <v>209</v>
      </c>
      <c r="Z65" t="s">
        <v>209</v>
      </c>
      <c r="AA65" s="9">
        <v>0</v>
      </c>
      <c r="AB65" s="9">
        <v>0</v>
      </c>
      <c r="AC65" s="9">
        <v>0.17</v>
      </c>
      <c r="AD65" s="9">
        <v>1.4999999999999999E-2</v>
      </c>
      <c r="AE65" s="9">
        <v>3</v>
      </c>
      <c r="AF65" s="9"/>
      <c r="AG65" s="9"/>
      <c r="AH65" s="158">
        <f>AD65*J65+AC65</f>
        <v>0.17</v>
      </c>
      <c r="AI65" s="158">
        <f t="shared" si="78"/>
        <v>1.7000000000000001E-2</v>
      </c>
      <c r="AJ65" s="159">
        <f t="shared" si="79"/>
        <v>0</v>
      </c>
      <c r="AK65" s="159">
        <f t="shared" si="76"/>
        <v>0.30000000000000004</v>
      </c>
      <c r="AL65" s="158">
        <f>1333*J64*POWER(10,-6)*10+0.0012*K66</f>
        <v>0.13325326667999998</v>
      </c>
      <c r="AM65" s="159">
        <f t="shared" si="66"/>
        <v>0.62025326668000003</v>
      </c>
      <c r="AN65" s="162">
        <f t="shared" si="67"/>
        <v>1.4431328781443999E-6</v>
      </c>
      <c r="AO65" s="162">
        <f t="shared" si="68"/>
        <v>6.7173428781444013E-6</v>
      </c>
    </row>
    <row r="66" spans="1:41">
      <c r="A66" s="91" t="s">
        <v>186</v>
      </c>
      <c r="B66" s="85" t="s">
        <v>274</v>
      </c>
      <c r="C66" s="86" t="s">
        <v>194</v>
      </c>
      <c r="D66" s="87" t="s">
        <v>208</v>
      </c>
      <c r="E66" s="88">
        <v>1.0000000000000001E-5</v>
      </c>
      <c r="F66" s="85">
        <v>4</v>
      </c>
      <c r="G66" s="124">
        <v>3.4999999999999996E-2</v>
      </c>
      <c r="H66" s="88">
        <f t="shared" si="77"/>
        <v>1.3999999999999999E-6</v>
      </c>
      <c r="I66" s="85">
        <f>I63</f>
        <v>5.55</v>
      </c>
      <c r="J66" s="85">
        <f>I66</f>
        <v>5.55</v>
      </c>
      <c r="K66" s="90">
        <f>ROUNDUP(I66*20,0)</f>
        <v>111</v>
      </c>
      <c r="L66" t="str">
        <f t="shared" si="73"/>
        <v>С82</v>
      </c>
      <c r="M66" t="str">
        <f t="shared" si="74"/>
        <v>Насос Н-14/2</v>
      </c>
      <c r="N66" t="str">
        <f t="shared" si="75"/>
        <v>Полное пожар</v>
      </c>
      <c r="O66">
        <v>15</v>
      </c>
      <c r="P66">
        <v>20</v>
      </c>
      <c r="Q66">
        <v>27</v>
      </c>
      <c r="R66">
        <v>50</v>
      </c>
      <c r="S66" t="s">
        <v>209</v>
      </c>
      <c r="T66" t="s">
        <v>209</v>
      </c>
      <c r="U66" t="s">
        <v>209</v>
      </c>
      <c r="V66" t="s">
        <v>209</v>
      </c>
      <c r="W66" t="s">
        <v>209</v>
      </c>
      <c r="X66" t="s">
        <v>209</v>
      </c>
      <c r="Y66" t="s">
        <v>209</v>
      </c>
      <c r="Z66" t="s">
        <v>209</v>
      </c>
      <c r="AA66" s="9">
        <v>0</v>
      </c>
      <c r="AB66" s="9">
        <v>1</v>
      </c>
      <c r="AC66" s="9">
        <v>0.17</v>
      </c>
      <c r="AD66" s="9">
        <v>1.4999999999999999E-2</v>
      </c>
      <c r="AE66" s="9">
        <v>3</v>
      </c>
      <c r="AF66" s="9"/>
      <c r="AG66" s="9"/>
      <c r="AH66" s="158">
        <f>AD66*I66+AC66</f>
        <v>0.25324999999999998</v>
      </c>
      <c r="AI66" s="158">
        <f t="shared" si="78"/>
        <v>2.5325E-2</v>
      </c>
      <c r="AJ66" s="159">
        <f t="shared" si="79"/>
        <v>1.3800000000000001</v>
      </c>
      <c r="AK66" s="159">
        <f t="shared" si="76"/>
        <v>0.30000000000000004</v>
      </c>
      <c r="AL66" s="158">
        <f>10068.2*J66*POWER(10,-6)+0.0012*K66</f>
        <v>0.18907850999999998</v>
      </c>
      <c r="AM66" s="159">
        <f t="shared" si="66"/>
        <v>2.14765351</v>
      </c>
      <c r="AN66" s="162">
        <f t="shared" si="67"/>
        <v>2.6470991399999995E-7</v>
      </c>
      <c r="AO66" s="162">
        <f t="shared" si="68"/>
        <v>3.006714914E-6</v>
      </c>
    </row>
    <row r="67" spans="1:41">
      <c r="A67" s="91" t="s">
        <v>187</v>
      </c>
      <c r="B67" s="85" t="s">
        <v>274</v>
      </c>
      <c r="C67" s="86" t="s">
        <v>260</v>
      </c>
      <c r="D67" s="87" t="s">
        <v>195</v>
      </c>
      <c r="E67" s="88">
        <v>1.0000000000000001E-5</v>
      </c>
      <c r="F67" s="85">
        <v>4</v>
      </c>
      <c r="G67" s="124">
        <v>3.3249999999999995E-2</v>
      </c>
      <c r="H67" s="88">
        <f t="shared" si="77"/>
        <v>1.33E-6</v>
      </c>
      <c r="I67" s="85">
        <f t="shared" ref="I67:I68" si="80">I64</f>
        <v>5.55</v>
      </c>
      <c r="J67" s="85">
        <f>K67</f>
        <v>3.9960000000000002E-2</v>
      </c>
      <c r="K67" s="90">
        <f>POWER(10,-6)*SQRT(100)*10*3600*K66/1000</f>
        <v>3.9960000000000002E-2</v>
      </c>
      <c r="L67" t="str">
        <f t="shared" si="73"/>
        <v>С83</v>
      </c>
      <c r="M67" t="str">
        <f t="shared" si="74"/>
        <v>Насос Н-14/2</v>
      </c>
      <c r="N67" t="str">
        <f t="shared" si="75"/>
        <v>Полное-вспышка</v>
      </c>
      <c r="O67" t="s">
        <v>209</v>
      </c>
      <c r="P67" t="s">
        <v>209</v>
      </c>
      <c r="Q67" t="s">
        <v>209</v>
      </c>
      <c r="R67" t="s">
        <v>209</v>
      </c>
      <c r="S67" t="s">
        <v>209</v>
      </c>
      <c r="T67" t="s">
        <v>209</v>
      </c>
      <c r="U67" t="s">
        <v>209</v>
      </c>
      <c r="V67" t="s">
        <v>209</v>
      </c>
      <c r="W67" t="s">
        <v>209</v>
      </c>
      <c r="X67" t="s">
        <v>209</v>
      </c>
      <c r="Y67">
        <v>11</v>
      </c>
      <c r="Z67">
        <v>13</v>
      </c>
      <c r="AA67" s="9">
        <v>0</v>
      </c>
      <c r="AB67" s="9">
        <v>1</v>
      </c>
      <c r="AC67" s="9">
        <v>0.17</v>
      </c>
      <c r="AD67" s="9">
        <v>1.4999999999999999E-2</v>
      </c>
      <c r="AE67" s="9">
        <v>3</v>
      </c>
      <c r="AF67" s="9"/>
      <c r="AG67" s="9"/>
      <c r="AH67" s="158">
        <f>AD67*I67+AC67</f>
        <v>0.25324999999999998</v>
      </c>
      <c r="AI67" s="158">
        <f t="shared" si="78"/>
        <v>2.5325E-2</v>
      </c>
      <c r="AJ67" s="159">
        <f t="shared" si="79"/>
        <v>1.3800000000000001</v>
      </c>
      <c r="AK67" s="159">
        <f t="shared" si="76"/>
        <v>0.30000000000000004</v>
      </c>
      <c r="AL67" s="158">
        <f>10068.2*J67*POWER(10,-6)+0.0012*K66</f>
        <v>0.13360232527199997</v>
      </c>
      <c r="AM67" s="159">
        <f t="shared" si="66"/>
        <v>2.092177325272</v>
      </c>
      <c r="AN67" s="162">
        <f t="shared" si="67"/>
        <v>1.7769109261175995E-7</v>
      </c>
      <c r="AO67" s="162">
        <f t="shared" si="68"/>
        <v>2.78259584261176E-6</v>
      </c>
    </row>
    <row r="68" spans="1:41">
      <c r="A68" s="91" t="s">
        <v>188</v>
      </c>
      <c r="B68" s="85" t="s">
        <v>274</v>
      </c>
      <c r="C68" s="86" t="s">
        <v>261</v>
      </c>
      <c r="D68" s="87" t="s">
        <v>176</v>
      </c>
      <c r="E68" s="88">
        <v>1.0000000000000001E-5</v>
      </c>
      <c r="F68" s="85">
        <v>4</v>
      </c>
      <c r="G68" s="124">
        <v>0.63174999999999992</v>
      </c>
      <c r="H68" s="88">
        <f t="shared" si="77"/>
        <v>2.527E-5</v>
      </c>
      <c r="I68" s="85">
        <f t="shared" si="80"/>
        <v>5.55</v>
      </c>
      <c r="J68" s="85">
        <v>0</v>
      </c>
      <c r="K68" s="89">
        <v>0</v>
      </c>
      <c r="L68" t="str">
        <f t="shared" si="73"/>
        <v>С84</v>
      </c>
      <c r="M68" t="str">
        <f t="shared" si="74"/>
        <v>Насос Н-14/2</v>
      </c>
      <c r="N68" t="str">
        <f t="shared" si="75"/>
        <v>Полное-ликвидация</v>
      </c>
      <c r="O68" t="s">
        <v>209</v>
      </c>
      <c r="P68" t="s">
        <v>209</v>
      </c>
      <c r="Q68" t="s">
        <v>209</v>
      </c>
      <c r="R68" t="s">
        <v>209</v>
      </c>
      <c r="S68" t="s">
        <v>209</v>
      </c>
      <c r="T68" t="s">
        <v>209</v>
      </c>
      <c r="U68" t="s">
        <v>209</v>
      </c>
      <c r="V68" t="s">
        <v>209</v>
      </c>
      <c r="W68" t="s">
        <v>209</v>
      </c>
      <c r="X68" t="s">
        <v>209</v>
      </c>
      <c r="Y68" t="s">
        <v>209</v>
      </c>
      <c r="Z68" t="s">
        <v>209</v>
      </c>
      <c r="AA68" s="9">
        <v>0</v>
      </c>
      <c r="AB68" s="9">
        <v>0</v>
      </c>
      <c r="AC68" s="9">
        <v>0.17</v>
      </c>
      <c r="AD68" s="9">
        <v>1.4999999999999999E-2</v>
      </c>
      <c r="AE68" s="9">
        <v>3</v>
      </c>
      <c r="AF68" s="9"/>
      <c r="AG68" s="9"/>
      <c r="AH68" s="158">
        <f>AD68*J68+AC68</f>
        <v>0.17</v>
      </c>
      <c r="AI68" s="158">
        <f t="shared" si="78"/>
        <v>1.7000000000000001E-2</v>
      </c>
      <c r="AJ68" s="159">
        <f t="shared" si="79"/>
        <v>0</v>
      </c>
      <c r="AK68" s="159">
        <f t="shared" si="76"/>
        <v>0.30000000000000004</v>
      </c>
      <c r="AL68" s="158">
        <f>1333*J67*POWER(10,-6)+0.0012*K66</f>
        <v>0.13325326667999998</v>
      </c>
      <c r="AM68" s="159">
        <f t="shared" si="66"/>
        <v>0.62025326668000003</v>
      </c>
      <c r="AN68" s="162">
        <f t="shared" si="67"/>
        <v>3.3673100490035997E-6</v>
      </c>
      <c r="AO68" s="162">
        <f t="shared" si="68"/>
        <v>1.5673800049003599E-5</v>
      </c>
    </row>
    <row r="69" spans="1:41">
      <c r="A69" s="91" t="s">
        <v>189</v>
      </c>
      <c r="B69" s="79" t="s">
        <v>275</v>
      </c>
      <c r="C69" s="82" t="s">
        <v>192</v>
      </c>
      <c r="D69" s="80" t="s">
        <v>193</v>
      </c>
      <c r="E69" s="81">
        <v>1.0000000000000001E-5</v>
      </c>
      <c r="F69" s="79">
        <v>12</v>
      </c>
      <c r="G69" s="125">
        <v>1.4999999999999999E-2</v>
      </c>
      <c r="H69" s="81">
        <f>E69*F69*G69</f>
        <v>1.8000000000000001E-6</v>
      </c>
      <c r="I69" s="79">
        <f>K71</f>
        <v>3.75</v>
      </c>
      <c r="J69" s="79">
        <f>I69</f>
        <v>3.75</v>
      </c>
      <c r="K69" s="83">
        <f>K71*20</f>
        <v>75</v>
      </c>
      <c r="L69" t="str">
        <f t="shared" ref="L69:L74" si="81">A69</f>
        <v>С85</v>
      </c>
      <c r="M69" t="str">
        <f t="shared" ref="M69:M74" si="82">B69</f>
        <v>Насос Н-6/1</v>
      </c>
      <c r="N69" t="str">
        <f t="shared" ref="N69:N74" si="83">D69</f>
        <v>Полное-жидкостной факел</v>
      </c>
      <c r="O69" t="s">
        <v>209</v>
      </c>
      <c r="P69" t="s">
        <v>209</v>
      </c>
      <c r="Q69" t="s">
        <v>209</v>
      </c>
      <c r="R69" t="s">
        <v>209</v>
      </c>
      <c r="S69" t="s">
        <v>209</v>
      </c>
      <c r="T69" t="s">
        <v>209</v>
      </c>
      <c r="U69" t="s">
        <v>209</v>
      </c>
      <c r="V69" t="s">
        <v>209</v>
      </c>
      <c r="W69">
        <v>6</v>
      </c>
      <c r="X69">
        <v>1</v>
      </c>
      <c r="Y69" t="s">
        <v>209</v>
      </c>
      <c r="Z69" t="s">
        <v>209</v>
      </c>
      <c r="AA69" s="3">
        <v>0</v>
      </c>
      <c r="AB69" s="3">
        <v>1</v>
      </c>
      <c r="AC69" s="3">
        <v>0.17</v>
      </c>
      <c r="AD69" s="3">
        <v>1.4999999999999999E-2</v>
      </c>
      <c r="AE69" s="3">
        <v>3</v>
      </c>
      <c r="AF69" s="3"/>
      <c r="AG69" s="3"/>
      <c r="AH69" s="152">
        <f>AD69*I69+AC69</f>
        <v>0.22625000000000001</v>
      </c>
      <c r="AI69" s="152">
        <f>AH69*0.1</f>
        <v>2.2625000000000003E-2</v>
      </c>
      <c r="AJ69" s="153">
        <f>AA69*1.72+115*0.012*AB69</f>
        <v>1.3800000000000001</v>
      </c>
      <c r="AK69" s="153">
        <f t="shared" ref="AK69:AK74" si="84">AE69*0.1</f>
        <v>0.30000000000000004</v>
      </c>
      <c r="AL69" s="152">
        <f>10068.2*J69*POWER(10,-6)+0.0012*K72</f>
        <v>0.12775575</v>
      </c>
      <c r="AM69" s="153">
        <f t="shared" si="66"/>
        <v>2.0566307500000001</v>
      </c>
      <c r="AN69" s="163">
        <f t="shared" si="67"/>
        <v>2.2996035000000003E-7</v>
      </c>
      <c r="AO69" s="163">
        <f t="shared" si="68"/>
        <v>3.7019353500000002E-6</v>
      </c>
    </row>
    <row r="70" spans="1:41">
      <c r="A70" s="91" t="s">
        <v>190</v>
      </c>
      <c r="B70" s="79" t="s">
        <v>275</v>
      </c>
      <c r="C70" s="82" t="s">
        <v>258</v>
      </c>
      <c r="D70" s="80" t="s">
        <v>178</v>
      </c>
      <c r="E70" s="81">
        <v>1.0000000000000001E-5</v>
      </c>
      <c r="F70" s="79">
        <v>12</v>
      </c>
      <c r="G70" s="125">
        <v>1.4249999999999999E-2</v>
      </c>
      <c r="H70" s="81">
        <f t="shared" ref="H70:H74" si="85">E70*F70*G70</f>
        <v>1.7100000000000001E-6</v>
      </c>
      <c r="I70" s="79">
        <f>I69</f>
        <v>3.75</v>
      </c>
      <c r="J70" s="79">
        <f>0.1*K70</f>
        <v>2.7000000000000001E-3</v>
      </c>
      <c r="K70" s="83">
        <f>POWER(10,-6)*SQRT(100)*10*3600*K69/1000</f>
        <v>2.7E-2</v>
      </c>
      <c r="L70" t="str">
        <f t="shared" si="81"/>
        <v>С86</v>
      </c>
      <c r="M70" t="str">
        <f t="shared" si="82"/>
        <v>Насос Н-6/1</v>
      </c>
      <c r="N70" t="str">
        <f t="shared" si="83"/>
        <v>Полное-взрыв</v>
      </c>
      <c r="O70" t="s">
        <v>209</v>
      </c>
      <c r="P70" t="s">
        <v>209</v>
      </c>
      <c r="Q70" t="s">
        <v>209</v>
      </c>
      <c r="R70" t="s">
        <v>209</v>
      </c>
      <c r="S70">
        <v>6</v>
      </c>
      <c r="T70">
        <v>12</v>
      </c>
      <c r="U70">
        <v>35</v>
      </c>
      <c r="V70">
        <v>60</v>
      </c>
      <c r="W70" t="s">
        <v>209</v>
      </c>
      <c r="X70" t="s">
        <v>209</v>
      </c>
      <c r="Y70" t="s">
        <v>209</v>
      </c>
      <c r="Z70" t="s">
        <v>209</v>
      </c>
      <c r="AA70" s="3">
        <v>0</v>
      </c>
      <c r="AB70" s="3">
        <v>1</v>
      </c>
      <c r="AC70" s="3">
        <v>0.17</v>
      </c>
      <c r="AD70" s="3">
        <v>1.4999999999999999E-2</v>
      </c>
      <c r="AE70" s="3">
        <v>3</v>
      </c>
      <c r="AF70" s="3"/>
      <c r="AG70" s="3"/>
      <c r="AH70" s="152">
        <f>AD70*I70+AC70</f>
        <v>0.22625000000000001</v>
      </c>
      <c r="AI70" s="152">
        <f t="shared" ref="AI70:AI74" si="86">AH70*0.1</f>
        <v>2.2625000000000003E-2</v>
      </c>
      <c r="AJ70" s="153">
        <f t="shared" ref="AJ70:AJ74" si="87">AA70*1.72+115*0.012*AB70</f>
        <v>1.3800000000000001</v>
      </c>
      <c r="AK70" s="153">
        <f t="shared" si="84"/>
        <v>0.30000000000000004</v>
      </c>
      <c r="AL70" s="152">
        <f>10068.2*J70*POWER(10,-6)*10+0.0012*K72</f>
        <v>9.0271841399999997E-2</v>
      </c>
      <c r="AM70" s="153">
        <f t="shared" si="66"/>
        <v>2.0191468414</v>
      </c>
      <c r="AN70" s="163">
        <f t="shared" si="67"/>
        <v>1.54364848794E-7</v>
      </c>
      <c r="AO70" s="163">
        <f t="shared" si="68"/>
        <v>3.4527410987940004E-6</v>
      </c>
    </row>
    <row r="71" spans="1:41">
      <c r="A71" s="91" t="s">
        <v>191</v>
      </c>
      <c r="B71" s="79" t="s">
        <v>275</v>
      </c>
      <c r="C71" s="82" t="s">
        <v>259</v>
      </c>
      <c r="D71" s="80" t="s">
        <v>176</v>
      </c>
      <c r="E71" s="81">
        <v>1.0000000000000001E-5</v>
      </c>
      <c r="F71" s="79">
        <v>12</v>
      </c>
      <c r="G71" s="125">
        <v>0.27074999999999999</v>
      </c>
      <c r="H71" s="81">
        <f t="shared" si="85"/>
        <v>3.2490000000000002E-5</v>
      </c>
      <c r="I71" s="79">
        <f>I70</f>
        <v>3.75</v>
      </c>
      <c r="J71" s="79">
        <v>0</v>
      </c>
      <c r="K71" s="84">
        <f>25*0.15</f>
        <v>3.75</v>
      </c>
      <c r="L71" t="str">
        <f t="shared" si="81"/>
        <v>С87</v>
      </c>
      <c r="M71" t="str">
        <f t="shared" si="82"/>
        <v>Насос Н-6/1</v>
      </c>
      <c r="N71" t="str">
        <f t="shared" si="83"/>
        <v>Полное-ликвидация</v>
      </c>
      <c r="O71" t="s">
        <v>209</v>
      </c>
      <c r="P71" t="s">
        <v>209</v>
      </c>
      <c r="Q71" t="s">
        <v>209</v>
      </c>
      <c r="R71" t="s">
        <v>209</v>
      </c>
      <c r="S71" t="s">
        <v>209</v>
      </c>
      <c r="T71" t="s">
        <v>209</v>
      </c>
      <c r="U71" t="s">
        <v>209</v>
      </c>
      <c r="V71" t="s">
        <v>209</v>
      </c>
      <c r="W71" t="s">
        <v>209</v>
      </c>
      <c r="X71" t="s">
        <v>209</v>
      </c>
      <c r="Y71" t="s">
        <v>209</v>
      </c>
      <c r="Z71" t="s">
        <v>209</v>
      </c>
      <c r="AA71" s="3">
        <v>0</v>
      </c>
      <c r="AB71" s="3">
        <v>0</v>
      </c>
      <c r="AC71" s="3">
        <v>0.17</v>
      </c>
      <c r="AD71" s="3">
        <v>1.4999999999999999E-2</v>
      </c>
      <c r="AE71" s="3">
        <v>3</v>
      </c>
      <c r="AF71" s="3"/>
      <c r="AG71" s="3"/>
      <c r="AH71" s="152">
        <f>AD71*J71+AC71</f>
        <v>0.17</v>
      </c>
      <c r="AI71" s="152">
        <f t="shared" si="86"/>
        <v>1.7000000000000001E-2</v>
      </c>
      <c r="AJ71" s="153">
        <f t="shared" si="87"/>
        <v>0</v>
      </c>
      <c r="AK71" s="153">
        <f t="shared" si="84"/>
        <v>0.30000000000000004</v>
      </c>
      <c r="AL71" s="152">
        <f>1333*J70*POWER(10,-6)*10+0.0012*K72</f>
        <v>9.0035990999999996E-2</v>
      </c>
      <c r="AM71" s="153">
        <f t="shared" si="66"/>
        <v>0.57703599100000003</v>
      </c>
      <c r="AN71" s="163">
        <f t="shared" si="67"/>
        <v>2.92526934759E-6</v>
      </c>
      <c r="AO71" s="163">
        <f t="shared" si="68"/>
        <v>1.8747899347590003E-5</v>
      </c>
    </row>
    <row r="72" spans="1:41">
      <c r="A72" s="91" t="s">
        <v>210</v>
      </c>
      <c r="B72" s="79" t="s">
        <v>275</v>
      </c>
      <c r="C72" s="82" t="s">
        <v>194</v>
      </c>
      <c r="D72" s="80" t="s">
        <v>208</v>
      </c>
      <c r="E72" s="81">
        <v>1.0000000000000001E-5</v>
      </c>
      <c r="F72" s="79">
        <v>12</v>
      </c>
      <c r="G72" s="125">
        <v>3.4999999999999996E-2</v>
      </c>
      <c r="H72" s="81">
        <f t="shared" si="85"/>
        <v>4.2000000000000004E-6</v>
      </c>
      <c r="I72" s="79">
        <f>I69</f>
        <v>3.75</v>
      </c>
      <c r="J72" s="79">
        <f>I72</f>
        <v>3.75</v>
      </c>
      <c r="K72" s="84">
        <f>ROUNDUP(I72*20,0)</f>
        <v>75</v>
      </c>
      <c r="L72" t="str">
        <f t="shared" si="81"/>
        <v>С88</v>
      </c>
      <c r="M72" t="str">
        <f t="shared" si="82"/>
        <v>Насос Н-6/1</v>
      </c>
      <c r="N72" t="str">
        <f t="shared" si="83"/>
        <v>Полное пожар</v>
      </c>
      <c r="O72">
        <v>14</v>
      </c>
      <c r="P72">
        <v>18</v>
      </c>
      <c r="Q72">
        <v>25</v>
      </c>
      <c r="R72">
        <v>45</v>
      </c>
      <c r="S72" t="s">
        <v>209</v>
      </c>
      <c r="T72" t="s">
        <v>209</v>
      </c>
      <c r="U72" t="s">
        <v>209</v>
      </c>
      <c r="V72" t="s">
        <v>209</v>
      </c>
      <c r="W72" t="s">
        <v>209</v>
      </c>
      <c r="X72" t="s">
        <v>209</v>
      </c>
      <c r="Y72" t="s">
        <v>209</v>
      </c>
      <c r="Z72" t="s">
        <v>209</v>
      </c>
      <c r="AA72" s="3">
        <v>0</v>
      </c>
      <c r="AB72" s="3">
        <v>1</v>
      </c>
      <c r="AC72" s="3">
        <v>0.17</v>
      </c>
      <c r="AD72" s="3">
        <v>1.4999999999999999E-2</v>
      </c>
      <c r="AE72" s="3">
        <v>3</v>
      </c>
      <c r="AF72" s="3"/>
      <c r="AG72" s="3"/>
      <c r="AH72" s="152">
        <f>AD72*I72+AC72</f>
        <v>0.22625000000000001</v>
      </c>
      <c r="AI72" s="152">
        <f t="shared" si="86"/>
        <v>2.2625000000000003E-2</v>
      </c>
      <c r="AJ72" s="153">
        <f t="shared" si="87"/>
        <v>1.3800000000000001</v>
      </c>
      <c r="AK72" s="153">
        <f t="shared" si="84"/>
        <v>0.30000000000000004</v>
      </c>
      <c r="AL72" s="152">
        <f>10068.2*J72*POWER(10,-6)+0.0012*K72</f>
        <v>0.12775575</v>
      </c>
      <c r="AM72" s="153">
        <f t="shared" si="66"/>
        <v>2.0566307500000001</v>
      </c>
      <c r="AN72" s="163">
        <f t="shared" si="67"/>
        <v>5.3657415000000001E-7</v>
      </c>
      <c r="AO72" s="163">
        <f t="shared" si="68"/>
        <v>8.637849150000002E-6</v>
      </c>
    </row>
    <row r="73" spans="1:41">
      <c r="A73" s="91" t="s">
        <v>211</v>
      </c>
      <c r="B73" s="79" t="s">
        <v>275</v>
      </c>
      <c r="C73" s="82" t="s">
        <v>260</v>
      </c>
      <c r="D73" s="80" t="s">
        <v>195</v>
      </c>
      <c r="E73" s="81">
        <v>1.0000000000000001E-5</v>
      </c>
      <c r="F73" s="79">
        <v>12</v>
      </c>
      <c r="G73" s="125">
        <v>3.3249999999999995E-2</v>
      </c>
      <c r="H73" s="81">
        <f t="shared" si="85"/>
        <v>3.9899999999999999E-6</v>
      </c>
      <c r="I73" s="79">
        <f t="shared" ref="I73:I74" si="88">I70</f>
        <v>3.75</v>
      </c>
      <c r="J73" s="79">
        <f>K73</f>
        <v>2.7E-2</v>
      </c>
      <c r="K73" s="84">
        <f>POWER(10,-6)*SQRT(100)*10*3600*K72/1000</f>
        <v>2.7E-2</v>
      </c>
      <c r="L73" t="str">
        <f t="shared" si="81"/>
        <v>С89</v>
      </c>
      <c r="M73" t="str">
        <f t="shared" si="82"/>
        <v>Насос Н-6/1</v>
      </c>
      <c r="N73" t="str">
        <f t="shared" si="83"/>
        <v>Полное-вспышка</v>
      </c>
      <c r="O73" t="s">
        <v>209</v>
      </c>
      <c r="P73" t="s">
        <v>209</v>
      </c>
      <c r="Q73" t="s">
        <v>209</v>
      </c>
      <c r="R73" t="s">
        <v>209</v>
      </c>
      <c r="S73" t="s">
        <v>209</v>
      </c>
      <c r="T73" t="s">
        <v>209</v>
      </c>
      <c r="U73" t="s">
        <v>209</v>
      </c>
      <c r="V73" t="s">
        <v>209</v>
      </c>
      <c r="W73" t="s">
        <v>209</v>
      </c>
      <c r="X73" t="s">
        <v>209</v>
      </c>
      <c r="Y73">
        <v>9</v>
      </c>
      <c r="Z73">
        <v>10</v>
      </c>
      <c r="AA73" s="3">
        <v>0</v>
      </c>
      <c r="AB73" s="3">
        <v>1</v>
      </c>
      <c r="AC73" s="3">
        <v>0.17</v>
      </c>
      <c r="AD73" s="3">
        <v>1.4999999999999999E-2</v>
      </c>
      <c r="AE73" s="3">
        <v>3</v>
      </c>
      <c r="AF73" s="3"/>
      <c r="AG73" s="3"/>
      <c r="AH73" s="152">
        <f>AD73*I73+AC73</f>
        <v>0.22625000000000001</v>
      </c>
      <c r="AI73" s="152">
        <f t="shared" si="86"/>
        <v>2.2625000000000003E-2</v>
      </c>
      <c r="AJ73" s="153">
        <f t="shared" si="87"/>
        <v>1.3800000000000001</v>
      </c>
      <c r="AK73" s="153">
        <f t="shared" si="84"/>
        <v>0.30000000000000004</v>
      </c>
      <c r="AL73" s="152">
        <f>10068.2*J73*POWER(10,-6)+0.0012*K72</f>
        <v>9.0271841399999997E-2</v>
      </c>
      <c r="AM73" s="153">
        <f t="shared" si="66"/>
        <v>2.0191468414</v>
      </c>
      <c r="AN73" s="163">
        <f t="shared" si="67"/>
        <v>3.6018464718599997E-7</v>
      </c>
      <c r="AO73" s="163">
        <f t="shared" si="68"/>
        <v>8.0563958971859994E-6</v>
      </c>
    </row>
    <row r="74" spans="1:41">
      <c r="A74" s="91" t="s">
        <v>212</v>
      </c>
      <c r="B74" s="79" t="s">
        <v>275</v>
      </c>
      <c r="C74" s="82" t="s">
        <v>261</v>
      </c>
      <c r="D74" s="80" t="s">
        <v>176</v>
      </c>
      <c r="E74" s="81">
        <v>1.0000000000000001E-5</v>
      </c>
      <c r="F74" s="79">
        <v>12</v>
      </c>
      <c r="G74" s="125">
        <v>0.63174999999999992</v>
      </c>
      <c r="H74" s="81">
        <f t="shared" si="85"/>
        <v>7.5810000000000008E-5</v>
      </c>
      <c r="I74" s="79">
        <f t="shared" si="88"/>
        <v>3.75</v>
      </c>
      <c r="J74" s="79">
        <v>0</v>
      </c>
      <c r="K74" s="83">
        <v>0</v>
      </c>
      <c r="L74" t="str">
        <f t="shared" si="81"/>
        <v>С90</v>
      </c>
      <c r="M74" t="str">
        <f t="shared" si="82"/>
        <v>Насос Н-6/1</v>
      </c>
      <c r="N74" t="str">
        <f t="shared" si="83"/>
        <v>Полное-ликвидация</v>
      </c>
      <c r="O74" t="s">
        <v>209</v>
      </c>
      <c r="P74" t="s">
        <v>209</v>
      </c>
      <c r="Q74" t="s">
        <v>209</v>
      </c>
      <c r="R74" t="s">
        <v>209</v>
      </c>
      <c r="S74" t="s">
        <v>209</v>
      </c>
      <c r="T74" t="s">
        <v>209</v>
      </c>
      <c r="U74" t="s">
        <v>209</v>
      </c>
      <c r="V74" t="s">
        <v>209</v>
      </c>
      <c r="W74" t="s">
        <v>209</v>
      </c>
      <c r="X74" t="s">
        <v>209</v>
      </c>
      <c r="Y74" t="s">
        <v>209</v>
      </c>
      <c r="Z74" t="s">
        <v>209</v>
      </c>
      <c r="AA74" s="3">
        <v>0</v>
      </c>
      <c r="AB74" s="3">
        <v>0</v>
      </c>
      <c r="AC74" s="3">
        <v>0.17</v>
      </c>
      <c r="AD74" s="3">
        <v>1.4999999999999999E-2</v>
      </c>
      <c r="AE74" s="3">
        <v>3</v>
      </c>
      <c r="AF74" s="3"/>
      <c r="AG74" s="3"/>
      <c r="AH74" s="152">
        <f>AD74*J74+AC74</f>
        <v>0.17</v>
      </c>
      <c r="AI74" s="152">
        <f t="shared" si="86"/>
        <v>1.7000000000000001E-2</v>
      </c>
      <c r="AJ74" s="153">
        <f t="shared" si="87"/>
        <v>0</v>
      </c>
      <c r="AK74" s="153">
        <f t="shared" si="84"/>
        <v>0.30000000000000004</v>
      </c>
      <c r="AL74" s="152">
        <f>1333*J73*POWER(10,-6)+0.0012*K72</f>
        <v>9.0035990999999996E-2</v>
      </c>
      <c r="AM74" s="153">
        <f t="shared" si="66"/>
        <v>0.57703599100000003</v>
      </c>
      <c r="AN74" s="163">
        <f t="shared" si="67"/>
        <v>6.8256284777100002E-6</v>
      </c>
      <c r="AO74" s="163">
        <f t="shared" si="68"/>
        <v>4.3745098477710004E-5</v>
      </c>
    </row>
    <row r="76" spans="1:41">
      <c r="AN76" s="165">
        <f>SUM(AN2:AN74)/15</f>
        <v>5.0071135275786238E-6</v>
      </c>
    </row>
  </sheetData>
  <phoneticPr fontId="3" type="noConversion"/>
  <conditionalFormatting sqref="N57:N1048576 N1:N55">
    <cfRule type="containsText" dxfId="2" priority="4" operator="containsText" text="взрыв">
      <formula>NOT(ISERROR(SEARCH("взрыв",N1)))</formula>
    </cfRule>
    <cfRule type="containsText" dxfId="1" priority="5" operator="containsText" text="факел">
      <formula>NOT(ISERROR(SEARCH("факел",N1)))</formula>
    </cfRule>
    <cfRule type="containsText" dxfId="0" priority="6" operator="containsText" text="пожар">
      <formula>NOT(ISERROR(SEARCH("пожар",N1)))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BA6-A96D-4F17-AA58-39EB24C961AC}">
  <dimension ref="A1:O21"/>
  <sheetViews>
    <sheetView workbookViewId="0">
      <selection activeCell="O20" sqref="O20:O21"/>
    </sheetView>
  </sheetViews>
  <sheetFormatPr defaultRowHeight="14.4"/>
  <cols>
    <col min="2" max="2" width="36.77734375" customWidth="1"/>
    <col min="3" max="3" width="15.5546875" customWidth="1"/>
    <col min="6" max="6" width="12.109375" customWidth="1"/>
    <col min="14" max="14" width="9.21875" bestFit="1" customWidth="1"/>
    <col min="15" max="15" width="79.21875" customWidth="1"/>
  </cols>
  <sheetData>
    <row r="1" spans="1:15" ht="15" thickBot="1">
      <c r="A1" s="172" t="s">
        <v>239</v>
      </c>
      <c r="B1" s="173"/>
      <c r="G1" s="140"/>
    </row>
    <row r="2" spans="1:15" ht="78.599999999999994" thickBot="1">
      <c r="A2" s="141" t="s">
        <v>240</v>
      </c>
      <c r="B2" s="142" t="s">
        <v>241</v>
      </c>
      <c r="C2" s="143" t="s">
        <v>253</v>
      </c>
      <c r="D2" s="143" t="s">
        <v>254</v>
      </c>
      <c r="E2" s="143" t="s">
        <v>255</v>
      </c>
      <c r="F2" s="143" t="s">
        <v>242</v>
      </c>
      <c r="G2" s="143" t="s">
        <v>243</v>
      </c>
    </row>
    <row r="3" spans="1:15" ht="16.2" thickBot="1">
      <c r="A3" s="144">
        <v>1</v>
      </c>
      <c r="B3" s="145" t="s">
        <v>244</v>
      </c>
      <c r="C3" s="146">
        <v>5000</v>
      </c>
      <c r="D3" s="146">
        <v>1.08</v>
      </c>
      <c r="E3" s="146">
        <v>0.10042</v>
      </c>
      <c r="F3" s="146">
        <v>0.79800000000000004</v>
      </c>
      <c r="G3" s="147">
        <f>C3*F3*E3*D3</f>
        <v>432.72986400000002</v>
      </c>
    </row>
    <row r="4" spans="1:15" ht="18.600000000000001" thickBot="1">
      <c r="A4" s="144">
        <v>2</v>
      </c>
      <c r="B4" s="145" t="s">
        <v>245</v>
      </c>
      <c r="C4" s="146">
        <v>64289</v>
      </c>
      <c r="D4" s="146">
        <v>1.08</v>
      </c>
      <c r="E4" s="146">
        <v>0.10042</v>
      </c>
      <c r="F4" s="146">
        <v>6.6000000000000003E-2</v>
      </c>
      <c r="G4" s="147">
        <f t="shared" ref="G4:G10" si="0">C4*F4*E4*D4</f>
        <v>460.17665036640005</v>
      </c>
    </row>
    <row r="5" spans="1:15" ht="18.600000000000001" thickBot="1">
      <c r="A5" s="144">
        <v>3</v>
      </c>
      <c r="B5" s="145" t="s">
        <v>246</v>
      </c>
      <c r="C5" s="146">
        <v>10723</v>
      </c>
      <c r="D5" s="146">
        <v>1.08</v>
      </c>
      <c r="E5" s="146">
        <v>0.10042</v>
      </c>
      <c r="F5" s="146">
        <v>0.26</v>
      </c>
      <c r="G5" s="147">
        <f t="shared" si="0"/>
        <v>302.36646772799998</v>
      </c>
    </row>
    <row r="6" spans="1:15" ht="18.600000000000001" thickBot="1">
      <c r="A6" s="144">
        <v>4</v>
      </c>
      <c r="B6" s="145" t="s">
        <v>247</v>
      </c>
      <c r="C6" s="146">
        <v>50000</v>
      </c>
      <c r="D6" s="146">
        <v>1.08</v>
      </c>
      <c r="E6" s="146">
        <v>0.10042</v>
      </c>
      <c r="F6" s="146">
        <v>1E-3</v>
      </c>
      <c r="G6" s="147">
        <f t="shared" si="0"/>
        <v>5.4226800000000006</v>
      </c>
    </row>
    <row r="7" spans="1:15" ht="16.2" thickBot="1">
      <c r="A7" s="144">
        <v>5</v>
      </c>
      <c r="B7" s="145" t="s">
        <v>248</v>
      </c>
      <c r="C7" s="146">
        <v>50000</v>
      </c>
      <c r="D7" s="146">
        <v>1.08</v>
      </c>
      <c r="E7" s="146">
        <v>0.10042</v>
      </c>
      <c r="F7" s="146">
        <v>1.615</v>
      </c>
      <c r="G7" s="147">
        <f t="shared" si="0"/>
        <v>8757.628200000001</v>
      </c>
    </row>
    <row r="8" spans="1:15" ht="16.2" thickBot="1">
      <c r="A8" s="144">
        <v>6</v>
      </c>
      <c r="B8" s="145" t="s">
        <v>249</v>
      </c>
      <c r="C8" s="146">
        <v>50000</v>
      </c>
      <c r="D8" s="146">
        <v>1.08</v>
      </c>
      <c r="E8" s="146">
        <v>0.10042</v>
      </c>
      <c r="F8" s="146">
        <v>0.01</v>
      </c>
      <c r="G8" s="147">
        <f t="shared" si="0"/>
        <v>54.226800000000004</v>
      </c>
    </row>
    <row r="9" spans="1:15" ht="16.2" thickBot="1">
      <c r="A9" s="144">
        <v>8</v>
      </c>
      <c r="B9" s="145" t="s">
        <v>250</v>
      </c>
      <c r="C9" s="146">
        <v>50000</v>
      </c>
      <c r="D9" s="146">
        <v>1.08</v>
      </c>
      <c r="E9" s="146">
        <v>0.10042</v>
      </c>
      <c r="F9" s="146">
        <v>0.01</v>
      </c>
      <c r="G9" s="147">
        <f t="shared" si="0"/>
        <v>54.226800000000004</v>
      </c>
    </row>
    <row r="10" spans="1:15" ht="18.600000000000001" thickBot="1">
      <c r="A10" s="144">
        <v>9</v>
      </c>
      <c r="B10" s="145" t="s">
        <v>251</v>
      </c>
      <c r="C10" s="146">
        <v>93.5</v>
      </c>
      <c r="D10" s="146">
        <v>1.08</v>
      </c>
      <c r="E10" s="146">
        <v>0.10042</v>
      </c>
      <c r="F10" s="146">
        <v>0.14000000000000001</v>
      </c>
      <c r="G10" s="147">
        <f t="shared" si="0"/>
        <v>1.4196576240000001</v>
      </c>
    </row>
    <row r="11" spans="1:15" ht="16.2" thickBot="1">
      <c r="A11" s="148"/>
      <c r="B11" s="149"/>
      <c r="C11" s="149"/>
      <c r="D11" s="149"/>
      <c r="E11" s="174" t="s">
        <v>252</v>
      </c>
      <c r="F11" s="175"/>
      <c r="G11" s="150">
        <f>SUM(G3:G10)</f>
        <v>10068.197119718401</v>
      </c>
    </row>
    <row r="13" spans="1:15" ht="15" thickBot="1"/>
    <row r="14" spans="1:15" ht="113.4" thickBot="1">
      <c r="A14" s="141" t="s">
        <v>240</v>
      </c>
      <c r="B14" s="142" t="s">
        <v>241</v>
      </c>
      <c r="C14" s="143" t="s">
        <v>253</v>
      </c>
      <c r="D14" s="143" t="s">
        <v>254</v>
      </c>
      <c r="E14" s="143" t="s">
        <v>255</v>
      </c>
      <c r="F14" s="143" t="s">
        <v>242</v>
      </c>
      <c r="G14" s="143" t="s">
        <v>243</v>
      </c>
      <c r="O14" s="151" t="s">
        <v>257</v>
      </c>
    </row>
    <row r="15" spans="1:15" ht="16.2" thickBot="1">
      <c r="A15" s="144">
        <v>1</v>
      </c>
      <c r="B15" s="145" t="s">
        <v>256</v>
      </c>
      <c r="C15" s="146">
        <v>12292</v>
      </c>
      <c r="D15" s="146">
        <v>1.08</v>
      </c>
      <c r="E15" s="146">
        <v>0.10042</v>
      </c>
      <c r="F15" s="146">
        <v>1</v>
      </c>
      <c r="G15" s="147">
        <f>C15*F15*E15*D15</f>
        <v>1333.1116512000001</v>
      </c>
    </row>
    <row r="19" spans="14:15" ht="15" thickBot="1"/>
    <row r="20" spans="14:15" ht="16.2" thickBot="1">
      <c r="N20" s="166">
        <v>1.2300000000000001E-4</v>
      </c>
      <c r="O20" s="165">
        <f>N20*(1/24)/4</f>
        <v>1.28125E-6</v>
      </c>
    </row>
    <row r="21" spans="14:15" ht="16.2" thickBot="1">
      <c r="N21" s="167">
        <v>4.4799999999999999E-4</v>
      </c>
      <c r="O21" s="165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Расчет оборудования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</cp:lastModifiedBy>
  <dcterms:created xsi:type="dcterms:W3CDTF">2023-05-30T04:30:41Z</dcterms:created>
  <dcterms:modified xsi:type="dcterms:W3CDTF">2023-06-07T11:35:55Z</dcterms:modified>
</cp:coreProperties>
</file>