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bookViews>
    <workbookView xWindow="-105" yWindow="-105" windowWidth="30930" windowHeight="16890" firstSheet="3" activeTab="6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3" i="2" l="1"/>
  <c r="AJ43" i="2"/>
  <c r="AC43" i="2"/>
  <c r="N43" i="2"/>
  <c r="M43" i="2"/>
  <c r="L43" i="2"/>
  <c r="I43" i="2"/>
  <c r="AH43" i="2" s="1"/>
  <c r="AI43" i="2" s="1"/>
  <c r="H43" i="2"/>
  <c r="AK42" i="2"/>
  <c r="AJ42" i="2"/>
  <c r="AC42" i="2"/>
  <c r="N42" i="2"/>
  <c r="M42" i="2"/>
  <c r="L42" i="2"/>
  <c r="I42" i="2"/>
  <c r="H42" i="2"/>
  <c r="AK41" i="2"/>
  <c r="AJ41" i="2"/>
  <c r="AC41" i="2"/>
  <c r="N41" i="2"/>
  <c r="M41" i="2"/>
  <c r="L41" i="2"/>
  <c r="I41" i="2"/>
  <c r="K41" i="2" s="1"/>
  <c r="K42" i="2" s="1"/>
  <c r="J42" i="2" s="1"/>
  <c r="H41" i="2"/>
  <c r="AK40" i="2"/>
  <c r="AJ40" i="2"/>
  <c r="AH40" i="2"/>
  <c r="AI40" i="2" s="1"/>
  <c r="N40" i="2"/>
  <c r="M40" i="2"/>
  <c r="L40" i="2"/>
  <c r="H40" i="2"/>
  <c r="AK39" i="2"/>
  <c r="AJ39" i="2"/>
  <c r="N39" i="2"/>
  <c r="M39" i="2"/>
  <c r="L39" i="2"/>
  <c r="I39" i="2"/>
  <c r="I40" i="2" s="1"/>
  <c r="H39" i="2"/>
  <c r="AK38" i="2"/>
  <c r="AJ38" i="2"/>
  <c r="AH38" i="2"/>
  <c r="AI38" i="2" s="1"/>
  <c r="N38" i="2"/>
  <c r="M38" i="2"/>
  <c r="L38" i="2"/>
  <c r="J38" i="2"/>
  <c r="K40" i="2" s="1"/>
  <c r="K38" i="2" s="1"/>
  <c r="K39" i="2" s="1"/>
  <c r="J39" i="2" s="1"/>
  <c r="H38" i="2"/>
  <c r="AK37" i="2"/>
  <c r="AJ37" i="2"/>
  <c r="AC37" i="2"/>
  <c r="N37" i="2"/>
  <c r="M37" i="2"/>
  <c r="L37" i="2"/>
  <c r="I37" i="2"/>
  <c r="AH37" i="2" s="1"/>
  <c r="AI37" i="2" s="1"/>
  <c r="H37" i="2"/>
  <c r="AK36" i="2"/>
  <c r="AJ36" i="2"/>
  <c r="AC36" i="2"/>
  <c r="N36" i="2"/>
  <c r="M36" i="2"/>
  <c r="L36" i="2"/>
  <c r="I36" i="2"/>
  <c r="AH36" i="2" s="1"/>
  <c r="AI36" i="2" s="1"/>
  <c r="H36" i="2"/>
  <c r="AK35" i="2"/>
  <c r="AJ35" i="2"/>
  <c r="AC35" i="2"/>
  <c r="N35" i="2"/>
  <c r="M35" i="2"/>
  <c r="L35" i="2"/>
  <c r="I35" i="2"/>
  <c r="K35" i="2" s="1"/>
  <c r="K36" i="2" s="1"/>
  <c r="J36" i="2" s="1"/>
  <c r="H35" i="2"/>
  <c r="AK34" i="2"/>
  <c r="AJ34" i="2"/>
  <c r="AH34" i="2"/>
  <c r="AI34" i="2" s="1"/>
  <c r="N34" i="2"/>
  <c r="M34" i="2"/>
  <c r="L34" i="2"/>
  <c r="H34" i="2"/>
  <c r="AK33" i="2"/>
  <c r="AJ33" i="2"/>
  <c r="N33" i="2"/>
  <c r="M33" i="2"/>
  <c r="L33" i="2"/>
  <c r="I33" i="2"/>
  <c r="I34" i="2" s="1"/>
  <c r="H33" i="2"/>
  <c r="AK32" i="2"/>
  <c r="AJ32" i="2"/>
  <c r="AH32" i="2"/>
  <c r="AI32" i="2" s="1"/>
  <c r="N32" i="2"/>
  <c r="M32" i="2"/>
  <c r="L32" i="2"/>
  <c r="J32" i="2"/>
  <c r="K34" i="2" s="1"/>
  <c r="K32" i="2" s="1"/>
  <c r="K33" i="2" s="1"/>
  <c r="J33" i="2" s="1"/>
  <c r="H32" i="2"/>
  <c r="J26" i="2"/>
  <c r="K28" i="2" s="1"/>
  <c r="K26" i="2" s="1"/>
  <c r="K27" i="2" s="1"/>
  <c r="J27" i="2" s="1"/>
  <c r="AK31" i="2"/>
  <c r="AJ31" i="2"/>
  <c r="AC31" i="2"/>
  <c r="N31" i="2"/>
  <c r="M31" i="2"/>
  <c r="L31" i="2"/>
  <c r="I31" i="2"/>
  <c r="AH31" i="2" s="1"/>
  <c r="AI31" i="2" s="1"/>
  <c r="H31" i="2"/>
  <c r="AK30" i="2"/>
  <c r="AJ30" i="2"/>
  <c r="AC30" i="2"/>
  <c r="N30" i="2"/>
  <c r="M30" i="2"/>
  <c r="L30" i="2"/>
  <c r="I30" i="2"/>
  <c r="H30" i="2"/>
  <c r="AK29" i="2"/>
  <c r="AJ29" i="2"/>
  <c r="AC29" i="2"/>
  <c r="N29" i="2"/>
  <c r="M29" i="2"/>
  <c r="L29" i="2"/>
  <c r="I29" i="2"/>
  <c r="J29" i="2" s="1"/>
  <c r="H29" i="2"/>
  <c r="AK28" i="2"/>
  <c r="AJ28" i="2"/>
  <c r="AH28" i="2"/>
  <c r="AI28" i="2" s="1"/>
  <c r="N28" i="2"/>
  <c r="M28" i="2"/>
  <c r="L28" i="2"/>
  <c r="H28" i="2"/>
  <c r="AK27" i="2"/>
  <c r="AJ27" i="2"/>
  <c r="N27" i="2"/>
  <c r="M27" i="2"/>
  <c r="L27" i="2"/>
  <c r="I27" i="2"/>
  <c r="I28" i="2" s="1"/>
  <c r="H27" i="2"/>
  <c r="AK26" i="2"/>
  <c r="AJ26" i="2"/>
  <c r="AH26" i="2"/>
  <c r="AI26" i="2" s="1"/>
  <c r="N26" i="2"/>
  <c r="M26" i="2"/>
  <c r="L26" i="2"/>
  <c r="H26" i="2"/>
  <c r="K15" i="2"/>
  <c r="J15" i="2" s="1"/>
  <c r="J14" i="2"/>
  <c r="K3" i="2"/>
  <c r="K4" i="2"/>
  <c r="AH41" i="2" l="1"/>
  <c r="AI41" i="2" s="1"/>
  <c r="J41" i="2"/>
  <c r="AL41" i="2" s="1"/>
  <c r="AH42" i="2"/>
  <c r="AI42" i="2" s="1"/>
  <c r="AH39" i="2"/>
  <c r="AI39" i="2" s="1"/>
  <c r="AL40" i="2"/>
  <c r="AL39" i="2"/>
  <c r="AM41" i="2"/>
  <c r="AO41" i="2" s="1"/>
  <c r="AN41" i="2"/>
  <c r="AL42" i="2"/>
  <c r="AL43" i="2"/>
  <c r="AL38" i="2"/>
  <c r="AH33" i="2"/>
  <c r="AI33" i="2" s="1"/>
  <c r="AH35" i="2"/>
  <c r="AI35" i="2" s="1"/>
  <c r="J35" i="2"/>
  <c r="AL35" i="2" s="1"/>
  <c r="AL36" i="2"/>
  <c r="AL37" i="2"/>
  <c r="AL34" i="2"/>
  <c r="AL33" i="2"/>
  <c r="AN35" i="2"/>
  <c r="AL32" i="2"/>
  <c r="AH27" i="2"/>
  <c r="AI27" i="2" s="1"/>
  <c r="K29" i="2"/>
  <c r="AH29" i="2"/>
  <c r="AI29" i="2" s="1"/>
  <c r="AH30" i="2"/>
  <c r="AI30" i="2" s="1"/>
  <c r="AL16" i="2"/>
  <c r="AL15" i="2"/>
  <c r="AL14" i="2"/>
  <c r="AH10" i="2"/>
  <c r="AI10" i="2" s="1"/>
  <c r="AJ2" i="2"/>
  <c r="K59" i="2"/>
  <c r="I57" i="2" s="1"/>
  <c r="K53" i="2"/>
  <c r="K51" i="2" s="1"/>
  <c r="K52" i="2" s="1"/>
  <c r="K47" i="2"/>
  <c r="K45" i="2" s="1"/>
  <c r="K46" i="2" s="1"/>
  <c r="I25" i="2"/>
  <c r="I24" i="2"/>
  <c r="I23" i="2"/>
  <c r="K23" i="2" s="1"/>
  <c r="K24" i="2" s="1"/>
  <c r="I21" i="2"/>
  <c r="I22" i="2" s="1"/>
  <c r="J20" i="2"/>
  <c r="K22" i="2" s="1"/>
  <c r="K20" i="2" s="1"/>
  <c r="K21" i="2" s="1"/>
  <c r="I19" i="2"/>
  <c r="K9" i="2"/>
  <c r="J9" i="2" s="1"/>
  <c r="AL9" i="2" s="1"/>
  <c r="J3" i="2"/>
  <c r="AL4" i="2" s="1"/>
  <c r="H62" i="2"/>
  <c r="H61" i="2"/>
  <c r="H60" i="2"/>
  <c r="H59" i="2"/>
  <c r="H58" i="2"/>
  <c r="H57" i="2"/>
  <c r="H56" i="2"/>
  <c r="H55" i="2"/>
  <c r="H54" i="2"/>
  <c r="H53" i="2"/>
  <c r="H52" i="2"/>
  <c r="H51" i="2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O21" i="8"/>
  <c r="O20" i="8"/>
  <c r="AJ45" i="2"/>
  <c r="AK45" i="2"/>
  <c r="AJ46" i="2"/>
  <c r="AK46" i="2"/>
  <c r="AH47" i="2"/>
  <c r="AI47" i="2" s="1"/>
  <c r="AJ47" i="2"/>
  <c r="AK47" i="2"/>
  <c r="AJ48" i="2"/>
  <c r="AK48" i="2"/>
  <c r="AJ49" i="2"/>
  <c r="AK49" i="2"/>
  <c r="AH50" i="2"/>
  <c r="AI50" i="2" s="1"/>
  <c r="AJ50" i="2"/>
  <c r="AK50" i="2"/>
  <c r="AJ51" i="2"/>
  <c r="AK51" i="2"/>
  <c r="AJ52" i="2"/>
  <c r="AK52" i="2"/>
  <c r="AH53" i="2"/>
  <c r="AI53" i="2" s="1"/>
  <c r="AJ53" i="2"/>
  <c r="AK53" i="2"/>
  <c r="AJ54" i="2"/>
  <c r="AK54" i="2"/>
  <c r="AJ55" i="2"/>
  <c r="AK55" i="2"/>
  <c r="AH56" i="2"/>
  <c r="AI56" i="2" s="1"/>
  <c r="AJ56" i="2"/>
  <c r="AK56" i="2"/>
  <c r="AJ57" i="2"/>
  <c r="AK57" i="2"/>
  <c r="AJ58" i="2"/>
  <c r="AK58" i="2"/>
  <c r="AH59" i="2"/>
  <c r="AI59" i="2" s="1"/>
  <c r="AJ59" i="2"/>
  <c r="AK59" i="2"/>
  <c r="AJ60" i="2"/>
  <c r="AK60" i="2"/>
  <c r="AJ61" i="2"/>
  <c r="AK61" i="2"/>
  <c r="AH62" i="2"/>
  <c r="AI62" i="2" s="1"/>
  <c r="AJ62" i="2"/>
  <c r="AK62" i="2"/>
  <c r="AK2" i="2"/>
  <c r="AJ3" i="2"/>
  <c r="AK3" i="2"/>
  <c r="AH4" i="2"/>
  <c r="AI4" i="2" s="1"/>
  <c r="AJ4" i="2"/>
  <c r="AK4" i="2"/>
  <c r="AC5" i="2"/>
  <c r="AJ5" i="2"/>
  <c r="AK5" i="2"/>
  <c r="AC6" i="2"/>
  <c r="AJ6" i="2"/>
  <c r="AK6" i="2"/>
  <c r="AC7" i="2"/>
  <c r="AJ7" i="2"/>
  <c r="AK7" i="2"/>
  <c r="AJ8" i="2"/>
  <c r="AK8" i="2"/>
  <c r="AJ9" i="2"/>
  <c r="AK9" i="2"/>
  <c r="AJ10" i="2"/>
  <c r="AK10" i="2"/>
  <c r="AC11" i="2"/>
  <c r="AJ11" i="2"/>
  <c r="AK11" i="2"/>
  <c r="AC12" i="2"/>
  <c r="AJ12" i="2"/>
  <c r="AK12" i="2"/>
  <c r="AC13" i="2"/>
  <c r="AJ13" i="2"/>
  <c r="AK13" i="2"/>
  <c r="AJ14" i="2"/>
  <c r="AK14" i="2"/>
  <c r="AJ15" i="2"/>
  <c r="AK15" i="2"/>
  <c r="AH16" i="2"/>
  <c r="AI16" i="2" s="1"/>
  <c r="AJ16" i="2"/>
  <c r="AK16" i="2"/>
  <c r="AC17" i="2"/>
  <c r="AJ17" i="2"/>
  <c r="AK17" i="2"/>
  <c r="AC18" i="2"/>
  <c r="AJ18" i="2"/>
  <c r="AK18" i="2"/>
  <c r="AC19" i="2"/>
  <c r="AJ19" i="2"/>
  <c r="AK19" i="2"/>
  <c r="AH20" i="2"/>
  <c r="AI20" i="2" s="1"/>
  <c r="AJ20" i="2"/>
  <c r="AK20" i="2"/>
  <c r="AJ21" i="2"/>
  <c r="AK21" i="2"/>
  <c r="AH22" i="2"/>
  <c r="AI22" i="2" s="1"/>
  <c r="AJ22" i="2"/>
  <c r="AK22" i="2"/>
  <c r="AC23" i="2"/>
  <c r="AJ23" i="2"/>
  <c r="AK23" i="2"/>
  <c r="AC24" i="2"/>
  <c r="AJ24" i="2"/>
  <c r="AK24" i="2"/>
  <c r="AC25" i="2"/>
  <c r="AJ25" i="2"/>
  <c r="AK25" i="2"/>
  <c r="I28" i="3"/>
  <c r="I45" i="2" l="1"/>
  <c r="I48" i="2" s="1"/>
  <c r="AN38" i="2"/>
  <c r="AM38" i="2"/>
  <c r="AO38" i="2" s="1"/>
  <c r="AM42" i="2"/>
  <c r="AO42" i="2" s="1"/>
  <c r="AN42" i="2"/>
  <c r="AN39" i="2"/>
  <c r="AM39" i="2"/>
  <c r="AO39" i="2" s="1"/>
  <c r="AN43" i="2"/>
  <c r="AM43" i="2"/>
  <c r="AO43" i="2" s="1"/>
  <c r="AM40" i="2"/>
  <c r="AO40" i="2" s="1"/>
  <c r="AN40" i="2"/>
  <c r="AM35" i="2"/>
  <c r="AO35" i="2" s="1"/>
  <c r="K57" i="2"/>
  <c r="K58" i="2" s="1"/>
  <c r="AN32" i="2"/>
  <c r="AM32" i="2"/>
  <c r="AO32" i="2" s="1"/>
  <c r="AN37" i="2"/>
  <c r="AM37" i="2"/>
  <c r="AO37" i="2" s="1"/>
  <c r="AM34" i="2"/>
  <c r="AO34" i="2" s="1"/>
  <c r="AN34" i="2"/>
  <c r="AM33" i="2"/>
  <c r="AO33" i="2" s="1"/>
  <c r="AN33" i="2"/>
  <c r="AM36" i="2"/>
  <c r="AO36" i="2" s="1"/>
  <c r="AN36" i="2"/>
  <c r="K30" i="2"/>
  <c r="J30" i="2" s="1"/>
  <c r="AL26" i="2"/>
  <c r="AL28" i="2"/>
  <c r="AM28" i="2" s="1"/>
  <c r="AO28" i="2" s="1"/>
  <c r="AL29" i="2"/>
  <c r="AL27" i="2"/>
  <c r="AN27" i="2" s="1"/>
  <c r="AH24" i="2"/>
  <c r="AI24" i="2" s="1"/>
  <c r="AH25" i="2"/>
  <c r="AI25" i="2" s="1"/>
  <c r="AL10" i="2"/>
  <c r="AM10" i="2" s="1"/>
  <c r="AL3" i="2"/>
  <c r="J58" i="2"/>
  <c r="J52" i="2"/>
  <c r="J46" i="2"/>
  <c r="J21" i="2"/>
  <c r="J57" i="2"/>
  <c r="AH57" i="2"/>
  <c r="AI57" i="2" s="1"/>
  <c r="I58" i="2"/>
  <c r="I60" i="2"/>
  <c r="I51" i="2"/>
  <c r="AH45" i="2"/>
  <c r="AI45" i="2" s="1"/>
  <c r="J45" i="2"/>
  <c r="K48" i="2"/>
  <c r="K49" i="2" s="1"/>
  <c r="J49" i="2" s="1"/>
  <c r="AH48" i="2"/>
  <c r="AI48" i="2" s="1"/>
  <c r="I46" i="2"/>
  <c r="I49" i="2" s="1"/>
  <c r="AH49" i="2" s="1"/>
  <c r="AI49" i="2" s="1"/>
  <c r="J48" i="2"/>
  <c r="J24" i="2"/>
  <c r="AH21" i="2"/>
  <c r="AI21" i="2" s="1"/>
  <c r="AH23" i="2"/>
  <c r="AI23" i="2" s="1"/>
  <c r="J23" i="2"/>
  <c r="I15" i="2"/>
  <c r="AH15" i="2" s="1"/>
  <c r="AI15" i="2" s="1"/>
  <c r="AH14" i="2"/>
  <c r="AI14" i="2" s="1"/>
  <c r="I17" i="2"/>
  <c r="I18" i="2"/>
  <c r="AH18" i="2" s="1"/>
  <c r="AI18" i="2" s="1"/>
  <c r="AH19" i="2"/>
  <c r="AI19" i="2" s="1"/>
  <c r="G15" i="8"/>
  <c r="G4" i="8"/>
  <c r="G5" i="8"/>
  <c r="G6" i="8"/>
  <c r="G7" i="8"/>
  <c r="G8" i="8"/>
  <c r="G9" i="8"/>
  <c r="G10" i="8"/>
  <c r="G3" i="8"/>
  <c r="AM27" i="2" l="1"/>
  <c r="AO27" i="2" s="1"/>
  <c r="AN26" i="2"/>
  <c r="AM26" i="2"/>
  <c r="AO26" i="2" s="1"/>
  <c r="AN28" i="2"/>
  <c r="AL31" i="2"/>
  <c r="AL30" i="2"/>
  <c r="AM29" i="2"/>
  <c r="AO29" i="2" s="1"/>
  <c r="AN29" i="2"/>
  <c r="AL45" i="2"/>
  <c r="AL47" i="2"/>
  <c r="AM47" i="2" s="1"/>
  <c r="AL46" i="2"/>
  <c r="AH17" i="2"/>
  <c r="AI17" i="2" s="1"/>
  <c r="K17" i="2"/>
  <c r="J17" i="2"/>
  <c r="AL17" i="2" s="1"/>
  <c r="J8" i="2"/>
  <c r="AL8" i="2" s="1"/>
  <c r="AH8" i="2"/>
  <c r="AI8" i="2" s="1"/>
  <c r="J2" i="2"/>
  <c r="AL2" i="2" s="1"/>
  <c r="AH2" i="2"/>
  <c r="AI2" i="2" s="1"/>
  <c r="AM45" i="2"/>
  <c r="I61" i="2"/>
  <c r="AH61" i="2" s="1"/>
  <c r="AI61" i="2" s="1"/>
  <c r="AH58" i="2"/>
  <c r="AI58" i="2" s="1"/>
  <c r="I59" i="2"/>
  <c r="I62" i="2" s="1"/>
  <c r="AH60" i="2"/>
  <c r="AI60" i="2" s="1"/>
  <c r="K60" i="2"/>
  <c r="K61" i="2" s="1"/>
  <c r="J60" i="2"/>
  <c r="I52" i="2"/>
  <c r="J51" i="2"/>
  <c r="I54" i="2"/>
  <c r="AH51" i="2"/>
  <c r="AI51" i="2" s="1"/>
  <c r="I47" i="2"/>
  <c r="I50" i="2" s="1"/>
  <c r="AH46" i="2"/>
  <c r="AI46" i="2" s="1"/>
  <c r="AM46" i="2" s="1"/>
  <c r="AL49" i="2"/>
  <c r="AM49" i="2" s="1"/>
  <c r="AL50" i="2"/>
  <c r="AM50" i="2" s="1"/>
  <c r="I7" i="2"/>
  <c r="AH7" i="2" s="1"/>
  <c r="AI7" i="2" s="1"/>
  <c r="I16" i="2"/>
  <c r="I6" i="2"/>
  <c r="AH6" i="2" s="1"/>
  <c r="AI6" i="2" s="1"/>
  <c r="I5" i="2"/>
  <c r="K5" i="2" s="1"/>
  <c r="I3" i="2"/>
  <c r="I13" i="2"/>
  <c r="AH13" i="2" s="1"/>
  <c r="AI13" i="2" s="1"/>
  <c r="I12" i="2"/>
  <c r="AH12" i="2" s="1"/>
  <c r="AI12" i="2" s="1"/>
  <c r="I9" i="2"/>
  <c r="I11" i="2"/>
  <c r="G11" i="8"/>
  <c r="AM30" i="2" l="1"/>
  <c r="AO30" i="2" s="1"/>
  <c r="AN30" i="2"/>
  <c r="AM31" i="2"/>
  <c r="AO31" i="2" s="1"/>
  <c r="AN31" i="2"/>
  <c r="K18" i="2"/>
  <c r="J18" i="2" s="1"/>
  <c r="K11" i="2"/>
  <c r="AH11" i="2"/>
  <c r="AI11" i="2" s="1"/>
  <c r="AM8" i="2"/>
  <c r="I10" i="2"/>
  <c r="AH9" i="2"/>
  <c r="AI9" i="2" s="1"/>
  <c r="AM9" i="2" s="1"/>
  <c r="J61" i="2"/>
  <c r="AL59" i="2"/>
  <c r="AM59" i="2" s="1"/>
  <c r="AL58" i="2"/>
  <c r="AM58" i="2" s="1"/>
  <c r="AL57" i="2"/>
  <c r="AM57" i="2" s="1"/>
  <c r="AH54" i="2"/>
  <c r="AI54" i="2" s="1"/>
  <c r="K54" i="2"/>
  <c r="K55" i="2" s="1"/>
  <c r="J54" i="2"/>
  <c r="I55" i="2"/>
  <c r="AH55" i="2" s="1"/>
  <c r="AI55" i="2" s="1"/>
  <c r="AH52" i="2"/>
  <c r="AI52" i="2" s="1"/>
  <c r="I53" i="2"/>
  <c r="I56" i="2" s="1"/>
  <c r="J5" i="2"/>
  <c r="AL5" i="2" s="1"/>
  <c r="K6" i="2"/>
  <c r="J6" i="2" s="1"/>
  <c r="AH5" i="2"/>
  <c r="AI5" i="2" s="1"/>
  <c r="AH3" i="2"/>
  <c r="AI3" i="2" s="1"/>
  <c r="I4" i="2"/>
  <c r="K12" i="2"/>
  <c r="J12" i="2" s="1"/>
  <c r="J11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H25" i="2"/>
  <c r="H24" i="2"/>
  <c r="H23" i="2"/>
  <c r="H22" i="2"/>
  <c r="H21" i="2"/>
  <c r="H20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H19" i="2"/>
  <c r="H18" i="2"/>
  <c r="H17" i="2"/>
  <c r="H16" i="2"/>
  <c r="H15" i="2"/>
  <c r="H14" i="2"/>
  <c r="O43" i="1"/>
  <c r="O46" i="1"/>
  <c r="O47" i="1"/>
  <c r="O45" i="1"/>
  <c r="H13" i="2"/>
  <c r="H12" i="2"/>
  <c r="H11" i="2"/>
  <c r="H10" i="2"/>
  <c r="H9" i="2"/>
  <c r="H8" i="2"/>
  <c r="B48" i="1"/>
  <c r="M48" i="1"/>
  <c r="J48" i="1"/>
  <c r="AL18" i="2" l="1"/>
  <c r="AL19" i="2"/>
  <c r="AM19" i="2" s="1"/>
  <c r="AO19" i="2" s="1"/>
  <c r="AL13" i="2"/>
  <c r="AM13" i="2" s="1"/>
  <c r="AO13" i="2" s="1"/>
  <c r="AL12" i="2"/>
  <c r="AM12" i="2" s="1"/>
  <c r="AO12" i="2" s="1"/>
  <c r="AL11" i="2"/>
  <c r="AM11" i="2" s="1"/>
  <c r="AO11" i="2" s="1"/>
  <c r="AL7" i="2"/>
  <c r="AM7" i="2" s="1"/>
  <c r="AL6" i="2"/>
  <c r="AM6" i="2" s="1"/>
  <c r="AL62" i="2"/>
  <c r="AM62" i="2" s="1"/>
  <c r="AL61" i="2"/>
  <c r="AM61" i="2" s="1"/>
  <c r="J55" i="2"/>
  <c r="AL53" i="2"/>
  <c r="AM53" i="2" s="1"/>
  <c r="AL52" i="2"/>
  <c r="AM52" i="2" s="1"/>
  <c r="AL51" i="2"/>
  <c r="AM51" i="2" s="1"/>
  <c r="AM3" i="2"/>
  <c r="AM4" i="2"/>
  <c r="AM2" i="2"/>
  <c r="AM5" i="2"/>
  <c r="AL22" i="2"/>
  <c r="AM22" i="2" s="1"/>
  <c r="AO22" i="2" s="1"/>
  <c r="AL24" i="2"/>
  <c r="AM24" i="2" s="1"/>
  <c r="AO24" i="2" s="1"/>
  <c r="AL20" i="2"/>
  <c r="AM20" i="2" s="1"/>
  <c r="AO20" i="2" s="1"/>
  <c r="AL23" i="2"/>
  <c r="AM23" i="2" s="1"/>
  <c r="AO23" i="2" s="1"/>
  <c r="AL25" i="2"/>
  <c r="AM25" i="2" s="1"/>
  <c r="AO25" i="2" s="1"/>
  <c r="AL21" i="2"/>
  <c r="AM21" i="2" s="1"/>
  <c r="AO21" i="2" s="1"/>
  <c r="AM17" i="2"/>
  <c r="AO17" i="2" s="1"/>
  <c r="AM15" i="2"/>
  <c r="AO15" i="2" s="1"/>
  <c r="AM16" i="2"/>
  <c r="AO16" i="2" s="1"/>
  <c r="AM18" i="2"/>
  <c r="AO18" i="2" s="1"/>
  <c r="AM14" i="2"/>
  <c r="AO14" i="2" s="1"/>
  <c r="AN8" i="2"/>
  <c r="AO8" i="2"/>
  <c r="AN9" i="2"/>
  <c r="AO9" i="2"/>
  <c r="AN10" i="2"/>
  <c r="AO10" i="2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AN13" i="2" l="1"/>
  <c r="AN11" i="2"/>
  <c r="AL56" i="2"/>
  <c r="AM56" i="2" s="1"/>
  <c r="AL55" i="2"/>
  <c r="AM55" i="2" s="1"/>
  <c r="AN12" i="2"/>
  <c r="AN16" i="2"/>
  <c r="AN14" i="2"/>
  <c r="AN22" i="2"/>
  <c r="AN24" i="2"/>
  <c r="AN15" i="2"/>
  <c r="AN23" i="2"/>
  <c r="AN20" i="2"/>
  <c r="AN18" i="2"/>
  <c r="AN19" i="2"/>
  <c r="AN25" i="2"/>
  <c r="AN17" i="2"/>
  <c r="AN21" i="2"/>
  <c r="H7" i="2"/>
  <c r="H6" i="2"/>
  <c r="H5" i="2"/>
  <c r="H4" i="2"/>
  <c r="H3" i="2"/>
  <c r="H2" i="2"/>
  <c r="B36" i="1"/>
  <c r="N36" i="1" s="1"/>
  <c r="J36" i="1"/>
  <c r="M36" i="1"/>
  <c r="O32" i="1"/>
  <c r="O28" i="1"/>
  <c r="N62" i="2"/>
  <c r="M62" i="2"/>
  <c r="L62" i="2"/>
  <c r="N61" i="2"/>
  <c r="M61" i="2"/>
  <c r="L61" i="2"/>
  <c r="N60" i="2"/>
  <c r="M60" i="2"/>
  <c r="L60" i="2"/>
  <c r="AL60" i="2"/>
  <c r="AM60" i="2" s="1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AL54" i="2"/>
  <c r="AM54" i="2" s="1"/>
  <c r="N53" i="2"/>
  <c r="M53" i="2"/>
  <c r="L53" i="2"/>
  <c r="N52" i="2"/>
  <c r="M52" i="2"/>
  <c r="L52" i="2"/>
  <c r="N51" i="2"/>
  <c r="M51" i="2"/>
  <c r="L51" i="2"/>
  <c r="AN53" i="2" l="1"/>
  <c r="AO53" i="2"/>
  <c r="AN57" i="2"/>
  <c r="AO57" i="2"/>
  <c r="AN60" i="2"/>
  <c r="AO60" i="2"/>
  <c r="AN51" i="2"/>
  <c r="AO51" i="2"/>
  <c r="AN54" i="2"/>
  <c r="AO54" i="2"/>
  <c r="AN2" i="2"/>
  <c r="AO2" i="2"/>
  <c r="AN3" i="2"/>
  <c r="AO3" i="2"/>
  <c r="AN58" i="2"/>
  <c r="AO58" i="2"/>
  <c r="AN4" i="2"/>
  <c r="AO4" i="2"/>
  <c r="AN56" i="2"/>
  <c r="AO56" i="2"/>
  <c r="AN5" i="2"/>
  <c r="AO5" i="2"/>
  <c r="AN6" i="2"/>
  <c r="AO6" i="2"/>
  <c r="AN62" i="2"/>
  <c r="AO62" i="2"/>
  <c r="AN52" i="2"/>
  <c r="AO52" i="2"/>
  <c r="AN61" i="2"/>
  <c r="AO61" i="2"/>
  <c r="AN55" i="2"/>
  <c r="AO55" i="2"/>
  <c r="AN7" i="2"/>
  <c r="AO7" i="2"/>
  <c r="AN59" i="2"/>
  <c r="AO59" i="2"/>
  <c r="O36" i="1"/>
  <c r="P36" i="1"/>
  <c r="N45" i="2"/>
  <c r="N46" i="2"/>
  <c r="N47" i="2"/>
  <c r="N48" i="2"/>
  <c r="N49" i="2"/>
  <c r="N50" i="2"/>
  <c r="N1" i="2"/>
  <c r="L45" i="2"/>
  <c r="M45" i="2"/>
  <c r="L46" i="2"/>
  <c r="M46" i="2"/>
  <c r="L47" i="2"/>
  <c r="M47" i="2"/>
  <c r="L48" i="2"/>
  <c r="M48" i="2"/>
  <c r="L49" i="2"/>
  <c r="M49" i="2"/>
  <c r="L50" i="2"/>
  <c r="M50" i="2"/>
  <c r="M1" i="2"/>
  <c r="L1" i="2"/>
  <c r="R5" i="1" l="1"/>
  <c r="H50" i="2"/>
  <c r="H49" i="2"/>
  <c r="AL48" i="2"/>
  <c r="AM48" i="2" s="1"/>
  <c r="H48" i="2"/>
  <c r="H47" i="2"/>
  <c r="H46" i="2"/>
  <c r="H45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N45" i="2" l="1"/>
  <c r="AO45" i="2"/>
  <c r="AN47" i="2"/>
  <c r="AO47" i="2"/>
  <c r="AN48" i="2"/>
  <c r="AO48" i="2"/>
  <c r="AN46" i="2"/>
  <c r="AO46" i="2"/>
  <c r="AN49" i="2"/>
  <c r="AO49" i="2"/>
  <c r="AN50" i="2"/>
  <c r="AO50" i="2"/>
  <c r="J9" i="3"/>
  <c r="J34" i="3"/>
  <c r="J17" i="3"/>
  <c r="J20" i="3"/>
  <c r="M12" i="4"/>
  <c r="M21" i="4"/>
  <c r="J3" i="3"/>
  <c r="J5" i="3"/>
  <c r="M40" i="1" l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  <c r="AN64" i="2"/>
</calcChain>
</file>

<file path=xl/sharedStrings.xml><?xml version="1.0" encoding="utf-8"?>
<sst xmlns="http://schemas.openxmlformats.org/spreadsheetml/2006/main" count="1261" uniqueCount="271">
  <si>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</si>
  <si>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</si>
  <si>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</si>
  <si>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</si>
  <si>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</si>
  <si>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</si>
  <si>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</si>
  <si>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</si>
  <si>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</si>
  <si>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</si>
  <si>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</si>
  <si>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</si>
  <si>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</si>
  <si>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</si>
  <si>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</si>
  <si>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</si>
  <si>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</si>
  <si>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</si>
  <si>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</si>
  <si>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</si>
  <si>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</si>
  <si>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</si>
  <si>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</si>
  <si>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</si>
  <si>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</si>
  <si>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</si>
  <si>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</si>
  <si>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</si>
  <si>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</si>
  <si>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</si>
  <si>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</si>
  <si>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</si>
  <si>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</si>
  <si>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</si>
  <si>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</si>
  <si>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</si>
  <si>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</si>
  <si>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</si>
  <si>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</si>
  <si>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</si>
  <si>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</si>
  <si>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</si>
  <si>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</si>
  <si>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</si>
  <si>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</si>
  <si>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</si>
  <si>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</si>
  <si>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</si>
  <si>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</si>
  <si>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</si>
  <si>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</si>
  <si>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</si>
  <si>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</si>
  <si>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</si>
  <si>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</si>
  <si>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</si>
  <si>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</si>
  <si>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</si>
  <si>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</si>
  <si>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</si>
  <si>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</si>
  <si>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</si>
  <si>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</si>
  <si>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</si>
  <si>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</si>
  <si>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</si>
  <si>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</si>
  <si>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</si>
  <si>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</si>
  <si>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</si>
  <si>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</si>
  <si>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</si>
  <si>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</si>
  <si>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</si>
  <si>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</si>
  <si>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</si>
  <si>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</si>
  <si>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</si>
  <si>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</si>
  <si>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</si>
  <si>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</si>
  <si>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</si>
  <si>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</si>
  <si>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</si>
  <si>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</si>
  <si>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</si>
  <si>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</si>
  <si>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</si>
  <si>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</si>
  <si>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</si>
  <si>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</si>
  <si>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</si>
  <si>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</si>
  <si>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</si>
  <si>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</si>
  <si>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</si>
  <si>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</si>
  <si>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</si>
  <si>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</si>
  <si>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</si>
  <si>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</si>
  <si>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</si>
  <si>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</si>
  <si>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</si>
  <si>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</si>
  <si>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</si>
  <si>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</si>
  <si>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</si>
  <si>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</si>
  <si>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</si>
  <si>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</si>
  <si>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</si>
  <si>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</si>
  <si>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</si>
  <si>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</si>
  <si>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</si>
  <si>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</si>
  <si>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</si>
  <si>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</si>
  <si>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</si>
  <si>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</si>
  <si>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</si>
  <si>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</si>
  <si>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</si>
  <si>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</si>
  <si>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</si>
  <si>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</si>
  <si>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</si>
  <si>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</si>
  <si>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</si>
  <si>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</si>
  <si>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</si>
  <si>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</si>
  <si>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</si>
  <si>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</si>
  <si>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</si>
  <si>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</si>
  <si>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</si>
  <si>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</si>
  <si>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</si>
  <si>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</si>
  <si>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</si>
  <si>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</si>
  <si>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</si>
  <si>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</si>
  <si>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</si>
  <si>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</si>
  <si>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</si>
  <si>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</si>
  <si>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</si>
  <si>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</si>
  <si>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</si>
  <si>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</si>
  <si>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</si>
  <si>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</si>
  <si>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</si>
  <si>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</si>
  <si>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</si>
  <si>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</si>
  <si>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</si>
  <si>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</si>
  <si>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Частичное-вспышка</t>
  </si>
  <si>
    <t>Возможность образования капельной смеси</t>
  </si>
  <si>
    <t>да (0,3)</t>
  </si>
  <si>
    <t>нет(0,7)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</si>
  <si>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</si>
  <si>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</si>
  <si>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</si>
  <si>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</si>
  <si>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</si>
  <si>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</si>
  <si>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</si>
  <si>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</si>
  <si>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</si>
  <si>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</si>
  <si>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</si>
  <si>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</si>
  <si>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</si>
  <si>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</si>
  <si>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</si>
  <si>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</si>
  <si>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Полное пожар</t>
  </si>
  <si>
    <t>-</t>
  </si>
  <si>
    <t>Реактор R-201, 202, 203</t>
  </si>
  <si>
    <t>Емкость V-205, V-206</t>
  </si>
  <si>
    <t>Колонна Т-202, Т-203</t>
  </si>
  <si>
    <t>Частичное разрушение→ мгновенное воспламенение→ пожар пролива</t>
  </si>
  <si>
    <t>Частичное-пожар</t>
  </si>
  <si>
    <t>Насос центробежный,Н-4/1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</si>
  <si>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</si>
  <si>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</si>
  <si>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</si>
  <si>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</si>
  <si>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</si>
  <si>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</si>
  <si>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</si>
  <si>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</si>
  <si>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</si>
  <si>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</si>
  <si>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</si>
  <si>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</si>
  <si>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</si>
  <si>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</si>
  <si>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</si>
  <si>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</si>
  <si>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</si>
  <si>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</si>
  <si>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</si>
  <si>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</si>
  <si>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</si>
  <si>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</si>
  <si>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</si>
  <si>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</si>
  <si>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</si>
  <si>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</si>
  <si>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</si>
  <si>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</si>
  <si>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</si>
  <si>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</si>
  <si>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</si>
  <si>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</si>
  <si>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</si>
  <si>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</si>
  <si>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</si>
  <si>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</si>
  <si>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</si>
  <si>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</si>
  <si>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</si>
  <si>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</si>
  <si>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</si>
  <si>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</si>
  <si>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</si>
  <si>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</si>
  <si>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</si>
  <si>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</si>
  <si>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</si>
  <si>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Емкость Е-101</t>
  </si>
  <si>
    <t>Емкость Е-206</t>
  </si>
  <si>
    <t>Емкость Е-301</t>
  </si>
  <si>
    <t xml:space="preserve">Трубопровод №30/5 (Н-104 до АСН) </t>
  </si>
  <si>
    <t xml:space="preserve">Трубопровод №1/2 (Н-101, Н-111, Н-112 до Е-101,102,103,104,113) </t>
  </si>
  <si>
    <t xml:space="preserve">Трубопровод №1/13 (Н-101 до Е-601,602,603) </t>
  </si>
  <si>
    <t>Трубопровод ряд соляных кислот  (Е-501)</t>
  </si>
  <si>
    <t>Трубопровод ряд соляных кислот  (Е-502)</t>
  </si>
  <si>
    <t>Трубопровод ряд соляных кислот  (Е-503)</t>
  </si>
  <si>
    <t>С31</t>
  </si>
  <si>
    <t>С32</t>
  </si>
  <si>
    <t>С33</t>
  </si>
  <si>
    <t>С34</t>
  </si>
  <si>
    <t>С35</t>
  </si>
  <si>
    <t>С36</t>
  </si>
  <si>
    <t>Насос Н-101</t>
  </si>
  <si>
    <t>Насос Н-208</t>
  </si>
  <si>
    <t>Н-503</t>
  </si>
  <si>
    <t>Н-502</t>
  </si>
  <si>
    <t>180 м3/ч 1шт</t>
  </si>
  <si>
    <t>45м3/ч 11шт</t>
  </si>
  <si>
    <t>Насос Н-2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</si>
  <si>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</si>
  <si>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</si>
  <si>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</si>
  <si>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</si>
  <si>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</si>
  <si>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</si>
  <si>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</si>
  <si>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</si>
  <si>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</si>
  <si>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</si>
  <si>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</si>
  <si>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</si>
  <si>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Трубопровод ряд ЛВЖ (Е-210)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</si>
</sst>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5" borderId="1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164" fontId="7" fillId="6" borderId="1" xfId="0" applyNumberFormat="1" applyFont="1" applyFill="1" applyBorder="1"/>
    <xf numFmtId="164" fontId="7" fillId="3" borderId="1" xfId="0" applyNumberFormat="1" applyFont="1" applyFill="1" applyBorder="1"/>
    <xf numFmtId="164" fontId="7" fillId="7" borderId="1" xfId="0" applyNumberFormat="1" applyFont="1" applyFill="1" applyBorder="1"/>
    <xf numFmtId="0" fontId="7" fillId="12" borderId="14" xfId="0" applyFont="1" applyFill="1" applyBorder="1" applyAlignment="1">
      <alignment wrapText="1"/>
    </xf>
    <xf numFmtId="0" fontId="7" fillId="12" borderId="15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6" fillId="12" borderId="0" xfId="0" applyFont="1" applyFill="1" applyAlignment="1">
      <alignment wrapText="1"/>
    </xf>
    <xf numFmtId="0" fontId="0" fillId="0" borderId="18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166" fontId="12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0" fillId="0" borderId="0" xfId="0" applyNumberFormat="1"/>
    <xf numFmtId="11" fontId="4" fillId="0" borderId="22" xfId="0" applyNumberFormat="1" applyFont="1" applyBorder="1" applyAlignment="1">
      <alignment horizontal="center" vertical="center" wrapText="1"/>
    </xf>
    <xf numFmtId="11" fontId="4" fillId="0" borderId="23" xfId="0" applyNumberFormat="1" applyFont="1" applyBorder="1" applyAlignment="1">
      <alignment horizontal="center" vertical="center" wrapText="1"/>
    </xf>
    <xf numFmtId="164" fontId="0" fillId="7" borderId="1" xfId="0" applyNumberFormat="1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164" fontId="7" fillId="11" borderId="0" xfId="0" applyNumberFormat="1" applyFont="1" applyFill="1"/>
    <xf numFmtId="164" fontId="7" fillId="6" borderId="0" xfId="0" applyNumberFormat="1" applyFont="1" applyFill="1"/>
    <xf numFmtId="164" fontId="7" fillId="4" borderId="0" xfId="0" applyNumberFormat="1" applyFont="1" applyFill="1"/>
    <xf numFmtId="164" fontId="7" fillId="3" borderId="0" xfId="0" applyNumberFormat="1" applyFont="1" applyFill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17" fillId="0" borderId="0" xfId="0" applyFont="1"/>
    <xf numFmtId="0" fontId="17" fillId="0" borderId="19" xfId="0" applyFont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wrapText="1"/>
    </xf>
    <xf numFmtId="164" fontId="0" fillId="6" borderId="1" xfId="0" applyNumberFormat="1" applyFont="1" applyFill="1" applyBorder="1"/>
    <xf numFmtId="0" fontId="0" fillId="0" borderId="0" xfId="0" applyFont="1"/>
    <xf numFmtId="0" fontId="0" fillId="6" borderId="0" xfId="0" applyFont="1" applyFill="1"/>
  </cellXfs>
  <cellStyles count="1">
    <cellStyle name="Обычный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5546875" defaultRowHeight="16.5"/>
  <cols>
    <col min="1" max="1" width="8.85546875" style="33"/>
    <col min="2" max="2" width="14" style="33" customWidth="1"/>
    <col min="3" max="3" width="18.28515625" style="33" customWidth="1"/>
    <col min="4" max="4" width="21.7109375" style="33" customWidth="1"/>
    <col min="5" max="5" width="17.28515625" style="33" customWidth="1"/>
    <col min="6" max="6" width="28.42578125" style="33" customWidth="1"/>
    <col min="7" max="7" width="12" style="33" hidden="1" customWidth="1"/>
    <col min="8" max="8" width="12.140625" style="129" customWidth="1"/>
    <col min="9" max="9" width="16.7109375" style="33" customWidth="1"/>
    <col min="10" max="13" width="8.85546875" style="33"/>
    <col min="14" max="14" width="8.85546875" style="118"/>
    <col min="15" max="16384" width="8.85546875" style="33"/>
  </cols>
  <sheetData>
    <row r="1" spans="2:14" ht="58.9" customHeight="1">
      <c r="B1" s="36" t="s">
        <v>190</v>
      </c>
      <c r="C1" s="124" t="s">
        <v>123</v>
      </c>
      <c r="D1" s="36" t="s">
        <v>124</v>
      </c>
      <c r="E1" s="36" t="s">
        <v>125</v>
      </c>
      <c r="F1" s="36" t="s">
        <v>126</v>
      </c>
      <c r="G1" s="36" t="s">
        <v>70</v>
      </c>
      <c r="H1" s="126" t="s">
        <v>74</v>
      </c>
      <c r="I1" s="37" t="s">
        <v>127</v>
      </c>
    </row>
    <row r="2" spans="2:14">
      <c r="B2" s="102"/>
      <c r="C2" s="102"/>
      <c r="D2" s="102"/>
      <c r="E2" s="102"/>
      <c r="F2" s="102"/>
      <c r="G2" s="102"/>
      <c r="H2" s="127"/>
      <c r="I2" s="104"/>
    </row>
    <row r="3" spans="2:14">
      <c r="B3" s="102"/>
      <c r="C3" s="102"/>
      <c r="D3" s="102"/>
      <c r="E3" s="102"/>
      <c r="F3" s="70" t="s">
        <v>128</v>
      </c>
      <c r="G3" s="105"/>
      <c r="H3" s="128">
        <f>C9*D4</f>
        <v>0.2</v>
      </c>
      <c r="I3" s="107">
        <f>B14*H3</f>
        <v>2.0000000000000002E-5</v>
      </c>
    </row>
    <row r="4" spans="2:14">
      <c r="B4" s="102"/>
      <c r="C4" s="70" t="s">
        <v>131</v>
      </c>
      <c r="D4" s="44">
        <v>0.2</v>
      </c>
      <c r="E4" s="108"/>
      <c r="F4" s="108"/>
      <c r="G4" s="102"/>
      <c r="H4" s="127"/>
      <c r="I4" s="104"/>
    </row>
    <row r="5" spans="2:14">
      <c r="B5" s="102"/>
      <c r="C5" s="110"/>
      <c r="D5" s="111"/>
      <c r="E5" s="102"/>
      <c r="F5" s="70" t="s">
        <v>189</v>
      </c>
      <c r="G5" s="105"/>
      <c r="H5" s="128">
        <f>C9*D7*F6</f>
        <v>4.0000000000000008E-2</v>
      </c>
      <c r="I5" s="107">
        <f>B14*H5</f>
        <v>4.0000000000000007E-6</v>
      </c>
    </row>
    <row r="6" spans="2:14">
      <c r="B6" s="130"/>
      <c r="C6" s="102"/>
      <c r="D6" s="111"/>
      <c r="E6" s="70" t="s">
        <v>129</v>
      </c>
      <c r="F6" s="44">
        <v>0.05</v>
      </c>
      <c r="G6" s="102"/>
      <c r="H6" s="127"/>
      <c r="I6" s="112"/>
    </row>
    <row r="7" spans="2:14">
      <c r="B7" s="130"/>
      <c r="C7" s="70" t="s">
        <v>135</v>
      </c>
      <c r="D7" s="49">
        <v>0.8</v>
      </c>
      <c r="E7" s="102"/>
      <c r="F7" s="111"/>
      <c r="G7" s="102"/>
      <c r="H7" s="127"/>
      <c r="I7" s="112"/>
    </row>
    <row r="8" spans="2:14">
      <c r="B8" s="130"/>
      <c r="C8" s="102"/>
      <c r="D8" s="111"/>
      <c r="E8" s="44">
        <v>1</v>
      </c>
      <c r="F8" s="49">
        <v>0.95</v>
      </c>
      <c r="G8" s="102"/>
      <c r="H8" s="127"/>
      <c r="I8" s="112"/>
    </row>
    <row r="9" spans="2:14">
      <c r="B9" s="131" t="s">
        <v>133</v>
      </c>
      <c r="C9" s="63">
        <v>1</v>
      </c>
      <c r="D9" s="113" t="s">
        <v>134</v>
      </c>
      <c r="E9" s="113" t="s">
        <v>132</v>
      </c>
      <c r="F9" s="114" t="s">
        <v>136</v>
      </c>
      <c r="G9" s="105"/>
      <c r="H9" s="128">
        <f>C9*D7*E8*F8</f>
        <v>0.76</v>
      </c>
      <c r="I9" s="107">
        <f>B14*H9</f>
        <v>7.6000000000000004E-5</v>
      </c>
    </row>
    <row r="10" spans="2:14">
      <c r="B10" s="130"/>
      <c r="C10" s="102"/>
      <c r="D10" s="111"/>
      <c r="E10" s="111"/>
      <c r="F10" s="102"/>
      <c r="G10" s="102"/>
      <c r="H10" s="127"/>
      <c r="I10" s="112"/>
    </row>
    <row r="11" spans="2:14">
      <c r="B11" s="130"/>
      <c r="C11" s="102"/>
      <c r="D11" s="115"/>
      <c r="E11" s="111"/>
      <c r="F11" s="102"/>
      <c r="G11" s="102"/>
      <c r="H11" s="127"/>
      <c r="I11" s="112"/>
      <c r="N11" s="118">
        <v>0.2</v>
      </c>
    </row>
    <row r="12" spans="2:14">
      <c r="B12" s="130"/>
      <c r="C12" s="102"/>
      <c r="D12" s="102"/>
      <c r="E12" s="111"/>
      <c r="F12" s="102"/>
      <c r="G12" s="102"/>
      <c r="H12" s="127"/>
      <c r="I12" s="112"/>
      <c r="N12" s="118">
        <v>4.0000000000000008E-2</v>
      </c>
    </row>
    <row r="13" spans="2:14">
      <c r="B13" s="130"/>
      <c r="C13" s="102"/>
      <c r="D13" s="102"/>
      <c r="E13" s="49">
        <v>0</v>
      </c>
      <c r="F13" s="70" t="s">
        <v>128</v>
      </c>
      <c r="G13" s="105"/>
      <c r="H13" s="128">
        <f>F14*E13*D7*C9</f>
        <v>0</v>
      </c>
      <c r="I13" s="107">
        <f>H13*B14</f>
        <v>0</v>
      </c>
      <c r="N13" s="118">
        <v>0.76</v>
      </c>
    </row>
    <row r="14" spans="2:14">
      <c r="B14" s="132">
        <f>0.0001</f>
        <v>1E-4</v>
      </c>
      <c r="C14" s="102"/>
      <c r="D14" s="70" t="s">
        <v>137</v>
      </c>
      <c r="E14" s="116" t="s">
        <v>129</v>
      </c>
      <c r="F14" s="44">
        <v>0.05</v>
      </c>
      <c r="G14" s="102"/>
      <c r="H14" s="127"/>
      <c r="I14" s="112"/>
      <c r="N14" s="118">
        <v>0.2</v>
      </c>
    </row>
    <row r="15" spans="2:14">
      <c r="B15" s="133"/>
      <c r="C15" s="102"/>
      <c r="D15" s="102"/>
      <c r="E15" s="115"/>
      <c r="F15" s="111"/>
      <c r="G15" s="102"/>
      <c r="H15" s="127"/>
      <c r="I15" s="112"/>
      <c r="N15" s="118">
        <v>4.0000000000000008E-2</v>
      </c>
    </row>
    <row r="16" spans="2:14">
      <c r="B16" s="130"/>
      <c r="C16" s="102"/>
      <c r="D16" s="102"/>
      <c r="E16" s="102"/>
      <c r="F16" s="49">
        <v>0.95</v>
      </c>
      <c r="G16" s="102"/>
      <c r="H16" s="127"/>
      <c r="I16" s="112"/>
      <c r="N16" s="118">
        <v>0.76</v>
      </c>
    </row>
    <row r="17" spans="2:9">
      <c r="B17" s="130"/>
      <c r="C17" s="102"/>
      <c r="D17" s="102"/>
      <c r="E17" s="70" t="s">
        <v>132</v>
      </c>
      <c r="F17" s="114" t="s">
        <v>136</v>
      </c>
      <c r="G17" s="105"/>
      <c r="H17" s="128">
        <f>F16*E13*D7*C9</f>
        <v>0</v>
      </c>
      <c r="I17" s="107">
        <f>B14*H17</f>
        <v>0</v>
      </c>
    </row>
    <row r="18" spans="2:9">
      <c r="B18" s="131" t="s">
        <v>139</v>
      </c>
      <c r="C18" s="63">
        <v>1</v>
      </c>
      <c r="D18" s="102"/>
      <c r="E18" s="102"/>
      <c r="F18" s="102"/>
      <c r="G18" s="102"/>
      <c r="H18" s="127"/>
      <c r="I18" s="112"/>
    </row>
    <row r="19" spans="2:9">
      <c r="B19" s="130"/>
      <c r="C19" s="102"/>
      <c r="D19" s="102"/>
      <c r="E19" s="102"/>
      <c r="F19" s="102"/>
      <c r="G19" s="102"/>
      <c r="H19" s="127"/>
      <c r="I19" s="104"/>
    </row>
    <row r="20" spans="2:9">
      <c r="B20" s="130"/>
      <c r="C20" s="102"/>
      <c r="D20" s="102"/>
      <c r="E20" s="102"/>
      <c r="F20" s="70" t="s">
        <v>128</v>
      </c>
      <c r="G20" s="105"/>
      <c r="H20" s="128">
        <f>C18*D21</f>
        <v>0.2</v>
      </c>
      <c r="I20" s="107">
        <f>B14*H20</f>
        <v>2.0000000000000002E-5</v>
      </c>
    </row>
    <row r="21" spans="2:9">
      <c r="B21" s="130"/>
      <c r="C21" s="70" t="s">
        <v>131</v>
      </c>
      <c r="D21" s="44">
        <v>0.2</v>
      </c>
      <c r="E21" s="108"/>
      <c r="F21" s="108"/>
      <c r="G21" s="102"/>
      <c r="H21" s="127"/>
      <c r="I21" s="104"/>
    </row>
    <row r="22" spans="2:9">
      <c r="B22" s="134"/>
      <c r="C22" s="110"/>
      <c r="D22" s="111"/>
      <c r="E22" s="102"/>
      <c r="F22" s="70" t="s">
        <v>143</v>
      </c>
      <c r="G22" s="105"/>
      <c r="H22" s="128">
        <f>C18*D24*F23</f>
        <v>4.0000000000000008E-2</v>
      </c>
      <c r="I22" s="107">
        <f>B14*H22</f>
        <v>4.0000000000000007E-6</v>
      </c>
    </row>
    <row r="23" spans="2:9">
      <c r="B23" s="102"/>
      <c r="C23" s="102"/>
      <c r="D23" s="111"/>
      <c r="E23" s="70" t="s">
        <v>129</v>
      </c>
      <c r="F23" s="44">
        <v>0.05</v>
      </c>
      <c r="G23" s="102"/>
      <c r="H23" s="127"/>
      <c r="I23" s="112"/>
    </row>
    <row r="24" spans="2:9">
      <c r="B24" s="102"/>
      <c r="C24" s="70" t="s">
        <v>135</v>
      </c>
      <c r="D24" s="49">
        <v>0.8</v>
      </c>
      <c r="E24" s="102"/>
      <c r="F24" s="111"/>
      <c r="G24" s="102"/>
      <c r="H24" s="127"/>
      <c r="I24" s="112"/>
    </row>
    <row r="25" spans="2:9">
      <c r="B25" s="102"/>
      <c r="C25" s="102"/>
      <c r="D25" s="111"/>
      <c r="E25" s="44">
        <v>1</v>
      </c>
      <c r="F25" s="49">
        <v>0.95</v>
      </c>
      <c r="G25" s="102"/>
      <c r="H25" s="127"/>
      <c r="I25" s="112"/>
    </row>
    <row r="26" spans="2:9">
      <c r="B26" s="102"/>
      <c r="C26" s="102"/>
      <c r="D26" s="113" t="s">
        <v>134</v>
      </c>
      <c r="E26" s="113" t="s">
        <v>132</v>
      </c>
      <c r="F26" s="114" t="s">
        <v>136</v>
      </c>
      <c r="G26" s="105"/>
      <c r="H26" s="128">
        <f>C18*D24*E25*F25</f>
        <v>0.76</v>
      </c>
      <c r="I26" s="107">
        <f>B14*H26</f>
        <v>7.6000000000000004E-5</v>
      </c>
    </row>
    <row r="27" spans="2:9">
      <c r="B27" s="102"/>
      <c r="C27" s="102"/>
      <c r="D27" s="111"/>
      <c r="E27" s="111"/>
      <c r="F27" s="102"/>
      <c r="G27" s="102"/>
      <c r="H27" s="127"/>
      <c r="I27" s="112"/>
    </row>
    <row r="28" spans="2:9">
      <c r="B28" s="102"/>
      <c r="C28" s="102"/>
      <c r="D28" s="115"/>
      <c r="E28" s="111"/>
      <c r="F28" s="102"/>
      <c r="G28" s="102"/>
      <c r="H28" s="127"/>
      <c r="I28" s="112"/>
    </row>
    <row r="29" spans="2:9">
      <c r="B29" s="102"/>
      <c r="C29" s="102"/>
      <c r="D29" s="102"/>
      <c r="E29" s="111"/>
      <c r="F29" s="102"/>
      <c r="G29" s="102"/>
      <c r="H29" s="127"/>
      <c r="I29" s="112"/>
    </row>
    <row r="30" spans="2:9">
      <c r="B30" s="102"/>
      <c r="C30" s="102"/>
      <c r="D30" s="102"/>
      <c r="E30" s="49">
        <v>0</v>
      </c>
      <c r="F30" s="70" t="s">
        <v>128</v>
      </c>
      <c r="G30" s="105"/>
      <c r="H30" s="128">
        <f>F31*E30*D24*C18</f>
        <v>0</v>
      </c>
      <c r="I30" s="107">
        <f>H30*B14</f>
        <v>0</v>
      </c>
    </row>
    <row r="31" spans="2:9">
      <c r="B31" s="102"/>
      <c r="C31" s="102"/>
      <c r="D31" s="70" t="s">
        <v>137</v>
      </c>
      <c r="E31" s="116" t="s">
        <v>129</v>
      </c>
      <c r="F31" s="44">
        <v>0.05</v>
      </c>
      <c r="G31" s="102"/>
      <c r="H31" s="127"/>
      <c r="I31" s="112"/>
    </row>
    <row r="32" spans="2:9">
      <c r="B32" s="102"/>
      <c r="C32" s="102"/>
      <c r="D32" s="102"/>
      <c r="E32" s="115"/>
      <c r="F32" s="111"/>
      <c r="G32" s="102"/>
      <c r="H32" s="127"/>
      <c r="I32" s="112"/>
    </row>
    <row r="33" spans="2:9">
      <c r="B33" s="102"/>
      <c r="C33" s="102"/>
      <c r="D33" s="102"/>
      <c r="E33" s="102"/>
      <c r="F33" s="49">
        <v>0.95</v>
      </c>
      <c r="G33" s="102"/>
      <c r="H33" s="127"/>
      <c r="I33" s="112"/>
    </row>
    <row r="34" spans="2:9">
      <c r="B34" s="102"/>
      <c r="C34" s="102"/>
      <c r="D34" s="102"/>
      <c r="E34" s="70" t="s">
        <v>132</v>
      </c>
      <c r="F34" s="114" t="s">
        <v>136</v>
      </c>
      <c r="G34" s="105"/>
      <c r="H34" s="128">
        <f>F33*E30*D24*C18</f>
        <v>0</v>
      </c>
      <c r="I34" s="107">
        <f>B14*H34</f>
        <v>0</v>
      </c>
    </row>
    <row r="35" spans="2:9">
      <c r="C35" s="102"/>
      <c r="D35" s="102"/>
      <c r="E35" s="102"/>
      <c r="F35" s="102"/>
      <c r="G35" s="102"/>
      <c r="H35" s="127"/>
      <c r="I35" s="112"/>
    </row>
  </sheetData>
  <conditionalFormatting sqref="I3:I18 I20:I35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5546875" defaultRowHeight="16.5"/>
  <cols>
    <col min="1" max="1" width="8.85546875" style="33"/>
    <col min="2" max="2" width="14" style="33" customWidth="1"/>
    <col min="3" max="3" width="18.28515625" style="33" customWidth="1"/>
    <col min="4" max="4" width="21.7109375" style="33" customWidth="1"/>
    <col min="5" max="5" width="17.28515625" style="33" customWidth="1"/>
    <col min="6" max="6" width="28.42578125" style="33" customWidth="1"/>
    <col min="7" max="7" width="12" style="33" hidden="1" customWidth="1"/>
    <col min="8" max="8" width="12.140625" style="129" customWidth="1"/>
    <col min="9" max="9" width="16.7109375" style="33" customWidth="1"/>
    <col min="10" max="13" width="8.85546875" style="33"/>
    <col min="14" max="14" width="8.85546875" style="118"/>
    <col min="15" max="16384" width="8.85546875" style="33"/>
  </cols>
  <sheetData>
    <row r="1" spans="2:9" ht="58.9" customHeight="1">
      <c r="B1" s="36" t="s">
        <v>121</v>
      </c>
      <c r="C1" s="124" t="s">
        <v>123</v>
      </c>
      <c r="D1" s="36" t="s">
        <v>124</v>
      </c>
      <c r="E1" s="36" t="s">
        <v>125</v>
      </c>
      <c r="F1" s="36" t="s">
        <v>126</v>
      </c>
      <c r="G1" s="36" t="s">
        <v>70</v>
      </c>
      <c r="H1" s="126" t="s">
        <v>74</v>
      </c>
      <c r="I1" s="37" t="s">
        <v>127</v>
      </c>
    </row>
    <row r="2" spans="2:9">
      <c r="B2" s="102"/>
      <c r="C2" s="102"/>
      <c r="D2" s="102"/>
      <c r="E2" s="102"/>
      <c r="F2" s="102"/>
      <c r="G2" s="102"/>
      <c r="H2" s="127"/>
      <c r="I2" s="104"/>
    </row>
    <row r="3" spans="2:9">
      <c r="B3" s="102"/>
      <c r="C3" s="102"/>
      <c r="D3" s="102"/>
      <c r="E3" s="102"/>
      <c r="F3" s="70" t="s">
        <v>128</v>
      </c>
      <c r="G3" s="105"/>
      <c r="H3" s="128">
        <f>C9*D4</f>
        <v>0.05</v>
      </c>
      <c r="I3" s="107">
        <f>B14*H3</f>
        <v>5.0000000000000004E-6</v>
      </c>
    </row>
    <row r="4" spans="2:9">
      <c r="B4" s="102"/>
      <c r="C4" s="70" t="s">
        <v>129</v>
      </c>
      <c r="D4" s="44">
        <v>0.05</v>
      </c>
      <c r="E4" s="108"/>
      <c r="F4" s="108"/>
      <c r="G4" s="102"/>
      <c r="H4" s="127"/>
      <c r="I4" s="104"/>
    </row>
    <row r="5" spans="2:9">
      <c r="B5" s="102"/>
      <c r="C5" s="110"/>
      <c r="D5" s="111"/>
      <c r="E5" s="102"/>
      <c r="F5" s="70" t="s">
        <v>189</v>
      </c>
      <c r="G5" s="105"/>
      <c r="H5" s="128">
        <f>C9*D7*F6</f>
        <v>4.7500000000000001E-2</v>
      </c>
      <c r="I5" s="107">
        <f>B14*H5</f>
        <v>4.7500000000000003E-6</v>
      </c>
    </row>
    <row r="6" spans="2:9">
      <c r="B6" s="130"/>
      <c r="C6" s="102"/>
      <c r="D6" s="111"/>
      <c r="E6" s="70" t="s">
        <v>129</v>
      </c>
      <c r="F6" s="44">
        <v>0.05</v>
      </c>
      <c r="G6" s="102"/>
      <c r="H6" s="127"/>
      <c r="I6" s="112"/>
    </row>
    <row r="7" spans="2:9">
      <c r="B7" s="130"/>
      <c r="C7" s="70" t="s">
        <v>132</v>
      </c>
      <c r="D7" s="49">
        <v>0.95</v>
      </c>
      <c r="E7" s="102"/>
      <c r="F7" s="111"/>
      <c r="G7" s="102"/>
      <c r="H7" s="127"/>
      <c r="I7" s="112"/>
    </row>
    <row r="8" spans="2:9">
      <c r="B8" s="130"/>
      <c r="C8" s="102"/>
      <c r="D8" s="111"/>
      <c r="E8" s="44">
        <v>1</v>
      </c>
      <c r="F8" s="49">
        <v>0.95</v>
      </c>
      <c r="G8" s="102"/>
      <c r="H8" s="127"/>
      <c r="I8" s="112"/>
    </row>
    <row r="9" spans="2:9">
      <c r="B9" s="131" t="s">
        <v>133</v>
      </c>
      <c r="C9" s="63">
        <v>1</v>
      </c>
      <c r="D9" s="113" t="s">
        <v>134</v>
      </c>
      <c r="E9" s="113" t="s">
        <v>132</v>
      </c>
      <c r="F9" s="114" t="s">
        <v>136</v>
      </c>
      <c r="G9" s="105"/>
      <c r="H9" s="128">
        <f>C9*D7*E8*F8</f>
        <v>0.90249999999999997</v>
      </c>
      <c r="I9" s="107">
        <f>B14*H9</f>
        <v>9.0249999999999998E-5</v>
      </c>
    </row>
    <row r="10" spans="2:9">
      <c r="B10" s="130"/>
      <c r="C10" s="102"/>
      <c r="D10" s="111"/>
      <c r="E10" s="111"/>
      <c r="F10" s="102"/>
      <c r="G10" s="102"/>
      <c r="H10" s="127"/>
      <c r="I10" s="112"/>
    </row>
    <row r="11" spans="2:9">
      <c r="B11" s="130"/>
      <c r="C11" s="102"/>
      <c r="D11" s="115"/>
      <c r="E11" s="111"/>
      <c r="F11" s="102"/>
      <c r="G11" s="102"/>
      <c r="H11" s="127"/>
      <c r="I11" s="112"/>
    </row>
    <row r="12" spans="2:9">
      <c r="B12" s="130"/>
      <c r="C12" s="102"/>
      <c r="D12" s="102"/>
      <c r="E12" s="111"/>
      <c r="F12" s="102"/>
      <c r="G12" s="102"/>
      <c r="H12" s="127"/>
      <c r="I12" s="112"/>
    </row>
    <row r="13" spans="2:9">
      <c r="B13" s="130"/>
      <c r="C13" s="102"/>
      <c r="D13" s="102"/>
      <c r="E13" s="49">
        <v>0</v>
      </c>
      <c r="F13" s="70" t="s">
        <v>128</v>
      </c>
      <c r="G13" s="105"/>
      <c r="H13" s="128">
        <f>F14*E13*D7*C9</f>
        <v>0</v>
      </c>
      <c r="I13" s="107">
        <f>H13*B14</f>
        <v>0</v>
      </c>
    </row>
    <row r="14" spans="2:9">
      <c r="B14" s="132">
        <f>0.0001</f>
        <v>1E-4</v>
      </c>
      <c r="C14" s="102"/>
      <c r="D14" s="70" t="s">
        <v>137</v>
      </c>
      <c r="E14" s="116" t="s">
        <v>129</v>
      </c>
      <c r="F14" s="44">
        <v>0.05</v>
      </c>
      <c r="G14" s="102"/>
      <c r="H14" s="127"/>
      <c r="I14" s="112"/>
    </row>
    <row r="15" spans="2:9">
      <c r="B15" s="133"/>
      <c r="C15" s="102"/>
      <c r="D15" s="102"/>
      <c r="E15" s="115"/>
      <c r="F15" s="111"/>
      <c r="G15" s="102"/>
      <c r="H15" s="127"/>
      <c r="I15" s="112"/>
    </row>
    <row r="16" spans="2:9">
      <c r="B16" s="130"/>
      <c r="C16" s="102"/>
      <c r="D16" s="102"/>
      <c r="E16" s="102"/>
      <c r="F16" s="49">
        <v>0.95</v>
      </c>
      <c r="G16" s="102"/>
      <c r="H16" s="127"/>
      <c r="I16" s="112"/>
    </row>
    <row r="17" spans="2:9">
      <c r="B17" s="130"/>
      <c r="C17" s="102"/>
      <c r="D17" s="102"/>
      <c r="E17" s="70" t="s">
        <v>132</v>
      </c>
      <c r="F17" s="114" t="s">
        <v>136</v>
      </c>
      <c r="G17" s="105"/>
      <c r="H17" s="128">
        <f>F16*E13*D7*C9</f>
        <v>0</v>
      </c>
      <c r="I17" s="107">
        <f>B14*H17</f>
        <v>0</v>
      </c>
    </row>
    <row r="18" spans="2:9">
      <c r="B18" s="131" t="s">
        <v>139</v>
      </c>
      <c r="C18" s="63">
        <v>1</v>
      </c>
      <c r="D18" s="102"/>
      <c r="E18" s="102"/>
      <c r="F18" s="102"/>
      <c r="G18" s="102"/>
      <c r="H18" s="127"/>
      <c r="I18" s="112"/>
    </row>
    <row r="19" spans="2:9">
      <c r="B19" s="130"/>
      <c r="C19" s="102"/>
      <c r="D19" s="102"/>
      <c r="E19" s="102"/>
      <c r="F19" s="102"/>
      <c r="G19" s="102"/>
      <c r="H19" s="127"/>
      <c r="I19" s="104"/>
    </row>
    <row r="20" spans="2:9">
      <c r="B20" s="130"/>
      <c r="C20" s="102"/>
      <c r="D20" s="102"/>
      <c r="E20" s="102"/>
      <c r="F20" s="70" t="s">
        <v>128</v>
      </c>
      <c r="G20" s="105"/>
      <c r="H20" s="128">
        <f>C18*D21</f>
        <v>0.05</v>
      </c>
      <c r="I20" s="107">
        <f>B14*H20</f>
        <v>5.0000000000000004E-6</v>
      </c>
    </row>
    <row r="21" spans="2:9">
      <c r="B21" s="130"/>
      <c r="C21" s="70" t="s">
        <v>129</v>
      </c>
      <c r="D21" s="44">
        <v>0.05</v>
      </c>
      <c r="E21" s="108"/>
      <c r="F21" s="108"/>
      <c r="G21" s="102"/>
      <c r="H21" s="127"/>
      <c r="I21" s="104"/>
    </row>
    <row r="22" spans="2:9">
      <c r="B22" s="134"/>
      <c r="C22" s="110"/>
      <c r="D22" s="111"/>
      <c r="E22" s="102"/>
      <c r="F22" s="70" t="s">
        <v>143</v>
      </c>
      <c r="G22" s="105"/>
      <c r="H22" s="128">
        <f>C18*D24*F23</f>
        <v>4.7500000000000001E-2</v>
      </c>
      <c r="I22" s="107">
        <f>B14*H22</f>
        <v>4.7500000000000003E-6</v>
      </c>
    </row>
    <row r="23" spans="2:9">
      <c r="B23" s="102"/>
      <c r="C23" s="102"/>
      <c r="D23" s="111"/>
      <c r="E23" s="70" t="s">
        <v>129</v>
      </c>
      <c r="F23" s="44">
        <v>0.05</v>
      </c>
      <c r="G23" s="102"/>
      <c r="H23" s="127"/>
      <c r="I23" s="112"/>
    </row>
    <row r="24" spans="2:9">
      <c r="B24" s="102"/>
      <c r="C24" s="70" t="s">
        <v>132</v>
      </c>
      <c r="D24" s="49">
        <v>0.95</v>
      </c>
      <c r="E24" s="102"/>
      <c r="F24" s="111"/>
      <c r="G24" s="102"/>
      <c r="H24" s="127"/>
      <c r="I24" s="112"/>
    </row>
    <row r="25" spans="2:9">
      <c r="B25" s="102"/>
      <c r="C25" s="102"/>
      <c r="D25" s="111"/>
      <c r="E25" s="44">
        <v>1</v>
      </c>
      <c r="F25" s="49">
        <v>0.95</v>
      </c>
      <c r="G25" s="102"/>
      <c r="H25" s="127"/>
      <c r="I25" s="112"/>
    </row>
    <row r="26" spans="2:9">
      <c r="B26" s="102"/>
      <c r="C26" s="102"/>
      <c r="D26" s="113" t="s">
        <v>134</v>
      </c>
      <c r="E26" s="113" t="s">
        <v>132</v>
      </c>
      <c r="F26" s="114" t="s">
        <v>136</v>
      </c>
      <c r="G26" s="105"/>
      <c r="H26" s="128">
        <f>C18*D24*E25*F25</f>
        <v>0.90249999999999997</v>
      </c>
      <c r="I26" s="107">
        <f>B14*H26</f>
        <v>9.0249999999999998E-5</v>
      </c>
    </row>
    <row r="27" spans="2:9">
      <c r="B27" s="102"/>
      <c r="C27" s="102"/>
      <c r="D27" s="111"/>
      <c r="E27" s="111"/>
      <c r="F27" s="102"/>
      <c r="G27" s="102"/>
      <c r="H27" s="127"/>
      <c r="I27" s="112"/>
    </row>
    <row r="28" spans="2:9">
      <c r="B28" s="102"/>
      <c r="C28" s="102"/>
      <c r="D28" s="115"/>
      <c r="E28" s="111"/>
      <c r="F28" s="102"/>
      <c r="G28" s="102"/>
      <c r="H28" s="127"/>
      <c r="I28" s="112"/>
    </row>
    <row r="29" spans="2:9">
      <c r="B29" s="102"/>
      <c r="C29" s="102"/>
      <c r="D29" s="102"/>
      <c r="E29" s="111"/>
      <c r="F29" s="102"/>
      <c r="G29" s="102"/>
      <c r="H29" s="127"/>
      <c r="I29" s="112"/>
    </row>
    <row r="30" spans="2:9">
      <c r="B30" s="102"/>
      <c r="C30" s="102"/>
      <c r="D30" s="102"/>
      <c r="E30" s="49">
        <v>0</v>
      </c>
      <c r="F30" s="70" t="s">
        <v>128</v>
      </c>
      <c r="G30" s="105"/>
      <c r="H30" s="128">
        <f>F31*E30*D24*C18</f>
        <v>0</v>
      </c>
      <c r="I30" s="107">
        <f>H30*B14</f>
        <v>0</v>
      </c>
    </row>
    <row r="31" spans="2:9">
      <c r="B31" s="102"/>
      <c r="C31" s="102"/>
      <c r="D31" s="70" t="s">
        <v>137</v>
      </c>
      <c r="E31" s="116" t="s">
        <v>129</v>
      </c>
      <c r="F31" s="44">
        <v>0.05</v>
      </c>
      <c r="G31" s="102"/>
      <c r="H31" s="127"/>
      <c r="I31" s="112"/>
    </row>
    <row r="32" spans="2:9">
      <c r="B32" s="102"/>
      <c r="C32" s="102"/>
      <c r="D32" s="102"/>
      <c r="E32" s="115"/>
      <c r="F32" s="111"/>
      <c r="G32" s="102"/>
      <c r="H32" s="127"/>
      <c r="I32" s="112"/>
    </row>
    <row r="33" spans="2:9">
      <c r="B33" s="102"/>
      <c r="C33" s="102"/>
      <c r="D33" s="102"/>
      <c r="E33" s="102"/>
      <c r="F33" s="49">
        <v>0.95</v>
      </c>
      <c r="G33" s="102"/>
      <c r="H33" s="127"/>
      <c r="I33" s="112"/>
    </row>
    <row r="34" spans="2:9">
      <c r="B34" s="102"/>
      <c r="C34" s="102"/>
      <c r="D34" s="102"/>
      <c r="E34" s="70" t="s">
        <v>132</v>
      </c>
      <c r="F34" s="114" t="s">
        <v>136</v>
      </c>
      <c r="G34" s="105"/>
      <c r="H34" s="128">
        <f>F33*E30*D24*C18</f>
        <v>0</v>
      </c>
      <c r="I34" s="107">
        <f>B14*H34</f>
        <v>0</v>
      </c>
    </row>
    <row r="35" spans="2:9">
      <c r="C35" s="102"/>
      <c r="D35" s="102"/>
      <c r="E35" s="102"/>
      <c r="F35" s="102"/>
      <c r="G35" s="102"/>
      <c r="H35" s="127"/>
      <c r="I35" s="112"/>
    </row>
  </sheetData>
  <conditionalFormatting sqref="I3:I18 I20:I35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/>
  <cols>
    <col min="1" max="1" width="8.85546875" style="33"/>
    <col min="2" max="2" width="14" style="33" customWidth="1"/>
    <col min="3" max="3" width="17.7109375" style="33" customWidth="1"/>
    <col min="4" max="4" width="18.28515625" style="33" customWidth="1"/>
    <col min="5" max="5" width="21.7109375" style="33" customWidth="1"/>
    <col min="6" max="6" width="17.28515625" style="33" customWidth="1"/>
    <col min="7" max="7" width="28.42578125" style="33" customWidth="1"/>
    <col min="8" max="8" width="12" style="33" hidden="1" customWidth="1"/>
    <col min="9" max="9" width="12.140625" customWidth="1"/>
    <col min="10" max="10" width="16.7109375" style="33" customWidth="1"/>
    <col min="11" max="14" width="8.85546875" style="33"/>
    <col min="15" max="15" width="8.85546875" style="118"/>
    <col min="16" max="16384" width="8.85546875" style="33"/>
  </cols>
  <sheetData>
    <row r="1" spans="2:10" ht="58.9" customHeight="1">
      <c r="B1" s="125" t="s">
        <v>162</v>
      </c>
      <c r="C1" s="124"/>
      <c r="D1" s="124" t="s">
        <v>123</v>
      </c>
      <c r="E1" s="36" t="s">
        <v>124</v>
      </c>
      <c r="F1" s="36" t="s">
        <v>125</v>
      </c>
      <c r="G1" s="36" t="s">
        <v>126</v>
      </c>
      <c r="H1" s="36" t="s">
        <v>70</v>
      </c>
      <c r="I1" s="36" t="s">
        <v>74</v>
      </c>
      <c r="J1" s="37" t="s">
        <v>127</v>
      </c>
    </row>
    <row r="2" spans="2:10">
      <c r="B2" s="102"/>
      <c r="C2" s="102"/>
      <c r="D2" s="102"/>
      <c r="E2" s="102"/>
      <c r="F2" s="102"/>
      <c r="G2" s="102"/>
      <c r="H2" s="102"/>
      <c r="I2" s="103"/>
      <c r="J2" s="104"/>
    </row>
    <row r="3" spans="2:10">
      <c r="B3" s="102"/>
      <c r="C3" s="102"/>
      <c r="D3" s="102"/>
      <c r="E3" s="102"/>
      <c r="F3" s="102"/>
      <c r="G3" s="70" t="s">
        <v>138</v>
      </c>
      <c r="H3" s="105"/>
      <c r="I3" s="106">
        <f>C9*E4</f>
        <v>1.4999999999999999E-2</v>
      </c>
      <c r="J3" s="107">
        <f>B14*I3</f>
        <v>1.5E-6</v>
      </c>
    </row>
    <row r="4" spans="2:10">
      <c r="B4" s="102"/>
      <c r="C4" s="102"/>
      <c r="D4" s="70" t="s">
        <v>129</v>
      </c>
      <c r="E4" s="44">
        <v>0.05</v>
      </c>
      <c r="F4" s="108"/>
      <c r="G4" s="108"/>
      <c r="H4" s="102"/>
      <c r="I4" s="109"/>
      <c r="J4" s="104"/>
    </row>
    <row r="5" spans="2:10">
      <c r="B5" s="102"/>
      <c r="C5" s="110"/>
      <c r="D5" s="110"/>
      <c r="E5" s="111"/>
      <c r="F5" s="102"/>
      <c r="G5" s="70" t="s">
        <v>130</v>
      </c>
      <c r="H5" s="105"/>
      <c r="I5" s="106">
        <f>C9*E7*G6</f>
        <v>1.4249999999999999E-2</v>
      </c>
      <c r="J5" s="107">
        <f>B14*I5</f>
        <v>1.4249999999999999E-6</v>
      </c>
    </row>
    <row r="6" spans="2:10">
      <c r="B6" s="102"/>
      <c r="C6" s="111"/>
      <c r="D6" s="102"/>
      <c r="E6" s="111"/>
      <c r="F6" s="70" t="s">
        <v>129</v>
      </c>
      <c r="G6" s="44">
        <v>0.05</v>
      </c>
      <c r="H6" s="102"/>
      <c r="I6" s="109"/>
      <c r="J6" s="112"/>
    </row>
    <row r="7" spans="2:10">
      <c r="B7" s="102"/>
      <c r="C7" s="111"/>
      <c r="D7" s="70" t="s">
        <v>132</v>
      </c>
      <c r="E7" s="49">
        <v>0.95</v>
      </c>
      <c r="F7" s="102"/>
      <c r="G7" s="111"/>
      <c r="H7" s="102"/>
      <c r="I7" s="109"/>
      <c r="J7" s="112"/>
    </row>
    <row r="8" spans="2:10">
      <c r="B8" s="102"/>
      <c r="C8" s="111"/>
      <c r="D8" s="102"/>
      <c r="E8" s="111"/>
      <c r="F8" s="44">
        <v>1</v>
      </c>
      <c r="G8" s="49">
        <v>0.95</v>
      </c>
      <c r="H8" s="102"/>
      <c r="I8" s="109"/>
      <c r="J8" s="112"/>
    </row>
    <row r="9" spans="2:10">
      <c r="B9" s="70" t="s">
        <v>163</v>
      </c>
      <c r="C9" s="49">
        <v>0.3</v>
      </c>
      <c r="D9" s="102"/>
      <c r="E9" s="113" t="s">
        <v>134</v>
      </c>
      <c r="F9" s="113" t="s">
        <v>132</v>
      </c>
      <c r="G9" s="114" t="s">
        <v>136</v>
      </c>
      <c r="H9" s="105"/>
      <c r="I9" s="106">
        <f>C9*E7*F8*G8</f>
        <v>0.27074999999999999</v>
      </c>
      <c r="J9" s="107">
        <f>B14*I9</f>
        <v>2.7075000000000001E-5</v>
      </c>
    </row>
    <row r="10" spans="2:10">
      <c r="B10" s="102"/>
      <c r="C10" s="111"/>
      <c r="D10" s="102"/>
      <c r="E10" s="111"/>
      <c r="F10" s="111"/>
      <c r="G10" s="102"/>
      <c r="H10" s="102"/>
      <c r="I10" s="109"/>
      <c r="J10" s="112"/>
    </row>
    <row r="11" spans="2:10">
      <c r="B11" s="102"/>
      <c r="C11" s="111"/>
      <c r="D11" s="102"/>
      <c r="E11" s="115"/>
      <c r="F11" s="111"/>
      <c r="G11" s="102"/>
      <c r="H11" s="102"/>
      <c r="I11" s="109"/>
      <c r="J11" s="112"/>
    </row>
    <row r="12" spans="2:10">
      <c r="B12" s="102"/>
      <c r="C12" s="111"/>
      <c r="D12" s="102"/>
      <c r="E12" s="102"/>
      <c r="F12" s="111"/>
      <c r="G12" s="102"/>
      <c r="H12" s="102"/>
      <c r="I12" s="109"/>
      <c r="J12" s="112"/>
    </row>
    <row r="13" spans="2:10">
      <c r="B13" s="102"/>
      <c r="C13" s="111"/>
      <c r="D13" s="102"/>
      <c r="E13" s="102"/>
      <c r="F13" s="49">
        <v>0</v>
      </c>
      <c r="G13" s="70" t="s">
        <v>128</v>
      </c>
      <c r="H13" s="105"/>
      <c r="I13" s="106">
        <f>G14*F13*E7*C9</f>
        <v>0</v>
      </c>
      <c r="J13" s="107">
        <f>I13*B14</f>
        <v>0</v>
      </c>
    </row>
    <row r="14" spans="2:10">
      <c r="B14" s="53">
        <f>0.0001</f>
        <v>1E-4</v>
      </c>
      <c r="C14" s="111"/>
      <c r="D14" s="102"/>
      <c r="E14" s="70" t="s">
        <v>137</v>
      </c>
      <c r="F14" s="116" t="s">
        <v>129</v>
      </c>
      <c r="G14" s="44">
        <v>0.05</v>
      </c>
      <c r="H14" s="102"/>
      <c r="I14" s="109"/>
      <c r="J14" s="112"/>
    </row>
    <row r="15" spans="2:10">
      <c r="B15" s="55"/>
      <c r="C15" s="111"/>
      <c r="D15" s="102"/>
      <c r="E15" s="102"/>
      <c r="F15" s="115"/>
      <c r="G15" s="111"/>
      <c r="H15" s="102"/>
      <c r="I15" s="109"/>
      <c r="J15" s="112"/>
    </row>
    <row r="16" spans="2:10">
      <c r="B16" s="102"/>
      <c r="C16" s="111"/>
      <c r="D16" s="102"/>
      <c r="E16" s="102"/>
      <c r="F16" s="102"/>
      <c r="G16" s="49">
        <v>0.95</v>
      </c>
      <c r="H16" s="102"/>
      <c r="I16" s="109"/>
      <c r="J16" s="112"/>
    </row>
    <row r="17" spans="2:15">
      <c r="B17" s="102"/>
      <c r="C17" s="111"/>
      <c r="D17" s="102"/>
      <c r="E17" s="102"/>
      <c r="F17" s="70" t="s">
        <v>132</v>
      </c>
      <c r="G17" s="114" t="s">
        <v>136</v>
      </c>
      <c r="H17" s="105"/>
      <c r="I17" s="106">
        <f>G16*F13*E7*C9</f>
        <v>0</v>
      </c>
      <c r="J17" s="107">
        <f>B14*I17</f>
        <v>0</v>
      </c>
    </row>
    <row r="18" spans="2:15">
      <c r="B18" s="70" t="s">
        <v>164</v>
      </c>
      <c r="C18" s="49">
        <v>0.7</v>
      </c>
      <c r="D18" s="102"/>
      <c r="E18" s="102"/>
      <c r="F18" s="102"/>
      <c r="G18" s="102"/>
      <c r="H18" s="102"/>
      <c r="I18" s="109"/>
      <c r="J18" s="112"/>
    </row>
    <row r="19" spans="2:15">
      <c r="B19" s="102"/>
      <c r="C19" s="111"/>
      <c r="D19" s="102"/>
      <c r="E19" s="102"/>
      <c r="F19" s="102"/>
      <c r="G19" s="102"/>
      <c r="H19" s="102"/>
      <c r="I19" s="103"/>
      <c r="J19" s="104"/>
      <c r="O19" s="118">
        <v>1.4999999999999999E-2</v>
      </c>
    </row>
    <row r="20" spans="2:15">
      <c r="B20" s="102"/>
      <c r="C20" s="111"/>
      <c r="D20" s="102"/>
      <c r="E20" s="102"/>
      <c r="F20" s="102"/>
      <c r="G20" s="70" t="s">
        <v>128</v>
      </c>
      <c r="H20" s="105"/>
      <c r="I20" s="106">
        <f>C18*E21</f>
        <v>3.4999999999999996E-2</v>
      </c>
      <c r="J20" s="107">
        <f>B14*I20</f>
        <v>3.4999999999999999E-6</v>
      </c>
      <c r="O20" s="118">
        <v>1.4249999999999999E-2</v>
      </c>
    </row>
    <row r="21" spans="2:15">
      <c r="B21" s="102"/>
      <c r="C21" s="111"/>
      <c r="D21" s="70" t="s">
        <v>129</v>
      </c>
      <c r="E21" s="44">
        <v>0.05</v>
      </c>
      <c r="F21" s="108"/>
      <c r="G21" s="108"/>
      <c r="H21" s="102"/>
      <c r="I21" s="109"/>
      <c r="J21" s="104"/>
      <c r="O21" s="118">
        <v>0.27074999999999999</v>
      </c>
    </row>
    <row r="22" spans="2:15">
      <c r="C22" s="117"/>
      <c r="D22" s="110"/>
      <c r="E22" s="111"/>
      <c r="F22" s="102"/>
      <c r="G22" s="70" t="s">
        <v>143</v>
      </c>
      <c r="H22" s="105"/>
      <c r="I22" s="106">
        <f>C18*E24*G23</f>
        <v>3.3249999999999995E-2</v>
      </c>
      <c r="J22" s="107">
        <f>B14*I22</f>
        <v>3.3249999999999995E-6</v>
      </c>
      <c r="O22" s="118">
        <v>3.4999999999999996E-2</v>
      </c>
    </row>
    <row r="23" spans="2:15">
      <c r="B23" s="102"/>
      <c r="C23" s="102"/>
      <c r="D23" s="102"/>
      <c r="E23" s="111"/>
      <c r="F23" s="70" t="s">
        <v>129</v>
      </c>
      <c r="G23" s="44">
        <v>0.05</v>
      </c>
      <c r="H23" s="102"/>
      <c r="I23" s="109"/>
      <c r="J23" s="112"/>
      <c r="O23" s="118">
        <v>3.3249999999999995E-2</v>
      </c>
    </row>
    <row r="24" spans="2:15">
      <c r="B24" s="102"/>
      <c r="C24" s="102"/>
      <c r="D24" s="70" t="s">
        <v>132</v>
      </c>
      <c r="E24" s="49">
        <v>0.95</v>
      </c>
      <c r="F24" s="102"/>
      <c r="G24" s="111"/>
      <c r="H24" s="102"/>
      <c r="I24" s="109"/>
      <c r="J24" s="112"/>
      <c r="O24" s="118">
        <v>0.63174999999999992</v>
      </c>
    </row>
    <row r="25" spans="2:15">
      <c r="B25" s="102"/>
      <c r="C25" s="70"/>
      <c r="D25" s="102"/>
      <c r="E25" s="111"/>
      <c r="F25" s="44">
        <v>1</v>
      </c>
      <c r="G25" s="49">
        <v>0.95</v>
      </c>
      <c r="H25" s="102"/>
      <c r="I25" s="109"/>
      <c r="J25" s="112"/>
    </row>
    <row r="26" spans="2:15">
      <c r="B26" s="102"/>
      <c r="C26" s="102"/>
      <c r="D26" s="102"/>
      <c r="E26" s="113" t="s">
        <v>134</v>
      </c>
      <c r="F26" s="113" t="s">
        <v>132</v>
      </c>
      <c r="G26" s="114" t="s">
        <v>136</v>
      </c>
      <c r="H26" s="105"/>
      <c r="I26" s="106">
        <f>C18*E24*F25*G25</f>
        <v>0.63174999999999992</v>
      </c>
      <c r="J26" s="107">
        <f>B14*I26</f>
        <v>6.3174999999999991E-5</v>
      </c>
    </row>
    <row r="27" spans="2:15">
      <c r="B27" s="102"/>
      <c r="C27" s="102"/>
      <c r="D27" s="102"/>
      <c r="E27" s="111"/>
      <c r="F27" s="111"/>
      <c r="G27" s="102"/>
      <c r="H27" s="102"/>
      <c r="I27" s="109"/>
      <c r="J27" s="112"/>
    </row>
    <row r="28" spans="2:15">
      <c r="B28" s="102"/>
      <c r="C28" s="102"/>
      <c r="D28" s="102"/>
      <c r="E28" s="115"/>
      <c r="F28" s="111"/>
      <c r="G28" s="102"/>
      <c r="H28" s="102"/>
      <c r="I28" s="109"/>
      <c r="J28" s="112"/>
    </row>
    <row r="29" spans="2:15">
      <c r="B29" s="102"/>
      <c r="C29" s="70"/>
      <c r="D29" s="102"/>
      <c r="E29" s="102"/>
      <c r="F29" s="111"/>
      <c r="G29" s="102"/>
      <c r="H29" s="102"/>
      <c r="I29" s="109"/>
      <c r="J29" s="112"/>
    </row>
    <row r="30" spans="2:15">
      <c r="B30" s="102"/>
      <c r="C30" s="102"/>
      <c r="D30" s="102"/>
      <c r="E30" s="102"/>
      <c r="F30" s="49">
        <v>0</v>
      </c>
      <c r="G30" s="70" t="s">
        <v>128</v>
      </c>
      <c r="H30" s="105"/>
      <c r="I30" s="106">
        <f>G31*F30*E24*C18</f>
        <v>0</v>
      </c>
      <c r="J30" s="107">
        <f>I30*B14</f>
        <v>0</v>
      </c>
    </row>
    <row r="31" spans="2:15">
      <c r="B31" s="102"/>
      <c r="C31" s="102"/>
      <c r="D31" s="102"/>
      <c r="E31" s="70" t="s">
        <v>137</v>
      </c>
      <c r="F31" s="116" t="s">
        <v>129</v>
      </c>
      <c r="G31" s="44">
        <v>0.05</v>
      </c>
      <c r="H31" s="102"/>
      <c r="I31" s="109"/>
      <c r="J31" s="112"/>
    </row>
    <row r="32" spans="2:15">
      <c r="B32" s="102"/>
      <c r="C32" s="102"/>
      <c r="D32" s="102"/>
      <c r="E32" s="102"/>
      <c r="F32" s="115"/>
      <c r="G32" s="111"/>
      <c r="H32" s="102"/>
      <c r="I32" s="109"/>
      <c r="J32" s="112"/>
    </row>
    <row r="33" spans="2:10">
      <c r="B33" s="102"/>
      <c r="C33" s="102"/>
      <c r="D33" s="102"/>
      <c r="E33" s="102"/>
      <c r="F33" s="102"/>
      <c r="G33" s="49">
        <v>0.95</v>
      </c>
      <c r="H33" s="102"/>
      <c r="I33" s="109"/>
      <c r="J33" s="112"/>
    </row>
    <row r="34" spans="2:10">
      <c r="B34" s="102"/>
      <c r="C34" s="102"/>
      <c r="D34" s="102"/>
      <c r="E34" s="102"/>
      <c r="F34" s="70" t="s">
        <v>132</v>
      </c>
      <c r="G34" s="114" t="s">
        <v>136</v>
      </c>
      <c r="H34" s="105"/>
      <c r="I34" s="106">
        <f>G33*F30*E24*C18</f>
        <v>0</v>
      </c>
      <c r="J34" s="107">
        <f>B14*I34</f>
        <v>0</v>
      </c>
    </row>
    <row r="35" spans="2:10">
      <c r="D35" s="102"/>
      <c r="E35" s="102"/>
      <c r="F35" s="102"/>
      <c r="G35" s="102"/>
      <c r="H35" s="102"/>
      <c r="I35" s="109"/>
      <c r="J35" s="112"/>
    </row>
  </sheetData>
  <conditionalFormatting sqref="J3:J18 J20:J35">
    <cfRule type="cellIs" dxfId="1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26"/>
  <sheetViews>
    <sheetView zoomScale="70" zoomScaleNormal="70" workbookViewId="0">
      <pane ySplit="1" topLeftCell="A71" activePane="bottomLeft" state="frozen"/>
      <selection pane="bottomLeft" activeCell="C1" sqref="C1:L125"/>
    </sheetView>
  </sheetViews>
  <sheetFormatPr defaultColWidth="8.85546875" defaultRowHeight="16.5"/>
  <cols>
    <col min="1" max="2" width="8.85546875" style="33"/>
    <col min="3" max="3" width="12.42578125" style="33" customWidth="1"/>
    <col min="4" max="4" width="12.5703125" style="33" customWidth="1"/>
    <col min="5" max="5" width="14.7109375" style="33" customWidth="1"/>
    <col min="6" max="6" width="11.28515625" style="33" customWidth="1"/>
    <col min="7" max="7" width="13" style="33" customWidth="1"/>
    <col min="8" max="9" width="15.28515625" style="33" customWidth="1"/>
    <col min="10" max="10" width="30.5703125" style="33" customWidth="1"/>
    <col min="11" max="11" width="10.7109375" style="33" customWidth="1"/>
    <col min="12" max="12" width="11.140625" style="33" customWidth="1"/>
    <col min="13" max="13" width="13.7109375" style="33" customWidth="1"/>
    <col min="14" max="16384" width="8.85546875" style="33"/>
  </cols>
  <sheetData>
    <row r="1" spans="3:13" ht="66.75" customHeight="1">
      <c r="C1" s="36" t="s">
        <v>121</v>
      </c>
      <c r="D1" s="36" t="s">
        <v>144</v>
      </c>
      <c r="E1" s="36" t="s">
        <v>145</v>
      </c>
      <c r="F1" s="36" t="s">
        <v>146</v>
      </c>
      <c r="G1" s="36" t="s">
        <v>147</v>
      </c>
      <c r="H1" s="36" t="s">
        <v>148</v>
      </c>
      <c r="I1" s="36" t="s">
        <v>149</v>
      </c>
      <c r="J1" s="36" t="s">
        <v>126</v>
      </c>
      <c r="K1" s="36" t="s">
        <v>70</v>
      </c>
      <c r="L1" s="36" t="s">
        <v>74</v>
      </c>
      <c r="M1" s="37" t="s">
        <v>127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150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129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151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129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134</v>
      </c>
      <c r="F8" s="49">
        <v>1</v>
      </c>
      <c r="G8" s="50" t="s">
        <v>134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132</v>
      </c>
      <c r="G9" s="58">
        <v>0.95</v>
      </c>
      <c r="H9" s="48"/>
      <c r="I9" s="40" t="s">
        <v>132</v>
      </c>
      <c r="J9" s="51" t="s">
        <v>136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137</v>
      </c>
      <c r="H12" s="57">
        <v>0</v>
      </c>
      <c r="I12" s="38"/>
      <c r="J12" s="40" t="s">
        <v>128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152</v>
      </c>
      <c r="E13" s="49">
        <v>0</v>
      </c>
      <c r="F13" s="48"/>
      <c r="G13" s="38"/>
      <c r="H13" s="48"/>
      <c r="I13" s="40" t="s">
        <v>129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137</v>
      </c>
      <c r="F16" s="57">
        <v>0</v>
      </c>
      <c r="G16" s="38"/>
      <c r="H16" s="38"/>
      <c r="I16" s="40" t="s">
        <v>132</v>
      </c>
      <c r="J16" s="51" t="s">
        <v>136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150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129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151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129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134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153</v>
      </c>
      <c r="E25" s="49">
        <v>1</v>
      </c>
      <c r="F25" s="40" t="s">
        <v>132</v>
      </c>
      <c r="G25" s="58">
        <v>0.95</v>
      </c>
      <c r="H25" s="48"/>
      <c r="I25" s="40" t="s">
        <v>132</v>
      </c>
      <c r="J25" s="51" t="s">
        <v>136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137</v>
      </c>
      <c r="H28" s="49">
        <v>0</v>
      </c>
      <c r="I28" s="38"/>
      <c r="J28" s="40" t="s">
        <v>128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129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132</v>
      </c>
      <c r="J32" s="51" t="s">
        <v>136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150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129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151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129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134</v>
      </c>
      <c r="F41" s="49">
        <v>1</v>
      </c>
      <c r="G41" s="50" t="s">
        <v>134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132</v>
      </c>
      <c r="G42" s="58">
        <v>0.95</v>
      </c>
      <c r="H42" s="48"/>
      <c r="I42" s="40" t="s">
        <v>132</v>
      </c>
      <c r="J42" s="51" t="s">
        <v>136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137</v>
      </c>
      <c r="H45" s="49">
        <v>0</v>
      </c>
      <c r="I45" s="38"/>
      <c r="J45" s="40" t="s">
        <v>128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129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137</v>
      </c>
      <c r="F49" s="49">
        <v>0</v>
      </c>
      <c r="G49" s="38"/>
      <c r="H49" s="38"/>
      <c r="I49" s="40" t="s">
        <v>132</v>
      </c>
      <c r="J49" s="51" t="s">
        <v>136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154</v>
      </c>
      <c r="D52" s="49">
        <v>1</v>
      </c>
      <c r="E52" s="38"/>
      <c r="F52" s="48"/>
      <c r="G52" s="47"/>
      <c r="H52" s="47"/>
      <c r="I52" s="47"/>
      <c r="J52" s="66" t="s">
        <v>150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129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151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129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134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132</v>
      </c>
      <c r="G58" s="58">
        <v>0.95</v>
      </c>
      <c r="H58" s="48"/>
      <c r="I58" s="40" t="s">
        <v>132</v>
      </c>
      <c r="J58" s="51" t="s">
        <v>136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137</v>
      </c>
      <c r="H61" s="49">
        <v>0</v>
      </c>
      <c r="I61" s="38"/>
      <c r="J61" s="40" t="s">
        <v>128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129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132</v>
      </c>
      <c r="J65" s="51" t="s">
        <v>136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128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129</v>
      </c>
      <c r="G72" s="49">
        <v>0.05</v>
      </c>
      <c r="H72" s="38"/>
      <c r="I72" s="38"/>
      <c r="J72" s="56" t="s">
        <v>155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129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134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132</v>
      </c>
      <c r="J76" s="51" t="s">
        <v>136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139</v>
      </c>
      <c r="D77" s="49">
        <v>1</v>
      </c>
      <c r="E77" s="38"/>
      <c r="F77" s="48"/>
      <c r="G77" s="50" t="s">
        <v>134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132</v>
      </c>
      <c r="G78" s="58">
        <v>0.95</v>
      </c>
      <c r="H78" s="50" t="s">
        <v>137</v>
      </c>
      <c r="I78" s="49">
        <v>0</v>
      </c>
      <c r="J78" s="56" t="s">
        <v>128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129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132</v>
      </c>
      <c r="J82" s="51" t="s">
        <v>136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134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128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137</v>
      </c>
      <c r="H86" s="49">
        <v>0</v>
      </c>
      <c r="I86" s="40" t="s">
        <v>129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134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132</v>
      </c>
      <c r="J89" s="51" t="s">
        <v>136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137</v>
      </c>
      <c r="I91" s="49">
        <v>0</v>
      </c>
      <c r="J91" s="56" t="s">
        <v>128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129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132</v>
      </c>
      <c r="J95" s="51" t="s">
        <v>136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137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128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129</v>
      </c>
      <c r="G102" s="49">
        <v>0.05</v>
      </c>
      <c r="H102" s="38"/>
      <c r="I102" s="38"/>
      <c r="J102" s="56" t="s">
        <v>155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129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134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132</v>
      </c>
      <c r="J106" s="51" t="s">
        <v>136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134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132</v>
      </c>
      <c r="G108" s="58">
        <v>0.95</v>
      </c>
      <c r="H108" s="50" t="s">
        <v>137</v>
      </c>
      <c r="I108" s="49">
        <v>0</v>
      </c>
      <c r="J108" s="56" t="s">
        <v>128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129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132</v>
      </c>
      <c r="J112" s="51" t="s">
        <v>136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128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137</v>
      </c>
      <c r="H116" s="49">
        <v>0</v>
      </c>
      <c r="I116" s="40" t="s">
        <v>129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134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132</v>
      </c>
      <c r="J119" s="51" t="s">
        <v>136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137</v>
      </c>
      <c r="I121" s="49">
        <v>0</v>
      </c>
      <c r="J121" s="56" t="s">
        <v>128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129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132</v>
      </c>
      <c r="J125" s="51" t="s">
        <v>136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17" priority="2" operator="greaterThan">
      <formula>0</formula>
    </cfRule>
  </conditionalFormatting>
  <conditionalFormatting sqref="M2:M125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/>
  <cols>
    <col min="1" max="1" width="8.85546875" style="33"/>
    <col min="2" max="2" width="14" style="33" customWidth="1"/>
    <col min="3" max="3" width="17.7109375" style="33" customWidth="1"/>
    <col min="4" max="4" width="18.28515625" style="33" customWidth="1"/>
    <col min="5" max="5" width="21.7109375" style="33" customWidth="1"/>
    <col min="6" max="6" width="17.28515625" style="33" customWidth="1"/>
    <col min="7" max="7" width="28.42578125" style="33" customWidth="1"/>
    <col min="8" max="8" width="12" style="33" hidden="1" customWidth="1"/>
    <col min="9" max="9" width="12.140625" customWidth="1"/>
    <col min="10" max="10" width="16.7109375" style="33" customWidth="1"/>
    <col min="11" max="16384" width="8.85546875" style="33"/>
  </cols>
  <sheetData>
    <row r="1" spans="2:10" ht="58.9" customHeight="1">
      <c r="B1" s="36" t="s">
        <v>121</v>
      </c>
      <c r="C1" s="36" t="s">
        <v>122</v>
      </c>
      <c r="D1" s="36" t="s">
        <v>123</v>
      </c>
      <c r="E1" s="36" t="s">
        <v>124</v>
      </c>
      <c r="F1" s="36" t="s">
        <v>125</v>
      </c>
      <c r="G1" s="36" t="s">
        <v>126</v>
      </c>
      <c r="H1" s="36" t="s">
        <v>70</v>
      </c>
      <c r="I1" s="36" t="s">
        <v>74</v>
      </c>
      <c r="J1" s="37" t="s">
        <v>127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128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129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130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131</v>
      </c>
      <c r="G6" s="44">
        <v>0.2</v>
      </c>
      <c r="H6" s="38"/>
      <c r="I6" s="46"/>
      <c r="J6" s="35"/>
    </row>
    <row r="7" spans="2:10">
      <c r="B7" s="38"/>
      <c r="C7" s="48"/>
      <c r="D7" s="40" t="s">
        <v>132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133</v>
      </c>
      <c r="C9" s="49">
        <v>1</v>
      </c>
      <c r="D9" s="38"/>
      <c r="E9" s="50" t="s">
        <v>134</v>
      </c>
      <c r="F9" s="50" t="s">
        <v>135</v>
      </c>
      <c r="G9" s="51" t="s">
        <v>136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128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137</v>
      </c>
      <c r="F14" s="54" t="s">
        <v>131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135</v>
      </c>
      <c r="G17" s="51" t="s">
        <v>136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138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131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139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135</v>
      </c>
      <c r="E24" s="58">
        <v>0.8</v>
      </c>
      <c r="F24" s="47"/>
      <c r="G24" s="56" t="s">
        <v>136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140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141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142</v>
      </c>
      <c r="D29" s="50" t="s">
        <v>129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143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131</v>
      </c>
      <c r="G31" s="44">
        <v>0.2</v>
      </c>
      <c r="H31" s="38"/>
      <c r="I31" s="46"/>
    </row>
    <row r="32" spans="2:15">
      <c r="B32" s="38"/>
      <c r="C32" s="38"/>
      <c r="D32" s="40" t="s">
        <v>132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135</v>
      </c>
      <c r="G34" s="51" t="s">
        <v>136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5"/>
  <cols>
    <col min="1" max="1" width="30.42578125" customWidth="1"/>
    <col min="4" max="4" width="9.85546875" customWidth="1"/>
    <col min="7" max="7" width="16.28515625" customWidth="1"/>
    <col min="8" max="8" width="12" customWidth="1"/>
    <col min="9" max="9" width="11.28515625" customWidth="1"/>
    <col min="10" max="10" width="17" style="19" customWidth="1"/>
    <col min="11" max="11" width="11.85546875" customWidth="1"/>
    <col min="13" max="13" width="15.5703125" style="19" bestFit="1" customWidth="1"/>
    <col min="14" max="14" width="12" bestFit="1" customWidth="1"/>
    <col min="16" max="16" width="12.7109375" customWidth="1"/>
  </cols>
  <sheetData>
    <row r="1" spans="1:18" s="1" customFormat="1" ht="49.15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.7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.7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.7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.7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.7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.7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.7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.7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.7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.7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.7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.75" thickBot="1">
      <c r="A13" s="2" t="s">
        <v>183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.7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.7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.7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.7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.7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.7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.7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.7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.7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.7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.7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.7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.7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.7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.7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.7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.7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184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185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188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30">
      <c r="A49" s="135" t="s">
        <v>191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30">
      <c r="A50" s="135" t="s">
        <v>192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5">
      <c r="A51" s="135" t="s">
        <v>193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30">
      <c r="A52" s="135" t="s">
        <v>194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5">
      <c r="A53" s="135" t="s">
        <v>195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abSelected="1" topLeftCell="H1" zoomScale="85" zoomScaleNormal="85" workbookViewId="0">
      <pane ySplit="1" topLeftCell="A20" activePane="bottomLeft" state="frozen"/>
      <selection pane="bottomLeft" activeCell="A9" sqref="A9:XFD9"/>
    </sheetView>
  </sheetViews>
  <sheetFormatPr defaultRowHeight="16.5"/>
  <cols>
    <col min="1" max="1" width="12" style="33" customWidth="1"/>
    <col min="2" max="2" width="28.85546875" style="33" customWidth="1"/>
    <col min="3" max="3" width="34.7109375" style="34" customWidth="1"/>
    <col min="4" max="4" width="33.85546875" style="34" customWidth="1"/>
    <col min="5" max="5" width="16.5703125" style="33" customWidth="1"/>
    <col min="6" max="6" width="16.28515625" style="33" customWidth="1"/>
    <col min="7" max="7" width="11.5703125" style="33" customWidth="1"/>
    <col min="8" max="8" width="16.5703125" style="33" customWidth="1"/>
    <col min="9" max="9" width="14.7109375" style="33" customWidth="1"/>
    <col min="10" max="10" width="20.7109375" style="33" customWidth="1"/>
    <col min="11" max="11" width="8.85546875" customWidth="1"/>
    <col min="12" max="12" width="13.28515625" customWidth="1"/>
    <col min="13" max="13" width="35.5703125" customWidth="1"/>
    <col min="14" max="14" width="31" customWidth="1"/>
    <col min="15" max="28" width="8.85546875" customWidth="1"/>
    <col min="29" max="29" width="17" customWidth="1"/>
    <col min="30" max="30" width="17.85546875" customWidth="1"/>
    <col min="31" max="31" width="13.28515625" customWidth="1"/>
    <col min="32" max="34" width="8.85546875" customWidth="1"/>
    <col min="35" max="35" width="12.28515625" customWidth="1"/>
    <col min="36" max="36" width="11.85546875" customWidth="1"/>
    <col min="37" max="37" width="10.42578125" customWidth="1"/>
    <col min="38" max="38" width="11.42578125" customWidth="1"/>
    <col min="39" max="39" width="12" customWidth="1"/>
    <col min="41" max="41" width="13.7109375" customWidth="1"/>
  </cols>
  <sheetData>
    <row r="1" spans="1:41" ht="54" customHeight="1">
      <c r="A1" s="31" t="s">
        <v>70</v>
      </c>
      <c r="B1" s="31" t="s">
        <v>1</v>
      </c>
      <c r="C1" s="32" t="s">
        <v>71</v>
      </c>
      <c r="D1" s="32" t="s">
        <v>156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20" t="s">
        <v>169</v>
      </c>
      <c r="P1" s="120" t="s">
        <v>170</v>
      </c>
      <c r="Q1" s="120" t="s">
        <v>171</v>
      </c>
      <c r="R1" s="120" t="s">
        <v>172</v>
      </c>
      <c r="S1" s="120" t="s">
        <v>173</v>
      </c>
      <c r="T1" s="120" t="s">
        <v>174</v>
      </c>
      <c r="U1" s="120" t="s">
        <v>175</v>
      </c>
      <c r="V1" s="120" t="s">
        <v>176</v>
      </c>
      <c r="W1" s="120" t="s">
        <v>177</v>
      </c>
      <c r="X1" s="120" t="s">
        <v>178</v>
      </c>
      <c r="Y1" s="120" t="s">
        <v>179</v>
      </c>
      <c r="Z1" s="120" t="s">
        <v>180</v>
      </c>
      <c r="AA1" s="32" t="s">
        <v>196</v>
      </c>
      <c r="AB1" s="32" t="s">
        <v>197</v>
      </c>
      <c r="AC1" s="136" t="s">
        <v>206</v>
      </c>
      <c r="AD1" s="13" t="s">
        <v>207</v>
      </c>
      <c r="AE1" s="13" t="s">
        <v>208</v>
      </c>
      <c r="AH1" s="32" t="s">
        <v>198</v>
      </c>
      <c r="AI1" s="32" t="s">
        <v>199</v>
      </c>
      <c r="AJ1" s="32" t="s">
        <v>200</v>
      </c>
      <c r="AK1" s="32" t="s">
        <v>201</v>
      </c>
      <c r="AL1" s="32" t="s">
        <v>202</v>
      </c>
      <c r="AM1" s="32" t="s">
        <v>203</v>
      </c>
      <c r="AN1" s="32" t="s">
        <v>204</v>
      </c>
      <c r="AO1" s="32" t="s">
        <v>205</v>
      </c>
    </row>
    <row r="2" spans="1:41">
      <c r="A2" s="101" t="s">
        <v>78</v>
      </c>
      <c r="B2" s="97" t="s">
        <v>236</v>
      </c>
      <c r="C2" s="98" t="s">
        <v>79</v>
      </c>
      <c r="D2" s="99" t="s">
        <v>157</v>
      </c>
      <c r="E2" s="100">
        <v>1.0000000000000001E-5</v>
      </c>
      <c r="F2" s="97">
        <v>19</v>
      </c>
      <c r="G2" s="97">
        <v>0.05</v>
      </c>
      <c r="H2" s="100">
        <f>E2*F2*G2</f>
        <v>9.5000000000000005E-6</v>
      </c>
      <c r="I2" s="97">
        <v>76</v>
      </c>
      <c r="J2" s="123">
        <f>I2</f>
        <v>76</v>
      </c>
      <c r="K2" s="165">
        <v>450</v>
      </c>
      <c r="L2" t="str">
        <f t="shared" ref="L2:L19" si="0">A2</f>
        <v>С1</v>
      </c>
      <c r="M2" t="str">
        <f t="shared" ref="M2:M19" si="1">B2</f>
        <v>Емкость Е-101</v>
      </c>
      <c r="N2" t="str">
        <f t="shared" ref="N2:N19" si="2">D2</f>
        <v>Полное-пожар</v>
      </c>
      <c r="O2">
        <v>18</v>
      </c>
      <c r="P2">
        <v>25</v>
      </c>
      <c r="Q2">
        <v>36</v>
      </c>
      <c r="R2">
        <v>67</v>
      </c>
      <c r="S2" t="s">
        <v>182</v>
      </c>
      <c r="T2" t="s">
        <v>182</v>
      </c>
      <c r="U2" t="s">
        <v>182</v>
      </c>
      <c r="V2" t="s">
        <v>182</v>
      </c>
      <c r="W2" t="s">
        <v>182</v>
      </c>
      <c r="X2" t="s">
        <v>182</v>
      </c>
      <c r="Y2" t="s">
        <v>182</v>
      </c>
      <c r="Z2" t="s">
        <v>182</v>
      </c>
      <c r="AA2" s="151">
        <v>1</v>
      </c>
      <c r="AB2" s="151">
        <v>1</v>
      </c>
      <c r="AC2" s="151">
        <v>0.25</v>
      </c>
      <c r="AD2" s="151">
        <v>1.4999999999999999E-2</v>
      </c>
      <c r="AE2" s="151">
        <v>15</v>
      </c>
      <c r="AF2" s="151"/>
      <c r="AG2" s="151"/>
      <c r="AH2" s="153">
        <f>AD2*I2+AC2</f>
        <v>1.39</v>
      </c>
      <c r="AI2" s="168">
        <f>AH2*0.1</f>
        <v>0.13899999999999998</v>
      </c>
      <c r="AJ2" s="153">
        <f>AA2*1.72+115*0.012*AB2</f>
        <v>3.1</v>
      </c>
      <c r="AK2" s="153">
        <f>AE2*0.1</f>
        <v>1.5</v>
      </c>
      <c r="AL2" s="152">
        <f>10068.2*J2*POWER(10,-6)</f>
        <v>0.76518320000000006</v>
      </c>
      <c r="AM2" s="153">
        <f t="shared" ref="AM2:AM19" si="3">AL2+AK2+AJ2+AI2+AH2</f>
        <v>6.8941832000000005</v>
      </c>
      <c r="AN2" s="154">
        <f t="shared" ref="AN2:AN19" si="4">AL2*H2</f>
        <v>7.2692404000000007E-6</v>
      </c>
      <c r="AO2" s="154">
        <f t="shared" ref="AO2:AO19" si="5">H2*AM2</f>
        <v>6.5494740400000011E-5</v>
      </c>
    </row>
    <row r="3" spans="1:41">
      <c r="A3" s="101" t="s">
        <v>80</v>
      </c>
      <c r="B3" s="97" t="s">
        <v>236</v>
      </c>
      <c r="C3" s="98" t="s">
        <v>232</v>
      </c>
      <c r="D3" s="99" t="s">
        <v>160</v>
      </c>
      <c r="E3" s="100">
        <v>1.0000000000000001E-5</v>
      </c>
      <c r="F3" s="97">
        <v>19</v>
      </c>
      <c r="G3" s="97">
        <v>4.7500000000000001E-2</v>
      </c>
      <c r="H3" s="100">
        <f t="shared" ref="H3:H7" si="6">E3*F3*G3</f>
        <v>9.0250000000000008E-6</v>
      </c>
      <c r="I3" s="97">
        <f>I2</f>
        <v>76</v>
      </c>
      <c r="J3" s="123">
        <f>0.1*K3</f>
        <v>4.8599999999999997E-2</v>
      </c>
      <c r="K3" s="165">
        <f>POWER(10,-6)*SQRT(100)*30*3600*K2/1000</f>
        <v>0.48599999999999993</v>
      </c>
      <c r="L3" t="str">
        <f t="shared" si="0"/>
        <v>С2</v>
      </c>
      <c r="M3" t="str">
        <f t="shared" si="1"/>
        <v>Емкость Е-101</v>
      </c>
      <c r="N3" t="str">
        <f t="shared" si="2"/>
        <v>Полное-взрыв</v>
      </c>
      <c r="O3" t="s">
        <v>182</v>
      </c>
      <c r="P3" t="s">
        <v>182</v>
      </c>
      <c r="Q3" t="s">
        <v>182</v>
      </c>
      <c r="R3" t="s">
        <v>182</v>
      </c>
      <c r="S3">
        <v>16</v>
      </c>
      <c r="T3">
        <v>34</v>
      </c>
      <c r="U3">
        <v>92</v>
      </c>
      <c r="V3">
        <v>158</v>
      </c>
      <c r="W3" t="s">
        <v>182</v>
      </c>
      <c r="X3" t="s">
        <v>182</v>
      </c>
      <c r="Y3" t="s">
        <v>182</v>
      </c>
      <c r="Z3" t="s">
        <v>182</v>
      </c>
      <c r="AA3" s="151">
        <v>1</v>
      </c>
      <c r="AB3" s="151">
        <v>1</v>
      </c>
      <c r="AC3" s="151">
        <v>0.25</v>
      </c>
      <c r="AD3" s="151">
        <v>1.4999999999999999E-2</v>
      </c>
      <c r="AE3" s="151">
        <v>15</v>
      </c>
      <c r="AF3" s="151"/>
      <c r="AG3" s="151"/>
      <c r="AH3" s="153">
        <f>AD3*I3+AC3</f>
        <v>1.39</v>
      </c>
      <c r="AI3" s="168">
        <f t="shared" ref="AI3:AI4" si="7">AH3*0.1</f>
        <v>0.13899999999999998</v>
      </c>
      <c r="AJ3" s="153">
        <f t="shared" ref="AJ3:AJ4" si="8">AA3*1.72+115*0.012*AB3</f>
        <v>3.1</v>
      </c>
      <c r="AK3" s="153">
        <f t="shared" ref="AK3:AK4" si="9">AE3*0.1</f>
        <v>1.5</v>
      </c>
      <c r="AL3" s="152">
        <f>10068.2*J3*POWER(10,-6)*10</f>
        <v>4.8931451999999999E-3</v>
      </c>
      <c r="AM3" s="153">
        <f t="shared" si="3"/>
        <v>6.1338931452000001</v>
      </c>
      <c r="AN3" s="154">
        <f t="shared" si="4"/>
        <v>4.4160635430000002E-8</v>
      </c>
      <c r="AO3" s="154">
        <f t="shared" si="5"/>
        <v>5.5358385635430003E-5</v>
      </c>
    </row>
    <row r="4" spans="1:41">
      <c r="A4" s="101" t="s">
        <v>81</v>
      </c>
      <c r="B4" s="97" t="s">
        <v>236</v>
      </c>
      <c r="C4" s="98" t="s">
        <v>233</v>
      </c>
      <c r="D4" s="99" t="s">
        <v>158</v>
      </c>
      <c r="E4" s="100">
        <v>1.0000000000000001E-5</v>
      </c>
      <c r="F4" s="97">
        <v>19</v>
      </c>
      <c r="G4" s="97">
        <v>0.90249999999999997</v>
      </c>
      <c r="H4" s="100">
        <f t="shared" si="6"/>
        <v>1.7147500000000001E-4</v>
      </c>
      <c r="I4" s="97">
        <f>I3</f>
        <v>76</v>
      </c>
      <c r="J4" s="123">
        <v>0</v>
      </c>
      <c r="K4" s="165">
        <f>100</f>
        <v>100</v>
      </c>
      <c r="L4" t="str">
        <f t="shared" si="0"/>
        <v>С3</v>
      </c>
      <c r="M4" t="str">
        <f t="shared" si="1"/>
        <v>Емкость Е-101</v>
      </c>
      <c r="N4" t="str">
        <f t="shared" si="2"/>
        <v>Полное-ликвидация</v>
      </c>
      <c r="O4" t="s">
        <v>182</v>
      </c>
      <c r="P4" t="s">
        <v>182</v>
      </c>
      <c r="Q4" t="s">
        <v>182</v>
      </c>
      <c r="R4" t="s">
        <v>182</v>
      </c>
      <c r="S4" t="s">
        <v>182</v>
      </c>
      <c r="T4" t="s">
        <v>182</v>
      </c>
      <c r="U4" t="s">
        <v>182</v>
      </c>
      <c r="V4" t="s">
        <v>182</v>
      </c>
      <c r="W4" t="s">
        <v>182</v>
      </c>
      <c r="X4" t="s">
        <v>182</v>
      </c>
      <c r="Y4" t="s">
        <v>182</v>
      </c>
      <c r="Z4" t="s">
        <v>182</v>
      </c>
      <c r="AA4" s="151">
        <v>0</v>
      </c>
      <c r="AB4" s="151">
        <v>0</v>
      </c>
      <c r="AC4" s="151">
        <v>0.25</v>
      </c>
      <c r="AD4" s="151">
        <v>1.4999999999999999E-2</v>
      </c>
      <c r="AE4" s="151">
        <v>15</v>
      </c>
      <c r="AF4" s="151"/>
      <c r="AG4" s="151"/>
      <c r="AH4" s="153">
        <f>AD4*J4+AC4</f>
        <v>0.25</v>
      </c>
      <c r="AI4" s="168">
        <f t="shared" si="7"/>
        <v>2.5000000000000001E-2</v>
      </c>
      <c r="AJ4" s="153">
        <f t="shared" si="8"/>
        <v>0</v>
      </c>
      <c r="AK4" s="153">
        <f t="shared" si="9"/>
        <v>1.5</v>
      </c>
      <c r="AL4" s="152">
        <f>1333*J3*POWER(10,-6)*10</f>
        <v>6.4783799999999997E-4</v>
      </c>
      <c r="AM4" s="153">
        <f t="shared" si="3"/>
        <v>1.7756478379999998</v>
      </c>
      <c r="AN4" s="154">
        <f t="shared" si="4"/>
        <v>1.1108802105E-7</v>
      </c>
      <c r="AO4" s="154">
        <f t="shared" si="5"/>
        <v>3.0447921302104999E-4</v>
      </c>
    </row>
    <row r="5" spans="1:41">
      <c r="A5" s="101" t="s">
        <v>82</v>
      </c>
      <c r="B5" s="97" t="s">
        <v>236</v>
      </c>
      <c r="C5" s="98" t="s">
        <v>186</v>
      </c>
      <c r="D5" s="99" t="s">
        <v>187</v>
      </c>
      <c r="E5" s="100">
        <v>1E-4</v>
      </c>
      <c r="F5" s="97">
        <v>19</v>
      </c>
      <c r="G5" s="97">
        <v>0.05</v>
      </c>
      <c r="H5" s="100">
        <f t="shared" si="6"/>
        <v>9.5000000000000005E-5</v>
      </c>
      <c r="I5" s="97">
        <f>I2*0.1</f>
        <v>7.6000000000000005</v>
      </c>
      <c r="J5" s="123">
        <f>I5</f>
        <v>7.6000000000000005</v>
      </c>
      <c r="K5" s="165">
        <f>ROUNDUP(I5*20,0)</f>
        <v>152</v>
      </c>
      <c r="L5" t="str">
        <f t="shared" si="0"/>
        <v>С4</v>
      </c>
      <c r="M5" t="str">
        <f t="shared" si="1"/>
        <v>Емкость Е-101</v>
      </c>
      <c r="N5" t="str">
        <f t="shared" si="2"/>
        <v>Частичное-пожар</v>
      </c>
      <c r="O5">
        <v>15</v>
      </c>
      <c r="P5">
        <v>21</v>
      </c>
      <c r="Q5">
        <v>29</v>
      </c>
      <c r="R5">
        <v>53</v>
      </c>
      <c r="S5" t="s">
        <v>182</v>
      </c>
      <c r="T5" t="s">
        <v>182</v>
      </c>
      <c r="U5" t="s">
        <v>182</v>
      </c>
      <c r="V5" t="s">
        <v>182</v>
      </c>
      <c r="W5" t="s">
        <v>182</v>
      </c>
      <c r="X5" t="s">
        <v>182</v>
      </c>
      <c r="Y5" t="s">
        <v>182</v>
      </c>
      <c r="Z5" t="s">
        <v>182</v>
      </c>
      <c r="AA5" s="151">
        <v>0</v>
      </c>
      <c r="AB5" s="151">
        <v>1</v>
      </c>
      <c r="AC5" s="151">
        <f>0.1*AC4</f>
        <v>2.5000000000000001E-2</v>
      </c>
      <c r="AD5" s="151">
        <v>1.4999999999999999E-2</v>
      </c>
      <c r="AE5" s="151">
        <v>5</v>
      </c>
      <c r="AF5" s="151"/>
      <c r="AG5" s="151"/>
      <c r="AH5" s="153">
        <f>AD5*I5+AC5</f>
        <v>0.13900000000000001</v>
      </c>
      <c r="AI5" s="168">
        <f>AH5*0.1</f>
        <v>1.3900000000000003E-2</v>
      </c>
      <c r="AJ5" s="153">
        <f>AA5*1.72+115*0.012*AB5</f>
        <v>1.3800000000000001</v>
      </c>
      <c r="AK5" s="153">
        <f>AE5*0.1</f>
        <v>0.5</v>
      </c>
      <c r="AL5" s="152">
        <f>10068.2*J5*POWER(10,-6)</f>
        <v>7.6518320000000001E-2</v>
      </c>
      <c r="AM5" s="153">
        <f t="shared" si="3"/>
        <v>2.1094183200000005</v>
      </c>
      <c r="AN5" s="154">
        <f t="shared" si="4"/>
        <v>7.2692404000000007E-6</v>
      </c>
      <c r="AO5" s="154">
        <f t="shared" si="5"/>
        <v>2.0039474040000005E-4</v>
      </c>
    </row>
    <row r="6" spans="1:41">
      <c r="A6" s="101" t="s">
        <v>83</v>
      </c>
      <c r="B6" s="97" t="s">
        <v>236</v>
      </c>
      <c r="C6" s="98" t="s">
        <v>234</v>
      </c>
      <c r="D6" s="99" t="s">
        <v>161</v>
      </c>
      <c r="E6" s="100">
        <v>1E-4</v>
      </c>
      <c r="F6" s="97">
        <v>19</v>
      </c>
      <c r="G6" s="97">
        <v>4.7500000000000001E-2</v>
      </c>
      <c r="H6" s="100">
        <f t="shared" si="6"/>
        <v>9.0249999999999998E-5</v>
      </c>
      <c r="I6" s="97">
        <f>0.1*I2</f>
        <v>7.6000000000000005</v>
      </c>
      <c r="J6" s="123">
        <f>K6</f>
        <v>0.16415999999999997</v>
      </c>
      <c r="K6" s="165">
        <f>POWER(10,-6)*SQRT(100)*30*3600*K5/1000</f>
        <v>0.16415999999999997</v>
      </c>
      <c r="L6" t="str">
        <f t="shared" si="0"/>
        <v>С5</v>
      </c>
      <c r="M6" t="str">
        <f t="shared" si="1"/>
        <v>Емкость Е-101</v>
      </c>
      <c r="N6" t="str">
        <f t="shared" si="2"/>
        <v>Частичное-вспышка</v>
      </c>
      <c r="O6" t="s">
        <v>182</v>
      </c>
      <c r="P6" t="s">
        <v>182</v>
      </c>
      <c r="Q6" t="s">
        <v>182</v>
      </c>
      <c r="R6" t="s">
        <v>182</v>
      </c>
      <c r="S6" t="s">
        <v>182</v>
      </c>
      <c r="T6" t="s">
        <v>182</v>
      </c>
      <c r="U6" t="s">
        <v>182</v>
      </c>
      <c r="V6" t="s">
        <v>182</v>
      </c>
      <c r="W6" t="s">
        <v>182</v>
      </c>
      <c r="X6" t="s">
        <v>182</v>
      </c>
      <c r="Y6">
        <v>17</v>
      </c>
      <c r="Z6">
        <v>20</v>
      </c>
      <c r="AA6" s="151">
        <v>0</v>
      </c>
      <c r="AB6" s="151">
        <v>1</v>
      </c>
      <c r="AC6" s="151">
        <f>0.1*AC4</f>
        <v>2.5000000000000001E-2</v>
      </c>
      <c r="AD6" s="151">
        <v>1.4999999999999999E-2</v>
      </c>
      <c r="AE6" s="151">
        <v>5</v>
      </c>
      <c r="AF6" s="151"/>
      <c r="AG6" s="151"/>
      <c r="AH6" s="153">
        <f>AD6*I6+AC6</f>
        <v>0.13900000000000001</v>
      </c>
      <c r="AI6" s="168">
        <f>AH6*0.1</f>
        <v>1.3900000000000003E-2</v>
      </c>
      <c r="AJ6" s="153">
        <f>AA6*1.72+115*0.012*AB6</f>
        <v>1.3800000000000001</v>
      </c>
      <c r="AK6" s="153">
        <f>AE6*0.1</f>
        <v>0.5</v>
      </c>
      <c r="AL6" s="152">
        <f>10068.2*J6*POWER(10,-6)</f>
        <v>1.6527957119999998E-3</v>
      </c>
      <c r="AM6" s="153">
        <f t="shared" si="3"/>
        <v>2.034552795712</v>
      </c>
      <c r="AN6" s="154">
        <f t="shared" si="4"/>
        <v>1.4916481300799997E-7</v>
      </c>
      <c r="AO6" s="154">
        <f t="shared" si="5"/>
        <v>1.8361838981300799E-4</v>
      </c>
    </row>
    <row r="7" spans="1:41">
      <c r="A7" s="101" t="s">
        <v>84</v>
      </c>
      <c r="B7" s="97" t="s">
        <v>236</v>
      </c>
      <c r="C7" s="98" t="s">
        <v>235</v>
      </c>
      <c r="D7" s="99" t="s">
        <v>159</v>
      </c>
      <c r="E7" s="100">
        <v>1E-4</v>
      </c>
      <c r="F7" s="97">
        <v>19</v>
      </c>
      <c r="G7" s="97">
        <v>0.90249999999999997</v>
      </c>
      <c r="H7" s="100">
        <f t="shared" si="6"/>
        <v>1.7147499999999999E-3</v>
      </c>
      <c r="I7" s="97">
        <f>0.1*I2</f>
        <v>7.6000000000000005</v>
      </c>
      <c r="J7" s="123">
        <v>0</v>
      </c>
      <c r="K7" s="165">
        <v>0</v>
      </c>
      <c r="L7" t="str">
        <f t="shared" si="0"/>
        <v>С6</v>
      </c>
      <c r="M7" t="str">
        <f t="shared" si="1"/>
        <v>Емкость Е-101</v>
      </c>
      <c r="N7" t="str">
        <f t="shared" si="2"/>
        <v>Частичное-ликвидация</v>
      </c>
      <c r="O7" t="s">
        <v>182</v>
      </c>
      <c r="P7" t="s">
        <v>182</v>
      </c>
      <c r="Q7" t="s">
        <v>182</v>
      </c>
      <c r="R7" t="s">
        <v>182</v>
      </c>
      <c r="S7" t="s">
        <v>182</v>
      </c>
      <c r="T7" t="s">
        <v>182</v>
      </c>
      <c r="U7" t="s">
        <v>182</v>
      </c>
      <c r="V7" t="s">
        <v>182</v>
      </c>
      <c r="W7" t="s">
        <v>182</v>
      </c>
      <c r="X7" t="s">
        <v>182</v>
      </c>
      <c r="Y7" t="s">
        <v>182</v>
      </c>
      <c r="Z7" t="s">
        <v>182</v>
      </c>
      <c r="AA7" s="151">
        <v>0</v>
      </c>
      <c r="AB7" s="151">
        <v>0</v>
      </c>
      <c r="AC7" s="151">
        <f>0.1*AC4</f>
        <v>2.5000000000000001E-2</v>
      </c>
      <c r="AD7" s="151">
        <v>1.4999999999999999E-2</v>
      </c>
      <c r="AE7" s="151">
        <v>5</v>
      </c>
      <c r="AF7" s="151"/>
      <c r="AG7" s="151"/>
      <c r="AH7" s="153">
        <f>AD7*I7+AC7</f>
        <v>0.13900000000000001</v>
      </c>
      <c r="AI7" s="168">
        <f>AH7*0.1</f>
        <v>1.3900000000000003E-2</v>
      </c>
      <c r="AJ7" s="153">
        <f>AA7*1.72+115*0.012*AB7</f>
        <v>0</v>
      </c>
      <c r="AK7" s="153">
        <f>AE7*0.1</f>
        <v>0.5</v>
      </c>
      <c r="AL7" s="152">
        <f>1333*J6*POWER(10,-6)</f>
        <v>2.1882527999999996E-4</v>
      </c>
      <c r="AM7" s="153">
        <f t="shared" si="3"/>
        <v>0.65311882527999998</v>
      </c>
      <c r="AN7" s="154">
        <f t="shared" si="4"/>
        <v>3.7523064887999992E-7</v>
      </c>
      <c r="AO7" s="154">
        <f t="shared" si="5"/>
        <v>1.1199355056488798E-3</v>
      </c>
    </row>
    <row r="8" spans="1:41">
      <c r="A8" s="101" t="s">
        <v>85</v>
      </c>
      <c r="B8" s="85" t="s">
        <v>237</v>
      </c>
      <c r="C8" s="86" t="s">
        <v>79</v>
      </c>
      <c r="D8" s="87" t="s">
        <v>157</v>
      </c>
      <c r="E8" s="88">
        <v>1.0000000000000001E-5</v>
      </c>
      <c r="F8" s="85">
        <v>21</v>
      </c>
      <c r="G8" s="85">
        <v>0.05</v>
      </c>
      <c r="H8" s="88">
        <f>E8*F8*G8</f>
        <v>1.0500000000000001E-5</v>
      </c>
      <c r="I8" s="85">
        <v>153.6</v>
      </c>
      <c r="J8" s="121">
        <f>I8</f>
        <v>153.6</v>
      </c>
      <c r="K8" s="121">
        <v>570</v>
      </c>
      <c r="L8" t="str">
        <f t="shared" si="0"/>
        <v>С7</v>
      </c>
      <c r="M8" t="str">
        <f t="shared" si="1"/>
        <v>Емкость Е-206</v>
      </c>
      <c r="N8" t="str">
        <f t="shared" si="2"/>
        <v>Полное-пожар</v>
      </c>
      <c r="O8">
        <v>19</v>
      </c>
      <c r="P8">
        <v>26</v>
      </c>
      <c r="Q8">
        <v>38</v>
      </c>
      <c r="R8">
        <v>71</v>
      </c>
      <c r="S8" t="s">
        <v>182</v>
      </c>
      <c r="T8" t="s">
        <v>182</v>
      </c>
      <c r="U8" t="s">
        <v>182</v>
      </c>
      <c r="V8" t="s">
        <v>182</v>
      </c>
      <c r="W8" t="s">
        <v>182</v>
      </c>
      <c r="X8" t="s">
        <v>182</v>
      </c>
      <c r="Y8" t="s">
        <v>182</v>
      </c>
      <c r="Z8" t="s">
        <v>182</v>
      </c>
      <c r="AA8" s="9">
        <v>1</v>
      </c>
      <c r="AB8" s="9">
        <v>1</v>
      </c>
      <c r="AC8" s="9">
        <v>0.28000000000000003</v>
      </c>
      <c r="AD8" s="9">
        <v>1.4999999999999999E-2</v>
      </c>
      <c r="AE8" s="9">
        <v>15</v>
      </c>
      <c r="AF8" s="9"/>
      <c r="AG8" s="9"/>
      <c r="AH8" s="156">
        <f>AD8*I8+AC8</f>
        <v>2.5839999999999996</v>
      </c>
      <c r="AI8" s="169">
        <f>AH8*0.1</f>
        <v>0.25839999999999996</v>
      </c>
      <c r="AJ8" s="156">
        <f>AA8*1.72+115*0.012*AB8</f>
        <v>3.1</v>
      </c>
      <c r="AK8" s="156">
        <f>AE8*0.1</f>
        <v>1.5</v>
      </c>
      <c r="AL8" s="155">
        <f>10068.2*J8*POWER(10,-6)</f>
        <v>1.54647552</v>
      </c>
      <c r="AM8" s="156">
        <f t="shared" si="3"/>
        <v>8.9888755200000006</v>
      </c>
      <c r="AN8" s="159">
        <f t="shared" si="4"/>
        <v>1.6237992960000001E-5</v>
      </c>
      <c r="AO8" s="159">
        <f t="shared" si="5"/>
        <v>9.438319296000001E-5</v>
      </c>
    </row>
    <row r="9" spans="1:41" s="181" customFormat="1">
      <c r="A9" s="101" t="s">
        <v>86</v>
      </c>
      <c r="B9" s="85" t="s">
        <v>237</v>
      </c>
      <c r="C9" s="178" t="s">
        <v>232</v>
      </c>
      <c r="D9" s="179" t="s">
        <v>160</v>
      </c>
      <c r="E9" s="88">
        <v>1.0000000000000001E-5</v>
      </c>
      <c r="F9" s="85">
        <v>21</v>
      </c>
      <c r="G9" s="85">
        <v>4.7500000000000001E-2</v>
      </c>
      <c r="H9" s="88">
        <f t="shared" ref="H9:H13" si="10">E9*F9*G9</f>
        <v>9.9750000000000002E-6</v>
      </c>
      <c r="I9" s="85">
        <f>I8</f>
        <v>153.6</v>
      </c>
      <c r="J9" s="121">
        <f>0.1*K9</f>
        <v>6.1559999999999997E-2</v>
      </c>
      <c r="K9" s="180">
        <f>POWER(10,-6)*SQRT(100)*30*3600*K8/1000</f>
        <v>0.61559999999999993</v>
      </c>
      <c r="L9" s="181" t="str">
        <f t="shared" si="0"/>
        <v>С8</v>
      </c>
      <c r="M9" s="181" t="str">
        <f t="shared" si="1"/>
        <v>Емкость Е-206</v>
      </c>
      <c r="N9" s="181" t="str">
        <f t="shared" si="2"/>
        <v>Полное-взрыв</v>
      </c>
      <c r="O9" s="181" t="s">
        <v>182</v>
      </c>
      <c r="P9" s="181" t="s">
        <v>182</v>
      </c>
      <c r="Q9" s="181" t="s">
        <v>182</v>
      </c>
      <c r="R9" s="181" t="s">
        <v>182</v>
      </c>
      <c r="S9" s="181">
        <v>18</v>
      </c>
      <c r="T9" s="181">
        <v>36</v>
      </c>
      <c r="U9" s="181">
        <v>100</v>
      </c>
      <c r="V9" s="181">
        <v>171</v>
      </c>
      <c r="W9" s="181" t="s">
        <v>182</v>
      </c>
      <c r="X9" s="181" t="s">
        <v>182</v>
      </c>
      <c r="Y9" s="181" t="s">
        <v>182</v>
      </c>
      <c r="Z9" s="181" t="s">
        <v>182</v>
      </c>
      <c r="AA9" s="182">
        <v>1</v>
      </c>
      <c r="AB9" s="182">
        <v>1</v>
      </c>
      <c r="AC9" s="182">
        <v>0.28000000000000003</v>
      </c>
      <c r="AD9" s="182">
        <v>1.4999999999999999E-2</v>
      </c>
      <c r="AE9" s="182">
        <v>15</v>
      </c>
      <c r="AF9" s="182"/>
      <c r="AG9" s="182"/>
      <c r="AH9" s="156">
        <f>AD9*I9+AC9</f>
        <v>2.5839999999999996</v>
      </c>
      <c r="AI9" s="169">
        <f t="shared" ref="AI9:AI10" si="11">AH9*0.1</f>
        <v>0.25839999999999996</v>
      </c>
      <c r="AJ9" s="156">
        <f t="shared" ref="AJ9:AJ10" si="12">AA9*1.72+115*0.012*AB9</f>
        <v>3.1</v>
      </c>
      <c r="AK9" s="156">
        <f t="shared" ref="AK9:AK10" si="13">AE9*0.1</f>
        <v>1.5</v>
      </c>
      <c r="AL9" s="155">
        <f>10068.2*J9*POWER(10,-6)*10</f>
        <v>6.1979839200000005E-3</v>
      </c>
      <c r="AM9" s="156">
        <f t="shared" si="3"/>
        <v>7.4485979839199992</v>
      </c>
      <c r="AN9" s="159">
        <f t="shared" si="4"/>
        <v>6.1824889602000008E-8</v>
      </c>
      <c r="AO9" s="159">
        <f t="shared" si="5"/>
        <v>7.4299764889601989E-5</v>
      </c>
    </row>
    <row r="10" spans="1:41">
      <c r="A10" s="101" t="s">
        <v>87</v>
      </c>
      <c r="B10" s="85" t="s">
        <v>237</v>
      </c>
      <c r="C10" s="86" t="s">
        <v>233</v>
      </c>
      <c r="D10" s="87" t="s">
        <v>158</v>
      </c>
      <c r="E10" s="88">
        <v>1.0000000000000001E-5</v>
      </c>
      <c r="F10" s="85">
        <v>21</v>
      </c>
      <c r="G10" s="85">
        <v>0.90249999999999997</v>
      </c>
      <c r="H10" s="88">
        <f t="shared" si="10"/>
        <v>1.8952500000000001E-4</v>
      </c>
      <c r="I10" s="85">
        <f>I9</f>
        <v>153.6</v>
      </c>
      <c r="J10" s="121">
        <v>0</v>
      </c>
      <c r="K10" s="166">
        <v>200</v>
      </c>
      <c r="L10" t="str">
        <f t="shared" si="0"/>
        <v>С9</v>
      </c>
      <c r="M10" t="str">
        <f t="shared" si="1"/>
        <v>Емкость Е-206</v>
      </c>
      <c r="N10" t="str">
        <f t="shared" si="2"/>
        <v>Полное-ликвидация</v>
      </c>
      <c r="O10" t="s">
        <v>182</v>
      </c>
      <c r="P10" t="s">
        <v>182</v>
      </c>
      <c r="Q10" t="s">
        <v>182</v>
      </c>
      <c r="R10" t="s">
        <v>182</v>
      </c>
      <c r="S10" t="s">
        <v>182</v>
      </c>
      <c r="T10" t="s">
        <v>182</v>
      </c>
      <c r="U10" t="s">
        <v>182</v>
      </c>
      <c r="V10" t="s">
        <v>182</v>
      </c>
      <c r="W10" t="s">
        <v>182</v>
      </c>
      <c r="X10" t="s">
        <v>182</v>
      </c>
      <c r="Y10" t="s">
        <v>182</v>
      </c>
      <c r="Z10" t="s">
        <v>182</v>
      </c>
      <c r="AA10" s="9">
        <v>0</v>
      </c>
      <c r="AB10" s="9">
        <v>0</v>
      </c>
      <c r="AC10" s="9">
        <v>0.28000000000000003</v>
      </c>
      <c r="AD10" s="9">
        <v>1.4999999999999999E-2</v>
      </c>
      <c r="AE10" s="9">
        <v>15</v>
      </c>
      <c r="AF10" s="9"/>
      <c r="AG10" s="9"/>
      <c r="AH10" s="156">
        <f>AD10*J10+AC10</f>
        <v>0.28000000000000003</v>
      </c>
      <c r="AI10" s="169">
        <f t="shared" si="11"/>
        <v>2.8000000000000004E-2</v>
      </c>
      <c r="AJ10" s="156">
        <f t="shared" si="12"/>
        <v>0</v>
      </c>
      <c r="AK10" s="156">
        <f t="shared" si="13"/>
        <v>1.5</v>
      </c>
      <c r="AL10" s="155">
        <f>1333*J9*POWER(10,-6)*10</f>
        <v>8.2059479999999985E-4</v>
      </c>
      <c r="AM10" s="156">
        <f t="shared" si="3"/>
        <v>1.8088205948</v>
      </c>
      <c r="AN10" s="159">
        <f t="shared" si="4"/>
        <v>1.5552322946999999E-7</v>
      </c>
      <c r="AO10" s="159">
        <f t="shared" si="5"/>
        <v>3.4281672322947004E-4</v>
      </c>
    </row>
    <row r="11" spans="1:41">
      <c r="A11" s="101" t="s">
        <v>88</v>
      </c>
      <c r="B11" s="85" t="s">
        <v>237</v>
      </c>
      <c r="C11" s="86" t="s">
        <v>186</v>
      </c>
      <c r="D11" s="87" t="s">
        <v>187</v>
      </c>
      <c r="E11" s="88">
        <v>1E-4</v>
      </c>
      <c r="F11" s="85">
        <v>21</v>
      </c>
      <c r="G11" s="85">
        <v>0.05</v>
      </c>
      <c r="H11" s="88">
        <f t="shared" si="10"/>
        <v>1.0500000000000002E-4</v>
      </c>
      <c r="I11" s="85">
        <f>I8*0.1</f>
        <v>15.36</v>
      </c>
      <c r="J11" s="121">
        <f>I11</f>
        <v>15.36</v>
      </c>
      <c r="K11" s="166">
        <f>ROUNDUP(I11*20,0)</f>
        <v>308</v>
      </c>
      <c r="L11" t="str">
        <f t="shared" si="0"/>
        <v>С10</v>
      </c>
      <c r="M11" t="str">
        <f t="shared" si="1"/>
        <v>Емкость Е-206</v>
      </c>
      <c r="N11" t="str">
        <f t="shared" si="2"/>
        <v>Частичное-пожар</v>
      </c>
      <c r="O11">
        <v>17</v>
      </c>
      <c r="P11">
        <v>23</v>
      </c>
      <c r="Q11">
        <v>33</v>
      </c>
      <c r="R11">
        <v>61</v>
      </c>
      <c r="S11" t="s">
        <v>182</v>
      </c>
      <c r="T11" t="s">
        <v>182</v>
      </c>
      <c r="U11" t="s">
        <v>182</v>
      </c>
      <c r="V11" t="s">
        <v>182</v>
      </c>
      <c r="W11" t="s">
        <v>182</v>
      </c>
      <c r="X11" t="s">
        <v>182</v>
      </c>
      <c r="Y11" t="s">
        <v>182</v>
      </c>
      <c r="Z11" t="s">
        <v>182</v>
      </c>
      <c r="AA11" s="9">
        <v>0</v>
      </c>
      <c r="AB11" s="9">
        <v>1</v>
      </c>
      <c r="AC11" s="9">
        <f>0.1*AC10</f>
        <v>2.8000000000000004E-2</v>
      </c>
      <c r="AD11" s="9">
        <v>1.4999999999999999E-2</v>
      </c>
      <c r="AE11" s="9">
        <v>5</v>
      </c>
      <c r="AF11" s="9"/>
      <c r="AG11" s="9"/>
      <c r="AH11" s="156">
        <f>AD11*I11+AC11</f>
        <v>0.25840000000000002</v>
      </c>
      <c r="AI11" s="169">
        <f>AH11*0.1</f>
        <v>2.5840000000000002E-2</v>
      </c>
      <c r="AJ11" s="156">
        <f>AA11*1.72+115*0.012*AB11</f>
        <v>1.3800000000000001</v>
      </c>
      <c r="AK11" s="156">
        <f>AE11*0.1</f>
        <v>0.5</v>
      </c>
      <c r="AL11" s="155">
        <f>10068.2*J11*POWER(10,-6)</f>
        <v>0.15464755199999999</v>
      </c>
      <c r="AM11" s="156">
        <f t="shared" si="3"/>
        <v>2.3188875520000001</v>
      </c>
      <c r="AN11" s="159">
        <f t="shared" si="4"/>
        <v>1.6237992960000001E-5</v>
      </c>
      <c r="AO11" s="159">
        <f t="shared" si="5"/>
        <v>2.4348319296000004E-4</v>
      </c>
    </row>
    <row r="12" spans="1:41">
      <c r="A12" s="101" t="s">
        <v>89</v>
      </c>
      <c r="B12" s="85" t="s">
        <v>237</v>
      </c>
      <c r="C12" s="86" t="s">
        <v>234</v>
      </c>
      <c r="D12" s="87" t="s">
        <v>161</v>
      </c>
      <c r="E12" s="88">
        <v>1E-4</v>
      </c>
      <c r="F12" s="85">
        <v>21</v>
      </c>
      <c r="G12" s="85">
        <v>4.7500000000000001E-2</v>
      </c>
      <c r="H12" s="88">
        <f t="shared" si="10"/>
        <v>9.9750000000000012E-5</v>
      </c>
      <c r="I12" s="85">
        <f>0.1*I8</f>
        <v>15.36</v>
      </c>
      <c r="J12" s="121">
        <f>K12</f>
        <v>0.33263999999999994</v>
      </c>
      <c r="K12" s="166">
        <f>POWER(10,-6)*SQRT(100)*30*3600*K11/1000</f>
        <v>0.33263999999999994</v>
      </c>
      <c r="L12" t="str">
        <f t="shared" si="0"/>
        <v>С11</v>
      </c>
      <c r="M12" t="str">
        <f t="shared" si="1"/>
        <v>Емкость Е-206</v>
      </c>
      <c r="N12" t="str">
        <f t="shared" si="2"/>
        <v>Частичное-вспышка</v>
      </c>
      <c r="O12" t="s">
        <v>182</v>
      </c>
      <c r="P12" t="s">
        <v>182</v>
      </c>
      <c r="Q12" t="s">
        <v>182</v>
      </c>
      <c r="R12" t="s">
        <v>182</v>
      </c>
      <c r="S12" t="s">
        <v>182</v>
      </c>
      <c r="T12" t="s">
        <v>182</v>
      </c>
      <c r="U12" t="s">
        <v>182</v>
      </c>
      <c r="V12" t="s">
        <v>182</v>
      </c>
      <c r="W12" t="s">
        <v>182</v>
      </c>
      <c r="X12" t="s">
        <v>182</v>
      </c>
      <c r="Y12">
        <v>22</v>
      </c>
      <c r="Z12">
        <v>26</v>
      </c>
      <c r="AA12" s="9">
        <v>0</v>
      </c>
      <c r="AB12" s="9">
        <v>1</v>
      </c>
      <c r="AC12" s="9">
        <f>0.1*AC10</f>
        <v>2.8000000000000004E-2</v>
      </c>
      <c r="AD12" s="9">
        <v>1.4999999999999999E-2</v>
      </c>
      <c r="AE12" s="9">
        <v>5</v>
      </c>
      <c r="AF12" s="9"/>
      <c r="AG12" s="9"/>
      <c r="AH12" s="156">
        <f>AD12*I12+AC12</f>
        <v>0.25840000000000002</v>
      </c>
      <c r="AI12" s="169">
        <f>AH12*0.1</f>
        <v>2.5840000000000002E-2</v>
      </c>
      <c r="AJ12" s="156">
        <f>AA12*1.72+115*0.012*AB12</f>
        <v>1.3800000000000001</v>
      </c>
      <c r="AK12" s="156">
        <f>AE12*0.1</f>
        <v>0.5</v>
      </c>
      <c r="AL12" s="155">
        <f>10068.2*J12*POWER(10,-6)</f>
        <v>3.3490860479999996E-3</v>
      </c>
      <c r="AM12" s="156">
        <f t="shared" si="3"/>
        <v>2.1675890860480003</v>
      </c>
      <c r="AN12" s="159">
        <f t="shared" si="4"/>
        <v>3.3407133328799998E-7</v>
      </c>
      <c r="AO12" s="159">
        <f t="shared" si="5"/>
        <v>2.1621701133328806E-4</v>
      </c>
    </row>
    <row r="13" spans="1:41">
      <c r="A13" s="101" t="s">
        <v>90</v>
      </c>
      <c r="B13" s="85" t="s">
        <v>237</v>
      </c>
      <c r="C13" s="86" t="s">
        <v>235</v>
      </c>
      <c r="D13" s="87" t="s">
        <v>159</v>
      </c>
      <c r="E13" s="88">
        <v>1E-4</v>
      </c>
      <c r="F13" s="85">
        <v>21</v>
      </c>
      <c r="G13" s="85">
        <v>0.90249999999999997</v>
      </c>
      <c r="H13" s="88">
        <f t="shared" si="10"/>
        <v>1.8952500000000002E-3</v>
      </c>
      <c r="I13" s="85">
        <f>0.1*I8</f>
        <v>15.36</v>
      </c>
      <c r="J13" s="121">
        <v>0</v>
      </c>
      <c r="K13" s="166">
        <v>0</v>
      </c>
      <c r="L13" t="str">
        <f t="shared" si="0"/>
        <v>С12</v>
      </c>
      <c r="M13" t="str">
        <f t="shared" si="1"/>
        <v>Емкость Е-206</v>
      </c>
      <c r="N13" t="str">
        <f t="shared" si="2"/>
        <v>Частичное-ликвидация</v>
      </c>
      <c r="O13" t="s">
        <v>182</v>
      </c>
      <c r="P13" t="s">
        <v>182</v>
      </c>
      <c r="Q13" t="s">
        <v>182</v>
      </c>
      <c r="R13" t="s">
        <v>182</v>
      </c>
      <c r="S13" t="s">
        <v>182</v>
      </c>
      <c r="T13" t="s">
        <v>182</v>
      </c>
      <c r="U13" t="s">
        <v>182</v>
      </c>
      <c r="V13" t="s">
        <v>182</v>
      </c>
      <c r="W13" t="s">
        <v>182</v>
      </c>
      <c r="X13" t="s">
        <v>182</v>
      </c>
      <c r="Y13" t="s">
        <v>182</v>
      </c>
      <c r="Z13" t="s">
        <v>182</v>
      </c>
      <c r="AA13" s="9">
        <v>0</v>
      </c>
      <c r="AB13" s="9">
        <v>0</v>
      </c>
      <c r="AC13" s="9">
        <f>0.1*AC10</f>
        <v>2.8000000000000004E-2</v>
      </c>
      <c r="AD13" s="9">
        <v>1.4999999999999999E-2</v>
      </c>
      <c r="AE13" s="9">
        <v>5</v>
      </c>
      <c r="AF13" s="9"/>
      <c r="AG13" s="9"/>
      <c r="AH13" s="156">
        <f>AD13*I13+AC13</f>
        <v>0.25840000000000002</v>
      </c>
      <c r="AI13" s="169">
        <f>AH13*0.1</f>
        <v>2.5840000000000002E-2</v>
      </c>
      <c r="AJ13" s="156">
        <f>AA13*1.72+115*0.012*AB13</f>
        <v>0</v>
      </c>
      <c r="AK13" s="156">
        <f>AE13*0.1</f>
        <v>0.5</v>
      </c>
      <c r="AL13" s="155">
        <f>1333*J12*POWER(10,-6)</f>
        <v>4.4340911999999992E-4</v>
      </c>
      <c r="AM13" s="156">
        <f t="shared" si="3"/>
        <v>0.7846834091199999</v>
      </c>
      <c r="AN13" s="159">
        <f t="shared" si="4"/>
        <v>8.4037113467999999E-7</v>
      </c>
      <c r="AO13" s="159">
        <f t="shared" si="5"/>
        <v>1.48717123113468E-3</v>
      </c>
    </row>
    <row r="14" spans="1:41">
      <c r="A14" s="101" t="s">
        <v>91</v>
      </c>
      <c r="B14" s="91" t="s">
        <v>238</v>
      </c>
      <c r="C14" s="92" t="s">
        <v>79</v>
      </c>
      <c r="D14" s="93" t="s">
        <v>157</v>
      </c>
      <c r="E14" s="94">
        <v>1.0000000000000001E-5</v>
      </c>
      <c r="F14" s="91">
        <v>9</v>
      </c>
      <c r="G14" s="91">
        <v>0.05</v>
      </c>
      <c r="H14" s="94">
        <f>E14*F14*G14</f>
        <v>4.5000000000000001E-6</v>
      </c>
      <c r="I14" s="91">
        <v>161.6</v>
      </c>
      <c r="J14" s="119">
        <f>I14</f>
        <v>161.6</v>
      </c>
      <c r="K14" s="119">
        <v>570</v>
      </c>
      <c r="L14" t="str">
        <f t="shared" si="0"/>
        <v>С13</v>
      </c>
      <c r="M14" t="str">
        <f t="shared" si="1"/>
        <v>Емкость Е-301</v>
      </c>
      <c r="N14" t="str">
        <f t="shared" si="2"/>
        <v>Полное-пожар</v>
      </c>
      <c r="O14">
        <v>19</v>
      </c>
      <c r="P14">
        <v>26</v>
      </c>
      <c r="Q14">
        <v>38</v>
      </c>
      <c r="R14">
        <v>71</v>
      </c>
      <c r="S14" t="s">
        <v>182</v>
      </c>
      <c r="T14" t="s">
        <v>182</v>
      </c>
      <c r="U14" t="s">
        <v>182</v>
      </c>
      <c r="V14" t="s">
        <v>182</v>
      </c>
      <c r="W14" t="s">
        <v>182</v>
      </c>
      <c r="X14" t="s">
        <v>182</v>
      </c>
      <c r="Y14" t="s">
        <v>182</v>
      </c>
      <c r="Z14" t="s">
        <v>182</v>
      </c>
      <c r="AA14" s="4">
        <v>1</v>
      </c>
      <c r="AB14" s="4">
        <v>1</v>
      </c>
      <c r="AC14" s="4">
        <v>0.46</v>
      </c>
      <c r="AD14" s="4">
        <v>1.4999999999999999E-2</v>
      </c>
      <c r="AE14" s="4">
        <v>15</v>
      </c>
      <c r="AF14" s="4"/>
      <c r="AG14" s="4"/>
      <c r="AH14" s="158">
        <f>AD14*I14+AC14</f>
        <v>2.8839999999999999</v>
      </c>
      <c r="AI14" s="170">
        <f>AH14*0.1</f>
        <v>0.28839999999999999</v>
      </c>
      <c r="AJ14" s="158">
        <f>AA14*1.72+115*0.012*AB14</f>
        <v>3.1</v>
      </c>
      <c r="AK14" s="158">
        <f>AE14*0.1</f>
        <v>1.5</v>
      </c>
      <c r="AL14" s="157">
        <f>10068.2*J14*POWER(10,-6)</f>
        <v>1.62702112</v>
      </c>
      <c r="AM14" s="158">
        <f t="shared" si="3"/>
        <v>9.3994211199999995</v>
      </c>
      <c r="AN14" s="161">
        <f t="shared" si="4"/>
        <v>7.3215950400000001E-6</v>
      </c>
      <c r="AO14" s="161">
        <f t="shared" si="5"/>
        <v>4.2297395039999998E-5</v>
      </c>
    </row>
    <row r="15" spans="1:41">
      <c r="A15" s="101" t="s">
        <v>92</v>
      </c>
      <c r="B15" s="91" t="s">
        <v>238</v>
      </c>
      <c r="C15" s="92" t="s">
        <v>232</v>
      </c>
      <c r="D15" s="93" t="s">
        <v>160</v>
      </c>
      <c r="E15" s="94">
        <v>1.0000000000000001E-5</v>
      </c>
      <c r="F15" s="91">
        <v>9</v>
      </c>
      <c r="G15" s="91">
        <v>4.7500000000000001E-2</v>
      </c>
      <c r="H15" s="94">
        <f t="shared" ref="H15:H19" si="14">E15*F15*G15</f>
        <v>4.2750000000000006E-6</v>
      </c>
      <c r="I15" s="91">
        <f>I14</f>
        <v>161.6</v>
      </c>
      <c r="J15" s="119">
        <f>0.1*K15</f>
        <v>4.104E-2</v>
      </c>
      <c r="K15" s="167">
        <f>POWER(10,-6)*SQRT(100)*20*3600*K14/1000</f>
        <v>0.41039999999999999</v>
      </c>
      <c r="L15" t="str">
        <f t="shared" si="0"/>
        <v>С14</v>
      </c>
      <c r="M15" t="str">
        <f t="shared" si="1"/>
        <v>Емкость Е-301</v>
      </c>
      <c r="N15" t="str">
        <f t="shared" si="2"/>
        <v>Полное-взрыв</v>
      </c>
      <c r="O15" t="s">
        <v>182</v>
      </c>
      <c r="P15" t="s">
        <v>182</v>
      </c>
      <c r="Q15" t="s">
        <v>182</v>
      </c>
      <c r="R15" t="s">
        <v>182</v>
      </c>
      <c r="S15">
        <v>15</v>
      </c>
      <c r="T15">
        <v>32</v>
      </c>
      <c r="U15">
        <v>87</v>
      </c>
      <c r="V15">
        <v>150</v>
      </c>
      <c r="W15" t="s">
        <v>182</v>
      </c>
      <c r="X15" t="s">
        <v>182</v>
      </c>
      <c r="Y15" t="s">
        <v>182</v>
      </c>
      <c r="Z15" t="s">
        <v>182</v>
      </c>
      <c r="AA15" s="4">
        <v>2</v>
      </c>
      <c r="AB15" s="4">
        <v>1</v>
      </c>
      <c r="AC15" s="4">
        <v>0.46</v>
      </c>
      <c r="AD15" s="4">
        <v>1.4999999999999999E-2</v>
      </c>
      <c r="AE15" s="4">
        <v>15</v>
      </c>
      <c r="AF15" s="4"/>
      <c r="AG15" s="4"/>
      <c r="AH15" s="158">
        <f>AD15*I15+AC15</f>
        <v>2.8839999999999999</v>
      </c>
      <c r="AI15" s="170">
        <f t="shared" ref="AI15:AI16" si="15">AH15*0.1</f>
        <v>0.28839999999999999</v>
      </c>
      <c r="AJ15" s="158">
        <f t="shared" ref="AJ15:AJ16" si="16">AA15*1.72+115*0.012*AB15</f>
        <v>4.82</v>
      </c>
      <c r="AK15" s="158">
        <f t="shared" ref="AK15:AK16" si="17">AE15*0.1</f>
        <v>1.5</v>
      </c>
      <c r="AL15" s="157">
        <f>10068.2*J15*POWER(10,-6)*10</f>
        <v>4.1319892799999997E-3</v>
      </c>
      <c r="AM15" s="158">
        <f t="shared" si="3"/>
        <v>9.4965319892800011</v>
      </c>
      <c r="AN15" s="161">
        <f t="shared" si="4"/>
        <v>1.7664254172000003E-8</v>
      </c>
      <c r="AO15" s="161">
        <f t="shared" si="5"/>
        <v>4.059767425417201E-5</v>
      </c>
    </row>
    <row r="16" spans="1:41">
      <c r="A16" s="101" t="s">
        <v>93</v>
      </c>
      <c r="B16" s="91" t="s">
        <v>238</v>
      </c>
      <c r="C16" s="92" t="s">
        <v>233</v>
      </c>
      <c r="D16" s="93" t="s">
        <v>158</v>
      </c>
      <c r="E16" s="94">
        <v>1.0000000000000001E-5</v>
      </c>
      <c r="F16" s="91">
        <v>9</v>
      </c>
      <c r="G16" s="91">
        <v>0.90249999999999997</v>
      </c>
      <c r="H16" s="94">
        <f t="shared" si="14"/>
        <v>8.1224999999999996E-5</v>
      </c>
      <c r="I16" s="91">
        <f>I15</f>
        <v>161.6</v>
      </c>
      <c r="J16" s="119">
        <v>0</v>
      </c>
      <c r="K16" s="167">
        <v>200</v>
      </c>
      <c r="L16" t="str">
        <f t="shared" si="0"/>
        <v>С15</v>
      </c>
      <c r="M16" t="str">
        <f t="shared" si="1"/>
        <v>Емкость Е-301</v>
      </c>
      <c r="N16" t="str">
        <f t="shared" si="2"/>
        <v>Полное-ликвидация</v>
      </c>
      <c r="O16" t="s">
        <v>182</v>
      </c>
      <c r="P16" t="s">
        <v>182</v>
      </c>
      <c r="Q16" t="s">
        <v>182</v>
      </c>
      <c r="R16" t="s">
        <v>182</v>
      </c>
      <c r="S16" t="s">
        <v>182</v>
      </c>
      <c r="T16" t="s">
        <v>182</v>
      </c>
      <c r="U16" t="s">
        <v>182</v>
      </c>
      <c r="V16" t="s">
        <v>182</v>
      </c>
      <c r="W16" t="s">
        <v>182</v>
      </c>
      <c r="X16" t="s">
        <v>182</v>
      </c>
      <c r="Y16" t="s">
        <v>182</v>
      </c>
      <c r="Z16" t="s">
        <v>182</v>
      </c>
      <c r="AA16" s="4">
        <v>0</v>
      </c>
      <c r="AB16" s="4">
        <v>0</v>
      </c>
      <c r="AC16" s="4">
        <v>0.46</v>
      </c>
      <c r="AD16" s="4">
        <v>1.4999999999999999E-2</v>
      </c>
      <c r="AE16" s="4">
        <v>15</v>
      </c>
      <c r="AF16" s="4"/>
      <c r="AG16" s="4"/>
      <c r="AH16" s="158">
        <f>AD16*J16+AC16</f>
        <v>0.46</v>
      </c>
      <c r="AI16" s="170">
        <f t="shared" si="15"/>
        <v>4.6000000000000006E-2</v>
      </c>
      <c r="AJ16" s="158">
        <f t="shared" si="16"/>
        <v>0</v>
      </c>
      <c r="AK16" s="158">
        <f t="shared" si="17"/>
        <v>1.5</v>
      </c>
      <c r="AL16" s="157">
        <f>1333*J15*POWER(10,-6)*10</f>
        <v>5.4706319999999994E-4</v>
      </c>
      <c r="AM16" s="158">
        <f t="shared" si="3"/>
        <v>2.0065470632000002</v>
      </c>
      <c r="AN16" s="161">
        <f t="shared" si="4"/>
        <v>4.4435208419999991E-8</v>
      </c>
      <c r="AO16" s="161">
        <f t="shared" si="5"/>
        <v>1.6298178520842002E-4</v>
      </c>
    </row>
    <row r="17" spans="1:41">
      <c r="A17" s="101" t="s">
        <v>94</v>
      </c>
      <c r="B17" s="91" t="s">
        <v>238</v>
      </c>
      <c r="C17" s="92" t="s">
        <v>186</v>
      </c>
      <c r="D17" s="93" t="s">
        <v>187</v>
      </c>
      <c r="E17" s="94">
        <v>1E-4</v>
      </c>
      <c r="F17" s="91">
        <v>9</v>
      </c>
      <c r="G17" s="91">
        <v>0.05</v>
      </c>
      <c r="H17" s="94">
        <f t="shared" si="14"/>
        <v>4.500000000000001E-5</v>
      </c>
      <c r="I17" s="91">
        <f>I14*0.1</f>
        <v>16.16</v>
      </c>
      <c r="J17" s="119">
        <f>I17</f>
        <v>16.16</v>
      </c>
      <c r="K17" s="167">
        <f>ROUNDUP(I17*20,0)</f>
        <v>324</v>
      </c>
      <c r="L17" t="str">
        <f t="shared" si="0"/>
        <v>С16</v>
      </c>
      <c r="M17" t="str">
        <f t="shared" si="1"/>
        <v>Емкость Е-301</v>
      </c>
      <c r="N17" t="str">
        <f t="shared" si="2"/>
        <v>Частичное-пожар</v>
      </c>
      <c r="O17">
        <v>17</v>
      </c>
      <c r="P17">
        <v>23</v>
      </c>
      <c r="Q17">
        <v>33</v>
      </c>
      <c r="R17">
        <v>62</v>
      </c>
      <c r="S17" t="s">
        <v>182</v>
      </c>
      <c r="T17" t="s">
        <v>182</v>
      </c>
      <c r="U17" t="s">
        <v>182</v>
      </c>
      <c r="V17" t="s">
        <v>182</v>
      </c>
      <c r="W17" t="s">
        <v>182</v>
      </c>
      <c r="X17" t="s">
        <v>182</v>
      </c>
      <c r="Y17" t="s">
        <v>182</v>
      </c>
      <c r="Z17" t="s">
        <v>182</v>
      </c>
      <c r="AA17" s="4">
        <v>0</v>
      </c>
      <c r="AB17" s="4">
        <v>1</v>
      </c>
      <c r="AC17" s="4">
        <f>0.1*AC16</f>
        <v>4.6000000000000006E-2</v>
      </c>
      <c r="AD17" s="4">
        <v>1.4999999999999999E-2</v>
      </c>
      <c r="AE17" s="4">
        <v>5</v>
      </c>
      <c r="AF17" s="4"/>
      <c r="AG17" s="4"/>
      <c r="AH17" s="158">
        <f>AD17*I17+AC17</f>
        <v>0.28839999999999999</v>
      </c>
      <c r="AI17" s="170">
        <f>AH17*0.1</f>
        <v>2.8840000000000001E-2</v>
      </c>
      <c r="AJ17" s="158">
        <f>AA17*1.72+115*0.012*AB17</f>
        <v>1.3800000000000001</v>
      </c>
      <c r="AK17" s="158">
        <f>AE17*0.1</f>
        <v>0.5</v>
      </c>
      <c r="AL17" s="157">
        <f>10068.2*J17*POWER(10,-6)</f>
        <v>0.16270211200000001</v>
      </c>
      <c r="AM17" s="158">
        <f t="shared" si="3"/>
        <v>2.3599421120000006</v>
      </c>
      <c r="AN17" s="161">
        <f t="shared" si="4"/>
        <v>7.3215950400000018E-6</v>
      </c>
      <c r="AO17" s="161">
        <f t="shared" si="5"/>
        <v>1.0619739504000005E-4</v>
      </c>
    </row>
    <row r="18" spans="1:41">
      <c r="A18" s="101" t="s">
        <v>95</v>
      </c>
      <c r="B18" s="91" t="s">
        <v>238</v>
      </c>
      <c r="C18" s="92" t="s">
        <v>234</v>
      </c>
      <c r="D18" s="93" t="s">
        <v>161</v>
      </c>
      <c r="E18" s="94">
        <v>1E-4</v>
      </c>
      <c r="F18" s="91">
        <v>9</v>
      </c>
      <c r="G18" s="91">
        <v>4.7500000000000001E-2</v>
      </c>
      <c r="H18" s="94">
        <f t="shared" si="14"/>
        <v>4.2750000000000002E-5</v>
      </c>
      <c r="I18" s="91">
        <f>0.1*I14</f>
        <v>16.16</v>
      </c>
      <c r="J18" s="119">
        <f>K18</f>
        <v>0.23327999999999999</v>
      </c>
      <c r="K18" s="167">
        <f>POWER(10,-6)*SQRT(100)*20*3600*K17/1000</f>
        <v>0.23327999999999999</v>
      </c>
      <c r="L18" t="str">
        <f t="shared" si="0"/>
        <v>С17</v>
      </c>
      <c r="M18" t="str">
        <f t="shared" si="1"/>
        <v>Емкость Е-301</v>
      </c>
      <c r="N18" t="str">
        <f t="shared" si="2"/>
        <v>Частичное-вспышка</v>
      </c>
      <c r="O18" t="s">
        <v>182</v>
      </c>
      <c r="P18" t="s">
        <v>182</v>
      </c>
      <c r="Q18" t="s">
        <v>182</v>
      </c>
      <c r="R18" t="s">
        <v>182</v>
      </c>
      <c r="S18" t="s">
        <v>182</v>
      </c>
      <c r="T18" t="s">
        <v>182</v>
      </c>
      <c r="U18" t="s">
        <v>182</v>
      </c>
      <c r="V18" t="s">
        <v>182</v>
      </c>
      <c r="W18" t="s">
        <v>182</v>
      </c>
      <c r="X18" t="s">
        <v>182</v>
      </c>
      <c r="Y18">
        <v>20</v>
      </c>
      <c r="Z18">
        <v>24</v>
      </c>
      <c r="AA18" s="4">
        <v>0</v>
      </c>
      <c r="AB18" s="4">
        <v>1</v>
      </c>
      <c r="AC18" s="4">
        <f>0.1*AC16</f>
        <v>4.6000000000000006E-2</v>
      </c>
      <c r="AD18" s="4">
        <v>1.4999999999999999E-2</v>
      </c>
      <c r="AE18" s="4">
        <v>5</v>
      </c>
      <c r="AF18" s="4"/>
      <c r="AG18" s="4"/>
      <c r="AH18" s="158">
        <f>AD18*I18+AC18</f>
        <v>0.28839999999999999</v>
      </c>
      <c r="AI18" s="170">
        <f>AH18*0.1</f>
        <v>2.8840000000000001E-2</v>
      </c>
      <c r="AJ18" s="158">
        <f>AA18*1.72+115*0.012*AB18</f>
        <v>1.3800000000000001</v>
      </c>
      <c r="AK18" s="158">
        <f>AE18*0.1</f>
        <v>0.5</v>
      </c>
      <c r="AL18" s="157">
        <f>10068.2*J18*POWER(10,-6)</f>
        <v>2.3487096959999999E-3</v>
      </c>
      <c r="AM18" s="158">
        <f t="shared" si="3"/>
        <v>2.1995887096960001</v>
      </c>
      <c r="AN18" s="161">
        <f t="shared" si="4"/>
        <v>1.00407339504E-7</v>
      </c>
      <c r="AO18" s="161">
        <f t="shared" si="5"/>
        <v>9.4032417339504003E-5</v>
      </c>
    </row>
    <row r="19" spans="1:41">
      <c r="A19" s="101" t="s">
        <v>96</v>
      </c>
      <c r="B19" s="91" t="s">
        <v>238</v>
      </c>
      <c r="C19" s="92" t="s">
        <v>235</v>
      </c>
      <c r="D19" s="93" t="s">
        <v>159</v>
      </c>
      <c r="E19" s="94">
        <v>1E-4</v>
      </c>
      <c r="F19" s="91">
        <v>9</v>
      </c>
      <c r="G19" s="91">
        <v>0.90249999999999997</v>
      </c>
      <c r="H19" s="94">
        <f t="shared" si="14"/>
        <v>8.1225000000000004E-4</v>
      </c>
      <c r="I19" s="91">
        <f>0.1*I14</f>
        <v>16.16</v>
      </c>
      <c r="J19" s="119">
        <v>0</v>
      </c>
      <c r="K19" s="167">
        <v>0</v>
      </c>
      <c r="L19" t="str">
        <f t="shared" si="0"/>
        <v>С18</v>
      </c>
      <c r="M19" t="str">
        <f t="shared" si="1"/>
        <v>Емкость Е-301</v>
      </c>
      <c r="N19" t="str">
        <f t="shared" si="2"/>
        <v>Частичное-ликвидация</v>
      </c>
      <c r="O19" t="s">
        <v>182</v>
      </c>
      <c r="P19" t="s">
        <v>182</v>
      </c>
      <c r="Q19" t="s">
        <v>182</v>
      </c>
      <c r="R19" t="s">
        <v>182</v>
      </c>
      <c r="S19" t="s">
        <v>182</v>
      </c>
      <c r="T19" t="s">
        <v>182</v>
      </c>
      <c r="U19" t="s">
        <v>182</v>
      </c>
      <c r="V19" t="s">
        <v>182</v>
      </c>
      <c r="W19" t="s">
        <v>182</v>
      </c>
      <c r="X19" t="s">
        <v>182</v>
      </c>
      <c r="Y19" t="s">
        <v>182</v>
      </c>
      <c r="Z19" t="s">
        <v>182</v>
      </c>
      <c r="AA19" s="4">
        <v>0</v>
      </c>
      <c r="AB19" s="4">
        <v>0</v>
      </c>
      <c r="AC19" s="4">
        <f>0.1*AC16</f>
        <v>4.6000000000000006E-2</v>
      </c>
      <c r="AD19" s="4">
        <v>1.4999999999999999E-2</v>
      </c>
      <c r="AE19" s="4">
        <v>5</v>
      </c>
      <c r="AF19" s="4"/>
      <c r="AG19" s="4"/>
      <c r="AH19" s="158">
        <f>AD19*I19+AC19</f>
        <v>0.28839999999999999</v>
      </c>
      <c r="AI19" s="170">
        <f>AH19*0.1</f>
        <v>2.8840000000000001E-2</v>
      </c>
      <c r="AJ19" s="158">
        <f>AA19*1.72+115*0.012*AB19</f>
        <v>0</v>
      </c>
      <c r="AK19" s="158">
        <f>AE19*0.1</f>
        <v>0.5</v>
      </c>
      <c r="AL19" s="157">
        <f>1333*J18*POWER(10,-6)</f>
        <v>3.1096223999999998E-4</v>
      </c>
      <c r="AM19" s="158">
        <f t="shared" si="3"/>
        <v>0.81755096224000001</v>
      </c>
      <c r="AN19" s="161">
        <f t="shared" si="4"/>
        <v>2.5257907944E-7</v>
      </c>
      <c r="AO19" s="161">
        <f t="shared" si="5"/>
        <v>6.6405576907944009E-4</v>
      </c>
    </row>
    <row r="20" spans="1:41">
      <c r="A20" s="101" t="s">
        <v>97</v>
      </c>
      <c r="B20" s="79" t="s">
        <v>239</v>
      </c>
      <c r="C20" s="82" t="s">
        <v>79</v>
      </c>
      <c r="D20" s="80" t="s">
        <v>157</v>
      </c>
      <c r="E20" s="81">
        <v>2.9999999999999999E-7</v>
      </c>
      <c r="F20" s="79">
        <v>284</v>
      </c>
      <c r="G20" s="79">
        <v>0.2</v>
      </c>
      <c r="H20" s="81">
        <f>E20*F20*G20</f>
        <v>1.7039999999999999E-5</v>
      </c>
      <c r="I20" s="79">
        <v>1.2</v>
      </c>
      <c r="J20" s="79">
        <f>I20</f>
        <v>1.2</v>
      </c>
      <c r="K20" s="79">
        <f>K22*150</f>
        <v>180</v>
      </c>
      <c r="L20" t="str">
        <f t="shared" ref="L20:L25" si="18">A20</f>
        <v>С19</v>
      </c>
      <c r="M20" t="str">
        <f t="shared" ref="M20:M25" si="19">B20</f>
        <v xml:space="preserve">Трубопровод №30/5 (Н-104 до АСН) </v>
      </c>
      <c r="N20" t="str">
        <f t="shared" ref="N20:N25" si="20">D20</f>
        <v>Полное-пожар</v>
      </c>
      <c r="O20">
        <v>16</v>
      </c>
      <c r="P20">
        <v>21</v>
      </c>
      <c r="Q20">
        <v>30</v>
      </c>
      <c r="R20">
        <v>55</v>
      </c>
      <c r="S20" t="s">
        <v>182</v>
      </c>
      <c r="T20" t="s">
        <v>182</v>
      </c>
      <c r="U20" t="s">
        <v>182</v>
      </c>
      <c r="V20" t="s">
        <v>182</v>
      </c>
      <c r="W20" t="s">
        <v>182</v>
      </c>
      <c r="X20" t="s">
        <v>182</v>
      </c>
      <c r="Y20" t="s">
        <v>182</v>
      </c>
      <c r="Z20" t="s">
        <v>182</v>
      </c>
      <c r="AA20" s="3">
        <v>0</v>
      </c>
      <c r="AB20" s="3">
        <v>1</v>
      </c>
      <c r="AC20" s="3">
        <v>0.12</v>
      </c>
      <c r="AD20" s="3">
        <v>1.4999999999999999E-2</v>
      </c>
      <c r="AE20" s="3">
        <v>15</v>
      </c>
      <c r="AF20" s="3"/>
      <c r="AG20" s="3"/>
      <c r="AH20" s="149">
        <f>AD20*I20+AC20</f>
        <v>0.13799999999999998</v>
      </c>
      <c r="AI20" s="171">
        <f>AH20*0.1</f>
        <v>1.38E-2</v>
      </c>
      <c r="AJ20" s="150">
        <f>AA20*1.72+115*0.012*AB20</f>
        <v>1.3800000000000001</v>
      </c>
      <c r="AK20" s="150">
        <f>AE20*0.1</f>
        <v>1.5</v>
      </c>
      <c r="AL20" s="149">
        <f>10068.2*J20*POWER(10,-6)+0.0012*K23</f>
        <v>3.3681839999999998E-2</v>
      </c>
      <c r="AM20" s="150">
        <f t="shared" ref="AM20:AM25" si="21">AL20+AK20+AJ20+AI20+AH20</f>
        <v>3.0654818399999999</v>
      </c>
      <c r="AN20" s="160">
        <f t="shared" ref="AN20:AN25" si="22">AL20*H20</f>
        <v>5.7393855359999993E-7</v>
      </c>
      <c r="AO20" s="160">
        <f t="shared" ref="AO20:AO25" si="23">H20*AM20</f>
        <v>5.2235810553599999E-5</v>
      </c>
    </row>
    <row r="21" spans="1:41">
      <c r="A21" s="101" t="s">
        <v>98</v>
      </c>
      <c r="B21" s="79" t="s">
        <v>239</v>
      </c>
      <c r="C21" s="82" t="s">
        <v>232</v>
      </c>
      <c r="D21" s="80" t="s">
        <v>160</v>
      </c>
      <c r="E21" s="81">
        <v>2.9999999999999999E-7</v>
      </c>
      <c r="F21" s="79">
        <v>284</v>
      </c>
      <c r="G21" s="79">
        <v>4.0000000000000008E-2</v>
      </c>
      <c r="H21" s="81">
        <f t="shared" ref="H21:H25" si="24">E21*F21*G21</f>
        <v>3.4080000000000007E-6</v>
      </c>
      <c r="I21" s="79">
        <f>I20</f>
        <v>1.2</v>
      </c>
      <c r="J21" s="79">
        <f>0.1*K21</f>
        <v>1.9439999999999999E-2</v>
      </c>
      <c r="K21" s="82">
        <f>POWER(10,-6)*SQRT(100)*30*3600*K20/1000</f>
        <v>0.19439999999999999</v>
      </c>
      <c r="L21" t="str">
        <f t="shared" si="18"/>
        <v>С20</v>
      </c>
      <c r="M21" t="str">
        <f t="shared" si="19"/>
        <v xml:space="preserve">Трубопровод №30/5 (Н-104 до АСН) </v>
      </c>
      <c r="N21" t="str">
        <f t="shared" si="20"/>
        <v>Полное-взрыв</v>
      </c>
      <c r="O21" t="s">
        <v>182</v>
      </c>
      <c r="P21" t="s">
        <v>182</v>
      </c>
      <c r="Q21" t="s">
        <v>182</v>
      </c>
      <c r="R21" t="s">
        <v>182</v>
      </c>
      <c r="S21">
        <v>12</v>
      </c>
      <c r="T21">
        <v>25</v>
      </c>
      <c r="U21">
        <v>68</v>
      </c>
      <c r="V21">
        <v>116</v>
      </c>
      <c r="W21" t="s">
        <v>182</v>
      </c>
      <c r="X21" t="s">
        <v>182</v>
      </c>
      <c r="Y21" t="s">
        <v>182</v>
      </c>
      <c r="Z21" t="s">
        <v>182</v>
      </c>
      <c r="AA21" s="3">
        <v>0</v>
      </c>
      <c r="AB21" s="3">
        <v>1</v>
      </c>
      <c r="AC21" s="3">
        <v>0.12</v>
      </c>
      <c r="AD21" s="3">
        <v>1.4999999999999999E-2</v>
      </c>
      <c r="AE21" s="3">
        <v>15</v>
      </c>
      <c r="AF21" s="3"/>
      <c r="AG21" s="3"/>
      <c r="AH21" s="149">
        <f>AD21*I21+AC21</f>
        <v>0.13799999999999998</v>
      </c>
      <c r="AI21" s="171">
        <f t="shared" ref="AI21:AI22" si="25">AH21*0.1</f>
        <v>1.38E-2</v>
      </c>
      <c r="AJ21" s="150">
        <f t="shared" ref="AJ21:AJ22" si="26">AA21*1.72+115*0.012*AB21</f>
        <v>1.3800000000000001</v>
      </c>
      <c r="AK21" s="150">
        <f t="shared" ref="AK21:AK22" si="27">AE21*0.1</f>
        <v>1.5</v>
      </c>
      <c r="AL21" s="149">
        <f>10068.2*J21*POWER(10,-6)*10+0.0012*K23</f>
        <v>2.3557258079999997E-2</v>
      </c>
      <c r="AM21" s="150">
        <f t="shared" si="21"/>
        <v>3.0553572580799999</v>
      </c>
      <c r="AN21" s="160">
        <f t="shared" si="22"/>
        <v>8.0283135536640005E-8</v>
      </c>
      <c r="AO21" s="160">
        <f t="shared" si="23"/>
        <v>1.0412657535536642E-5</v>
      </c>
    </row>
    <row r="22" spans="1:41">
      <c r="A22" s="101" t="s">
        <v>99</v>
      </c>
      <c r="B22" s="79" t="s">
        <v>239</v>
      </c>
      <c r="C22" s="82" t="s">
        <v>233</v>
      </c>
      <c r="D22" s="80" t="s">
        <v>158</v>
      </c>
      <c r="E22" s="81">
        <v>2.9999999999999999E-7</v>
      </c>
      <c r="F22" s="79">
        <v>284</v>
      </c>
      <c r="G22" s="79">
        <v>0.76</v>
      </c>
      <c r="H22" s="81">
        <f t="shared" si="24"/>
        <v>6.4751999999999993E-5</v>
      </c>
      <c r="I22" s="79">
        <f>I21</f>
        <v>1.2</v>
      </c>
      <c r="J22" s="79">
        <v>0</v>
      </c>
      <c r="K22" s="82">
        <f>J20</f>
        <v>1.2</v>
      </c>
      <c r="L22" t="str">
        <f t="shared" si="18"/>
        <v>С21</v>
      </c>
      <c r="M22" t="str">
        <f t="shared" si="19"/>
        <v xml:space="preserve">Трубопровод №30/5 (Н-104 до АСН) </v>
      </c>
      <c r="N22" t="str">
        <f t="shared" si="20"/>
        <v>Полное-ликвидация</v>
      </c>
      <c r="O22" t="s">
        <v>182</v>
      </c>
      <c r="P22" t="s">
        <v>182</v>
      </c>
      <c r="Q22" t="s">
        <v>182</v>
      </c>
      <c r="R22" t="s">
        <v>182</v>
      </c>
      <c r="S22" t="s">
        <v>182</v>
      </c>
      <c r="T22" t="s">
        <v>182</v>
      </c>
      <c r="U22" t="s">
        <v>182</v>
      </c>
      <c r="V22" t="s">
        <v>182</v>
      </c>
      <c r="W22" t="s">
        <v>182</v>
      </c>
      <c r="X22" t="s">
        <v>182</v>
      </c>
      <c r="Y22" t="s">
        <v>182</v>
      </c>
      <c r="Z22" t="s">
        <v>182</v>
      </c>
      <c r="AA22" s="3">
        <v>0</v>
      </c>
      <c r="AB22" s="3">
        <v>0</v>
      </c>
      <c r="AC22" s="3">
        <v>0.12</v>
      </c>
      <c r="AD22" s="3">
        <v>1.4999999999999999E-2</v>
      </c>
      <c r="AE22" s="3">
        <v>15</v>
      </c>
      <c r="AF22" s="3"/>
      <c r="AG22" s="3"/>
      <c r="AH22" s="149">
        <f>AD22*J22+AC22</f>
        <v>0.12</v>
      </c>
      <c r="AI22" s="171">
        <f t="shared" si="25"/>
        <v>1.2E-2</v>
      </c>
      <c r="AJ22" s="150">
        <f t="shared" si="26"/>
        <v>0</v>
      </c>
      <c r="AK22" s="150">
        <f t="shared" si="27"/>
        <v>1.5</v>
      </c>
      <c r="AL22" s="149">
        <f>1333*J21*POWER(10,-6)*10+0.0012*K23</f>
        <v>2.1859135199999997E-2</v>
      </c>
      <c r="AM22" s="150">
        <f t="shared" si="21"/>
        <v>1.6538591351999998</v>
      </c>
      <c r="AN22" s="160">
        <f t="shared" si="22"/>
        <v>1.4154227224703996E-6</v>
      </c>
      <c r="AO22" s="160">
        <f t="shared" si="23"/>
        <v>1.0709068672247037E-4</v>
      </c>
    </row>
    <row r="23" spans="1:41">
      <c r="A23" s="101" t="s">
        <v>100</v>
      </c>
      <c r="B23" s="79" t="s">
        <v>239</v>
      </c>
      <c r="C23" s="82" t="s">
        <v>186</v>
      </c>
      <c r="D23" s="80" t="s">
        <v>187</v>
      </c>
      <c r="E23" s="81">
        <v>1.9999999999999999E-6</v>
      </c>
      <c r="F23" s="79">
        <v>284</v>
      </c>
      <c r="G23" s="79">
        <v>0.2</v>
      </c>
      <c r="H23" s="81">
        <f t="shared" si="24"/>
        <v>1.136E-4</v>
      </c>
      <c r="I23" s="79">
        <f>I20*0.1</f>
        <v>0.12</v>
      </c>
      <c r="J23" s="79">
        <f>I23</f>
        <v>0.12</v>
      </c>
      <c r="K23" s="82">
        <f>ROUNDUP(I23*150,0)</f>
        <v>18</v>
      </c>
      <c r="L23" t="str">
        <f t="shared" si="18"/>
        <v>С22</v>
      </c>
      <c r="M23" t="str">
        <f t="shared" si="19"/>
        <v xml:space="preserve">Трубопровод №30/5 (Н-104 до АСН) </v>
      </c>
      <c r="N23" t="str">
        <f t="shared" si="20"/>
        <v>Частичное-пожар</v>
      </c>
      <c r="O23">
        <v>12</v>
      </c>
      <c r="P23">
        <v>15</v>
      </c>
      <c r="Q23">
        <v>19</v>
      </c>
      <c r="R23">
        <v>33</v>
      </c>
      <c r="S23" t="s">
        <v>182</v>
      </c>
      <c r="T23" t="s">
        <v>182</v>
      </c>
      <c r="U23" t="s">
        <v>182</v>
      </c>
      <c r="V23" t="s">
        <v>182</v>
      </c>
      <c r="W23" t="s">
        <v>182</v>
      </c>
      <c r="X23" t="s">
        <v>182</v>
      </c>
      <c r="Y23" t="s">
        <v>182</v>
      </c>
      <c r="Z23" t="s">
        <v>182</v>
      </c>
      <c r="AA23" s="3">
        <v>0</v>
      </c>
      <c r="AB23" s="3">
        <v>1</v>
      </c>
      <c r="AC23" s="3">
        <f>0.1*AC22</f>
        <v>1.2E-2</v>
      </c>
      <c r="AD23" s="3">
        <v>1.4999999999999999E-2</v>
      </c>
      <c r="AE23" s="3">
        <v>5</v>
      </c>
      <c r="AF23" s="3"/>
      <c r="AG23" s="3"/>
      <c r="AH23" s="149">
        <f>AD23*I23+AC23</f>
        <v>1.38E-2</v>
      </c>
      <c r="AI23" s="171">
        <f>AH23*0.1</f>
        <v>1.3800000000000002E-3</v>
      </c>
      <c r="AJ23" s="150">
        <f>AA23*1.72+115*0.012*AB23</f>
        <v>1.3800000000000001</v>
      </c>
      <c r="AK23" s="150">
        <f>AE23*0.1</f>
        <v>0.5</v>
      </c>
      <c r="AL23" s="149">
        <f>10068.2*J23*POWER(10,-6)+0.0012*K23</f>
        <v>2.2808183999999999E-2</v>
      </c>
      <c r="AM23" s="150">
        <f t="shared" si="21"/>
        <v>1.9179881839999999</v>
      </c>
      <c r="AN23" s="160">
        <f t="shared" si="22"/>
        <v>2.5910097024E-6</v>
      </c>
      <c r="AO23" s="160">
        <f t="shared" si="23"/>
        <v>2.1788345770239998E-4</v>
      </c>
    </row>
    <row r="24" spans="1:41">
      <c r="A24" s="101" t="s">
        <v>101</v>
      </c>
      <c r="B24" s="79" t="s">
        <v>239</v>
      </c>
      <c r="C24" s="82" t="s">
        <v>234</v>
      </c>
      <c r="D24" s="80" t="s">
        <v>161</v>
      </c>
      <c r="E24" s="81">
        <v>1.9999999999999999E-6</v>
      </c>
      <c r="F24" s="79">
        <v>284</v>
      </c>
      <c r="G24" s="79">
        <v>4.0000000000000008E-2</v>
      </c>
      <c r="H24" s="81">
        <f t="shared" si="24"/>
        <v>2.2720000000000003E-5</v>
      </c>
      <c r="I24" s="79">
        <f>0.1*I20</f>
        <v>0.12</v>
      </c>
      <c r="J24" s="79">
        <f>K24</f>
        <v>1.9439999999999999E-2</v>
      </c>
      <c r="K24" s="82">
        <f>POWER(10,-6)*SQRT(100)*30*3600*K23/1000</f>
        <v>1.9439999999999999E-2</v>
      </c>
      <c r="L24" t="str">
        <f t="shared" si="18"/>
        <v>С23</v>
      </c>
      <c r="M24" t="str">
        <f t="shared" si="19"/>
        <v xml:space="preserve">Трубопровод №30/5 (Н-104 до АСН) </v>
      </c>
      <c r="N24" t="str">
        <f t="shared" si="20"/>
        <v>Частичное-вспышка</v>
      </c>
      <c r="O24" t="s">
        <v>182</v>
      </c>
      <c r="P24" t="s">
        <v>182</v>
      </c>
      <c r="Q24" t="s">
        <v>182</v>
      </c>
      <c r="R24" t="s">
        <v>182</v>
      </c>
      <c r="S24" t="s">
        <v>182</v>
      </c>
      <c r="T24" t="s">
        <v>182</v>
      </c>
      <c r="U24" t="s">
        <v>182</v>
      </c>
      <c r="V24" t="s">
        <v>182</v>
      </c>
      <c r="W24" t="s">
        <v>182</v>
      </c>
      <c r="X24" t="s">
        <v>182</v>
      </c>
      <c r="Y24">
        <v>8</v>
      </c>
      <c r="Z24">
        <v>9</v>
      </c>
      <c r="AA24" s="3">
        <v>0</v>
      </c>
      <c r="AB24" s="3">
        <v>1</v>
      </c>
      <c r="AC24" s="3">
        <f>0.1*AC22</f>
        <v>1.2E-2</v>
      </c>
      <c r="AD24" s="3">
        <v>1.4999999999999999E-2</v>
      </c>
      <c r="AE24" s="3">
        <v>5</v>
      </c>
      <c r="AF24" s="3"/>
      <c r="AG24" s="3"/>
      <c r="AH24" s="149">
        <f>AD24*I24+AC24</f>
        <v>1.38E-2</v>
      </c>
      <c r="AI24" s="171">
        <f>AH24*0.1</f>
        <v>1.3800000000000002E-3</v>
      </c>
      <c r="AJ24" s="150">
        <f>AA24*1.72+115*0.012*AB24</f>
        <v>1.3800000000000001</v>
      </c>
      <c r="AK24" s="150">
        <f>AE24*0.1</f>
        <v>0.5</v>
      </c>
      <c r="AL24" s="149">
        <f>10068.2*J24*POWER(10,-6)+0.0012*K23</f>
        <v>2.1795725807999999E-2</v>
      </c>
      <c r="AM24" s="150">
        <f t="shared" si="21"/>
        <v>1.9169757258080002</v>
      </c>
      <c r="AN24" s="160">
        <f t="shared" si="22"/>
        <v>4.9519889035776007E-7</v>
      </c>
      <c r="AO24" s="160">
        <f t="shared" si="23"/>
        <v>4.3553688490357771E-5</v>
      </c>
    </row>
    <row r="25" spans="1:41">
      <c r="A25" s="101" t="s">
        <v>102</v>
      </c>
      <c r="B25" s="79" t="s">
        <v>239</v>
      </c>
      <c r="C25" s="82" t="s">
        <v>235</v>
      </c>
      <c r="D25" s="80" t="s">
        <v>159</v>
      </c>
      <c r="E25" s="81">
        <v>1.9999999999999999E-6</v>
      </c>
      <c r="F25" s="79">
        <v>284</v>
      </c>
      <c r="G25" s="79">
        <v>0.76</v>
      </c>
      <c r="H25" s="81">
        <f t="shared" si="24"/>
        <v>4.3167999999999993E-4</v>
      </c>
      <c r="I25" s="79">
        <f>0.1*I20</f>
        <v>0.12</v>
      </c>
      <c r="J25" s="79">
        <v>0</v>
      </c>
      <c r="K25" s="82">
        <v>0</v>
      </c>
      <c r="L25" t="str">
        <f t="shared" si="18"/>
        <v>С24</v>
      </c>
      <c r="M25" t="str">
        <f t="shared" si="19"/>
        <v xml:space="preserve">Трубопровод №30/5 (Н-104 до АСН) </v>
      </c>
      <c r="N25" t="str">
        <f t="shared" si="20"/>
        <v>Частичное-ликвидация</v>
      </c>
      <c r="O25" t="s">
        <v>182</v>
      </c>
      <c r="P25" t="s">
        <v>182</v>
      </c>
      <c r="Q25" t="s">
        <v>182</v>
      </c>
      <c r="R25" t="s">
        <v>182</v>
      </c>
      <c r="S25" t="s">
        <v>182</v>
      </c>
      <c r="T25" t="s">
        <v>182</v>
      </c>
      <c r="U25" t="s">
        <v>182</v>
      </c>
      <c r="V25" t="s">
        <v>182</v>
      </c>
      <c r="W25" t="s">
        <v>182</v>
      </c>
      <c r="X25" t="s">
        <v>182</v>
      </c>
      <c r="Y25" t="s">
        <v>182</v>
      </c>
      <c r="Z25" t="s">
        <v>182</v>
      </c>
      <c r="AA25" s="3">
        <v>0</v>
      </c>
      <c r="AB25" s="3">
        <v>0</v>
      </c>
      <c r="AC25" s="3">
        <f>0.1*AC22</f>
        <v>1.2E-2</v>
      </c>
      <c r="AD25" s="3">
        <v>1.4999999999999999E-2</v>
      </c>
      <c r="AE25" s="3">
        <v>5</v>
      </c>
      <c r="AF25" s="3"/>
      <c r="AG25" s="3"/>
      <c r="AH25" s="149">
        <f>AD25*I25+AC25</f>
        <v>1.38E-2</v>
      </c>
      <c r="AI25" s="171">
        <f>AH25*0.1</f>
        <v>1.3800000000000002E-3</v>
      </c>
      <c r="AJ25" s="150">
        <f>AA25*1.72+115*0.012*AB25</f>
        <v>0</v>
      </c>
      <c r="AK25" s="150">
        <f>AE25*0.1</f>
        <v>0.5</v>
      </c>
      <c r="AL25" s="149">
        <f>1333*J24*POWER(10,-6)+0.0012*K23</f>
        <v>2.1625913519999998E-2</v>
      </c>
      <c r="AM25" s="150">
        <f t="shared" si="21"/>
        <v>0.53680591352000007</v>
      </c>
      <c r="AN25" s="160">
        <f t="shared" si="22"/>
        <v>9.3354743483135982E-6</v>
      </c>
      <c r="AO25" s="160">
        <f t="shared" si="23"/>
        <v>2.3172837674831359E-4</v>
      </c>
    </row>
    <row r="26" spans="1:41">
      <c r="A26" s="101" t="s">
        <v>103</v>
      </c>
      <c r="B26" s="91" t="s">
        <v>240</v>
      </c>
      <c r="C26" s="92" t="s">
        <v>79</v>
      </c>
      <c r="D26" s="93" t="s">
        <v>157</v>
      </c>
      <c r="E26" s="94">
        <v>2.9999999999999999E-7</v>
      </c>
      <c r="F26" s="91">
        <v>321</v>
      </c>
      <c r="G26" s="91">
        <v>0.2</v>
      </c>
      <c r="H26" s="94">
        <f>E26*F26*G26</f>
        <v>1.9260000000000002E-5</v>
      </c>
      <c r="I26" s="91">
        <v>1.36</v>
      </c>
      <c r="J26" s="91">
        <f>I26</f>
        <v>1.36</v>
      </c>
      <c r="K26" s="91">
        <f>K28*150</f>
        <v>204.00000000000003</v>
      </c>
      <c r="L26" t="str">
        <f t="shared" ref="L26:L31" si="28">A26</f>
        <v>С25</v>
      </c>
      <c r="M26" t="str">
        <f t="shared" ref="M26:M31" si="29">B26</f>
        <v xml:space="preserve">Трубопровод №1/2 (Н-101, Н-111, Н-112 до Е-101,102,103,104,113) </v>
      </c>
      <c r="N26" t="str">
        <f t="shared" ref="N26:N31" si="30">D26</f>
        <v>Полное-пожар</v>
      </c>
      <c r="O26">
        <v>16</v>
      </c>
      <c r="P26">
        <v>22</v>
      </c>
      <c r="Q26">
        <v>30</v>
      </c>
      <c r="R26">
        <v>56</v>
      </c>
      <c r="S26" t="s">
        <v>182</v>
      </c>
      <c r="T26" t="s">
        <v>182</v>
      </c>
      <c r="U26" t="s">
        <v>182</v>
      </c>
      <c r="V26" t="s">
        <v>182</v>
      </c>
      <c r="W26" t="s">
        <v>182</v>
      </c>
      <c r="X26" t="s">
        <v>182</v>
      </c>
      <c r="Y26" t="s">
        <v>182</v>
      </c>
      <c r="Z26" t="s">
        <v>182</v>
      </c>
      <c r="AA26" s="3">
        <v>0</v>
      </c>
      <c r="AB26" s="3">
        <v>1</v>
      </c>
      <c r="AC26" s="3">
        <v>0.12</v>
      </c>
      <c r="AD26" s="3">
        <v>1.4999999999999999E-2</v>
      </c>
      <c r="AE26" s="3">
        <v>15</v>
      </c>
      <c r="AF26" s="3"/>
      <c r="AG26" s="3"/>
      <c r="AH26" s="149">
        <f>AD26*I26+AC26</f>
        <v>0.1404</v>
      </c>
      <c r="AI26" s="171">
        <f>AH26*0.1</f>
        <v>1.404E-2</v>
      </c>
      <c r="AJ26" s="150">
        <f>AA26*1.72+115*0.012*AB26</f>
        <v>1.3800000000000001</v>
      </c>
      <c r="AK26" s="150">
        <f>AE26*0.1</f>
        <v>1.5</v>
      </c>
      <c r="AL26" s="149">
        <f>10068.2*J26*POWER(10,-6)+0.0012*K29</f>
        <v>3.8892751999999996E-2</v>
      </c>
      <c r="AM26" s="150">
        <f t="shared" ref="AM26:AM31" si="31">AL26+AK26+AJ26+AI26+AH26</f>
        <v>3.0733327520000002</v>
      </c>
      <c r="AN26" s="160">
        <f t="shared" ref="AN26:AN31" si="32">AL26*H26</f>
        <v>7.4907440352000005E-7</v>
      </c>
      <c r="AO26" s="160">
        <f t="shared" ref="AO26:AO31" si="33">H26*AM26</f>
        <v>5.9192388803520011E-5</v>
      </c>
    </row>
    <row r="27" spans="1:41">
      <c r="A27" s="101" t="s">
        <v>104</v>
      </c>
      <c r="B27" s="91" t="s">
        <v>240</v>
      </c>
      <c r="C27" s="92" t="s">
        <v>232</v>
      </c>
      <c r="D27" s="93" t="s">
        <v>160</v>
      </c>
      <c r="E27" s="94">
        <v>2.9999999999999999E-7</v>
      </c>
      <c r="F27" s="91">
        <v>321</v>
      </c>
      <c r="G27" s="91">
        <v>4.0000000000000008E-2</v>
      </c>
      <c r="H27" s="94">
        <f t="shared" ref="H27:H31" si="34">E27*F27*G27</f>
        <v>3.8520000000000006E-6</v>
      </c>
      <c r="I27" s="91">
        <f>I26</f>
        <v>1.36</v>
      </c>
      <c r="J27" s="91">
        <f>0.1*K27</f>
        <v>2.2032E-2</v>
      </c>
      <c r="K27" s="92">
        <f>POWER(10,-6)*SQRT(100)*30*3600*K26/1000</f>
        <v>0.22031999999999999</v>
      </c>
      <c r="L27" t="str">
        <f t="shared" si="28"/>
        <v>С26</v>
      </c>
      <c r="M27" t="str">
        <f t="shared" si="29"/>
        <v xml:space="preserve">Трубопровод №1/2 (Н-101, Н-111, Н-112 до Е-101,102,103,104,113) </v>
      </c>
      <c r="N27" t="str">
        <f t="shared" si="30"/>
        <v>Полное-взрыв</v>
      </c>
      <c r="O27" t="s">
        <v>182</v>
      </c>
      <c r="P27" t="s">
        <v>182</v>
      </c>
      <c r="Q27" t="s">
        <v>182</v>
      </c>
      <c r="R27" t="s">
        <v>182</v>
      </c>
      <c r="S27">
        <v>12</v>
      </c>
      <c r="T27">
        <v>26</v>
      </c>
      <c r="U27">
        <v>71</v>
      </c>
      <c r="V27">
        <v>121</v>
      </c>
      <c r="W27" t="s">
        <v>182</v>
      </c>
      <c r="X27" t="s">
        <v>182</v>
      </c>
      <c r="Y27" t="s">
        <v>182</v>
      </c>
      <c r="Z27" t="s">
        <v>182</v>
      </c>
      <c r="AA27" s="3">
        <v>0</v>
      </c>
      <c r="AB27" s="3">
        <v>1</v>
      </c>
      <c r="AC27" s="3">
        <v>0.12</v>
      </c>
      <c r="AD27" s="3">
        <v>1.4999999999999999E-2</v>
      </c>
      <c r="AE27" s="3">
        <v>15</v>
      </c>
      <c r="AF27" s="3"/>
      <c r="AG27" s="3"/>
      <c r="AH27" s="149">
        <f>AD27*I27+AC27</f>
        <v>0.1404</v>
      </c>
      <c r="AI27" s="171">
        <f t="shared" ref="AI27:AI28" si="35">AH27*0.1</f>
        <v>1.404E-2</v>
      </c>
      <c r="AJ27" s="150">
        <f t="shared" ref="AJ27:AJ28" si="36">AA27*1.72+115*0.012*AB27</f>
        <v>1.3800000000000001</v>
      </c>
      <c r="AK27" s="150">
        <f t="shared" ref="AK27:AK28" si="37">AE27*0.1</f>
        <v>1.5</v>
      </c>
      <c r="AL27" s="149">
        <f>10068.2*J27*POWER(10,-6)*10+0.0012*K29</f>
        <v>2.7418225823999998E-2</v>
      </c>
      <c r="AM27" s="150">
        <f t="shared" si="31"/>
        <v>3.0618582258240004</v>
      </c>
      <c r="AN27" s="160">
        <f t="shared" si="32"/>
        <v>1.0561500587404801E-7</v>
      </c>
      <c r="AO27" s="160">
        <f t="shared" si="33"/>
        <v>1.1794277885874052E-5</v>
      </c>
    </row>
    <row r="28" spans="1:41">
      <c r="A28" s="101" t="s">
        <v>105</v>
      </c>
      <c r="B28" s="91" t="s">
        <v>240</v>
      </c>
      <c r="C28" s="92" t="s">
        <v>233</v>
      </c>
      <c r="D28" s="93" t="s">
        <v>158</v>
      </c>
      <c r="E28" s="94">
        <v>2.9999999999999999E-7</v>
      </c>
      <c r="F28" s="91">
        <v>321</v>
      </c>
      <c r="G28" s="91">
        <v>0.76</v>
      </c>
      <c r="H28" s="94">
        <f t="shared" si="34"/>
        <v>7.3188000000000005E-5</v>
      </c>
      <c r="I28" s="91">
        <f>I27</f>
        <v>1.36</v>
      </c>
      <c r="J28" s="91">
        <v>0</v>
      </c>
      <c r="K28" s="92">
        <f>J26</f>
        <v>1.36</v>
      </c>
      <c r="L28" t="str">
        <f t="shared" si="28"/>
        <v>С27</v>
      </c>
      <c r="M28" t="str">
        <f t="shared" si="29"/>
        <v xml:space="preserve">Трубопровод №1/2 (Н-101, Н-111, Н-112 до Е-101,102,103,104,113) </v>
      </c>
      <c r="N28" t="str">
        <f t="shared" si="30"/>
        <v>Полное-ликвидация</v>
      </c>
      <c r="O28" t="s">
        <v>182</v>
      </c>
      <c r="P28" t="s">
        <v>182</v>
      </c>
      <c r="Q28" t="s">
        <v>182</v>
      </c>
      <c r="R28" t="s">
        <v>182</v>
      </c>
      <c r="S28" t="s">
        <v>182</v>
      </c>
      <c r="T28" t="s">
        <v>182</v>
      </c>
      <c r="U28" t="s">
        <v>182</v>
      </c>
      <c r="V28" t="s">
        <v>182</v>
      </c>
      <c r="W28" t="s">
        <v>182</v>
      </c>
      <c r="X28" t="s">
        <v>182</v>
      </c>
      <c r="Y28" t="s">
        <v>182</v>
      </c>
      <c r="Z28" t="s">
        <v>182</v>
      </c>
      <c r="AA28" s="3">
        <v>0</v>
      </c>
      <c r="AB28" s="3">
        <v>0</v>
      </c>
      <c r="AC28" s="3">
        <v>0.12</v>
      </c>
      <c r="AD28" s="3">
        <v>1.4999999999999999E-2</v>
      </c>
      <c r="AE28" s="3">
        <v>15</v>
      </c>
      <c r="AF28" s="3"/>
      <c r="AG28" s="3"/>
      <c r="AH28" s="149">
        <f>AD28*J28+AC28</f>
        <v>0.12</v>
      </c>
      <c r="AI28" s="171">
        <f t="shared" si="35"/>
        <v>1.2E-2</v>
      </c>
      <c r="AJ28" s="150">
        <f t="shared" si="36"/>
        <v>0</v>
      </c>
      <c r="AK28" s="150">
        <f t="shared" si="37"/>
        <v>1.5</v>
      </c>
      <c r="AL28" s="149">
        <f>1333*J27*POWER(10,-6)*10+0.0012*K29</f>
        <v>2.5493686559999996E-2</v>
      </c>
      <c r="AM28" s="150">
        <f t="shared" si="31"/>
        <v>1.6574936865600001</v>
      </c>
      <c r="AN28" s="160">
        <f t="shared" si="32"/>
        <v>1.8658319319532798E-6</v>
      </c>
      <c r="AO28" s="160">
        <f t="shared" si="33"/>
        <v>1.2130864793195329E-4</v>
      </c>
    </row>
    <row r="29" spans="1:41">
      <c r="A29" s="101" t="s">
        <v>106</v>
      </c>
      <c r="B29" s="91" t="s">
        <v>240</v>
      </c>
      <c r="C29" s="92" t="s">
        <v>186</v>
      </c>
      <c r="D29" s="93" t="s">
        <v>187</v>
      </c>
      <c r="E29" s="94">
        <v>1.9999999999999999E-6</v>
      </c>
      <c r="F29" s="91">
        <v>321</v>
      </c>
      <c r="G29" s="91">
        <v>0.2</v>
      </c>
      <c r="H29" s="94">
        <f t="shared" si="34"/>
        <v>1.284E-4</v>
      </c>
      <c r="I29" s="91">
        <f>I26*0.1</f>
        <v>0.13600000000000001</v>
      </c>
      <c r="J29" s="91">
        <f>I29</f>
        <v>0.13600000000000001</v>
      </c>
      <c r="K29" s="92">
        <f>ROUNDUP(I29*150,0)</f>
        <v>21</v>
      </c>
      <c r="L29" t="str">
        <f t="shared" si="28"/>
        <v>С28</v>
      </c>
      <c r="M29" t="str">
        <f t="shared" si="29"/>
        <v xml:space="preserve">Трубопровод №1/2 (Н-101, Н-111, Н-112 до Е-101,102,103,104,113) </v>
      </c>
      <c r="N29" t="str">
        <f t="shared" si="30"/>
        <v>Частичное-пожар</v>
      </c>
      <c r="O29">
        <v>12</v>
      </c>
      <c r="P29">
        <v>15</v>
      </c>
      <c r="Q29">
        <v>20</v>
      </c>
      <c r="R29">
        <v>34</v>
      </c>
      <c r="S29" t="s">
        <v>182</v>
      </c>
      <c r="T29" t="s">
        <v>182</v>
      </c>
      <c r="U29" t="s">
        <v>182</v>
      </c>
      <c r="V29" t="s">
        <v>182</v>
      </c>
      <c r="W29" t="s">
        <v>182</v>
      </c>
      <c r="X29" t="s">
        <v>182</v>
      </c>
      <c r="Y29" t="s">
        <v>182</v>
      </c>
      <c r="Z29" t="s">
        <v>182</v>
      </c>
      <c r="AA29" s="3">
        <v>0</v>
      </c>
      <c r="AB29" s="3">
        <v>1</v>
      </c>
      <c r="AC29" s="3">
        <f>0.1*AC28</f>
        <v>1.2E-2</v>
      </c>
      <c r="AD29" s="3">
        <v>1.4999999999999999E-2</v>
      </c>
      <c r="AE29" s="3">
        <v>5</v>
      </c>
      <c r="AF29" s="3"/>
      <c r="AG29" s="3"/>
      <c r="AH29" s="149">
        <f>AD29*I29+AC29</f>
        <v>1.404E-2</v>
      </c>
      <c r="AI29" s="171">
        <f>AH29*0.1</f>
        <v>1.4040000000000001E-3</v>
      </c>
      <c r="AJ29" s="150">
        <f>AA29*1.72+115*0.012*AB29</f>
        <v>1.3800000000000001</v>
      </c>
      <c r="AK29" s="150">
        <f>AE29*0.1</f>
        <v>0.5</v>
      </c>
      <c r="AL29" s="149">
        <f>10068.2*J29*POWER(10,-6)+0.0012*K29</f>
        <v>2.6569275199999996E-2</v>
      </c>
      <c r="AM29" s="150">
        <f t="shared" si="31"/>
        <v>1.9220132752000001</v>
      </c>
      <c r="AN29" s="160">
        <f t="shared" si="32"/>
        <v>3.4114949356799996E-6</v>
      </c>
      <c r="AO29" s="160">
        <f t="shared" si="33"/>
        <v>2.4678650453568003E-4</v>
      </c>
    </row>
    <row r="30" spans="1:41">
      <c r="A30" s="101" t="s">
        <v>107</v>
      </c>
      <c r="B30" s="91" t="s">
        <v>240</v>
      </c>
      <c r="C30" s="92" t="s">
        <v>234</v>
      </c>
      <c r="D30" s="93" t="s">
        <v>161</v>
      </c>
      <c r="E30" s="94">
        <v>1.9999999999999999E-6</v>
      </c>
      <c r="F30" s="91">
        <v>321</v>
      </c>
      <c r="G30" s="91">
        <v>4.0000000000000008E-2</v>
      </c>
      <c r="H30" s="94">
        <f t="shared" si="34"/>
        <v>2.5680000000000005E-5</v>
      </c>
      <c r="I30" s="91">
        <f>0.1*I26</f>
        <v>0.13600000000000001</v>
      </c>
      <c r="J30" s="91">
        <f>K30</f>
        <v>2.2679999999999995E-2</v>
      </c>
      <c r="K30" s="92">
        <f>POWER(10,-6)*SQRT(100)*30*3600*K29/1000</f>
        <v>2.2679999999999995E-2</v>
      </c>
      <c r="L30" t="str">
        <f t="shared" si="28"/>
        <v>С29</v>
      </c>
      <c r="M30" t="str">
        <f t="shared" si="29"/>
        <v xml:space="preserve">Трубопровод №1/2 (Н-101, Н-111, Н-112 до Е-101,102,103,104,113) </v>
      </c>
      <c r="N30" t="str">
        <f t="shared" si="30"/>
        <v>Частичное-вспышка</v>
      </c>
      <c r="O30" t="s">
        <v>182</v>
      </c>
      <c r="P30" t="s">
        <v>182</v>
      </c>
      <c r="Q30" t="s">
        <v>182</v>
      </c>
      <c r="R30" t="s">
        <v>182</v>
      </c>
      <c r="S30" t="s">
        <v>182</v>
      </c>
      <c r="T30" t="s">
        <v>182</v>
      </c>
      <c r="U30" t="s">
        <v>182</v>
      </c>
      <c r="V30" t="s">
        <v>182</v>
      </c>
      <c r="W30" t="s">
        <v>182</v>
      </c>
      <c r="X30" t="s">
        <v>182</v>
      </c>
      <c r="Y30">
        <v>9</v>
      </c>
      <c r="Z30">
        <v>10</v>
      </c>
      <c r="AA30" s="3">
        <v>0</v>
      </c>
      <c r="AB30" s="3">
        <v>1</v>
      </c>
      <c r="AC30" s="3">
        <f>0.1*AC28</f>
        <v>1.2E-2</v>
      </c>
      <c r="AD30" s="3">
        <v>1.4999999999999999E-2</v>
      </c>
      <c r="AE30" s="3">
        <v>5</v>
      </c>
      <c r="AF30" s="3"/>
      <c r="AG30" s="3"/>
      <c r="AH30" s="149">
        <f>AD30*I30+AC30</f>
        <v>1.404E-2</v>
      </c>
      <c r="AI30" s="171">
        <f>AH30*0.1</f>
        <v>1.4040000000000001E-3</v>
      </c>
      <c r="AJ30" s="150">
        <f>AA30*1.72+115*0.012*AB30</f>
        <v>1.3800000000000001</v>
      </c>
      <c r="AK30" s="150">
        <f>AE30*0.1</f>
        <v>0.5</v>
      </c>
      <c r="AL30" s="149">
        <f>10068.2*J30*POWER(10,-6)+0.0012*K29</f>
        <v>2.5428346775999998E-2</v>
      </c>
      <c r="AM30" s="150">
        <f t="shared" si="31"/>
        <v>1.9208723467760001</v>
      </c>
      <c r="AN30" s="160">
        <f t="shared" si="32"/>
        <v>6.5299994520768003E-7</v>
      </c>
      <c r="AO30" s="160">
        <f t="shared" si="33"/>
        <v>4.9328001865207688E-5</v>
      </c>
    </row>
    <row r="31" spans="1:41">
      <c r="A31" s="101" t="s">
        <v>108</v>
      </c>
      <c r="B31" s="91" t="s">
        <v>240</v>
      </c>
      <c r="C31" s="92" t="s">
        <v>235</v>
      </c>
      <c r="D31" s="93" t="s">
        <v>159</v>
      </c>
      <c r="E31" s="94">
        <v>1.9999999999999999E-6</v>
      </c>
      <c r="F31" s="91">
        <v>321</v>
      </c>
      <c r="G31" s="91">
        <v>0.76</v>
      </c>
      <c r="H31" s="94">
        <f t="shared" si="34"/>
        <v>4.8791999999999998E-4</v>
      </c>
      <c r="I31" s="91">
        <f>0.1*I26</f>
        <v>0.13600000000000001</v>
      </c>
      <c r="J31" s="91">
        <v>0</v>
      </c>
      <c r="K31" s="92">
        <v>0</v>
      </c>
      <c r="L31" t="str">
        <f t="shared" si="28"/>
        <v>С30</v>
      </c>
      <c r="M31" t="str">
        <f t="shared" si="29"/>
        <v xml:space="preserve">Трубопровод №1/2 (Н-101, Н-111, Н-112 до Е-101,102,103,104,113) </v>
      </c>
      <c r="N31" t="str">
        <f t="shared" si="30"/>
        <v>Частичное-ликвидация</v>
      </c>
      <c r="O31" t="s">
        <v>182</v>
      </c>
      <c r="P31" t="s">
        <v>182</v>
      </c>
      <c r="Q31" t="s">
        <v>182</v>
      </c>
      <c r="R31" t="s">
        <v>182</v>
      </c>
      <c r="S31" t="s">
        <v>182</v>
      </c>
      <c r="T31" t="s">
        <v>182</v>
      </c>
      <c r="U31" t="s">
        <v>182</v>
      </c>
      <c r="V31" t="s">
        <v>182</v>
      </c>
      <c r="W31" t="s">
        <v>182</v>
      </c>
      <c r="X31" t="s">
        <v>182</v>
      </c>
      <c r="Y31" t="s">
        <v>182</v>
      </c>
      <c r="Z31" t="s">
        <v>182</v>
      </c>
      <c r="AA31" s="3">
        <v>0</v>
      </c>
      <c r="AB31" s="3">
        <v>0</v>
      </c>
      <c r="AC31" s="3">
        <f>0.1*AC28</f>
        <v>1.2E-2</v>
      </c>
      <c r="AD31" s="3">
        <v>1.4999999999999999E-2</v>
      </c>
      <c r="AE31" s="3">
        <v>5</v>
      </c>
      <c r="AF31" s="3"/>
      <c r="AG31" s="3"/>
      <c r="AH31" s="149">
        <f>AD31*I31+AC31</f>
        <v>1.404E-2</v>
      </c>
      <c r="AI31" s="171">
        <f>AH31*0.1</f>
        <v>1.4040000000000001E-3</v>
      </c>
      <c r="AJ31" s="150">
        <f>AA31*1.72+115*0.012*AB31</f>
        <v>0</v>
      </c>
      <c r="AK31" s="150">
        <f>AE31*0.1</f>
        <v>0.5</v>
      </c>
      <c r="AL31" s="149">
        <f>1333*J30*POWER(10,-6)+0.0012*K29</f>
        <v>2.5230232439999997E-2</v>
      </c>
      <c r="AM31" s="150">
        <f t="shared" si="31"/>
        <v>0.54067423244000001</v>
      </c>
      <c r="AN31" s="160">
        <f t="shared" si="32"/>
        <v>1.2310335012124798E-5</v>
      </c>
      <c r="AO31" s="160">
        <f t="shared" si="33"/>
        <v>2.6380577149212478E-4</v>
      </c>
    </row>
    <row r="32" spans="1:41">
      <c r="A32" s="101" t="s">
        <v>245</v>
      </c>
      <c r="B32" s="85" t="s">
        <v>241</v>
      </c>
      <c r="C32" s="86" t="s">
        <v>79</v>
      </c>
      <c r="D32" s="87" t="s">
        <v>157</v>
      </c>
      <c r="E32" s="88">
        <v>2.9999999999999999E-7</v>
      </c>
      <c r="F32" s="85">
        <v>371</v>
      </c>
      <c r="G32" s="85">
        <v>0.2</v>
      </c>
      <c r="H32" s="88">
        <f>E32*F32*G32</f>
        <v>2.226E-5</v>
      </c>
      <c r="I32" s="85">
        <v>2.1</v>
      </c>
      <c r="J32" s="85">
        <f>I32</f>
        <v>2.1</v>
      </c>
      <c r="K32" s="85">
        <f>K34*150</f>
        <v>315</v>
      </c>
      <c r="L32" t="str">
        <f t="shared" ref="L32:L37" si="38">A32</f>
        <v>С31</v>
      </c>
      <c r="M32" t="str">
        <f t="shared" ref="M32:M37" si="39">B32</f>
        <v xml:space="preserve">Трубопровод №1/13 (Н-101 до Е-601,602,603) </v>
      </c>
      <c r="N32" t="str">
        <f t="shared" ref="N32:N37" si="40">D32</f>
        <v>Полное-пожар</v>
      </c>
      <c r="O32">
        <v>17</v>
      </c>
      <c r="P32">
        <v>23</v>
      </c>
      <c r="Q32">
        <v>33</v>
      </c>
      <c r="R32">
        <v>61</v>
      </c>
      <c r="S32" t="s">
        <v>182</v>
      </c>
      <c r="T32" t="s">
        <v>182</v>
      </c>
      <c r="U32" t="s">
        <v>182</v>
      </c>
      <c r="V32" t="s">
        <v>182</v>
      </c>
      <c r="W32" t="s">
        <v>182</v>
      </c>
      <c r="X32" t="s">
        <v>182</v>
      </c>
      <c r="Y32" t="s">
        <v>182</v>
      </c>
      <c r="Z32" t="s">
        <v>182</v>
      </c>
      <c r="AA32" s="3">
        <v>0</v>
      </c>
      <c r="AB32" s="3">
        <v>1</v>
      </c>
      <c r="AC32" s="3">
        <v>0.12</v>
      </c>
      <c r="AD32" s="3">
        <v>1.4999999999999999E-2</v>
      </c>
      <c r="AE32" s="3">
        <v>15</v>
      </c>
      <c r="AF32" s="3"/>
      <c r="AG32" s="3"/>
      <c r="AH32" s="149">
        <f>AD32*I32+AC32</f>
        <v>0.1515</v>
      </c>
      <c r="AI32" s="171">
        <f>AH32*0.1</f>
        <v>1.515E-2</v>
      </c>
      <c r="AJ32" s="150">
        <f>AA32*1.72+115*0.012*AB32</f>
        <v>1.3800000000000001</v>
      </c>
      <c r="AK32" s="150">
        <f>AE32*0.1</f>
        <v>1.5</v>
      </c>
      <c r="AL32" s="149">
        <f>10068.2*J32*POWER(10,-6)+0.0012*K35</f>
        <v>5.9543219999999994E-2</v>
      </c>
      <c r="AM32" s="150">
        <f t="shared" ref="AM32:AM37" si="41">AL32+AK32+AJ32+AI32+AH32</f>
        <v>3.1061932200000002</v>
      </c>
      <c r="AN32" s="160">
        <f t="shared" ref="AN32:AN37" si="42">AL32*H32</f>
        <v>1.3254320772E-6</v>
      </c>
      <c r="AO32" s="160">
        <f t="shared" ref="AO32:AO37" si="43">H32*AM32</f>
        <v>6.9143861077200006E-5</v>
      </c>
    </row>
    <row r="33" spans="1:41">
      <c r="A33" s="101" t="s">
        <v>246</v>
      </c>
      <c r="B33" s="85" t="s">
        <v>241</v>
      </c>
      <c r="C33" s="86" t="s">
        <v>232</v>
      </c>
      <c r="D33" s="87" t="s">
        <v>160</v>
      </c>
      <c r="E33" s="88">
        <v>2.9999999999999999E-7</v>
      </c>
      <c r="F33" s="85">
        <v>371</v>
      </c>
      <c r="G33" s="85">
        <v>4.0000000000000008E-2</v>
      </c>
      <c r="H33" s="88">
        <f t="shared" ref="H33:H37" si="44">E33*F33*G33</f>
        <v>4.4520000000000007E-6</v>
      </c>
      <c r="I33" s="85">
        <f>I32</f>
        <v>2.1</v>
      </c>
      <c r="J33" s="85">
        <f>0.1*K33</f>
        <v>3.4019999999999995E-2</v>
      </c>
      <c r="K33" s="86">
        <f>POWER(10,-6)*SQRT(100)*30*3600*K32/1000</f>
        <v>0.34019999999999995</v>
      </c>
      <c r="L33" t="str">
        <f t="shared" si="38"/>
        <v>С32</v>
      </c>
      <c r="M33" t="str">
        <f t="shared" si="39"/>
        <v xml:space="preserve">Трубопровод №1/13 (Н-101 до Е-601,602,603) </v>
      </c>
      <c r="N33" t="str">
        <f t="shared" si="40"/>
        <v>Полное-взрыв</v>
      </c>
      <c r="O33" t="s">
        <v>182</v>
      </c>
      <c r="P33" t="s">
        <v>182</v>
      </c>
      <c r="Q33" t="s">
        <v>182</v>
      </c>
      <c r="R33" t="s">
        <v>182</v>
      </c>
      <c r="S33">
        <v>14</v>
      </c>
      <c r="T33">
        <v>30</v>
      </c>
      <c r="U33">
        <v>82</v>
      </c>
      <c r="V33">
        <v>140</v>
      </c>
      <c r="W33" t="s">
        <v>182</v>
      </c>
      <c r="X33" t="s">
        <v>182</v>
      </c>
      <c r="Y33" t="s">
        <v>182</v>
      </c>
      <c r="Z33" t="s">
        <v>182</v>
      </c>
      <c r="AA33" s="3">
        <v>0</v>
      </c>
      <c r="AB33" s="3">
        <v>1</v>
      </c>
      <c r="AC33" s="3">
        <v>0.12</v>
      </c>
      <c r="AD33" s="3">
        <v>1.4999999999999999E-2</v>
      </c>
      <c r="AE33" s="3">
        <v>15</v>
      </c>
      <c r="AF33" s="3"/>
      <c r="AG33" s="3"/>
      <c r="AH33" s="149">
        <f>AD33*I33+AC33</f>
        <v>0.1515</v>
      </c>
      <c r="AI33" s="171">
        <f t="shared" ref="AI33:AI34" si="45">AH33*0.1</f>
        <v>1.515E-2</v>
      </c>
      <c r="AJ33" s="150">
        <f t="shared" ref="AJ33:AJ34" si="46">AA33*1.72+115*0.012*AB33</f>
        <v>1.3800000000000001</v>
      </c>
      <c r="AK33" s="150">
        <f t="shared" ref="AK33:AK34" si="47">AE33*0.1</f>
        <v>1.5</v>
      </c>
      <c r="AL33" s="149">
        <f>10068.2*J33*POWER(10,-6)*10+0.0012*K35</f>
        <v>4.1825201639999997E-2</v>
      </c>
      <c r="AM33" s="150">
        <f t="shared" si="41"/>
        <v>3.0884752016400001</v>
      </c>
      <c r="AN33" s="160">
        <f t="shared" si="42"/>
        <v>1.8620579770128002E-7</v>
      </c>
      <c r="AO33" s="160">
        <f t="shared" si="43"/>
        <v>1.3749891597701283E-5</v>
      </c>
    </row>
    <row r="34" spans="1:41">
      <c r="A34" s="101" t="s">
        <v>247</v>
      </c>
      <c r="B34" s="85" t="s">
        <v>241</v>
      </c>
      <c r="C34" s="86" t="s">
        <v>233</v>
      </c>
      <c r="D34" s="87" t="s">
        <v>158</v>
      </c>
      <c r="E34" s="88">
        <v>2.9999999999999999E-7</v>
      </c>
      <c r="F34" s="85">
        <v>371</v>
      </c>
      <c r="G34" s="85">
        <v>0.76</v>
      </c>
      <c r="H34" s="88">
        <f t="shared" si="44"/>
        <v>8.4587999999999997E-5</v>
      </c>
      <c r="I34" s="85">
        <f>I33</f>
        <v>2.1</v>
      </c>
      <c r="J34" s="85">
        <v>0</v>
      </c>
      <c r="K34" s="86">
        <f>J32</f>
        <v>2.1</v>
      </c>
      <c r="L34" t="str">
        <f t="shared" si="38"/>
        <v>С33</v>
      </c>
      <c r="M34" t="str">
        <f t="shared" si="39"/>
        <v xml:space="preserve">Трубопровод №1/13 (Н-101 до Е-601,602,603) </v>
      </c>
      <c r="N34" t="str">
        <f t="shared" si="40"/>
        <v>Полное-ликвидация</v>
      </c>
      <c r="O34" t="s">
        <v>182</v>
      </c>
      <c r="P34" t="s">
        <v>182</v>
      </c>
      <c r="Q34" t="s">
        <v>182</v>
      </c>
      <c r="R34" t="s">
        <v>182</v>
      </c>
      <c r="S34" t="s">
        <v>182</v>
      </c>
      <c r="T34" t="s">
        <v>182</v>
      </c>
      <c r="U34" t="s">
        <v>182</v>
      </c>
      <c r="V34" t="s">
        <v>182</v>
      </c>
      <c r="W34" t="s">
        <v>182</v>
      </c>
      <c r="X34" t="s">
        <v>182</v>
      </c>
      <c r="Y34" t="s">
        <v>182</v>
      </c>
      <c r="Z34" t="s">
        <v>182</v>
      </c>
      <c r="AA34" s="3">
        <v>0</v>
      </c>
      <c r="AB34" s="3">
        <v>0</v>
      </c>
      <c r="AC34" s="3">
        <v>0.12</v>
      </c>
      <c r="AD34" s="3">
        <v>1.4999999999999999E-2</v>
      </c>
      <c r="AE34" s="3">
        <v>15</v>
      </c>
      <c r="AF34" s="3"/>
      <c r="AG34" s="3"/>
      <c r="AH34" s="149">
        <f>AD34*J34+AC34</f>
        <v>0.12</v>
      </c>
      <c r="AI34" s="171">
        <f t="shared" si="45"/>
        <v>1.2E-2</v>
      </c>
      <c r="AJ34" s="150">
        <f t="shared" si="46"/>
        <v>0</v>
      </c>
      <c r="AK34" s="150">
        <f t="shared" si="47"/>
        <v>1.5</v>
      </c>
      <c r="AL34" s="149">
        <f>1333*J33*POWER(10,-6)*10+0.0012*K35</f>
        <v>3.8853486599999994E-2</v>
      </c>
      <c r="AM34" s="150">
        <f t="shared" si="41"/>
        <v>1.6708534866</v>
      </c>
      <c r="AN34" s="160">
        <f t="shared" si="42"/>
        <v>3.2865387245207996E-6</v>
      </c>
      <c r="AO34" s="160">
        <f t="shared" si="43"/>
        <v>1.4133415472452081E-4</v>
      </c>
    </row>
    <row r="35" spans="1:41">
      <c r="A35" s="101" t="s">
        <v>248</v>
      </c>
      <c r="B35" s="85" t="s">
        <v>241</v>
      </c>
      <c r="C35" s="86" t="s">
        <v>186</v>
      </c>
      <c r="D35" s="87" t="s">
        <v>187</v>
      </c>
      <c r="E35" s="88">
        <v>1.9999999999999999E-6</v>
      </c>
      <c r="F35" s="85">
        <v>371</v>
      </c>
      <c r="G35" s="85">
        <v>0.2</v>
      </c>
      <c r="H35" s="88">
        <f t="shared" si="44"/>
        <v>1.484E-4</v>
      </c>
      <c r="I35" s="85">
        <f>I32*0.1</f>
        <v>0.21000000000000002</v>
      </c>
      <c r="J35" s="85">
        <f>I35</f>
        <v>0.21000000000000002</v>
      </c>
      <c r="K35" s="86">
        <f>ROUNDUP(I35*150,0)</f>
        <v>32</v>
      </c>
      <c r="L35" t="str">
        <f t="shared" si="38"/>
        <v>С34</v>
      </c>
      <c r="M35" t="str">
        <f t="shared" si="39"/>
        <v xml:space="preserve">Трубопровод №1/13 (Н-101 до Е-601,602,603) </v>
      </c>
      <c r="N35" t="str">
        <f t="shared" si="40"/>
        <v>Частичное-пожар</v>
      </c>
      <c r="O35">
        <v>13</v>
      </c>
      <c r="P35">
        <v>16</v>
      </c>
      <c r="Q35">
        <v>22</v>
      </c>
      <c r="R35">
        <v>38</v>
      </c>
      <c r="S35" t="s">
        <v>182</v>
      </c>
      <c r="T35" t="s">
        <v>182</v>
      </c>
      <c r="U35" t="s">
        <v>182</v>
      </c>
      <c r="V35" t="s">
        <v>182</v>
      </c>
      <c r="W35" t="s">
        <v>182</v>
      </c>
      <c r="X35" t="s">
        <v>182</v>
      </c>
      <c r="Y35" t="s">
        <v>182</v>
      </c>
      <c r="Z35" t="s">
        <v>182</v>
      </c>
      <c r="AA35" s="3">
        <v>0</v>
      </c>
      <c r="AB35" s="3">
        <v>1</v>
      </c>
      <c r="AC35" s="3">
        <f>0.1*AC34</f>
        <v>1.2E-2</v>
      </c>
      <c r="AD35" s="3">
        <v>1.4999999999999999E-2</v>
      </c>
      <c r="AE35" s="3">
        <v>5</v>
      </c>
      <c r="AF35" s="3"/>
      <c r="AG35" s="3"/>
      <c r="AH35" s="149">
        <f>AD35*I35+AC35</f>
        <v>1.515E-2</v>
      </c>
      <c r="AI35" s="171">
        <f>AH35*0.1</f>
        <v>1.5150000000000001E-3</v>
      </c>
      <c r="AJ35" s="150">
        <f>AA35*1.72+115*0.012*AB35</f>
        <v>1.3800000000000001</v>
      </c>
      <c r="AK35" s="150">
        <f>AE35*0.1</f>
        <v>0.5</v>
      </c>
      <c r="AL35" s="149">
        <f>10068.2*J35*POWER(10,-6)+0.0012*K35</f>
        <v>4.0514321999999998E-2</v>
      </c>
      <c r="AM35" s="150">
        <f t="shared" si="41"/>
        <v>1.9371793220000002</v>
      </c>
      <c r="AN35" s="160">
        <f t="shared" si="42"/>
        <v>6.0123253847999995E-6</v>
      </c>
      <c r="AO35" s="160">
        <f t="shared" si="43"/>
        <v>2.8747741138480004E-4</v>
      </c>
    </row>
    <row r="36" spans="1:41">
      <c r="A36" s="101" t="s">
        <v>249</v>
      </c>
      <c r="B36" s="85" t="s">
        <v>241</v>
      </c>
      <c r="C36" s="86" t="s">
        <v>234</v>
      </c>
      <c r="D36" s="87" t="s">
        <v>161</v>
      </c>
      <c r="E36" s="88">
        <v>1.9999999999999999E-6</v>
      </c>
      <c r="F36" s="85">
        <v>371</v>
      </c>
      <c r="G36" s="85">
        <v>4.0000000000000008E-2</v>
      </c>
      <c r="H36" s="88">
        <f t="shared" si="44"/>
        <v>2.9680000000000004E-5</v>
      </c>
      <c r="I36" s="85">
        <f>0.1*I32</f>
        <v>0.21000000000000002</v>
      </c>
      <c r="J36" s="85">
        <f>K36</f>
        <v>3.4559999999999994E-2</v>
      </c>
      <c r="K36" s="86">
        <f>POWER(10,-6)*SQRT(100)*30*3600*K35/1000</f>
        <v>3.4559999999999994E-2</v>
      </c>
      <c r="L36" t="str">
        <f t="shared" si="38"/>
        <v>С35</v>
      </c>
      <c r="M36" t="str">
        <f t="shared" si="39"/>
        <v xml:space="preserve">Трубопровод №1/13 (Н-101 до Е-601,602,603) </v>
      </c>
      <c r="N36" t="str">
        <f t="shared" si="40"/>
        <v>Частичное-вспышка</v>
      </c>
      <c r="O36" t="s">
        <v>182</v>
      </c>
      <c r="P36" t="s">
        <v>182</v>
      </c>
      <c r="Q36" t="s">
        <v>182</v>
      </c>
      <c r="R36" t="s">
        <v>182</v>
      </c>
      <c r="S36" t="s">
        <v>182</v>
      </c>
      <c r="T36" t="s">
        <v>182</v>
      </c>
      <c r="U36" t="s">
        <v>182</v>
      </c>
      <c r="V36" t="s">
        <v>182</v>
      </c>
      <c r="W36" t="s">
        <v>182</v>
      </c>
      <c r="X36" t="s">
        <v>182</v>
      </c>
      <c r="Y36">
        <v>10</v>
      </c>
      <c r="Z36">
        <v>12</v>
      </c>
      <c r="AA36" s="3">
        <v>0</v>
      </c>
      <c r="AB36" s="3">
        <v>1</v>
      </c>
      <c r="AC36" s="3">
        <f>0.1*AC34</f>
        <v>1.2E-2</v>
      </c>
      <c r="AD36" s="3">
        <v>1.4999999999999999E-2</v>
      </c>
      <c r="AE36" s="3">
        <v>5</v>
      </c>
      <c r="AF36" s="3"/>
      <c r="AG36" s="3"/>
      <c r="AH36" s="149">
        <f>AD36*I36+AC36</f>
        <v>1.515E-2</v>
      </c>
      <c r="AI36" s="171">
        <f>AH36*0.1</f>
        <v>1.5150000000000001E-3</v>
      </c>
      <c r="AJ36" s="150">
        <f>AA36*1.72+115*0.012*AB36</f>
        <v>1.3800000000000001</v>
      </c>
      <c r="AK36" s="150">
        <f>AE36*0.1</f>
        <v>0.5</v>
      </c>
      <c r="AL36" s="149">
        <f>10068.2*J36*POWER(10,-6)+0.0012*K35</f>
        <v>3.8747956991999996E-2</v>
      </c>
      <c r="AM36" s="150">
        <f t="shared" si="41"/>
        <v>1.935412956992</v>
      </c>
      <c r="AN36" s="160">
        <f t="shared" si="42"/>
        <v>1.15003936352256E-6</v>
      </c>
      <c r="AO36" s="160">
        <f t="shared" si="43"/>
        <v>5.7443056563522568E-5</v>
      </c>
    </row>
    <row r="37" spans="1:41">
      <c r="A37" s="101" t="s">
        <v>250</v>
      </c>
      <c r="B37" s="85" t="s">
        <v>241</v>
      </c>
      <c r="C37" s="86" t="s">
        <v>235</v>
      </c>
      <c r="D37" s="87" t="s">
        <v>159</v>
      </c>
      <c r="E37" s="88">
        <v>1.9999999999999999E-6</v>
      </c>
      <c r="F37" s="85">
        <v>371</v>
      </c>
      <c r="G37" s="85">
        <v>0.76</v>
      </c>
      <c r="H37" s="88">
        <f t="shared" si="44"/>
        <v>5.6391999999999998E-4</v>
      </c>
      <c r="I37" s="85">
        <f>0.1*I32</f>
        <v>0.21000000000000002</v>
      </c>
      <c r="J37" s="85">
        <v>0</v>
      </c>
      <c r="K37" s="86">
        <v>0</v>
      </c>
      <c r="L37" t="str">
        <f t="shared" si="38"/>
        <v>С36</v>
      </c>
      <c r="M37" t="str">
        <f t="shared" si="39"/>
        <v xml:space="preserve">Трубопровод №1/13 (Н-101 до Е-601,602,603) </v>
      </c>
      <c r="N37" t="str">
        <f t="shared" si="40"/>
        <v>Частичное-ликвидация</v>
      </c>
      <c r="O37" t="s">
        <v>182</v>
      </c>
      <c r="P37" t="s">
        <v>182</v>
      </c>
      <c r="Q37" t="s">
        <v>182</v>
      </c>
      <c r="R37" t="s">
        <v>182</v>
      </c>
      <c r="S37" t="s">
        <v>182</v>
      </c>
      <c r="T37" t="s">
        <v>182</v>
      </c>
      <c r="U37" t="s">
        <v>182</v>
      </c>
      <c r="V37" t="s">
        <v>182</v>
      </c>
      <c r="W37" t="s">
        <v>182</v>
      </c>
      <c r="X37" t="s">
        <v>182</v>
      </c>
      <c r="Y37" t="s">
        <v>182</v>
      </c>
      <c r="Z37" t="s">
        <v>182</v>
      </c>
      <c r="AA37" s="3">
        <v>0</v>
      </c>
      <c r="AB37" s="3">
        <v>0</v>
      </c>
      <c r="AC37" s="3">
        <f>0.1*AC34</f>
        <v>1.2E-2</v>
      </c>
      <c r="AD37" s="3">
        <v>1.4999999999999999E-2</v>
      </c>
      <c r="AE37" s="3">
        <v>5</v>
      </c>
      <c r="AF37" s="3"/>
      <c r="AG37" s="3"/>
      <c r="AH37" s="149">
        <f>AD37*I37+AC37</f>
        <v>1.515E-2</v>
      </c>
      <c r="AI37" s="171">
        <f>AH37*0.1</f>
        <v>1.5150000000000001E-3</v>
      </c>
      <c r="AJ37" s="150">
        <f>AA37*1.72+115*0.012*AB37</f>
        <v>0</v>
      </c>
      <c r="AK37" s="150">
        <f>AE37*0.1</f>
        <v>0.5</v>
      </c>
      <c r="AL37" s="149">
        <f>1333*J36*POWER(10,-6)+0.0012*K35</f>
        <v>3.8446068479999998E-2</v>
      </c>
      <c r="AM37" s="150">
        <f t="shared" si="41"/>
        <v>0.55511106848000003</v>
      </c>
      <c r="AN37" s="160">
        <f t="shared" si="42"/>
        <v>2.1680506937241597E-5</v>
      </c>
      <c r="AO37" s="160">
        <f t="shared" si="43"/>
        <v>3.130382337372416E-4</v>
      </c>
    </row>
    <row r="38" spans="1:41">
      <c r="A38" s="101" t="s">
        <v>109</v>
      </c>
      <c r="B38" s="79" t="s">
        <v>270</v>
      </c>
      <c r="C38" s="82" t="s">
        <v>79</v>
      </c>
      <c r="D38" s="80" t="s">
        <v>157</v>
      </c>
      <c r="E38" s="81">
        <v>2.9999999999999999E-7</v>
      </c>
      <c r="F38" s="79">
        <v>352</v>
      </c>
      <c r="G38" s="79">
        <v>0.2</v>
      </c>
      <c r="H38" s="81">
        <f>E38*F38*G38</f>
        <v>2.1120000000000001E-5</v>
      </c>
      <c r="I38" s="79">
        <v>2.2599999999999998</v>
      </c>
      <c r="J38" s="79">
        <f>I38</f>
        <v>2.2599999999999998</v>
      </c>
      <c r="K38" s="79">
        <f>K40*150</f>
        <v>338.99999999999994</v>
      </c>
      <c r="L38" t="str">
        <f t="shared" ref="L38:L43" si="48">A38</f>
        <v>С37</v>
      </c>
      <c r="M38" t="str">
        <f t="shared" ref="M38:M43" si="49">B38</f>
        <v>Трубопровод ряд ЛВЖ (Е-210)</v>
      </c>
      <c r="N38" t="str">
        <f t="shared" ref="N38:N43" si="50">D38</f>
        <v>Полное-пожар</v>
      </c>
      <c r="O38">
        <v>17</v>
      </c>
      <c r="P38">
        <v>23</v>
      </c>
      <c r="Q38">
        <v>33</v>
      </c>
      <c r="R38">
        <v>62</v>
      </c>
      <c r="S38" t="s">
        <v>182</v>
      </c>
      <c r="T38" t="s">
        <v>182</v>
      </c>
      <c r="U38" t="s">
        <v>182</v>
      </c>
      <c r="V38" t="s">
        <v>182</v>
      </c>
      <c r="W38" t="s">
        <v>182</v>
      </c>
      <c r="X38" t="s">
        <v>182</v>
      </c>
      <c r="Y38" t="s">
        <v>182</v>
      </c>
      <c r="Z38" t="s">
        <v>182</v>
      </c>
      <c r="AA38" s="3">
        <v>0</v>
      </c>
      <c r="AB38" s="3">
        <v>1</v>
      </c>
      <c r="AC38" s="3">
        <v>0.12</v>
      </c>
      <c r="AD38" s="3">
        <v>1.4999999999999999E-2</v>
      </c>
      <c r="AE38" s="3">
        <v>15</v>
      </c>
      <c r="AF38" s="3"/>
      <c r="AG38" s="3"/>
      <c r="AH38" s="149">
        <f>AD38*I38+AC38</f>
        <v>0.15389999999999998</v>
      </c>
      <c r="AI38" s="171">
        <f>AH38*0.1</f>
        <v>1.5389999999999999E-2</v>
      </c>
      <c r="AJ38" s="150">
        <f>AA38*1.72+115*0.012*AB38</f>
        <v>1.3800000000000001</v>
      </c>
      <c r="AK38" s="150">
        <f>AE38*0.1</f>
        <v>1.5</v>
      </c>
      <c r="AL38" s="149">
        <f>10068.2*J38*POWER(10,-6)+0.0012*K41</f>
        <v>6.3554131999999985E-2</v>
      </c>
      <c r="AM38" s="150">
        <f t="shared" ref="AM38:AM43" si="51">AL38+AK38+AJ38+AI38+AH38</f>
        <v>3.1128441320000002</v>
      </c>
      <c r="AN38" s="160">
        <f t="shared" ref="AN38:AN43" si="52">AL38*H38</f>
        <v>1.3422632678399997E-6</v>
      </c>
      <c r="AO38" s="160">
        <f t="shared" ref="AO38:AO43" si="53">H38*AM38</f>
        <v>6.5743268067840004E-5</v>
      </c>
    </row>
    <row r="39" spans="1:41">
      <c r="A39" s="101" t="s">
        <v>110</v>
      </c>
      <c r="B39" s="79" t="s">
        <v>270</v>
      </c>
      <c r="C39" s="82" t="s">
        <v>232</v>
      </c>
      <c r="D39" s="80" t="s">
        <v>160</v>
      </c>
      <c r="E39" s="81">
        <v>2.9999999999999999E-7</v>
      </c>
      <c r="F39" s="79">
        <v>352</v>
      </c>
      <c r="G39" s="79">
        <v>4.0000000000000008E-2</v>
      </c>
      <c r="H39" s="81">
        <f t="shared" ref="H39:H43" si="54">E39*F39*G39</f>
        <v>4.2240000000000006E-6</v>
      </c>
      <c r="I39" s="79">
        <f>I38</f>
        <v>2.2599999999999998</v>
      </c>
      <c r="J39" s="79">
        <f>0.1*K39</f>
        <v>3.6611999999999992E-2</v>
      </c>
      <c r="K39" s="82">
        <f>POWER(10,-6)*SQRT(100)*30*3600*K38/1000</f>
        <v>0.36611999999999989</v>
      </c>
      <c r="L39" t="str">
        <f t="shared" si="48"/>
        <v>С38</v>
      </c>
      <c r="M39" t="str">
        <f t="shared" si="49"/>
        <v>Трубопровод ряд ЛВЖ (Е-210)</v>
      </c>
      <c r="N39" t="str">
        <f t="shared" si="50"/>
        <v>Полное-взрыв</v>
      </c>
      <c r="O39" t="s">
        <v>182</v>
      </c>
      <c r="P39" t="s">
        <v>182</v>
      </c>
      <c r="Q39" t="s">
        <v>182</v>
      </c>
      <c r="R39" t="s">
        <v>182</v>
      </c>
      <c r="S39">
        <v>15</v>
      </c>
      <c r="T39">
        <v>31</v>
      </c>
      <c r="U39">
        <v>84</v>
      </c>
      <c r="V39">
        <v>144</v>
      </c>
      <c r="W39" t="s">
        <v>182</v>
      </c>
      <c r="X39" t="s">
        <v>182</v>
      </c>
      <c r="Y39" t="s">
        <v>182</v>
      </c>
      <c r="Z39" t="s">
        <v>182</v>
      </c>
      <c r="AA39" s="3">
        <v>0</v>
      </c>
      <c r="AB39" s="3">
        <v>1</v>
      </c>
      <c r="AC39" s="3">
        <v>0.12</v>
      </c>
      <c r="AD39" s="3">
        <v>1.4999999999999999E-2</v>
      </c>
      <c r="AE39" s="3">
        <v>15</v>
      </c>
      <c r="AF39" s="3"/>
      <c r="AG39" s="3"/>
      <c r="AH39" s="149">
        <f>AD39*I39+AC39</f>
        <v>0.15389999999999998</v>
      </c>
      <c r="AI39" s="171">
        <f t="shared" ref="AI39:AI40" si="55">AH39*0.1</f>
        <v>1.5389999999999999E-2</v>
      </c>
      <c r="AJ39" s="150">
        <f t="shared" ref="AJ39:AJ40" si="56">AA39*1.72+115*0.012*AB39</f>
        <v>1.3800000000000001</v>
      </c>
      <c r="AK39" s="150">
        <f t="shared" ref="AK39:AK40" si="57">AE39*0.1</f>
        <v>1.5</v>
      </c>
      <c r="AL39" s="149">
        <f>10068.2*J39*POWER(10,-6)*10+0.0012*K41</f>
        <v>4.4486169383999997E-2</v>
      </c>
      <c r="AM39" s="150">
        <f t="shared" si="51"/>
        <v>3.0937761693840002</v>
      </c>
      <c r="AN39" s="160">
        <f t="shared" si="52"/>
        <v>1.87909579478016E-7</v>
      </c>
      <c r="AO39" s="160">
        <f t="shared" si="53"/>
        <v>1.3068110539478018E-5</v>
      </c>
    </row>
    <row r="40" spans="1:41">
      <c r="A40" s="101" t="s">
        <v>111</v>
      </c>
      <c r="B40" s="79" t="s">
        <v>270</v>
      </c>
      <c r="C40" s="82" t="s">
        <v>233</v>
      </c>
      <c r="D40" s="80" t="s">
        <v>158</v>
      </c>
      <c r="E40" s="81">
        <v>2.9999999999999999E-7</v>
      </c>
      <c r="F40" s="79">
        <v>352</v>
      </c>
      <c r="G40" s="79">
        <v>0.76</v>
      </c>
      <c r="H40" s="81">
        <f t="shared" si="54"/>
        <v>8.0255999999999999E-5</v>
      </c>
      <c r="I40" s="79">
        <f>I39</f>
        <v>2.2599999999999998</v>
      </c>
      <c r="J40" s="79">
        <v>0</v>
      </c>
      <c r="K40" s="82">
        <f>J38</f>
        <v>2.2599999999999998</v>
      </c>
      <c r="L40" t="str">
        <f t="shared" si="48"/>
        <v>С39</v>
      </c>
      <c r="M40" t="str">
        <f t="shared" si="49"/>
        <v>Трубопровод ряд ЛВЖ (Е-210)</v>
      </c>
      <c r="N40" t="str">
        <f t="shared" si="50"/>
        <v>Полное-ликвидация</v>
      </c>
      <c r="O40" t="s">
        <v>182</v>
      </c>
      <c r="P40" t="s">
        <v>182</v>
      </c>
      <c r="Q40" t="s">
        <v>182</v>
      </c>
      <c r="R40" t="s">
        <v>182</v>
      </c>
      <c r="S40" t="s">
        <v>182</v>
      </c>
      <c r="T40" t="s">
        <v>182</v>
      </c>
      <c r="U40" t="s">
        <v>182</v>
      </c>
      <c r="V40" t="s">
        <v>182</v>
      </c>
      <c r="W40" t="s">
        <v>182</v>
      </c>
      <c r="X40" t="s">
        <v>182</v>
      </c>
      <c r="Y40" t="s">
        <v>182</v>
      </c>
      <c r="Z40" t="s">
        <v>182</v>
      </c>
      <c r="AA40" s="3">
        <v>0</v>
      </c>
      <c r="AB40" s="3">
        <v>0</v>
      </c>
      <c r="AC40" s="3">
        <v>0.12</v>
      </c>
      <c r="AD40" s="3">
        <v>1.4999999999999999E-2</v>
      </c>
      <c r="AE40" s="3">
        <v>15</v>
      </c>
      <c r="AF40" s="3"/>
      <c r="AG40" s="3"/>
      <c r="AH40" s="149">
        <f>AD40*J40+AC40</f>
        <v>0.12</v>
      </c>
      <c r="AI40" s="171">
        <f t="shared" si="55"/>
        <v>1.2E-2</v>
      </c>
      <c r="AJ40" s="150">
        <f t="shared" si="56"/>
        <v>0</v>
      </c>
      <c r="AK40" s="150">
        <f t="shared" si="57"/>
        <v>1.5</v>
      </c>
      <c r="AL40" s="149">
        <f>1333*J39*POWER(10,-6)*10+0.0012*K41</f>
        <v>4.1288037959999996E-2</v>
      </c>
      <c r="AM40" s="150">
        <f t="shared" si="51"/>
        <v>1.6732880379599999</v>
      </c>
      <c r="AN40" s="160">
        <f t="shared" si="52"/>
        <v>3.3136127745177598E-6</v>
      </c>
      <c r="AO40" s="160">
        <f t="shared" si="53"/>
        <v>1.3429140477451776E-4</v>
      </c>
    </row>
    <row r="41" spans="1:41">
      <c r="A41" s="101" t="s">
        <v>112</v>
      </c>
      <c r="B41" s="79" t="s">
        <v>270</v>
      </c>
      <c r="C41" s="82" t="s">
        <v>186</v>
      </c>
      <c r="D41" s="80" t="s">
        <v>187</v>
      </c>
      <c r="E41" s="81">
        <v>1.9999999999999999E-6</v>
      </c>
      <c r="F41" s="79">
        <v>352</v>
      </c>
      <c r="G41" s="79">
        <v>0.2</v>
      </c>
      <c r="H41" s="81">
        <f t="shared" si="54"/>
        <v>1.4080000000000001E-4</v>
      </c>
      <c r="I41" s="79">
        <f>I38*0.1</f>
        <v>0.22599999999999998</v>
      </c>
      <c r="J41" s="79">
        <f>I41</f>
        <v>0.22599999999999998</v>
      </c>
      <c r="K41" s="82">
        <f>ROUNDUP(I41*150,0)</f>
        <v>34</v>
      </c>
      <c r="L41" t="str">
        <f t="shared" si="48"/>
        <v>С40</v>
      </c>
      <c r="M41" t="str">
        <f t="shared" si="49"/>
        <v>Трубопровод ряд ЛВЖ (Е-210)</v>
      </c>
      <c r="N41" t="str">
        <f t="shared" si="50"/>
        <v>Частичное-пожар</v>
      </c>
      <c r="O41">
        <v>13</v>
      </c>
      <c r="P41">
        <v>17</v>
      </c>
      <c r="Q41">
        <v>22</v>
      </c>
      <c r="R41">
        <v>38</v>
      </c>
      <c r="S41" t="s">
        <v>182</v>
      </c>
      <c r="T41" t="s">
        <v>182</v>
      </c>
      <c r="U41" t="s">
        <v>182</v>
      </c>
      <c r="V41" t="s">
        <v>182</v>
      </c>
      <c r="W41" t="s">
        <v>182</v>
      </c>
      <c r="X41" t="s">
        <v>182</v>
      </c>
      <c r="Y41" t="s">
        <v>182</v>
      </c>
      <c r="Z41" t="s">
        <v>182</v>
      </c>
      <c r="AA41" s="3">
        <v>0</v>
      </c>
      <c r="AB41" s="3">
        <v>1</v>
      </c>
      <c r="AC41" s="3">
        <f>0.1*AC40</f>
        <v>1.2E-2</v>
      </c>
      <c r="AD41" s="3">
        <v>1.4999999999999999E-2</v>
      </c>
      <c r="AE41" s="3">
        <v>5</v>
      </c>
      <c r="AF41" s="3"/>
      <c r="AG41" s="3"/>
      <c r="AH41" s="149">
        <f>AD41*I41+AC41</f>
        <v>1.5389999999999999E-2</v>
      </c>
      <c r="AI41" s="171">
        <f>AH41*0.1</f>
        <v>1.539E-3</v>
      </c>
      <c r="AJ41" s="150">
        <f>AA41*1.72+115*0.012*AB41</f>
        <v>1.3800000000000001</v>
      </c>
      <c r="AK41" s="150">
        <f>AE41*0.1</f>
        <v>0.5</v>
      </c>
      <c r="AL41" s="149">
        <f>10068.2*J41*POWER(10,-6)+0.0012*K41</f>
        <v>4.3075413199999996E-2</v>
      </c>
      <c r="AM41" s="150">
        <f t="shared" si="51"/>
        <v>1.9400044132000001</v>
      </c>
      <c r="AN41" s="160">
        <f t="shared" si="52"/>
        <v>6.0650181785599998E-6</v>
      </c>
      <c r="AO41" s="160">
        <f t="shared" si="53"/>
        <v>2.7315262137856002E-4</v>
      </c>
    </row>
    <row r="42" spans="1:41">
      <c r="A42" s="101" t="s">
        <v>113</v>
      </c>
      <c r="B42" s="79" t="s">
        <v>270</v>
      </c>
      <c r="C42" s="82" t="s">
        <v>234</v>
      </c>
      <c r="D42" s="80" t="s">
        <v>161</v>
      </c>
      <c r="E42" s="81">
        <v>1.9999999999999999E-6</v>
      </c>
      <c r="F42" s="79">
        <v>352</v>
      </c>
      <c r="G42" s="79">
        <v>4.0000000000000008E-2</v>
      </c>
      <c r="H42" s="81">
        <f t="shared" si="54"/>
        <v>2.8160000000000005E-5</v>
      </c>
      <c r="I42" s="79">
        <f>0.1*I38</f>
        <v>0.22599999999999998</v>
      </c>
      <c r="J42" s="79">
        <f>K42</f>
        <v>3.6719999999999989E-2</v>
      </c>
      <c r="K42" s="82">
        <f>POWER(10,-6)*SQRT(100)*30*3600*K41/1000</f>
        <v>3.6719999999999989E-2</v>
      </c>
      <c r="L42" t="str">
        <f t="shared" si="48"/>
        <v>С41</v>
      </c>
      <c r="M42" t="str">
        <f t="shared" si="49"/>
        <v>Трубопровод ряд ЛВЖ (Е-210)</v>
      </c>
      <c r="N42" t="str">
        <f t="shared" si="50"/>
        <v>Частичное-вспышка</v>
      </c>
      <c r="O42" t="s">
        <v>182</v>
      </c>
      <c r="P42" t="s">
        <v>182</v>
      </c>
      <c r="Q42" t="s">
        <v>182</v>
      </c>
      <c r="R42" t="s">
        <v>182</v>
      </c>
      <c r="S42" t="s">
        <v>182</v>
      </c>
      <c r="T42" t="s">
        <v>182</v>
      </c>
      <c r="U42" t="s">
        <v>182</v>
      </c>
      <c r="V42" t="s">
        <v>182</v>
      </c>
      <c r="W42" t="s">
        <v>182</v>
      </c>
      <c r="X42" t="s">
        <v>182</v>
      </c>
      <c r="Y42">
        <v>10</v>
      </c>
      <c r="Z42">
        <v>12</v>
      </c>
      <c r="AA42" s="3">
        <v>0</v>
      </c>
      <c r="AB42" s="3">
        <v>1</v>
      </c>
      <c r="AC42" s="3">
        <f>0.1*AC40</f>
        <v>1.2E-2</v>
      </c>
      <c r="AD42" s="3">
        <v>1.4999999999999999E-2</v>
      </c>
      <c r="AE42" s="3">
        <v>5</v>
      </c>
      <c r="AF42" s="3"/>
      <c r="AG42" s="3"/>
      <c r="AH42" s="149">
        <f>AD42*I42+AC42</f>
        <v>1.5389999999999999E-2</v>
      </c>
      <c r="AI42" s="171">
        <f>AH42*0.1</f>
        <v>1.539E-3</v>
      </c>
      <c r="AJ42" s="150">
        <f>AA42*1.72+115*0.012*AB42</f>
        <v>1.3800000000000001</v>
      </c>
      <c r="AK42" s="150">
        <f>AE42*0.1</f>
        <v>0.5</v>
      </c>
      <c r="AL42" s="149">
        <f>10068.2*J42*POWER(10,-6)+0.0012*K41</f>
        <v>4.1169704303999993E-2</v>
      </c>
      <c r="AM42" s="150">
        <f t="shared" si="51"/>
        <v>1.9380987043040001</v>
      </c>
      <c r="AN42" s="160">
        <f t="shared" si="52"/>
        <v>1.15933887320064E-6</v>
      </c>
      <c r="AO42" s="160">
        <f t="shared" si="53"/>
        <v>5.4576859513200651E-5</v>
      </c>
    </row>
    <row r="43" spans="1:41">
      <c r="A43" s="101" t="s">
        <v>114</v>
      </c>
      <c r="B43" s="79" t="s">
        <v>270</v>
      </c>
      <c r="C43" s="82" t="s">
        <v>235</v>
      </c>
      <c r="D43" s="80" t="s">
        <v>159</v>
      </c>
      <c r="E43" s="81">
        <v>1.9999999999999999E-6</v>
      </c>
      <c r="F43" s="79">
        <v>352</v>
      </c>
      <c r="G43" s="79">
        <v>0.76</v>
      </c>
      <c r="H43" s="81">
        <f t="shared" si="54"/>
        <v>5.3503999999999997E-4</v>
      </c>
      <c r="I43" s="79">
        <f>0.1*I38</f>
        <v>0.22599999999999998</v>
      </c>
      <c r="J43" s="79">
        <v>0</v>
      </c>
      <c r="K43" s="82">
        <v>0</v>
      </c>
      <c r="L43" t="str">
        <f t="shared" si="48"/>
        <v>С42</v>
      </c>
      <c r="M43" t="str">
        <f t="shared" si="49"/>
        <v>Трубопровод ряд ЛВЖ (Е-210)</v>
      </c>
      <c r="N43" t="str">
        <f t="shared" si="50"/>
        <v>Частичное-ликвидация</v>
      </c>
      <c r="O43" t="s">
        <v>182</v>
      </c>
      <c r="P43" t="s">
        <v>182</v>
      </c>
      <c r="Q43" t="s">
        <v>182</v>
      </c>
      <c r="R43" t="s">
        <v>182</v>
      </c>
      <c r="S43" t="s">
        <v>182</v>
      </c>
      <c r="T43" t="s">
        <v>182</v>
      </c>
      <c r="U43" t="s">
        <v>182</v>
      </c>
      <c r="V43" t="s">
        <v>182</v>
      </c>
      <c r="W43" t="s">
        <v>182</v>
      </c>
      <c r="X43" t="s">
        <v>182</v>
      </c>
      <c r="Y43" t="s">
        <v>182</v>
      </c>
      <c r="Z43" t="s">
        <v>182</v>
      </c>
      <c r="AA43" s="3">
        <v>0</v>
      </c>
      <c r="AB43" s="3">
        <v>0</v>
      </c>
      <c r="AC43" s="3">
        <f>0.1*AC40</f>
        <v>1.2E-2</v>
      </c>
      <c r="AD43" s="3">
        <v>1.4999999999999999E-2</v>
      </c>
      <c r="AE43" s="3">
        <v>5</v>
      </c>
      <c r="AF43" s="3"/>
      <c r="AG43" s="3"/>
      <c r="AH43" s="149">
        <f>AD43*I43+AC43</f>
        <v>1.5389999999999999E-2</v>
      </c>
      <c r="AI43" s="171">
        <f>AH43*0.1</f>
        <v>1.539E-3</v>
      </c>
      <c r="AJ43" s="150">
        <f>AA43*1.72+115*0.012*AB43</f>
        <v>0</v>
      </c>
      <c r="AK43" s="150">
        <f>AE43*0.1</f>
        <v>0.5</v>
      </c>
      <c r="AL43" s="149">
        <f>1333*J42*POWER(10,-6)+0.0012*K41</f>
        <v>4.0848947759999997E-2</v>
      </c>
      <c r="AM43" s="150">
        <f t="shared" si="51"/>
        <v>0.55777794776</v>
      </c>
      <c r="AN43" s="160">
        <f t="shared" si="52"/>
        <v>2.1855821009510397E-5</v>
      </c>
      <c r="AO43" s="160">
        <f t="shared" si="53"/>
        <v>2.9843351316951038E-4</v>
      </c>
    </row>
    <row r="44" spans="1:41">
      <c r="O44" t="s">
        <v>182</v>
      </c>
      <c r="P44" t="s">
        <v>182</v>
      </c>
      <c r="Q44" t="s">
        <v>182</v>
      </c>
      <c r="R44" t="s">
        <v>182</v>
      </c>
      <c r="S44" t="s">
        <v>182</v>
      </c>
      <c r="T44" t="s">
        <v>182</v>
      </c>
      <c r="U44" t="s">
        <v>182</v>
      </c>
      <c r="V44" t="s">
        <v>182</v>
      </c>
      <c r="W44" t="s">
        <v>182</v>
      </c>
      <c r="X44" t="s">
        <v>182</v>
      </c>
      <c r="Y44" t="s">
        <v>182</v>
      </c>
      <c r="Z44" t="s">
        <v>182</v>
      </c>
    </row>
    <row r="45" spans="1:41">
      <c r="A45" s="101" t="s">
        <v>115</v>
      </c>
      <c r="B45" s="91" t="s">
        <v>251</v>
      </c>
      <c r="C45" s="92" t="s">
        <v>165</v>
      </c>
      <c r="D45" s="93" t="s">
        <v>166</v>
      </c>
      <c r="E45" s="94">
        <v>1.0000000000000001E-5</v>
      </c>
      <c r="F45" s="91">
        <v>16</v>
      </c>
      <c r="G45" s="119">
        <v>1.4999999999999999E-2</v>
      </c>
      <c r="H45" s="94">
        <f>E45*F45*G45</f>
        <v>2.4000000000000003E-6</v>
      </c>
      <c r="I45" s="91">
        <f>K47</f>
        <v>7.5</v>
      </c>
      <c r="J45" s="91">
        <f>I45</f>
        <v>7.5</v>
      </c>
      <c r="K45" s="95">
        <f>K47*20</f>
        <v>150</v>
      </c>
      <c r="L45" t="str">
        <f t="shared" ref="L45:M50" si="58">A45</f>
        <v>С43</v>
      </c>
      <c r="M45" t="str">
        <f t="shared" si="58"/>
        <v>Насос Н-101</v>
      </c>
      <c r="N45" t="str">
        <f t="shared" ref="N45:N50" si="59">D45</f>
        <v>Полное-жидкостной факел</v>
      </c>
      <c r="O45" t="s">
        <v>182</v>
      </c>
      <c r="P45" t="s">
        <v>182</v>
      </c>
      <c r="Q45" t="s">
        <v>182</v>
      </c>
      <c r="R45" t="s">
        <v>182</v>
      </c>
      <c r="S45" t="s">
        <v>182</v>
      </c>
      <c r="T45" t="s">
        <v>182</v>
      </c>
      <c r="U45" t="s">
        <v>182</v>
      </c>
      <c r="V45" t="s">
        <v>182</v>
      </c>
      <c r="W45">
        <v>8</v>
      </c>
      <c r="X45">
        <v>2</v>
      </c>
      <c r="Y45" t="s">
        <v>182</v>
      </c>
      <c r="Z45" t="s">
        <v>182</v>
      </c>
      <c r="AA45" s="4">
        <v>0</v>
      </c>
      <c r="AB45" s="4">
        <v>1</v>
      </c>
      <c r="AC45" s="4">
        <v>0.15</v>
      </c>
      <c r="AD45" s="4">
        <v>1.4999999999999999E-2</v>
      </c>
      <c r="AE45" s="4">
        <v>3</v>
      </c>
      <c r="AF45" s="4"/>
      <c r="AG45" s="4"/>
      <c r="AH45" s="157">
        <f>AD45*I45+AC45</f>
        <v>0.26249999999999996</v>
      </c>
      <c r="AI45" s="157">
        <f>AH45*0.1</f>
        <v>2.6249999999999996E-2</v>
      </c>
      <c r="AJ45" s="158">
        <f>AA45*1.72+115*0.012*AB45</f>
        <v>1.3800000000000001</v>
      </c>
      <c r="AK45" s="158">
        <f t="shared" ref="AK45:AK50" si="60">AE45*0.1</f>
        <v>0.30000000000000004</v>
      </c>
      <c r="AL45" s="157">
        <f>10068.2*J45*POWER(10,-6)+0.0012*K48</f>
        <v>0.2555115</v>
      </c>
      <c r="AM45" s="158">
        <f t="shared" ref="AM45:AM62" si="61">AL45+AK45+AJ45+AI45+AH45</f>
        <v>2.2242614999999999</v>
      </c>
      <c r="AN45" s="154">
        <f t="shared" ref="AN45:AN62" si="62">AL45*H45</f>
        <v>6.1322760000000007E-7</v>
      </c>
      <c r="AO45" s="154">
        <f t="shared" ref="AO45:AO62" si="63">H45*AM45</f>
        <v>5.3382276000000002E-6</v>
      </c>
    </row>
    <row r="46" spans="1:41">
      <c r="A46" s="101" t="s">
        <v>116</v>
      </c>
      <c r="B46" s="91" t="s">
        <v>251</v>
      </c>
      <c r="C46" s="92" t="s">
        <v>228</v>
      </c>
      <c r="D46" s="93" t="s">
        <v>160</v>
      </c>
      <c r="E46" s="94">
        <v>1.0000000000000001E-5</v>
      </c>
      <c r="F46" s="91">
        <v>16</v>
      </c>
      <c r="G46" s="119">
        <v>1.4249999999999999E-2</v>
      </c>
      <c r="H46" s="94">
        <f t="shared" ref="H46:H50" si="64">E46*F46*G46</f>
        <v>2.2800000000000002E-6</v>
      </c>
      <c r="I46" s="91">
        <f>I45</f>
        <v>7.5</v>
      </c>
      <c r="J46" s="91">
        <f>0.1*K46</f>
        <v>5.4000000000000003E-3</v>
      </c>
      <c r="K46" s="95">
        <f>POWER(10,-6)*SQRT(100)*10*3600*K45/1000</f>
        <v>5.3999999999999999E-2</v>
      </c>
      <c r="L46" t="str">
        <f t="shared" si="58"/>
        <v>С44</v>
      </c>
      <c r="M46" t="str">
        <f t="shared" si="58"/>
        <v>Насос Н-101</v>
      </c>
      <c r="N46" t="str">
        <f t="shared" si="59"/>
        <v>Полное-взрыв</v>
      </c>
      <c r="O46" t="s">
        <v>182</v>
      </c>
      <c r="P46" t="s">
        <v>182</v>
      </c>
      <c r="Q46" t="s">
        <v>182</v>
      </c>
      <c r="R46" t="s">
        <v>182</v>
      </c>
      <c r="S46">
        <v>8</v>
      </c>
      <c r="T46">
        <v>16</v>
      </c>
      <c r="U46">
        <v>44</v>
      </c>
      <c r="V46">
        <v>76</v>
      </c>
      <c r="W46" t="s">
        <v>182</v>
      </c>
      <c r="X46" t="s">
        <v>182</v>
      </c>
      <c r="Y46" t="s">
        <v>182</v>
      </c>
      <c r="Z46" t="s">
        <v>182</v>
      </c>
      <c r="AA46" s="4">
        <v>0</v>
      </c>
      <c r="AB46" s="4">
        <v>1</v>
      </c>
      <c r="AC46" s="4">
        <v>0.15</v>
      </c>
      <c r="AD46" s="4">
        <v>1.4999999999999999E-2</v>
      </c>
      <c r="AE46" s="4">
        <v>3</v>
      </c>
      <c r="AF46" s="4"/>
      <c r="AG46" s="4"/>
      <c r="AH46" s="157">
        <f>AD46*I46+AC46</f>
        <v>0.26249999999999996</v>
      </c>
      <c r="AI46" s="157">
        <f t="shared" ref="AI46:AI50" si="65">AH46*0.1</f>
        <v>2.6249999999999996E-2</v>
      </c>
      <c r="AJ46" s="158">
        <f t="shared" ref="AJ46:AJ50" si="66">AA46*1.72+115*0.012*AB46</f>
        <v>1.3800000000000001</v>
      </c>
      <c r="AK46" s="158">
        <f t="shared" si="60"/>
        <v>0.30000000000000004</v>
      </c>
      <c r="AL46" s="157">
        <f>10068.2*J46*POWER(10,-6)*10+0.0012*K48</f>
        <v>0.18054368279999999</v>
      </c>
      <c r="AM46" s="158">
        <f t="shared" si="61"/>
        <v>2.1492936827999998</v>
      </c>
      <c r="AN46" s="154">
        <f t="shared" si="62"/>
        <v>4.11639596784E-7</v>
      </c>
      <c r="AO46" s="154">
        <f t="shared" si="63"/>
        <v>4.9003895967839998E-6</v>
      </c>
    </row>
    <row r="47" spans="1:41">
      <c r="A47" s="101" t="s">
        <v>117</v>
      </c>
      <c r="B47" s="91" t="s">
        <v>251</v>
      </c>
      <c r="C47" s="92" t="s">
        <v>229</v>
      </c>
      <c r="D47" s="93" t="s">
        <v>158</v>
      </c>
      <c r="E47" s="94">
        <v>1.0000000000000001E-5</v>
      </c>
      <c r="F47" s="91">
        <v>16</v>
      </c>
      <c r="G47" s="119">
        <v>0.27074999999999999</v>
      </c>
      <c r="H47" s="94">
        <f t="shared" si="64"/>
        <v>4.3320000000000005E-5</v>
      </c>
      <c r="I47" s="91">
        <f>I46</f>
        <v>7.5</v>
      </c>
      <c r="J47" s="91">
        <v>0</v>
      </c>
      <c r="K47" s="96">
        <f>50*0.15</f>
        <v>7.5</v>
      </c>
      <c r="L47" t="str">
        <f t="shared" si="58"/>
        <v>С45</v>
      </c>
      <c r="M47" t="str">
        <f t="shared" si="58"/>
        <v>Насос Н-101</v>
      </c>
      <c r="N47" t="str">
        <f t="shared" si="59"/>
        <v>Полное-ликвидация</v>
      </c>
      <c r="O47" t="s">
        <v>182</v>
      </c>
      <c r="P47" t="s">
        <v>182</v>
      </c>
      <c r="Q47" t="s">
        <v>182</v>
      </c>
      <c r="R47" t="s">
        <v>182</v>
      </c>
      <c r="S47" t="s">
        <v>182</v>
      </c>
      <c r="T47" t="s">
        <v>182</v>
      </c>
      <c r="U47" t="s">
        <v>182</v>
      </c>
      <c r="V47" t="s">
        <v>182</v>
      </c>
      <c r="W47" t="s">
        <v>182</v>
      </c>
      <c r="X47" t="s">
        <v>182</v>
      </c>
      <c r="Y47" t="s">
        <v>182</v>
      </c>
      <c r="Z47" t="s">
        <v>182</v>
      </c>
      <c r="AA47" s="4">
        <v>0</v>
      </c>
      <c r="AB47" s="4">
        <v>0</v>
      </c>
      <c r="AC47" s="4">
        <v>0.15</v>
      </c>
      <c r="AD47" s="4">
        <v>1.4999999999999999E-2</v>
      </c>
      <c r="AE47" s="4">
        <v>3</v>
      </c>
      <c r="AF47" s="4"/>
      <c r="AG47" s="4"/>
      <c r="AH47" s="157">
        <f>AD47*J47+AC47</f>
        <v>0.15</v>
      </c>
      <c r="AI47" s="157">
        <f t="shared" si="65"/>
        <v>1.4999999999999999E-2</v>
      </c>
      <c r="AJ47" s="158">
        <f t="shared" si="66"/>
        <v>0</v>
      </c>
      <c r="AK47" s="158">
        <f t="shared" si="60"/>
        <v>0.30000000000000004</v>
      </c>
      <c r="AL47" s="157">
        <f>1333*J46*POWER(10,-6)*10+0.0012*K48</f>
        <v>0.18007198199999999</v>
      </c>
      <c r="AM47" s="158">
        <f t="shared" si="61"/>
        <v>0.64507198200000004</v>
      </c>
      <c r="AN47" s="154">
        <f t="shared" si="62"/>
        <v>7.8007182602400011E-6</v>
      </c>
      <c r="AO47" s="154">
        <f t="shared" si="63"/>
        <v>2.7944518260240006E-5</v>
      </c>
    </row>
    <row r="48" spans="1:41">
      <c r="A48" s="101" t="s">
        <v>118</v>
      </c>
      <c r="B48" s="91" t="s">
        <v>251</v>
      </c>
      <c r="C48" s="92" t="s">
        <v>167</v>
      </c>
      <c r="D48" s="93" t="s">
        <v>181</v>
      </c>
      <c r="E48" s="94">
        <v>1.0000000000000001E-5</v>
      </c>
      <c r="F48" s="91">
        <v>16</v>
      </c>
      <c r="G48" s="119">
        <v>3.4999999999999996E-2</v>
      </c>
      <c r="H48" s="94">
        <f t="shared" si="64"/>
        <v>5.5999999999999997E-6</v>
      </c>
      <c r="I48" s="91">
        <f>I45</f>
        <v>7.5</v>
      </c>
      <c r="J48" s="91">
        <f>I48</f>
        <v>7.5</v>
      </c>
      <c r="K48" s="96">
        <f>ROUNDUP(I48*20,0)</f>
        <v>150</v>
      </c>
      <c r="L48" t="str">
        <f t="shared" si="58"/>
        <v>С46</v>
      </c>
      <c r="M48" t="str">
        <f t="shared" si="58"/>
        <v>Насос Н-101</v>
      </c>
      <c r="N48" t="str">
        <f t="shared" si="59"/>
        <v>Полное пожар</v>
      </c>
      <c r="O48">
        <v>15</v>
      </c>
      <c r="P48">
        <v>21</v>
      </c>
      <c r="Q48">
        <v>29</v>
      </c>
      <c r="R48">
        <v>53</v>
      </c>
      <c r="S48" t="s">
        <v>182</v>
      </c>
      <c r="T48" t="s">
        <v>182</v>
      </c>
      <c r="U48" t="s">
        <v>182</v>
      </c>
      <c r="V48" t="s">
        <v>182</v>
      </c>
      <c r="W48" t="s">
        <v>182</v>
      </c>
      <c r="X48" t="s">
        <v>182</v>
      </c>
      <c r="Y48" t="s">
        <v>182</v>
      </c>
      <c r="Z48" t="s">
        <v>182</v>
      </c>
      <c r="AA48" s="4">
        <v>0</v>
      </c>
      <c r="AB48" s="4">
        <v>1</v>
      </c>
      <c r="AC48" s="4">
        <v>0.15</v>
      </c>
      <c r="AD48" s="4">
        <v>1.4999999999999999E-2</v>
      </c>
      <c r="AE48" s="4">
        <v>3</v>
      </c>
      <c r="AF48" s="4"/>
      <c r="AG48" s="4"/>
      <c r="AH48" s="157">
        <f>AD48*I48+AC48</f>
        <v>0.26249999999999996</v>
      </c>
      <c r="AI48" s="157">
        <f t="shared" si="65"/>
        <v>2.6249999999999996E-2</v>
      </c>
      <c r="AJ48" s="158">
        <f t="shared" si="66"/>
        <v>1.3800000000000001</v>
      </c>
      <c r="AK48" s="158">
        <f t="shared" si="60"/>
        <v>0.30000000000000004</v>
      </c>
      <c r="AL48" s="157">
        <f>10068.2*J48*POWER(10,-6)+0.0012*K48</f>
        <v>0.2555115</v>
      </c>
      <c r="AM48" s="158">
        <f t="shared" si="61"/>
        <v>2.2242614999999999</v>
      </c>
      <c r="AN48" s="154">
        <f t="shared" si="62"/>
        <v>1.4308644E-6</v>
      </c>
      <c r="AO48" s="154">
        <f t="shared" si="63"/>
        <v>1.2455864399999998E-5</v>
      </c>
    </row>
    <row r="49" spans="1:41">
      <c r="A49" s="101" t="s">
        <v>119</v>
      </c>
      <c r="B49" s="91" t="s">
        <v>251</v>
      </c>
      <c r="C49" s="92" t="s">
        <v>230</v>
      </c>
      <c r="D49" s="93" t="s">
        <v>168</v>
      </c>
      <c r="E49" s="94">
        <v>1.0000000000000001E-5</v>
      </c>
      <c r="F49" s="91">
        <v>16</v>
      </c>
      <c r="G49" s="119">
        <v>3.3249999999999995E-2</v>
      </c>
      <c r="H49" s="94">
        <f t="shared" si="64"/>
        <v>5.3199999999999999E-6</v>
      </c>
      <c r="I49" s="91">
        <f t="shared" ref="I49:I50" si="67">I46</f>
        <v>7.5</v>
      </c>
      <c r="J49" s="91">
        <f>K49</f>
        <v>5.3999999999999999E-2</v>
      </c>
      <c r="K49" s="96">
        <f>POWER(10,-6)*SQRT(100)*10*3600*K48/1000</f>
        <v>5.3999999999999999E-2</v>
      </c>
      <c r="L49" t="str">
        <f t="shared" si="58"/>
        <v>С47</v>
      </c>
      <c r="M49" t="str">
        <f t="shared" si="58"/>
        <v>Насос Н-101</v>
      </c>
      <c r="N49" t="str">
        <f t="shared" si="59"/>
        <v>Полное-вспышка</v>
      </c>
      <c r="O49" t="s">
        <v>182</v>
      </c>
      <c r="P49" t="s">
        <v>182</v>
      </c>
      <c r="Q49" t="s">
        <v>182</v>
      </c>
      <c r="R49" t="s">
        <v>182</v>
      </c>
      <c r="S49" t="s">
        <v>182</v>
      </c>
      <c r="T49" t="s">
        <v>182</v>
      </c>
      <c r="U49" t="s">
        <v>182</v>
      </c>
      <c r="V49" t="s">
        <v>182</v>
      </c>
      <c r="W49" t="s">
        <v>182</v>
      </c>
      <c r="X49" t="s">
        <v>182</v>
      </c>
      <c r="Y49">
        <v>12</v>
      </c>
      <c r="Z49">
        <v>14</v>
      </c>
      <c r="AA49" s="4">
        <v>0</v>
      </c>
      <c r="AB49" s="4">
        <v>1</v>
      </c>
      <c r="AC49" s="4">
        <v>0.15</v>
      </c>
      <c r="AD49" s="4">
        <v>1.4999999999999999E-2</v>
      </c>
      <c r="AE49" s="4">
        <v>3</v>
      </c>
      <c r="AF49" s="4"/>
      <c r="AG49" s="4"/>
      <c r="AH49" s="157">
        <f>AD49*I49+AC49</f>
        <v>0.26249999999999996</v>
      </c>
      <c r="AI49" s="157">
        <f t="shared" si="65"/>
        <v>2.6249999999999996E-2</v>
      </c>
      <c r="AJ49" s="158">
        <f t="shared" si="66"/>
        <v>1.3800000000000001</v>
      </c>
      <c r="AK49" s="158">
        <f t="shared" si="60"/>
        <v>0.30000000000000004</v>
      </c>
      <c r="AL49" s="157">
        <f>10068.2*J49*POWER(10,-6)+0.0012*K48</f>
        <v>0.18054368279999999</v>
      </c>
      <c r="AM49" s="158">
        <f t="shared" si="61"/>
        <v>2.1492936827999998</v>
      </c>
      <c r="AN49" s="154">
        <f t="shared" si="62"/>
        <v>9.6049239249599993E-7</v>
      </c>
      <c r="AO49" s="154">
        <f t="shared" si="63"/>
        <v>1.1434242392495999E-5</v>
      </c>
    </row>
    <row r="50" spans="1:41">
      <c r="A50" s="101" t="s">
        <v>120</v>
      </c>
      <c r="B50" s="91" t="s">
        <v>251</v>
      </c>
      <c r="C50" s="92" t="s">
        <v>231</v>
      </c>
      <c r="D50" s="93" t="s">
        <v>158</v>
      </c>
      <c r="E50" s="94">
        <v>1.0000000000000001E-5</v>
      </c>
      <c r="F50" s="91">
        <v>16</v>
      </c>
      <c r="G50" s="119">
        <v>0.63174999999999992</v>
      </c>
      <c r="H50" s="94">
        <f t="shared" si="64"/>
        <v>1.0108E-4</v>
      </c>
      <c r="I50" s="91">
        <f t="shared" si="67"/>
        <v>7.5</v>
      </c>
      <c r="J50" s="91">
        <v>0</v>
      </c>
      <c r="K50" s="95">
        <v>0</v>
      </c>
      <c r="L50" t="str">
        <f t="shared" si="58"/>
        <v>С48</v>
      </c>
      <c r="M50" t="str">
        <f t="shared" si="58"/>
        <v>Насос Н-101</v>
      </c>
      <c r="N50" t="str">
        <f t="shared" si="59"/>
        <v>Полное-ликвидация</v>
      </c>
      <c r="O50" t="s">
        <v>182</v>
      </c>
      <c r="P50" t="s">
        <v>182</v>
      </c>
      <c r="Q50" t="s">
        <v>182</v>
      </c>
      <c r="R50" t="s">
        <v>182</v>
      </c>
      <c r="S50" t="s">
        <v>182</v>
      </c>
      <c r="T50" t="s">
        <v>182</v>
      </c>
      <c r="U50" t="s">
        <v>182</v>
      </c>
      <c r="V50" t="s">
        <v>182</v>
      </c>
      <c r="W50" t="s">
        <v>182</v>
      </c>
      <c r="X50" t="s">
        <v>182</v>
      </c>
      <c r="Y50" t="s">
        <v>182</v>
      </c>
      <c r="Z50" t="s">
        <v>182</v>
      </c>
      <c r="AA50" s="4">
        <v>0</v>
      </c>
      <c r="AB50" s="4">
        <v>0</v>
      </c>
      <c r="AC50" s="4">
        <v>0.15</v>
      </c>
      <c r="AD50" s="4">
        <v>1.4999999999999999E-2</v>
      </c>
      <c r="AE50" s="4">
        <v>3</v>
      </c>
      <c r="AF50" s="4"/>
      <c r="AG50" s="4"/>
      <c r="AH50" s="157">
        <f>AD50*J50+AC50</f>
        <v>0.15</v>
      </c>
      <c r="AI50" s="157">
        <f t="shared" si="65"/>
        <v>1.4999999999999999E-2</v>
      </c>
      <c r="AJ50" s="158">
        <f t="shared" si="66"/>
        <v>0</v>
      </c>
      <c r="AK50" s="158">
        <f t="shared" si="60"/>
        <v>0.30000000000000004</v>
      </c>
      <c r="AL50" s="157">
        <f>1333*J49*POWER(10,-6)+0.0012*K48</f>
        <v>0.18007198199999999</v>
      </c>
      <c r="AM50" s="158">
        <f t="shared" si="61"/>
        <v>0.64507198200000004</v>
      </c>
      <c r="AN50" s="154">
        <f t="shared" si="62"/>
        <v>1.8201675940559998E-5</v>
      </c>
      <c r="AO50" s="154">
        <f t="shared" si="63"/>
        <v>6.520387594056E-5</v>
      </c>
    </row>
    <row r="51" spans="1:41">
      <c r="A51" s="101" t="s">
        <v>258</v>
      </c>
      <c r="B51" s="85" t="s">
        <v>252</v>
      </c>
      <c r="C51" s="86" t="s">
        <v>165</v>
      </c>
      <c r="D51" s="87" t="s">
        <v>166</v>
      </c>
      <c r="E51" s="88">
        <v>1.0000000000000001E-5</v>
      </c>
      <c r="F51" s="85">
        <v>11</v>
      </c>
      <c r="G51" s="121">
        <v>1.4999999999999999E-2</v>
      </c>
      <c r="H51" s="88">
        <f>E51*F51*G51</f>
        <v>1.6500000000000001E-6</v>
      </c>
      <c r="I51" s="85">
        <f>K53</f>
        <v>5.55</v>
      </c>
      <c r="J51" s="85">
        <f>I51</f>
        <v>5.55</v>
      </c>
      <c r="K51" s="89">
        <f>K53*20</f>
        <v>111</v>
      </c>
      <c r="L51" t="str">
        <f t="shared" ref="L51:L56" si="68">A51</f>
        <v>С49</v>
      </c>
      <c r="M51" t="str">
        <f t="shared" ref="M51:M56" si="69">B51</f>
        <v>Насос Н-208</v>
      </c>
      <c r="N51" t="str">
        <f t="shared" ref="N51:N56" si="70">D51</f>
        <v>Полное-жидкостной факел</v>
      </c>
      <c r="O51" t="s">
        <v>182</v>
      </c>
      <c r="P51" t="s">
        <v>182</v>
      </c>
      <c r="Q51" t="s">
        <v>182</v>
      </c>
      <c r="R51" t="s">
        <v>182</v>
      </c>
      <c r="S51" t="s">
        <v>182</v>
      </c>
      <c r="T51" t="s">
        <v>182</v>
      </c>
      <c r="U51" t="s">
        <v>182</v>
      </c>
      <c r="V51" t="s">
        <v>182</v>
      </c>
      <c r="W51">
        <v>7</v>
      </c>
      <c r="X51">
        <v>2</v>
      </c>
      <c r="Y51" t="s">
        <v>182</v>
      </c>
      <c r="Z51" t="s">
        <v>182</v>
      </c>
      <c r="AA51" s="9">
        <v>0</v>
      </c>
      <c r="AB51" s="9">
        <v>1</v>
      </c>
      <c r="AC51" s="9">
        <v>0.17</v>
      </c>
      <c r="AD51" s="9">
        <v>1.4999999999999999E-2</v>
      </c>
      <c r="AE51" s="9">
        <v>3</v>
      </c>
      <c r="AF51" s="9"/>
      <c r="AG51" s="9"/>
      <c r="AH51" s="155">
        <f>AD51*I51+AC51</f>
        <v>0.25324999999999998</v>
      </c>
      <c r="AI51" s="155">
        <f>AH51*0.1</f>
        <v>2.5325E-2</v>
      </c>
      <c r="AJ51" s="156">
        <f>AA51*1.72+115*0.012*AB51</f>
        <v>1.3800000000000001</v>
      </c>
      <c r="AK51" s="156">
        <f t="shared" ref="AK51:AK56" si="71">AE51*0.1</f>
        <v>0.30000000000000004</v>
      </c>
      <c r="AL51" s="155">
        <f>10068.2*J51*POWER(10,-6)+0.0012*K54</f>
        <v>0.18907850999999998</v>
      </c>
      <c r="AM51" s="156">
        <f t="shared" si="61"/>
        <v>2.14765351</v>
      </c>
      <c r="AN51" s="159">
        <f t="shared" si="62"/>
        <v>3.119795415E-7</v>
      </c>
      <c r="AO51" s="159">
        <f t="shared" si="63"/>
        <v>3.5436282915000002E-6</v>
      </c>
    </row>
    <row r="52" spans="1:41">
      <c r="A52" s="101" t="s">
        <v>259</v>
      </c>
      <c r="B52" s="85" t="s">
        <v>252</v>
      </c>
      <c r="C52" s="86" t="s">
        <v>228</v>
      </c>
      <c r="D52" s="87" t="s">
        <v>160</v>
      </c>
      <c r="E52" s="88">
        <v>1.0000000000000001E-5</v>
      </c>
      <c r="F52" s="85">
        <v>11</v>
      </c>
      <c r="G52" s="121">
        <v>1.4249999999999999E-2</v>
      </c>
      <c r="H52" s="88">
        <f t="shared" ref="H52:H56" si="72">E52*F52*G52</f>
        <v>1.5675E-6</v>
      </c>
      <c r="I52" s="85">
        <f>I51</f>
        <v>5.55</v>
      </c>
      <c r="J52" s="85">
        <f>0.1*K52</f>
        <v>3.9960000000000004E-3</v>
      </c>
      <c r="K52" s="89">
        <f>POWER(10,-6)*SQRT(100)*10*3600*K51/1000</f>
        <v>3.9960000000000002E-2</v>
      </c>
      <c r="L52" t="str">
        <f t="shared" si="68"/>
        <v>С50</v>
      </c>
      <c r="M52" t="str">
        <f t="shared" si="69"/>
        <v>Насос Н-208</v>
      </c>
      <c r="N52" t="str">
        <f t="shared" si="70"/>
        <v>Полное-взрыв</v>
      </c>
      <c r="O52" t="s">
        <v>182</v>
      </c>
      <c r="P52" t="s">
        <v>182</v>
      </c>
      <c r="Q52" t="s">
        <v>182</v>
      </c>
      <c r="R52" t="s">
        <v>182</v>
      </c>
      <c r="S52">
        <v>7</v>
      </c>
      <c r="T52">
        <v>14</v>
      </c>
      <c r="U52">
        <v>40</v>
      </c>
      <c r="V52">
        <v>69</v>
      </c>
      <c r="W52" t="s">
        <v>182</v>
      </c>
      <c r="X52" t="s">
        <v>182</v>
      </c>
      <c r="Y52" t="s">
        <v>182</v>
      </c>
      <c r="Z52" t="s">
        <v>182</v>
      </c>
      <c r="AA52" s="9">
        <v>0</v>
      </c>
      <c r="AB52" s="9">
        <v>1</v>
      </c>
      <c r="AC52" s="9">
        <v>0.17</v>
      </c>
      <c r="AD52" s="9">
        <v>1.4999999999999999E-2</v>
      </c>
      <c r="AE52" s="9">
        <v>3</v>
      </c>
      <c r="AF52" s="9"/>
      <c r="AG52" s="9"/>
      <c r="AH52" s="155">
        <f>AD52*I52+AC52</f>
        <v>0.25324999999999998</v>
      </c>
      <c r="AI52" s="155">
        <f t="shared" ref="AI52:AI56" si="73">AH52*0.1</f>
        <v>2.5325E-2</v>
      </c>
      <c r="AJ52" s="156">
        <f t="shared" ref="AJ52:AJ56" si="74">AA52*1.72+115*0.012*AB52</f>
        <v>1.3800000000000001</v>
      </c>
      <c r="AK52" s="156">
        <f t="shared" si="71"/>
        <v>0.30000000000000004</v>
      </c>
      <c r="AL52" s="155">
        <f>10068.2*J52*POWER(10,-6)*10+0.0012*K54</f>
        <v>0.13360232527199997</v>
      </c>
      <c r="AM52" s="156">
        <f t="shared" si="61"/>
        <v>2.092177325272</v>
      </c>
      <c r="AN52" s="159">
        <f t="shared" si="62"/>
        <v>2.0942164486385996E-7</v>
      </c>
      <c r="AO52" s="159">
        <f t="shared" si="63"/>
        <v>3.2794879573638599E-6</v>
      </c>
    </row>
    <row r="53" spans="1:41">
      <c r="A53" s="101" t="s">
        <v>260</v>
      </c>
      <c r="B53" s="85" t="s">
        <v>252</v>
      </c>
      <c r="C53" s="86" t="s">
        <v>229</v>
      </c>
      <c r="D53" s="87" t="s">
        <v>158</v>
      </c>
      <c r="E53" s="88">
        <v>1.0000000000000001E-5</v>
      </c>
      <c r="F53" s="85">
        <v>11</v>
      </c>
      <c r="G53" s="121">
        <v>0.27074999999999999</v>
      </c>
      <c r="H53" s="88">
        <f t="shared" si="72"/>
        <v>2.9782500000000002E-5</v>
      </c>
      <c r="I53" s="85">
        <f>I52</f>
        <v>5.55</v>
      </c>
      <c r="J53" s="85">
        <v>0</v>
      </c>
      <c r="K53" s="90">
        <f>37*0.15</f>
        <v>5.55</v>
      </c>
      <c r="L53" t="str">
        <f t="shared" si="68"/>
        <v>С51</v>
      </c>
      <c r="M53" t="str">
        <f t="shared" si="69"/>
        <v>Насос Н-208</v>
      </c>
      <c r="N53" t="str">
        <f t="shared" si="70"/>
        <v>Полное-ликвидация</v>
      </c>
      <c r="O53" t="s">
        <v>182</v>
      </c>
      <c r="P53" t="s">
        <v>182</v>
      </c>
      <c r="Q53" t="s">
        <v>182</v>
      </c>
      <c r="R53" t="s">
        <v>182</v>
      </c>
      <c r="S53" t="s">
        <v>182</v>
      </c>
      <c r="T53" t="s">
        <v>182</v>
      </c>
      <c r="U53" t="s">
        <v>182</v>
      </c>
      <c r="V53" t="s">
        <v>182</v>
      </c>
      <c r="W53" t="s">
        <v>182</v>
      </c>
      <c r="X53" t="s">
        <v>182</v>
      </c>
      <c r="Y53" t="s">
        <v>182</v>
      </c>
      <c r="Z53" t="s">
        <v>182</v>
      </c>
      <c r="AA53" s="9">
        <v>0</v>
      </c>
      <c r="AB53" s="9">
        <v>0</v>
      </c>
      <c r="AC53" s="9">
        <v>0.17</v>
      </c>
      <c r="AD53" s="9">
        <v>1.4999999999999999E-2</v>
      </c>
      <c r="AE53" s="9">
        <v>3</v>
      </c>
      <c r="AF53" s="9"/>
      <c r="AG53" s="9"/>
      <c r="AH53" s="155">
        <f>AD53*J53+AC53</f>
        <v>0.17</v>
      </c>
      <c r="AI53" s="155">
        <f t="shared" si="73"/>
        <v>1.7000000000000001E-2</v>
      </c>
      <c r="AJ53" s="156">
        <f t="shared" si="74"/>
        <v>0</v>
      </c>
      <c r="AK53" s="156">
        <f t="shared" si="71"/>
        <v>0.30000000000000004</v>
      </c>
      <c r="AL53" s="155">
        <f>1333*J52*POWER(10,-6)*10+0.0012*K54</f>
        <v>0.13325326667999998</v>
      </c>
      <c r="AM53" s="156">
        <f t="shared" si="61"/>
        <v>0.62025326668000003</v>
      </c>
      <c r="AN53" s="159">
        <f t="shared" si="62"/>
        <v>3.9686154148971E-6</v>
      </c>
      <c r="AO53" s="159">
        <f t="shared" si="63"/>
        <v>1.8472692914897103E-5</v>
      </c>
    </row>
    <row r="54" spans="1:41">
      <c r="A54" s="101" t="s">
        <v>261</v>
      </c>
      <c r="B54" s="85" t="s">
        <v>252</v>
      </c>
      <c r="C54" s="86" t="s">
        <v>167</v>
      </c>
      <c r="D54" s="87" t="s">
        <v>181</v>
      </c>
      <c r="E54" s="88">
        <v>1.0000000000000001E-5</v>
      </c>
      <c r="F54" s="85">
        <v>11</v>
      </c>
      <c r="G54" s="121">
        <v>3.4999999999999996E-2</v>
      </c>
      <c r="H54" s="88">
        <f t="shared" si="72"/>
        <v>3.8499999999999996E-6</v>
      </c>
      <c r="I54" s="85">
        <f>I51</f>
        <v>5.55</v>
      </c>
      <c r="J54" s="85">
        <f>I54</f>
        <v>5.55</v>
      </c>
      <c r="K54" s="90">
        <f>ROUNDUP(I54*20,0)</f>
        <v>111</v>
      </c>
      <c r="L54" t="str">
        <f t="shared" si="68"/>
        <v>С52</v>
      </c>
      <c r="M54" t="str">
        <f t="shared" si="69"/>
        <v>Насос Н-208</v>
      </c>
      <c r="N54" t="str">
        <f t="shared" si="70"/>
        <v>Полное пожар</v>
      </c>
      <c r="O54">
        <v>15</v>
      </c>
      <c r="P54">
        <v>20</v>
      </c>
      <c r="Q54">
        <v>27</v>
      </c>
      <c r="R54">
        <v>50</v>
      </c>
      <c r="S54" t="s">
        <v>182</v>
      </c>
      <c r="T54" t="s">
        <v>182</v>
      </c>
      <c r="U54" t="s">
        <v>182</v>
      </c>
      <c r="V54" t="s">
        <v>182</v>
      </c>
      <c r="W54" t="s">
        <v>182</v>
      </c>
      <c r="X54" t="s">
        <v>182</v>
      </c>
      <c r="Y54" t="s">
        <v>182</v>
      </c>
      <c r="Z54" t="s">
        <v>182</v>
      </c>
      <c r="AA54" s="9">
        <v>0</v>
      </c>
      <c r="AB54" s="9">
        <v>1</v>
      </c>
      <c r="AC54" s="9">
        <v>0.17</v>
      </c>
      <c r="AD54" s="9">
        <v>1.4999999999999999E-2</v>
      </c>
      <c r="AE54" s="9">
        <v>3</v>
      </c>
      <c r="AF54" s="9"/>
      <c r="AG54" s="9"/>
      <c r="AH54" s="155">
        <f>AD54*I54+AC54</f>
        <v>0.25324999999999998</v>
      </c>
      <c r="AI54" s="155">
        <f t="shared" si="73"/>
        <v>2.5325E-2</v>
      </c>
      <c r="AJ54" s="156">
        <f t="shared" si="74"/>
        <v>1.3800000000000001</v>
      </c>
      <c r="AK54" s="156">
        <f t="shared" si="71"/>
        <v>0.30000000000000004</v>
      </c>
      <c r="AL54" s="155">
        <f>10068.2*J54*POWER(10,-6)+0.0012*K54</f>
        <v>0.18907850999999998</v>
      </c>
      <c r="AM54" s="156">
        <f t="shared" si="61"/>
        <v>2.14765351</v>
      </c>
      <c r="AN54" s="159">
        <f t="shared" si="62"/>
        <v>7.2795226349999985E-7</v>
      </c>
      <c r="AO54" s="159">
        <f t="shared" si="63"/>
        <v>8.2684660134999984E-6</v>
      </c>
    </row>
    <row r="55" spans="1:41">
      <c r="A55" s="101" t="s">
        <v>262</v>
      </c>
      <c r="B55" s="85" t="s">
        <v>252</v>
      </c>
      <c r="C55" s="86" t="s">
        <v>230</v>
      </c>
      <c r="D55" s="87" t="s">
        <v>168</v>
      </c>
      <c r="E55" s="88">
        <v>1.0000000000000001E-5</v>
      </c>
      <c r="F55" s="85">
        <v>11</v>
      </c>
      <c r="G55" s="121">
        <v>3.3249999999999995E-2</v>
      </c>
      <c r="H55" s="88">
        <f t="shared" si="72"/>
        <v>3.6574999999999997E-6</v>
      </c>
      <c r="I55" s="85">
        <f t="shared" ref="I55:I56" si="75">I52</f>
        <v>5.55</v>
      </c>
      <c r="J55" s="85">
        <f>K55</f>
        <v>3.9960000000000002E-2</v>
      </c>
      <c r="K55" s="90">
        <f>POWER(10,-6)*SQRT(100)*10*3600*K54/1000</f>
        <v>3.9960000000000002E-2</v>
      </c>
      <c r="L55" t="str">
        <f t="shared" si="68"/>
        <v>С53</v>
      </c>
      <c r="M55" t="str">
        <f t="shared" si="69"/>
        <v>Насос Н-208</v>
      </c>
      <c r="N55" t="str">
        <f t="shared" si="70"/>
        <v>Полное-вспышка</v>
      </c>
      <c r="O55" t="s">
        <v>182</v>
      </c>
      <c r="P55" t="s">
        <v>182</v>
      </c>
      <c r="Q55" t="s">
        <v>182</v>
      </c>
      <c r="R55" t="s">
        <v>182</v>
      </c>
      <c r="S55" t="s">
        <v>182</v>
      </c>
      <c r="T55" t="s">
        <v>182</v>
      </c>
      <c r="U55" t="s">
        <v>182</v>
      </c>
      <c r="V55" t="s">
        <v>182</v>
      </c>
      <c r="W55" t="s">
        <v>182</v>
      </c>
      <c r="X55" t="s">
        <v>182</v>
      </c>
      <c r="Y55">
        <v>11</v>
      </c>
      <c r="Z55">
        <v>13</v>
      </c>
      <c r="AA55" s="9">
        <v>0</v>
      </c>
      <c r="AB55" s="9">
        <v>1</v>
      </c>
      <c r="AC55" s="9">
        <v>0.17</v>
      </c>
      <c r="AD55" s="9">
        <v>1.4999999999999999E-2</v>
      </c>
      <c r="AE55" s="9">
        <v>3</v>
      </c>
      <c r="AF55" s="9"/>
      <c r="AG55" s="9"/>
      <c r="AH55" s="155">
        <f>AD55*I55+AC55</f>
        <v>0.25324999999999998</v>
      </c>
      <c r="AI55" s="155">
        <f t="shared" si="73"/>
        <v>2.5325E-2</v>
      </c>
      <c r="AJ55" s="156">
        <f t="shared" si="74"/>
        <v>1.3800000000000001</v>
      </c>
      <c r="AK55" s="156">
        <f t="shared" si="71"/>
        <v>0.30000000000000004</v>
      </c>
      <c r="AL55" s="155">
        <f>10068.2*J55*POWER(10,-6)+0.0012*K54</f>
        <v>0.13360232527199997</v>
      </c>
      <c r="AM55" s="156">
        <f t="shared" si="61"/>
        <v>2.092177325272</v>
      </c>
      <c r="AN55" s="159">
        <f t="shared" si="62"/>
        <v>4.8865050468233988E-7</v>
      </c>
      <c r="AO55" s="159">
        <f t="shared" si="63"/>
        <v>7.6521385671823397E-6</v>
      </c>
    </row>
    <row r="56" spans="1:41">
      <c r="A56" s="101" t="s">
        <v>263</v>
      </c>
      <c r="B56" s="85" t="s">
        <v>252</v>
      </c>
      <c r="C56" s="86" t="s">
        <v>231</v>
      </c>
      <c r="D56" s="87" t="s">
        <v>158</v>
      </c>
      <c r="E56" s="88">
        <v>1.0000000000000001E-5</v>
      </c>
      <c r="F56" s="85">
        <v>11</v>
      </c>
      <c r="G56" s="121">
        <v>0.63174999999999992</v>
      </c>
      <c r="H56" s="88">
        <f t="shared" si="72"/>
        <v>6.9492499999999999E-5</v>
      </c>
      <c r="I56" s="85">
        <f t="shared" si="75"/>
        <v>5.55</v>
      </c>
      <c r="J56" s="85">
        <v>0</v>
      </c>
      <c r="K56" s="89">
        <v>0</v>
      </c>
      <c r="L56" t="str">
        <f t="shared" si="68"/>
        <v>С54</v>
      </c>
      <c r="M56" t="str">
        <f t="shared" si="69"/>
        <v>Насос Н-208</v>
      </c>
      <c r="N56" t="str">
        <f t="shared" si="70"/>
        <v>Полное-ликвидация</v>
      </c>
      <c r="O56" t="s">
        <v>182</v>
      </c>
      <c r="P56" t="s">
        <v>182</v>
      </c>
      <c r="Q56" t="s">
        <v>182</v>
      </c>
      <c r="R56" t="s">
        <v>182</v>
      </c>
      <c r="S56" t="s">
        <v>182</v>
      </c>
      <c r="T56" t="s">
        <v>182</v>
      </c>
      <c r="U56" t="s">
        <v>182</v>
      </c>
      <c r="V56" t="s">
        <v>182</v>
      </c>
      <c r="W56" t="s">
        <v>182</v>
      </c>
      <c r="X56" t="s">
        <v>182</v>
      </c>
      <c r="Y56" t="s">
        <v>182</v>
      </c>
      <c r="Z56" t="s">
        <v>182</v>
      </c>
      <c r="AA56" s="9">
        <v>0</v>
      </c>
      <c r="AB56" s="9">
        <v>0</v>
      </c>
      <c r="AC56" s="9">
        <v>0.17</v>
      </c>
      <c r="AD56" s="9">
        <v>1.4999999999999999E-2</v>
      </c>
      <c r="AE56" s="9">
        <v>3</v>
      </c>
      <c r="AF56" s="9"/>
      <c r="AG56" s="9"/>
      <c r="AH56" s="155">
        <f>AD56*J56+AC56</f>
        <v>0.17</v>
      </c>
      <c r="AI56" s="155">
        <f t="shared" si="73"/>
        <v>1.7000000000000001E-2</v>
      </c>
      <c r="AJ56" s="156">
        <f t="shared" si="74"/>
        <v>0</v>
      </c>
      <c r="AK56" s="156">
        <f t="shared" si="71"/>
        <v>0.30000000000000004</v>
      </c>
      <c r="AL56" s="155">
        <f>1333*J55*POWER(10,-6)+0.0012*K54</f>
        <v>0.13325326667999998</v>
      </c>
      <c r="AM56" s="156">
        <f t="shared" si="61"/>
        <v>0.62025326668000003</v>
      </c>
      <c r="AN56" s="159">
        <f t="shared" si="62"/>
        <v>9.2601026347598992E-6</v>
      </c>
      <c r="AO56" s="159">
        <f t="shared" si="63"/>
        <v>4.31029501347599E-5</v>
      </c>
    </row>
    <row r="57" spans="1:41">
      <c r="A57" s="101" t="s">
        <v>264</v>
      </c>
      <c r="B57" s="79" t="s">
        <v>257</v>
      </c>
      <c r="C57" s="82" t="s">
        <v>165</v>
      </c>
      <c r="D57" s="80" t="s">
        <v>166</v>
      </c>
      <c r="E57" s="81">
        <v>1.0000000000000001E-5</v>
      </c>
      <c r="F57" s="79">
        <v>4</v>
      </c>
      <c r="G57" s="122">
        <v>1.4999999999999999E-2</v>
      </c>
      <c r="H57" s="81">
        <f>E57*F57*G57</f>
        <v>6.0000000000000008E-7</v>
      </c>
      <c r="I57" s="79">
        <f>K59</f>
        <v>3.75</v>
      </c>
      <c r="J57" s="79">
        <f>I57</f>
        <v>3.75</v>
      </c>
      <c r="K57" s="83">
        <f>K59*20</f>
        <v>75</v>
      </c>
      <c r="L57" t="str">
        <f t="shared" ref="L57:L62" si="76">A57</f>
        <v>С55</v>
      </c>
      <c r="M57" t="str">
        <f t="shared" ref="M57:M62" si="77">B57</f>
        <v>Насос Н-2</v>
      </c>
      <c r="N57" t="str">
        <f t="shared" ref="N57:N62" si="78">D57</f>
        <v>Полное-жидкостной факел</v>
      </c>
      <c r="O57" t="s">
        <v>182</v>
      </c>
      <c r="P57" t="s">
        <v>182</v>
      </c>
      <c r="Q57" t="s">
        <v>182</v>
      </c>
      <c r="R57" t="s">
        <v>182</v>
      </c>
      <c r="S57" t="s">
        <v>182</v>
      </c>
      <c r="T57" t="s">
        <v>182</v>
      </c>
      <c r="U57" t="s">
        <v>182</v>
      </c>
      <c r="V57" t="s">
        <v>182</v>
      </c>
      <c r="W57">
        <v>6</v>
      </c>
      <c r="X57">
        <v>1</v>
      </c>
      <c r="Y57" t="s">
        <v>182</v>
      </c>
      <c r="Z57" t="s">
        <v>182</v>
      </c>
      <c r="AA57" s="3">
        <v>0</v>
      </c>
      <c r="AB57" s="3">
        <v>1</v>
      </c>
      <c r="AC57" s="3">
        <v>0.17</v>
      </c>
      <c r="AD57" s="3">
        <v>1.4999999999999999E-2</v>
      </c>
      <c r="AE57" s="3">
        <v>3</v>
      </c>
      <c r="AF57" s="3"/>
      <c r="AG57" s="3"/>
      <c r="AH57" s="149">
        <f>AD57*I57+AC57</f>
        <v>0.22625000000000001</v>
      </c>
      <c r="AI57" s="149">
        <f>AH57*0.1</f>
        <v>2.2625000000000003E-2</v>
      </c>
      <c r="AJ57" s="150">
        <f>AA57*1.72+115*0.012*AB57</f>
        <v>1.3800000000000001</v>
      </c>
      <c r="AK57" s="150">
        <f t="shared" ref="AK57:AK62" si="79">AE57*0.1</f>
        <v>0.30000000000000004</v>
      </c>
      <c r="AL57" s="149">
        <f>10068.2*J57*POWER(10,-6)+0.0012*K60</f>
        <v>0.12775575</v>
      </c>
      <c r="AM57" s="150">
        <f t="shared" si="61"/>
        <v>2.0566307500000001</v>
      </c>
      <c r="AN57" s="160">
        <f t="shared" si="62"/>
        <v>7.6653450000000009E-8</v>
      </c>
      <c r="AO57" s="160">
        <f t="shared" si="63"/>
        <v>1.2339784500000001E-6</v>
      </c>
    </row>
    <row r="58" spans="1:41">
      <c r="A58" s="101" t="s">
        <v>265</v>
      </c>
      <c r="B58" s="79" t="s">
        <v>257</v>
      </c>
      <c r="C58" s="82" t="s">
        <v>228</v>
      </c>
      <c r="D58" s="80" t="s">
        <v>160</v>
      </c>
      <c r="E58" s="81">
        <v>1.0000000000000001E-5</v>
      </c>
      <c r="F58" s="79">
        <v>4</v>
      </c>
      <c r="G58" s="122">
        <v>1.4249999999999999E-2</v>
      </c>
      <c r="H58" s="81">
        <f t="shared" ref="H58:H62" si="80">E58*F58*G58</f>
        <v>5.7000000000000005E-7</v>
      </c>
      <c r="I58" s="79">
        <f>I57</f>
        <v>3.75</v>
      </c>
      <c r="J58" s="79">
        <f>0.1*K58</f>
        <v>2.7000000000000001E-3</v>
      </c>
      <c r="K58" s="83">
        <f>POWER(10,-6)*SQRT(100)*10*3600*K57/1000</f>
        <v>2.7E-2</v>
      </c>
      <c r="L58" t="str">
        <f t="shared" si="76"/>
        <v>С56</v>
      </c>
      <c r="M58" t="str">
        <f t="shared" si="77"/>
        <v>Насос Н-2</v>
      </c>
      <c r="N58" t="str">
        <f t="shared" si="78"/>
        <v>Полное-взрыв</v>
      </c>
      <c r="O58" t="s">
        <v>182</v>
      </c>
      <c r="P58" t="s">
        <v>182</v>
      </c>
      <c r="Q58" t="s">
        <v>182</v>
      </c>
      <c r="R58" t="s">
        <v>182</v>
      </c>
      <c r="S58">
        <v>6</v>
      </c>
      <c r="T58">
        <v>12</v>
      </c>
      <c r="U58">
        <v>35</v>
      </c>
      <c r="V58">
        <v>60</v>
      </c>
      <c r="W58" t="s">
        <v>182</v>
      </c>
      <c r="X58" t="s">
        <v>182</v>
      </c>
      <c r="Y58" t="s">
        <v>182</v>
      </c>
      <c r="Z58" t="s">
        <v>182</v>
      </c>
      <c r="AA58" s="3">
        <v>0</v>
      </c>
      <c r="AB58" s="3">
        <v>1</v>
      </c>
      <c r="AC58" s="3">
        <v>0.17</v>
      </c>
      <c r="AD58" s="3">
        <v>1.4999999999999999E-2</v>
      </c>
      <c r="AE58" s="3">
        <v>3</v>
      </c>
      <c r="AF58" s="3"/>
      <c r="AG58" s="3"/>
      <c r="AH58" s="149">
        <f>AD58*I58+AC58</f>
        <v>0.22625000000000001</v>
      </c>
      <c r="AI58" s="149">
        <f t="shared" ref="AI58:AI62" si="81">AH58*0.1</f>
        <v>2.2625000000000003E-2</v>
      </c>
      <c r="AJ58" s="150">
        <f t="shared" ref="AJ58:AJ62" si="82">AA58*1.72+115*0.012*AB58</f>
        <v>1.3800000000000001</v>
      </c>
      <c r="AK58" s="150">
        <f t="shared" si="79"/>
        <v>0.30000000000000004</v>
      </c>
      <c r="AL58" s="149">
        <f>10068.2*J58*POWER(10,-6)*10+0.0012*K60</f>
        <v>9.0271841399999997E-2</v>
      </c>
      <c r="AM58" s="150">
        <f t="shared" si="61"/>
        <v>2.0191468414</v>
      </c>
      <c r="AN58" s="160">
        <f t="shared" si="62"/>
        <v>5.1454949598E-8</v>
      </c>
      <c r="AO58" s="160">
        <f t="shared" si="63"/>
        <v>1.1509136995980001E-6</v>
      </c>
    </row>
    <row r="59" spans="1:41">
      <c r="A59" s="101" t="s">
        <v>266</v>
      </c>
      <c r="B59" s="79" t="s">
        <v>257</v>
      </c>
      <c r="C59" s="82" t="s">
        <v>229</v>
      </c>
      <c r="D59" s="80" t="s">
        <v>158</v>
      </c>
      <c r="E59" s="81">
        <v>1.0000000000000001E-5</v>
      </c>
      <c r="F59" s="79">
        <v>4</v>
      </c>
      <c r="G59" s="122">
        <v>0.27074999999999999</v>
      </c>
      <c r="H59" s="81">
        <f t="shared" si="80"/>
        <v>1.0830000000000001E-5</v>
      </c>
      <c r="I59" s="79">
        <f>I58</f>
        <v>3.75</v>
      </c>
      <c r="J59" s="79">
        <v>0</v>
      </c>
      <c r="K59" s="84">
        <f>25*0.15</f>
        <v>3.75</v>
      </c>
      <c r="L59" t="str">
        <f t="shared" si="76"/>
        <v>С57</v>
      </c>
      <c r="M59" t="str">
        <f t="shared" si="77"/>
        <v>Насос Н-2</v>
      </c>
      <c r="N59" t="str">
        <f t="shared" si="78"/>
        <v>Полное-ликвидация</v>
      </c>
      <c r="O59" t="s">
        <v>182</v>
      </c>
      <c r="P59" t="s">
        <v>182</v>
      </c>
      <c r="Q59" t="s">
        <v>182</v>
      </c>
      <c r="R59" t="s">
        <v>182</v>
      </c>
      <c r="S59" t="s">
        <v>182</v>
      </c>
      <c r="T59" t="s">
        <v>182</v>
      </c>
      <c r="U59" t="s">
        <v>182</v>
      </c>
      <c r="V59" t="s">
        <v>182</v>
      </c>
      <c r="W59" t="s">
        <v>182</v>
      </c>
      <c r="X59" t="s">
        <v>182</v>
      </c>
      <c r="Y59" t="s">
        <v>182</v>
      </c>
      <c r="Z59" t="s">
        <v>182</v>
      </c>
      <c r="AA59" s="3">
        <v>0</v>
      </c>
      <c r="AB59" s="3">
        <v>0</v>
      </c>
      <c r="AC59" s="3">
        <v>0.17</v>
      </c>
      <c r="AD59" s="3">
        <v>1.4999999999999999E-2</v>
      </c>
      <c r="AE59" s="3">
        <v>3</v>
      </c>
      <c r="AF59" s="3"/>
      <c r="AG59" s="3"/>
      <c r="AH59" s="149">
        <f>AD59*J59+AC59</f>
        <v>0.17</v>
      </c>
      <c r="AI59" s="149">
        <f t="shared" si="81"/>
        <v>1.7000000000000001E-2</v>
      </c>
      <c r="AJ59" s="150">
        <f t="shared" si="82"/>
        <v>0</v>
      </c>
      <c r="AK59" s="150">
        <f t="shared" si="79"/>
        <v>0.30000000000000004</v>
      </c>
      <c r="AL59" s="149">
        <f>1333*J58*POWER(10,-6)*10+0.0012*K60</f>
        <v>9.0035990999999996E-2</v>
      </c>
      <c r="AM59" s="150">
        <f t="shared" si="61"/>
        <v>0.57703599100000003</v>
      </c>
      <c r="AN59" s="160">
        <f t="shared" si="62"/>
        <v>9.7508978253000014E-7</v>
      </c>
      <c r="AO59" s="160">
        <f t="shared" si="63"/>
        <v>6.2492997825300011E-6</v>
      </c>
    </row>
    <row r="60" spans="1:41">
      <c r="A60" s="101" t="s">
        <v>267</v>
      </c>
      <c r="B60" s="79" t="s">
        <v>257</v>
      </c>
      <c r="C60" s="82" t="s">
        <v>167</v>
      </c>
      <c r="D60" s="80" t="s">
        <v>181</v>
      </c>
      <c r="E60" s="81">
        <v>1.0000000000000001E-5</v>
      </c>
      <c r="F60" s="79">
        <v>4</v>
      </c>
      <c r="G60" s="122">
        <v>3.4999999999999996E-2</v>
      </c>
      <c r="H60" s="81">
        <f t="shared" si="80"/>
        <v>1.3999999999999999E-6</v>
      </c>
      <c r="I60" s="79">
        <f>I57</f>
        <v>3.75</v>
      </c>
      <c r="J60" s="79">
        <f>I60</f>
        <v>3.75</v>
      </c>
      <c r="K60" s="84">
        <f>ROUNDUP(I60*20,0)</f>
        <v>75</v>
      </c>
      <c r="L60" t="str">
        <f t="shared" si="76"/>
        <v>С58</v>
      </c>
      <c r="M60" t="str">
        <f t="shared" si="77"/>
        <v>Насос Н-2</v>
      </c>
      <c r="N60" t="str">
        <f t="shared" si="78"/>
        <v>Полное пожар</v>
      </c>
      <c r="O60">
        <v>14</v>
      </c>
      <c r="P60">
        <v>18</v>
      </c>
      <c r="Q60">
        <v>25</v>
      </c>
      <c r="R60">
        <v>45</v>
      </c>
      <c r="S60" t="s">
        <v>182</v>
      </c>
      <c r="T60" t="s">
        <v>182</v>
      </c>
      <c r="U60" t="s">
        <v>182</v>
      </c>
      <c r="V60" t="s">
        <v>182</v>
      </c>
      <c r="W60" t="s">
        <v>182</v>
      </c>
      <c r="X60" t="s">
        <v>182</v>
      </c>
      <c r="Y60" t="s">
        <v>182</v>
      </c>
      <c r="Z60" t="s">
        <v>182</v>
      </c>
      <c r="AA60" s="3">
        <v>0</v>
      </c>
      <c r="AB60" s="3">
        <v>1</v>
      </c>
      <c r="AC60" s="3">
        <v>0.17</v>
      </c>
      <c r="AD60" s="3">
        <v>1.4999999999999999E-2</v>
      </c>
      <c r="AE60" s="3">
        <v>3</v>
      </c>
      <c r="AF60" s="3"/>
      <c r="AG60" s="3"/>
      <c r="AH60" s="149">
        <f>AD60*I60+AC60</f>
        <v>0.22625000000000001</v>
      </c>
      <c r="AI60" s="149">
        <f t="shared" si="81"/>
        <v>2.2625000000000003E-2</v>
      </c>
      <c r="AJ60" s="150">
        <f t="shared" si="82"/>
        <v>1.3800000000000001</v>
      </c>
      <c r="AK60" s="150">
        <f t="shared" si="79"/>
        <v>0.30000000000000004</v>
      </c>
      <c r="AL60" s="149">
        <f>10068.2*J60*POWER(10,-6)+0.0012*K60</f>
        <v>0.12775575</v>
      </c>
      <c r="AM60" s="150">
        <f t="shared" si="61"/>
        <v>2.0566307500000001</v>
      </c>
      <c r="AN60" s="160">
        <f t="shared" si="62"/>
        <v>1.7885805E-7</v>
      </c>
      <c r="AO60" s="160">
        <f t="shared" si="63"/>
        <v>2.8792830499999998E-6</v>
      </c>
    </row>
    <row r="61" spans="1:41">
      <c r="A61" s="101" t="s">
        <v>268</v>
      </c>
      <c r="B61" s="79" t="s">
        <v>257</v>
      </c>
      <c r="C61" s="82" t="s">
        <v>230</v>
      </c>
      <c r="D61" s="80" t="s">
        <v>168</v>
      </c>
      <c r="E61" s="81">
        <v>1.0000000000000001E-5</v>
      </c>
      <c r="F61" s="79">
        <v>4</v>
      </c>
      <c r="G61" s="122">
        <v>3.3249999999999995E-2</v>
      </c>
      <c r="H61" s="81">
        <f t="shared" si="80"/>
        <v>1.33E-6</v>
      </c>
      <c r="I61" s="79">
        <f t="shared" ref="I61:I62" si="83">I58</f>
        <v>3.75</v>
      </c>
      <c r="J61" s="79">
        <f>K61</f>
        <v>2.7E-2</v>
      </c>
      <c r="K61" s="84">
        <f>POWER(10,-6)*SQRT(100)*10*3600*K60/1000</f>
        <v>2.7E-2</v>
      </c>
      <c r="L61" t="str">
        <f t="shared" si="76"/>
        <v>С59</v>
      </c>
      <c r="M61" t="str">
        <f t="shared" si="77"/>
        <v>Насос Н-2</v>
      </c>
      <c r="N61" t="str">
        <f t="shared" si="78"/>
        <v>Полное-вспышка</v>
      </c>
      <c r="O61" t="s">
        <v>182</v>
      </c>
      <c r="P61" t="s">
        <v>182</v>
      </c>
      <c r="Q61" t="s">
        <v>182</v>
      </c>
      <c r="R61" t="s">
        <v>182</v>
      </c>
      <c r="S61" t="s">
        <v>182</v>
      </c>
      <c r="T61" t="s">
        <v>182</v>
      </c>
      <c r="U61" t="s">
        <v>182</v>
      </c>
      <c r="V61" t="s">
        <v>182</v>
      </c>
      <c r="W61" t="s">
        <v>182</v>
      </c>
      <c r="X61" t="s">
        <v>182</v>
      </c>
      <c r="Y61">
        <v>9</v>
      </c>
      <c r="Z61">
        <v>10</v>
      </c>
      <c r="AA61" s="3">
        <v>0</v>
      </c>
      <c r="AB61" s="3">
        <v>1</v>
      </c>
      <c r="AC61" s="3">
        <v>0.17</v>
      </c>
      <c r="AD61" s="3">
        <v>1.4999999999999999E-2</v>
      </c>
      <c r="AE61" s="3">
        <v>3</v>
      </c>
      <c r="AF61" s="3"/>
      <c r="AG61" s="3"/>
      <c r="AH61" s="149">
        <f>AD61*I61+AC61</f>
        <v>0.22625000000000001</v>
      </c>
      <c r="AI61" s="149">
        <f t="shared" si="81"/>
        <v>2.2625000000000003E-2</v>
      </c>
      <c r="AJ61" s="150">
        <f t="shared" si="82"/>
        <v>1.3800000000000001</v>
      </c>
      <c r="AK61" s="150">
        <f t="shared" si="79"/>
        <v>0.30000000000000004</v>
      </c>
      <c r="AL61" s="149">
        <f>10068.2*J61*POWER(10,-6)+0.0012*K60</f>
        <v>9.0271841399999997E-2</v>
      </c>
      <c r="AM61" s="150">
        <f t="shared" si="61"/>
        <v>2.0191468414</v>
      </c>
      <c r="AN61" s="160">
        <f t="shared" si="62"/>
        <v>1.2006154906199999E-7</v>
      </c>
      <c r="AO61" s="160">
        <f t="shared" si="63"/>
        <v>2.6854652990619998E-6</v>
      </c>
    </row>
    <row r="62" spans="1:41">
      <c r="A62" s="101" t="s">
        <v>269</v>
      </c>
      <c r="B62" s="79" t="s">
        <v>257</v>
      </c>
      <c r="C62" s="82" t="s">
        <v>231</v>
      </c>
      <c r="D62" s="80" t="s">
        <v>158</v>
      </c>
      <c r="E62" s="81">
        <v>1.0000000000000001E-5</v>
      </c>
      <c r="F62" s="79">
        <v>4</v>
      </c>
      <c r="G62" s="122">
        <v>0.63174999999999992</v>
      </c>
      <c r="H62" s="81">
        <f t="shared" si="80"/>
        <v>2.527E-5</v>
      </c>
      <c r="I62" s="79">
        <f t="shared" si="83"/>
        <v>3.75</v>
      </c>
      <c r="J62" s="79">
        <v>0</v>
      </c>
      <c r="K62" s="83">
        <v>0</v>
      </c>
      <c r="L62" t="str">
        <f t="shared" si="76"/>
        <v>С60</v>
      </c>
      <c r="M62" t="str">
        <f t="shared" si="77"/>
        <v>Насос Н-2</v>
      </c>
      <c r="N62" t="str">
        <f t="shared" si="78"/>
        <v>Полное-ликвидация</v>
      </c>
      <c r="O62" t="s">
        <v>182</v>
      </c>
      <c r="P62" t="s">
        <v>182</v>
      </c>
      <c r="Q62" t="s">
        <v>182</v>
      </c>
      <c r="R62" t="s">
        <v>182</v>
      </c>
      <c r="S62" t="s">
        <v>182</v>
      </c>
      <c r="T62" t="s">
        <v>182</v>
      </c>
      <c r="U62" t="s">
        <v>182</v>
      </c>
      <c r="V62" t="s">
        <v>182</v>
      </c>
      <c r="W62" t="s">
        <v>182</v>
      </c>
      <c r="X62" t="s">
        <v>182</v>
      </c>
      <c r="Y62" t="s">
        <v>182</v>
      </c>
      <c r="Z62" t="s">
        <v>182</v>
      </c>
      <c r="AA62" s="3">
        <v>0</v>
      </c>
      <c r="AB62" s="3">
        <v>0</v>
      </c>
      <c r="AC62" s="3">
        <v>0.17</v>
      </c>
      <c r="AD62" s="3">
        <v>1.4999999999999999E-2</v>
      </c>
      <c r="AE62" s="3">
        <v>3</v>
      </c>
      <c r="AF62" s="3"/>
      <c r="AG62" s="3"/>
      <c r="AH62" s="149">
        <f>AD62*J62+AC62</f>
        <v>0.17</v>
      </c>
      <c r="AI62" s="149">
        <f t="shared" si="81"/>
        <v>1.7000000000000001E-2</v>
      </c>
      <c r="AJ62" s="150">
        <f t="shared" si="82"/>
        <v>0</v>
      </c>
      <c r="AK62" s="150">
        <f t="shared" si="79"/>
        <v>0.30000000000000004</v>
      </c>
      <c r="AL62" s="149">
        <f>1333*J61*POWER(10,-6)+0.0012*K60</f>
        <v>9.0035990999999996E-2</v>
      </c>
      <c r="AM62" s="150">
        <f t="shared" si="61"/>
        <v>0.57703599100000003</v>
      </c>
      <c r="AN62" s="160">
        <f t="shared" si="62"/>
        <v>2.2752094925699998E-6</v>
      </c>
      <c r="AO62" s="160">
        <f t="shared" si="63"/>
        <v>1.4581699492570001E-5</v>
      </c>
    </row>
    <row r="64" spans="1:41">
      <c r="AN64" s="162">
        <f>SUM(AN2:AN62)/15</f>
        <v>1.4223902360674566E-5</v>
      </c>
    </row>
    <row r="67" spans="2:4">
      <c r="B67" s="176" t="s">
        <v>242</v>
      </c>
      <c r="D67" s="34">
        <v>5.07</v>
      </c>
    </row>
    <row r="68" spans="2:4" ht="26.25" thickBot="1">
      <c r="B68" s="177" t="s">
        <v>243</v>
      </c>
      <c r="D68" s="34">
        <v>5.07</v>
      </c>
    </row>
    <row r="69" spans="2:4" ht="26.25" thickBot="1">
      <c r="B69" s="177" t="s">
        <v>244</v>
      </c>
      <c r="D69" s="34">
        <v>5.07</v>
      </c>
    </row>
    <row r="70" spans="2:4">
      <c r="B70" s="176" t="s">
        <v>253</v>
      </c>
      <c r="D70" s="34" t="s">
        <v>255</v>
      </c>
    </row>
    <row r="71" spans="2:4">
      <c r="B71" s="33" t="s">
        <v>254</v>
      </c>
      <c r="D71" s="34" t="s">
        <v>256</v>
      </c>
    </row>
  </sheetData>
  <phoneticPr fontId="3" type="noConversion"/>
  <conditionalFormatting sqref="N45:N1048576 N1:N25">
    <cfRule type="containsText" dxfId="14" priority="16" operator="containsText" text="взрыв">
      <formula>NOT(ISERROR(SEARCH("взрыв",N1)))</formula>
    </cfRule>
    <cfRule type="containsText" dxfId="13" priority="17" operator="containsText" text="факел">
      <formula>NOT(ISERROR(SEARCH("факел",N1)))</formula>
    </cfRule>
    <cfRule type="containsText" dxfId="12" priority="18" operator="containsText" text="пожар">
      <formula>NOT(ISERROR(SEARCH("пожар",N1)))</formula>
    </cfRule>
  </conditionalFormatting>
  <conditionalFormatting sqref="N26:N31">
    <cfRule type="containsText" dxfId="11" priority="7" operator="containsText" text="взрыв">
      <formula>NOT(ISERROR(SEARCH("взрыв",N26)))</formula>
    </cfRule>
    <cfRule type="containsText" dxfId="10" priority="8" operator="containsText" text="факел">
      <formula>NOT(ISERROR(SEARCH("факел",N26)))</formula>
    </cfRule>
    <cfRule type="containsText" dxfId="9" priority="9" operator="containsText" text="пожар">
      <formula>NOT(ISERROR(SEARCH("пожар",N26)))</formula>
    </cfRule>
  </conditionalFormatting>
  <conditionalFormatting sqref="N32:N37">
    <cfRule type="containsText" dxfId="8" priority="4" operator="containsText" text="взрыв">
      <formula>NOT(ISERROR(SEARCH("взрыв",N32)))</formula>
    </cfRule>
    <cfRule type="containsText" dxfId="7" priority="5" operator="containsText" text="факел">
      <formula>NOT(ISERROR(SEARCH("факел",N32)))</formula>
    </cfRule>
    <cfRule type="containsText" dxfId="6" priority="6" operator="containsText" text="пожар">
      <formula>NOT(ISERROR(SEARCH("пожар",N32)))</formula>
    </cfRule>
  </conditionalFormatting>
  <conditionalFormatting sqref="N38:N43">
    <cfRule type="containsText" dxfId="2" priority="1" operator="containsText" text="взрыв">
      <formula>NOT(ISERROR(SEARCH("взрыв",N38)))</formula>
    </cfRule>
    <cfRule type="containsText" dxfId="1" priority="2" operator="containsText" text="факел">
      <formula>NOT(ISERROR(SEARCH("факел",N38)))</formula>
    </cfRule>
    <cfRule type="containsText" dxfId="0" priority="3" operator="containsText" text="пожар">
      <formula>NOT(ISERROR(SEARCH("пожар",N38)))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O20" sqref="O20:O21"/>
    </sheetView>
  </sheetViews>
  <sheetFormatPr defaultRowHeight="15"/>
  <cols>
    <col min="2" max="2" width="36.7109375" customWidth="1"/>
    <col min="3" max="3" width="15.5703125" customWidth="1"/>
    <col min="6" max="6" width="12.140625" customWidth="1"/>
    <col min="14" max="14" width="9.28515625" bestFit="1" customWidth="1"/>
    <col min="15" max="15" width="79.28515625" customWidth="1"/>
  </cols>
  <sheetData>
    <row r="1" spans="1:15" ht="15.75" thickBot="1">
      <c r="A1" s="172" t="s">
        <v>209</v>
      </c>
      <c r="B1" s="173"/>
      <c r="G1" s="137"/>
    </row>
    <row r="2" spans="1:15" ht="79.5" thickBot="1">
      <c r="A2" s="138" t="s">
        <v>210</v>
      </c>
      <c r="B2" s="139" t="s">
        <v>211</v>
      </c>
      <c r="C2" s="140" t="s">
        <v>223</v>
      </c>
      <c r="D2" s="140" t="s">
        <v>224</v>
      </c>
      <c r="E2" s="140" t="s">
        <v>225</v>
      </c>
      <c r="F2" s="140" t="s">
        <v>212</v>
      </c>
      <c r="G2" s="140" t="s">
        <v>213</v>
      </c>
    </row>
    <row r="3" spans="1:15" ht="16.5" thickBot="1">
      <c r="A3" s="141">
        <v>1</v>
      </c>
      <c r="B3" s="142" t="s">
        <v>214</v>
      </c>
      <c r="C3" s="143">
        <v>5000</v>
      </c>
      <c r="D3" s="143">
        <v>1.08</v>
      </c>
      <c r="E3" s="143">
        <v>0.10042</v>
      </c>
      <c r="F3" s="143">
        <v>0.79800000000000004</v>
      </c>
      <c r="G3" s="144">
        <f>C3*F3*E3*D3</f>
        <v>432.72986400000002</v>
      </c>
    </row>
    <row r="4" spans="1:15" ht="19.5" thickBot="1">
      <c r="A4" s="141">
        <v>2</v>
      </c>
      <c r="B4" s="142" t="s">
        <v>215</v>
      </c>
      <c r="C4" s="143">
        <v>64289</v>
      </c>
      <c r="D4" s="143">
        <v>1.08</v>
      </c>
      <c r="E4" s="143">
        <v>0.10042</v>
      </c>
      <c r="F4" s="143">
        <v>6.6000000000000003E-2</v>
      </c>
      <c r="G4" s="144">
        <f t="shared" ref="G4:G10" si="0">C4*F4*E4*D4</f>
        <v>460.17665036640005</v>
      </c>
    </row>
    <row r="5" spans="1:15" ht="19.5" thickBot="1">
      <c r="A5" s="141">
        <v>3</v>
      </c>
      <c r="B5" s="142" t="s">
        <v>216</v>
      </c>
      <c r="C5" s="143">
        <v>10723</v>
      </c>
      <c r="D5" s="143">
        <v>1.08</v>
      </c>
      <c r="E5" s="143">
        <v>0.10042</v>
      </c>
      <c r="F5" s="143">
        <v>0.26</v>
      </c>
      <c r="G5" s="144">
        <f t="shared" si="0"/>
        <v>302.36646772799998</v>
      </c>
    </row>
    <row r="6" spans="1:15" ht="19.5" thickBot="1">
      <c r="A6" s="141">
        <v>4</v>
      </c>
      <c r="B6" s="142" t="s">
        <v>217</v>
      </c>
      <c r="C6" s="143">
        <v>50000</v>
      </c>
      <c r="D6" s="143">
        <v>1.08</v>
      </c>
      <c r="E6" s="143">
        <v>0.10042</v>
      </c>
      <c r="F6" s="143">
        <v>1E-3</v>
      </c>
      <c r="G6" s="144">
        <f t="shared" si="0"/>
        <v>5.4226800000000006</v>
      </c>
    </row>
    <row r="7" spans="1:15" ht="16.5" thickBot="1">
      <c r="A7" s="141">
        <v>5</v>
      </c>
      <c r="B7" s="142" t="s">
        <v>218</v>
      </c>
      <c r="C7" s="143">
        <v>50000</v>
      </c>
      <c r="D7" s="143">
        <v>1.08</v>
      </c>
      <c r="E7" s="143">
        <v>0.10042</v>
      </c>
      <c r="F7" s="143">
        <v>1.615</v>
      </c>
      <c r="G7" s="144">
        <f t="shared" si="0"/>
        <v>8757.628200000001</v>
      </c>
    </row>
    <row r="8" spans="1:15" ht="16.5" thickBot="1">
      <c r="A8" s="141">
        <v>6</v>
      </c>
      <c r="B8" s="142" t="s">
        <v>219</v>
      </c>
      <c r="C8" s="143">
        <v>50000</v>
      </c>
      <c r="D8" s="143">
        <v>1.08</v>
      </c>
      <c r="E8" s="143">
        <v>0.10042</v>
      </c>
      <c r="F8" s="143">
        <v>0.01</v>
      </c>
      <c r="G8" s="144">
        <f t="shared" si="0"/>
        <v>54.226800000000004</v>
      </c>
    </row>
    <row r="9" spans="1:15" ht="16.5" thickBot="1">
      <c r="A9" s="141">
        <v>8</v>
      </c>
      <c r="B9" s="142" t="s">
        <v>220</v>
      </c>
      <c r="C9" s="143">
        <v>50000</v>
      </c>
      <c r="D9" s="143">
        <v>1.08</v>
      </c>
      <c r="E9" s="143">
        <v>0.10042</v>
      </c>
      <c r="F9" s="143">
        <v>0.01</v>
      </c>
      <c r="G9" s="144">
        <f t="shared" si="0"/>
        <v>54.226800000000004</v>
      </c>
    </row>
    <row r="10" spans="1:15" ht="19.5" thickBot="1">
      <c r="A10" s="141">
        <v>9</v>
      </c>
      <c r="B10" s="142" t="s">
        <v>221</v>
      </c>
      <c r="C10" s="143">
        <v>93.5</v>
      </c>
      <c r="D10" s="143">
        <v>1.08</v>
      </c>
      <c r="E10" s="143">
        <v>0.10042</v>
      </c>
      <c r="F10" s="143">
        <v>0.14000000000000001</v>
      </c>
      <c r="G10" s="144">
        <f t="shared" si="0"/>
        <v>1.4196576240000001</v>
      </c>
    </row>
    <row r="11" spans="1:15" ht="16.5" thickBot="1">
      <c r="A11" s="145"/>
      <c r="B11" s="146"/>
      <c r="C11" s="146"/>
      <c r="D11" s="146"/>
      <c r="E11" s="174" t="s">
        <v>222</v>
      </c>
      <c r="F11" s="175"/>
      <c r="G11" s="147">
        <f>SUM(G3:G10)</f>
        <v>10068.197119718401</v>
      </c>
    </row>
    <row r="13" spans="1:15" ht="15.75" thickBot="1"/>
    <row r="14" spans="1:15" ht="120.75" thickBot="1">
      <c r="A14" s="138" t="s">
        <v>210</v>
      </c>
      <c r="B14" s="139" t="s">
        <v>211</v>
      </c>
      <c r="C14" s="140" t="s">
        <v>223</v>
      </c>
      <c r="D14" s="140" t="s">
        <v>224</v>
      </c>
      <c r="E14" s="140" t="s">
        <v>225</v>
      </c>
      <c r="F14" s="140" t="s">
        <v>212</v>
      </c>
      <c r="G14" s="140" t="s">
        <v>213</v>
      </c>
      <c r="O14" s="148" t="s">
        <v>227</v>
      </c>
    </row>
    <row r="15" spans="1:15" ht="16.5" thickBot="1">
      <c r="A15" s="141">
        <v>1</v>
      </c>
      <c r="B15" s="142" t="s">
        <v>226</v>
      </c>
      <c r="C15" s="143">
        <v>12292</v>
      </c>
      <c r="D15" s="143">
        <v>1.08</v>
      </c>
      <c r="E15" s="143">
        <v>0.10042</v>
      </c>
      <c r="F15" s="143">
        <v>1</v>
      </c>
      <c r="G15" s="144">
        <f>C15*F15*E15*D15</f>
        <v>1333.1116512000001</v>
      </c>
    </row>
    <row r="19" spans="14:15" ht="15.75" thickBot="1"/>
    <row r="20" spans="14:15" ht="16.5" thickBot="1">
      <c r="N20" s="163">
        <v>1.2300000000000001E-4</v>
      </c>
      <c r="O20" s="162">
        <f>N20*(1/24)/4</f>
        <v>1.28125E-6</v>
      </c>
    </row>
    <row r="21" spans="14:15" ht="16.5" thickBot="1">
      <c r="N21" s="164">
        <v>4.4799999999999999E-4</v>
      </c>
      <c r="O21" s="162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2023-06-12T17:17:12Z</dcterms:modified>
</cp:coreProperties>
</file>