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7EE8D121-CF08-415C-970D-50D2B5AA1164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79" i="40" l="1"/>
  <c r="AN79" i="40"/>
  <c r="AM79" i="40"/>
  <c r="AL79" i="40"/>
  <c r="O79" i="40"/>
  <c r="M79" i="40"/>
  <c r="I79" i="40"/>
  <c r="AQ79" i="40" s="1"/>
  <c r="AR79" i="40" s="1"/>
  <c r="AT79" i="40" s="1"/>
  <c r="F79" i="40"/>
  <c r="E79" i="40"/>
  <c r="B79" i="40"/>
  <c r="N79" i="40" s="1"/>
  <c r="AS78" i="40"/>
  <c r="AN78" i="40"/>
  <c r="AM78" i="40"/>
  <c r="AL78" i="40"/>
  <c r="O78" i="40"/>
  <c r="M78" i="40"/>
  <c r="I78" i="40"/>
  <c r="F78" i="40"/>
  <c r="E78" i="40"/>
  <c r="B78" i="40"/>
  <c r="N78" i="40" s="1"/>
  <c r="AS77" i="40"/>
  <c r="AM77" i="40"/>
  <c r="AL77" i="40"/>
  <c r="O77" i="40"/>
  <c r="M77" i="40"/>
  <c r="I77" i="40"/>
  <c r="AQ77" i="40" s="1"/>
  <c r="E77" i="40"/>
  <c r="H77" i="40" s="1"/>
  <c r="B77" i="40"/>
  <c r="N77" i="40" s="1"/>
  <c r="AS76" i="40"/>
  <c r="AN76" i="40"/>
  <c r="AN77" i="40" s="1"/>
  <c r="AM76" i="40"/>
  <c r="AL76" i="40"/>
  <c r="O76" i="40"/>
  <c r="M76" i="40"/>
  <c r="I76" i="40"/>
  <c r="J76" i="40" s="1"/>
  <c r="AU76" i="40" s="1"/>
  <c r="F76" i="40"/>
  <c r="H76" i="40" s="1"/>
  <c r="B76" i="40"/>
  <c r="N76" i="40" s="1"/>
  <c r="AS75" i="40"/>
  <c r="AN75" i="40"/>
  <c r="AM75" i="40"/>
  <c r="AL75" i="40"/>
  <c r="O75" i="40"/>
  <c r="M75" i="40"/>
  <c r="I75" i="40"/>
  <c r="AQ75" i="40" s="1"/>
  <c r="H75" i="40"/>
  <c r="AX75" i="40" s="1"/>
  <c r="BA75" i="40" s="1"/>
  <c r="F75" i="40"/>
  <c r="E75" i="40"/>
  <c r="B75" i="40"/>
  <c r="N75" i="40" s="1"/>
  <c r="AS74" i="40"/>
  <c r="AN74" i="40"/>
  <c r="AM74" i="40"/>
  <c r="AL74" i="40"/>
  <c r="O74" i="40"/>
  <c r="M74" i="40"/>
  <c r="J74" i="40"/>
  <c r="J78" i="40" s="1"/>
  <c r="AU78" i="40" s="1"/>
  <c r="I74" i="40"/>
  <c r="F74" i="40"/>
  <c r="H74" i="40" s="1"/>
  <c r="E74" i="40"/>
  <c r="B74" i="40"/>
  <c r="N74" i="40" s="1"/>
  <c r="AS73" i="40"/>
  <c r="AN73" i="40"/>
  <c r="AM73" i="40"/>
  <c r="AL73" i="40"/>
  <c r="O73" i="40"/>
  <c r="N73" i="40"/>
  <c r="M73" i="40"/>
  <c r="J73" i="40"/>
  <c r="AU73" i="40" s="1"/>
  <c r="I73" i="40"/>
  <c r="F73" i="40"/>
  <c r="E73" i="40"/>
  <c r="B73" i="40"/>
  <c r="AS72" i="40"/>
  <c r="AQ72" i="40"/>
  <c r="O72" i="40"/>
  <c r="N72" i="40"/>
  <c r="M72" i="40"/>
  <c r="J72" i="40"/>
  <c r="AU74" i="40" s="1"/>
  <c r="H72" i="40"/>
  <c r="AX72" i="40" s="1"/>
  <c r="BA72" i="40" s="1"/>
  <c r="F63" i="40"/>
  <c r="AS67" i="40"/>
  <c r="AQ67" i="40"/>
  <c r="AR67" i="40" s="1"/>
  <c r="AT67" i="40" s="1"/>
  <c r="AN67" i="40"/>
  <c r="AM67" i="40"/>
  <c r="AL67" i="40"/>
  <c r="O67" i="40"/>
  <c r="M67" i="40"/>
  <c r="I67" i="40"/>
  <c r="F67" i="40"/>
  <c r="H67" i="40" s="1"/>
  <c r="E67" i="40"/>
  <c r="B67" i="40"/>
  <c r="N67" i="40" s="1"/>
  <c r="AS66" i="40"/>
  <c r="AN66" i="40"/>
  <c r="AM66" i="40"/>
  <c r="AL66" i="40"/>
  <c r="O66" i="40"/>
  <c r="M66" i="40"/>
  <c r="J66" i="40"/>
  <c r="AU66" i="40" s="1"/>
  <c r="I66" i="40"/>
  <c r="F66" i="40"/>
  <c r="E66" i="40"/>
  <c r="B66" i="40"/>
  <c r="N66" i="40" s="1"/>
  <c r="AS65" i="40"/>
  <c r="AN65" i="40"/>
  <c r="AM65" i="40"/>
  <c r="AL65" i="40"/>
  <c r="O65" i="40"/>
  <c r="M65" i="40"/>
  <c r="I65" i="40"/>
  <c r="AQ65" i="40" s="1"/>
  <c r="F65" i="40"/>
  <c r="H65" i="40" s="1"/>
  <c r="B65" i="40"/>
  <c r="N65" i="40" s="1"/>
  <c r="AU64" i="40"/>
  <c r="AS64" i="40"/>
  <c r="AN64" i="40"/>
  <c r="AM64" i="40"/>
  <c r="AL64" i="40"/>
  <c r="O64" i="40"/>
  <c r="M64" i="40"/>
  <c r="I64" i="40"/>
  <c r="F64" i="40"/>
  <c r="E64" i="40"/>
  <c r="B64" i="40"/>
  <c r="N64" i="40" s="1"/>
  <c r="AS63" i="40"/>
  <c r="AN63" i="40"/>
  <c r="AM63" i="40"/>
  <c r="AL63" i="40"/>
  <c r="O63" i="40"/>
  <c r="M63" i="40"/>
  <c r="I63" i="40"/>
  <c r="AQ63" i="40" s="1"/>
  <c r="H63" i="40"/>
  <c r="AX63" i="40" s="1"/>
  <c r="BA63" i="40" s="1"/>
  <c r="E63" i="40"/>
  <c r="B63" i="40"/>
  <c r="N63" i="40" s="1"/>
  <c r="AW62" i="40"/>
  <c r="AZ62" i="40" s="1"/>
  <c r="AS62" i="40"/>
  <c r="AQ62" i="40"/>
  <c r="AR62" i="40" s="1"/>
  <c r="AT62" i="40" s="1"/>
  <c r="O62" i="40"/>
  <c r="N62" i="40"/>
  <c r="M62" i="40"/>
  <c r="J62" i="40"/>
  <c r="AU62" i="40" s="1"/>
  <c r="H62" i="40"/>
  <c r="AS57" i="40"/>
  <c r="AN57" i="40"/>
  <c r="AM57" i="40"/>
  <c r="O57" i="40"/>
  <c r="M57" i="40"/>
  <c r="I57" i="40"/>
  <c r="F57" i="40"/>
  <c r="H57" i="40" s="1"/>
  <c r="E57" i="40"/>
  <c r="B57" i="40"/>
  <c r="N57" i="40" s="1"/>
  <c r="AS56" i="40"/>
  <c r="AN56" i="40"/>
  <c r="AM56" i="40"/>
  <c r="AQ56" i="40" s="1"/>
  <c r="AL56" i="40"/>
  <c r="O56" i="40"/>
  <c r="N56" i="40"/>
  <c r="M56" i="40"/>
  <c r="I56" i="40"/>
  <c r="F56" i="40"/>
  <c r="E56" i="40"/>
  <c r="H56" i="40" s="1"/>
  <c r="B56" i="40"/>
  <c r="AS55" i="40"/>
  <c r="AN55" i="40"/>
  <c r="AM55" i="40"/>
  <c r="AL55" i="40"/>
  <c r="O55" i="40"/>
  <c r="M55" i="40"/>
  <c r="I55" i="40"/>
  <c r="J55" i="40" s="1"/>
  <c r="AU55" i="40" s="1"/>
  <c r="F55" i="40"/>
  <c r="H55" i="40" s="1"/>
  <c r="B55" i="40"/>
  <c r="N55" i="40" s="1"/>
  <c r="AS54" i="40"/>
  <c r="AN54" i="40"/>
  <c r="AM54" i="40"/>
  <c r="AL54" i="40"/>
  <c r="AL57" i="40" s="1"/>
  <c r="O54" i="40"/>
  <c r="M54" i="40"/>
  <c r="I54" i="40"/>
  <c r="F54" i="40"/>
  <c r="E54" i="40"/>
  <c r="H54" i="40" s="1"/>
  <c r="B54" i="40"/>
  <c r="N54" i="40" s="1"/>
  <c r="AS53" i="40"/>
  <c r="AN53" i="40"/>
  <c r="AM53" i="40"/>
  <c r="AL53" i="40"/>
  <c r="O53" i="40"/>
  <c r="M53" i="40"/>
  <c r="I53" i="40"/>
  <c r="AQ53" i="40" s="1"/>
  <c r="F53" i="40"/>
  <c r="H53" i="40" s="1"/>
  <c r="E53" i="40"/>
  <c r="B53" i="40"/>
  <c r="N53" i="40" s="1"/>
  <c r="AX52" i="40"/>
  <c r="BA52" i="40" s="1"/>
  <c r="AS52" i="40"/>
  <c r="AQ52" i="40"/>
  <c r="AR52" i="40" s="1"/>
  <c r="O52" i="40"/>
  <c r="N52" i="40"/>
  <c r="M52" i="40"/>
  <c r="L52" i="40"/>
  <c r="J53" i="40" s="1"/>
  <c r="J52" i="40"/>
  <c r="AU52" i="40" s="1"/>
  <c r="H52" i="40"/>
  <c r="AW52" i="40" s="1"/>
  <c r="AZ52" i="40" s="1"/>
  <c r="L12" i="40"/>
  <c r="I36" i="24"/>
  <c r="I37" i="24"/>
  <c r="I38" i="24"/>
  <c r="I39" i="24"/>
  <c r="I40" i="24"/>
  <c r="I41" i="24"/>
  <c r="I42" i="24"/>
  <c r="I43" i="24"/>
  <c r="I44" i="24"/>
  <c r="I45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AQ74" i="40" l="1"/>
  <c r="AQ78" i="40"/>
  <c r="AQ73" i="40"/>
  <c r="AR73" i="40" s="1"/>
  <c r="AT73" i="40" s="1"/>
  <c r="AV73" i="40" s="1"/>
  <c r="AY73" i="40" s="1"/>
  <c r="AQ76" i="40"/>
  <c r="H79" i="40"/>
  <c r="AX79" i="40" s="1"/>
  <c r="BA79" i="40" s="1"/>
  <c r="AW72" i="40"/>
  <c r="AZ72" i="40" s="1"/>
  <c r="H73" i="40"/>
  <c r="AW73" i="40" s="1"/>
  <c r="AZ73" i="40" s="1"/>
  <c r="H78" i="40"/>
  <c r="AW78" i="40" s="1"/>
  <c r="AZ78" i="40" s="1"/>
  <c r="AX74" i="40"/>
  <c r="BA74" i="40" s="1"/>
  <c r="AW74" i="40"/>
  <c r="AZ74" i="40" s="1"/>
  <c r="AX77" i="40"/>
  <c r="BA77" i="40" s="1"/>
  <c r="AW77" i="40"/>
  <c r="AZ77" i="40" s="1"/>
  <c r="AR78" i="40"/>
  <c r="AT78" i="40" s="1"/>
  <c r="AV78" i="40" s="1"/>
  <c r="AR77" i="40"/>
  <c r="AT77" i="40" s="1"/>
  <c r="AW79" i="40"/>
  <c r="AZ79" i="40" s="1"/>
  <c r="AR76" i="40"/>
  <c r="AT76" i="40"/>
  <c r="AV76" i="40" s="1"/>
  <c r="AY76" i="40" s="1"/>
  <c r="AX73" i="40"/>
  <c r="BA73" i="40" s="1"/>
  <c r="AR74" i="40"/>
  <c r="AT74" i="40"/>
  <c r="AV74" i="40" s="1"/>
  <c r="AY74" i="40" s="1"/>
  <c r="AX76" i="40"/>
  <c r="BA76" i="40" s="1"/>
  <c r="AW76" i="40"/>
  <c r="AZ76" i="40" s="1"/>
  <c r="AU72" i="40"/>
  <c r="AR75" i="40"/>
  <c r="AT75" i="40" s="1"/>
  <c r="AW75" i="40"/>
  <c r="AZ75" i="40" s="1"/>
  <c r="AU75" i="40"/>
  <c r="AR72" i="40"/>
  <c r="AT72" i="40" s="1"/>
  <c r="J77" i="40"/>
  <c r="AU77" i="40" s="1"/>
  <c r="AU79" i="40"/>
  <c r="AV79" i="40" s="1"/>
  <c r="AY79" i="40" s="1"/>
  <c r="AQ64" i="40"/>
  <c r="AQ66" i="40"/>
  <c r="H64" i="40"/>
  <c r="H66" i="40"/>
  <c r="AV62" i="40"/>
  <c r="AY62" i="40" s="1"/>
  <c r="AU63" i="40"/>
  <c r="AX64" i="40"/>
  <c r="BA64" i="40" s="1"/>
  <c r="AW64" i="40"/>
  <c r="AZ64" i="40" s="1"/>
  <c r="AX65" i="40"/>
  <c r="BA65" i="40" s="1"/>
  <c r="AW65" i="40"/>
  <c r="AZ65" i="40" s="1"/>
  <c r="AR65" i="40"/>
  <c r="AT65" i="40" s="1"/>
  <c r="AW67" i="40"/>
  <c r="AZ67" i="40" s="1"/>
  <c r="AX67" i="40"/>
  <c r="BA67" i="40" s="1"/>
  <c r="AW66" i="40"/>
  <c r="AZ66" i="40" s="1"/>
  <c r="AX66" i="40"/>
  <c r="BA66" i="40" s="1"/>
  <c r="AR66" i="40"/>
  <c r="AT66" i="40"/>
  <c r="AV66" i="40" s="1"/>
  <c r="AR64" i="40"/>
  <c r="AT64" i="40"/>
  <c r="AV64" i="40" s="1"/>
  <c r="AY64" i="40" s="1"/>
  <c r="AR63" i="40"/>
  <c r="AT63" i="40" s="1"/>
  <c r="J65" i="40"/>
  <c r="AU65" i="40" s="1"/>
  <c r="AW63" i="40"/>
  <c r="AZ63" i="40" s="1"/>
  <c r="AX62" i="40"/>
  <c r="BA62" i="40" s="1"/>
  <c r="AU67" i="40"/>
  <c r="AV67" i="40" s="1"/>
  <c r="AY67" i="40" s="1"/>
  <c r="AT52" i="40"/>
  <c r="AV52" i="40" s="1"/>
  <c r="AY52" i="40" s="1"/>
  <c r="AQ54" i="40"/>
  <c r="AX53" i="40"/>
  <c r="BA53" i="40" s="1"/>
  <c r="AW53" i="40"/>
  <c r="AZ53" i="40" s="1"/>
  <c r="AW54" i="40"/>
  <c r="AZ54" i="40" s="1"/>
  <c r="AX54" i="40"/>
  <c r="BA54" i="40" s="1"/>
  <c r="AW57" i="40"/>
  <c r="AZ57" i="40" s="1"/>
  <c r="AX57" i="40"/>
  <c r="BA57" i="40" s="1"/>
  <c r="AQ57" i="40"/>
  <c r="AU54" i="40"/>
  <c r="J56" i="40"/>
  <c r="AU53" i="40"/>
  <c r="AR53" i="40"/>
  <c r="AT53" i="40" s="1"/>
  <c r="AX56" i="40"/>
  <c r="BA56" i="40" s="1"/>
  <c r="AW56" i="40"/>
  <c r="AZ56" i="40" s="1"/>
  <c r="AR54" i="40"/>
  <c r="AT54" i="40"/>
  <c r="AX55" i="40"/>
  <c r="BA55" i="40" s="1"/>
  <c r="AW55" i="40"/>
  <c r="AZ55" i="40" s="1"/>
  <c r="AR56" i="40"/>
  <c r="AT56" i="40" s="1"/>
  <c r="AQ55" i="40"/>
  <c r="U7" i="24"/>
  <c r="I3" i="24"/>
  <c r="AX78" i="40" l="1"/>
  <c r="BA78" i="40" s="1"/>
  <c r="AY78" i="40"/>
  <c r="AV75" i="40"/>
  <c r="AY75" i="40" s="1"/>
  <c r="AV72" i="40"/>
  <c r="AY72" i="40" s="1"/>
  <c r="AV77" i="40"/>
  <c r="AY77" i="40" s="1"/>
  <c r="AY66" i="40"/>
  <c r="AV65" i="40"/>
  <c r="AY65" i="40" s="1"/>
  <c r="AV63" i="40"/>
  <c r="AY63" i="40" s="1"/>
  <c r="AV53" i="40"/>
  <c r="AY53" i="40" s="1"/>
  <c r="AU56" i="40"/>
  <c r="AV56" i="40" s="1"/>
  <c r="AY56" i="40" s="1"/>
  <c r="AU57" i="40"/>
  <c r="AR55" i="40"/>
  <c r="AT55" i="40" s="1"/>
  <c r="AV55" i="40" s="1"/>
  <c r="AY55" i="40" s="1"/>
  <c r="AV54" i="40"/>
  <c r="AY54" i="40" s="1"/>
  <c r="AR57" i="40"/>
  <c r="AT57" i="40"/>
  <c r="U249" i="24"/>
  <c r="U248" i="24"/>
  <c r="U4" i="24"/>
  <c r="U5" i="24"/>
  <c r="U3" i="24"/>
  <c r="AS47" i="40"/>
  <c r="AN47" i="40"/>
  <c r="AM47" i="40"/>
  <c r="O47" i="40"/>
  <c r="M47" i="40"/>
  <c r="I47" i="40"/>
  <c r="F47" i="40"/>
  <c r="E47" i="40"/>
  <c r="B47" i="40"/>
  <c r="N47" i="40" s="1"/>
  <c r="AS46" i="40"/>
  <c r="AN46" i="40"/>
  <c r="AM46" i="40"/>
  <c r="O46" i="40"/>
  <c r="M46" i="40"/>
  <c r="I46" i="40"/>
  <c r="F46" i="40"/>
  <c r="E46" i="40"/>
  <c r="B46" i="40"/>
  <c r="N46" i="40" s="1"/>
  <c r="AS45" i="40"/>
  <c r="AN45" i="40"/>
  <c r="AM45" i="40"/>
  <c r="AL45" i="40"/>
  <c r="O45" i="40"/>
  <c r="M45" i="40"/>
  <c r="I45" i="40"/>
  <c r="F45" i="40"/>
  <c r="H45" i="40" s="1"/>
  <c r="AX45" i="40" s="1"/>
  <c r="BA45" i="40" s="1"/>
  <c r="B45" i="40"/>
  <c r="N45" i="40" s="1"/>
  <c r="AS44" i="40"/>
  <c r="AN44" i="40"/>
  <c r="AM44" i="40"/>
  <c r="AL44" i="40"/>
  <c r="AL47" i="40" s="1"/>
  <c r="O44" i="40"/>
  <c r="M44" i="40"/>
  <c r="I44" i="40"/>
  <c r="F44" i="40"/>
  <c r="E44" i="40"/>
  <c r="B44" i="40"/>
  <c r="N44" i="40" s="1"/>
  <c r="AS43" i="40"/>
  <c r="AN43" i="40"/>
  <c r="AM43" i="40"/>
  <c r="AL43" i="40"/>
  <c r="AL46" i="40" s="1"/>
  <c r="O43" i="40"/>
  <c r="M43" i="40"/>
  <c r="I43" i="40"/>
  <c r="F43" i="40"/>
  <c r="E43" i="40"/>
  <c r="B43" i="40"/>
  <c r="N43" i="40" s="1"/>
  <c r="AS42" i="40"/>
  <c r="AQ42" i="40"/>
  <c r="AR42" i="40" s="1"/>
  <c r="O42" i="40"/>
  <c r="N42" i="40"/>
  <c r="M42" i="40"/>
  <c r="L42" i="40"/>
  <c r="J43" i="40" s="1"/>
  <c r="J42" i="40"/>
  <c r="AU42" i="40" s="1"/>
  <c r="H42" i="40"/>
  <c r="AW42" i="40" s="1"/>
  <c r="AZ42" i="40" s="1"/>
  <c r="AV57" i="40" l="1"/>
  <c r="AY57" i="40" s="1"/>
  <c r="AT42" i="40"/>
  <c r="AV42" i="40" s="1"/>
  <c r="AY42" i="40" s="1"/>
  <c r="H46" i="40"/>
  <c r="AW46" i="40" s="1"/>
  <c r="AZ46" i="40" s="1"/>
  <c r="H43" i="40"/>
  <c r="AX43" i="40" s="1"/>
  <c r="BA43" i="40" s="1"/>
  <c r="AQ45" i="40"/>
  <c r="AR45" i="40" s="1"/>
  <c r="AT45" i="40" s="1"/>
  <c r="H47" i="40"/>
  <c r="AX47" i="40" s="1"/>
  <c r="BA47" i="40" s="1"/>
  <c r="AQ43" i="40"/>
  <c r="AR43" i="40" s="1"/>
  <c r="AT43" i="40" s="1"/>
  <c r="AQ47" i="40"/>
  <c r="AR47" i="40" s="1"/>
  <c r="AT47" i="40" s="1"/>
  <c r="AQ46" i="40"/>
  <c r="AR46" i="40" s="1"/>
  <c r="AT46" i="40" s="1"/>
  <c r="AX42" i="40"/>
  <c r="BA42" i="40" s="1"/>
  <c r="H44" i="40"/>
  <c r="AW44" i="40" s="1"/>
  <c r="AZ44" i="40" s="1"/>
  <c r="AQ44" i="40"/>
  <c r="AR44" i="40" s="1"/>
  <c r="AT44" i="40" s="1"/>
  <c r="AU43" i="40"/>
  <c r="AU44" i="40"/>
  <c r="J46" i="40"/>
  <c r="J45" i="40"/>
  <c r="AU45" i="40" s="1"/>
  <c r="AW45" i="40"/>
  <c r="AZ45" i="40" s="1"/>
  <c r="AX46" i="40" l="1"/>
  <c r="BA46" i="40" s="1"/>
  <c r="AW43" i="40"/>
  <c r="AZ43" i="40" s="1"/>
  <c r="AW47" i="40"/>
  <c r="AZ47" i="40" s="1"/>
  <c r="AX44" i="40"/>
  <c r="BA44" i="40" s="1"/>
  <c r="AV44" i="40"/>
  <c r="AY44" i="40" s="1"/>
  <c r="AV45" i="40"/>
  <c r="AY45" i="40" s="1"/>
  <c r="AU46" i="40"/>
  <c r="AV46" i="40" s="1"/>
  <c r="AY46" i="40" s="1"/>
  <c r="AU47" i="40"/>
  <c r="AV47" i="40" s="1"/>
  <c r="AY47" i="40" s="1"/>
  <c r="AV43" i="40"/>
  <c r="AY43" i="40" s="1"/>
  <c r="AL35" i="40" l="1"/>
  <c r="AL25" i="40"/>
  <c r="AL15" i="40"/>
  <c r="AL5" i="40"/>
  <c r="AS37" i="40"/>
  <c r="AN37" i="40"/>
  <c r="AM37" i="40"/>
  <c r="O37" i="40"/>
  <c r="M37" i="40"/>
  <c r="I37" i="40"/>
  <c r="F37" i="40"/>
  <c r="E37" i="40"/>
  <c r="B37" i="40"/>
  <c r="N37" i="40" s="1"/>
  <c r="AS36" i="40"/>
  <c r="AN36" i="40"/>
  <c r="AM36" i="40"/>
  <c r="O36" i="40"/>
  <c r="M36" i="40"/>
  <c r="I36" i="40"/>
  <c r="F36" i="40"/>
  <c r="E36" i="40"/>
  <c r="B36" i="40"/>
  <c r="N36" i="40" s="1"/>
  <c r="AS35" i="40"/>
  <c r="AN35" i="40"/>
  <c r="AM35" i="40"/>
  <c r="O35" i="40"/>
  <c r="M35" i="40"/>
  <c r="I35" i="40"/>
  <c r="J35" i="40" s="1"/>
  <c r="AU35" i="40" s="1"/>
  <c r="F35" i="40"/>
  <c r="H35" i="40" s="1"/>
  <c r="B35" i="40"/>
  <c r="N35" i="40" s="1"/>
  <c r="AS34" i="40"/>
  <c r="AN34" i="40"/>
  <c r="AM34" i="40"/>
  <c r="AL34" i="40"/>
  <c r="AL37" i="40" s="1"/>
  <c r="O34" i="40"/>
  <c r="M34" i="40"/>
  <c r="I34" i="40"/>
  <c r="F34" i="40"/>
  <c r="E34" i="40"/>
  <c r="B34" i="40"/>
  <c r="N34" i="40" s="1"/>
  <c r="AS33" i="40"/>
  <c r="AN33" i="40"/>
  <c r="AM33" i="40"/>
  <c r="AL33" i="40"/>
  <c r="AL36" i="40" s="1"/>
  <c r="O33" i="40"/>
  <c r="M33" i="40"/>
  <c r="I33" i="40"/>
  <c r="F33" i="40"/>
  <c r="E33" i="40"/>
  <c r="B33" i="40"/>
  <c r="N33" i="40" s="1"/>
  <c r="AS32" i="40"/>
  <c r="AQ32" i="40"/>
  <c r="AR32" i="40" s="1"/>
  <c r="O32" i="40"/>
  <c r="N32" i="40"/>
  <c r="M32" i="40"/>
  <c r="L32" i="40"/>
  <c r="J33" i="40" s="1"/>
  <c r="J32" i="40"/>
  <c r="AU32" i="40" s="1"/>
  <c r="H32" i="40"/>
  <c r="AW32" i="40" s="1"/>
  <c r="AZ32" i="40" s="1"/>
  <c r="AS27" i="40"/>
  <c r="AN27" i="40"/>
  <c r="AM27" i="40"/>
  <c r="O27" i="40"/>
  <c r="M27" i="40"/>
  <c r="I27" i="40"/>
  <c r="F27" i="40"/>
  <c r="E27" i="40"/>
  <c r="B27" i="40"/>
  <c r="N27" i="40" s="1"/>
  <c r="AS26" i="40"/>
  <c r="AN26" i="40"/>
  <c r="AM26" i="40"/>
  <c r="O26" i="40"/>
  <c r="M26" i="40"/>
  <c r="I26" i="40"/>
  <c r="F26" i="40"/>
  <c r="E26" i="40"/>
  <c r="B26" i="40"/>
  <c r="N26" i="40" s="1"/>
  <c r="AS25" i="40"/>
  <c r="AN25" i="40"/>
  <c r="AM25" i="40"/>
  <c r="O25" i="40"/>
  <c r="M25" i="40"/>
  <c r="I25" i="40"/>
  <c r="J25" i="40" s="1"/>
  <c r="AU25" i="40" s="1"/>
  <c r="F25" i="40"/>
  <c r="H25" i="40" s="1"/>
  <c r="B25" i="40"/>
  <c r="N25" i="40" s="1"/>
  <c r="AS24" i="40"/>
  <c r="AN24" i="40"/>
  <c r="AM24" i="40"/>
  <c r="AL24" i="40"/>
  <c r="AL27" i="40" s="1"/>
  <c r="O24" i="40"/>
  <c r="M24" i="40"/>
  <c r="I24" i="40"/>
  <c r="F24" i="40"/>
  <c r="E24" i="40"/>
  <c r="B24" i="40"/>
  <c r="N24" i="40" s="1"/>
  <c r="AS23" i="40"/>
  <c r="AN23" i="40"/>
  <c r="AM23" i="40"/>
  <c r="AL23" i="40"/>
  <c r="AL26" i="40" s="1"/>
  <c r="O23" i="40"/>
  <c r="M23" i="40"/>
  <c r="I23" i="40"/>
  <c r="F23" i="40"/>
  <c r="E23" i="40"/>
  <c r="B23" i="40"/>
  <c r="N23" i="40" s="1"/>
  <c r="AS22" i="40"/>
  <c r="AQ22" i="40"/>
  <c r="O22" i="40"/>
  <c r="N22" i="40"/>
  <c r="M22" i="40"/>
  <c r="L22" i="40"/>
  <c r="J23" i="40" s="1"/>
  <c r="J22" i="40"/>
  <c r="AU22" i="40" s="1"/>
  <c r="H22" i="40"/>
  <c r="AW22" i="40" s="1"/>
  <c r="AZ22" i="40" s="1"/>
  <c r="AS17" i="40"/>
  <c r="AN17" i="40"/>
  <c r="AM17" i="40"/>
  <c r="O17" i="40"/>
  <c r="M17" i="40"/>
  <c r="I17" i="40"/>
  <c r="F17" i="40"/>
  <c r="E17" i="40"/>
  <c r="B17" i="40"/>
  <c r="N17" i="40" s="1"/>
  <c r="AS16" i="40"/>
  <c r="AN16" i="40"/>
  <c r="AM16" i="40"/>
  <c r="O16" i="40"/>
  <c r="M16" i="40"/>
  <c r="I16" i="40"/>
  <c r="F16" i="40"/>
  <c r="E16" i="40"/>
  <c r="B16" i="40"/>
  <c r="N16" i="40" s="1"/>
  <c r="AS15" i="40"/>
  <c r="AN15" i="40"/>
  <c r="AM15" i="40"/>
  <c r="O15" i="40"/>
  <c r="M15" i="40"/>
  <c r="I15" i="40"/>
  <c r="J15" i="40" s="1"/>
  <c r="AU15" i="40" s="1"/>
  <c r="F15" i="40"/>
  <c r="H15" i="40" s="1"/>
  <c r="B15" i="40"/>
  <c r="N15" i="40" s="1"/>
  <c r="AS14" i="40"/>
  <c r="AN14" i="40"/>
  <c r="AM14" i="40"/>
  <c r="AL14" i="40"/>
  <c r="AL17" i="40" s="1"/>
  <c r="O14" i="40"/>
  <c r="M14" i="40"/>
  <c r="I14" i="40"/>
  <c r="F14" i="40"/>
  <c r="E14" i="40"/>
  <c r="B14" i="40"/>
  <c r="N14" i="40" s="1"/>
  <c r="AS13" i="40"/>
  <c r="AN13" i="40"/>
  <c r="AM13" i="40"/>
  <c r="AL13" i="40"/>
  <c r="AL16" i="40" s="1"/>
  <c r="O13" i="40"/>
  <c r="M13" i="40"/>
  <c r="I13" i="40"/>
  <c r="F13" i="40"/>
  <c r="E13" i="40"/>
  <c r="B13" i="40"/>
  <c r="N13" i="40" s="1"/>
  <c r="AS12" i="40"/>
  <c r="AQ12" i="40"/>
  <c r="AR12" i="40" s="1"/>
  <c r="O12" i="40"/>
  <c r="N12" i="40"/>
  <c r="M12" i="40"/>
  <c r="J13" i="40"/>
  <c r="J12" i="40"/>
  <c r="AU12" i="40" s="1"/>
  <c r="H12" i="40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O5" i="40"/>
  <c r="M5" i="40"/>
  <c r="I5" i="40"/>
  <c r="J5" i="40" s="1"/>
  <c r="AU5" i="40" s="1"/>
  <c r="F5" i="40"/>
  <c r="H5" i="40" s="1"/>
  <c r="AX5" i="40" s="1"/>
  <c r="BA5" i="40" s="1"/>
  <c r="B5" i="40"/>
  <c r="N5" i="40" s="1"/>
  <c r="AS4" i="40"/>
  <c r="AN4" i="40"/>
  <c r="AM4" i="40"/>
  <c r="AL4" i="40"/>
  <c r="AL7" i="40" s="1"/>
  <c r="O4" i="40"/>
  <c r="M4" i="40"/>
  <c r="I4" i="40"/>
  <c r="F4" i="40"/>
  <c r="E4" i="40"/>
  <c r="B4" i="40"/>
  <c r="N4" i="40" s="1"/>
  <c r="AS3" i="40"/>
  <c r="AN3" i="40"/>
  <c r="AM3" i="40"/>
  <c r="AL3" i="40"/>
  <c r="AL6" i="40" s="1"/>
  <c r="O3" i="40"/>
  <c r="M3" i="40"/>
  <c r="I3" i="40"/>
  <c r="F3" i="40"/>
  <c r="E3" i="40"/>
  <c r="B3" i="40"/>
  <c r="N3" i="40" s="1"/>
  <c r="AS2" i="40"/>
  <c r="AQ2" i="40"/>
  <c r="O2" i="40"/>
  <c r="N2" i="40"/>
  <c r="M2" i="40"/>
  <c r="L2" i="40"/>
  <c r="J3" i="40" s="1"/>
  <c r="J2" i="40"/>
  <c r="AU2" i="40" s="1"/>
  <c r="H2" i="40"/>
  <c r="AW2" i="40" s="1"/>
  <c r="AZ2" i="40" s="1"/>
  <c r="H13" i="40" l="1"/>
  <c r="AW13" i="40" s="1"/>
  <c r="AZ13" i="40" s="1"/>
  <c r="H16" i="40"/>
  <c r="AX16" i="40" s="1"/>
  <c r="BA16" i="40" s="1"/>
  <c r="H36" i="40"/>
  <c r="AX36" i="40" s="1"/>
  <c r="BA36" i="40" s="1"/>
  <c r="H6" i="40"/>
  <c r="AX6" i="40" s="1"/>
  <c r="BA6" i="40" s="1"/>
  <c r="H14" i="40"/>
  <c r="AW14" i="40" s="1"/>
  <c r="AZ14" i="40" s="1"/>
  <c r="AQ37" i="40"/>
  <c r="AR37" i="40" s="1"/>
  <c r="AT37" i="40" s="1"/>
  <c r="AQ15" i="40"/>
  <c r="AR15" i="40" s="1"/>
  <c r="H17" i="40"/>
  <c r="AW17" i="40" s="1"/>
  <c r="AZ17" i="40" s="1"/>
  <c r="H37" i="40"/>
  <c r="AW37" i="40" s="1"/>
  <c r="AZ37" i="40" s="1"/>
  <c r="AQ27" i="40"/>
  <c r="AR27" i="40" s="1"/>
  <c r="AT27" i="40" s="1"/>
  <c r="AQ35" i="40"/>
  <c r="AR35" i="40" s="1"/>
  <c r="AT35" i="40" s="1"/>
  <c r="AV35" i="40" s="1"/>
  <c r="AY35" i="40" s="1"/>
  <c r="AT12" i="40"/>
  <c r="AV12" i="40" s="1"/>
  <c r="AY12" i="40" s="1"/>
  <c r="AQ23" i="40"/>
  <c r="AR23" i="40" s="1"/>
  <c r="AT23" i="40" s="1"/>
  <c r="H34" i="40"/>
  <c r="AW34" i="40" s="1"/>
  <c r="AZ34" i="40" s="1"/>
  <c r="H24" i="40"/>
  <c r="AX24" i="40" s="1"/>
  <c r="BA24" i="40" s="1"/>
  <c r="H23" i="40"/>
  <c r="AW23" i="40" s="1"/>
  <c r="AZ23" i="40" s="1"/>
  <c r="H26" i="40"/>
  <c r="AX26" i="40" s="1"/>
  <c r="BA26" i="40" s="1"/>
  <c r="H27" i="40"/>
  <c r="AQ25" i="40"/>
  <c r="AR25" i="40" s="1"/>
  <c r="AQ7" i="40"/>
  <c r="AR7" i="40" s="1"/>
  <c r="H3" i="40"/>
  <c r="AW3" i="40" s="1"/>
  <c r="AZ3" i="40" s="1"/>
  <c r="J16" i="40"/>
  <c r="AU17" i="40" s="1"/>
  <c r="AU14" i="40"/>
  <c r="AU13" i="40"/>
  <c r="J26" i="40"/>
  <c r="AU27" i="40" s="1"/>
  <c r="AU23" i="40"/>
  <c r="AU24" i="40"/>
  <c r="AU4" i="40"/>
  <c r="AU3" i="40"/>
  <c r="AQ17" i="40"/>
  <c r="AR17" i="40" s="1"/>
  <c r="AT17" i="40" s="1"/>
  <c r="AQ14" i="40"/>
  <c r="AR14" i="40" s="1"/>
  <c r="AT14" i="40" s="1"/>
  <c r="AQ36" i="40"/>
  <c r="AR36" i="40" s="1"/>
  <c r="AQ16" i="40"/>
  <c r="AR16" i="40" s="1"/>
  <c r="AQ34" i="40"/>
  <c r="AR34" i="40" s="1"/>
  <c r="AT34" i="40" s="1"/>
  <c r="AQ3" i="40"/>
  <c r="AR3" i="40" s="1"/>
  <c r="AQ5" i="40"/>
  <c r="AQ33" i="40"/>
  <c r="AR33" i="40" s="1"/>
  <c r="AT33" i="40" s="1"/>
  <c r="AQ24" i="40"/>
  <c r="AR24" i="40" s="1"/>
  <c r="AQ26" i="40"/>
  <c r="AR26" i="40" s="1"/>
  <c r="AT26" i="40" s="1"/>
  <c r="AQ6" i="40"/>
  <c r="AX22" i="40"/>
  <c r="BA22" i="40" s="1"/>
  <c r="AX25" i="40"/>
  <c r="BA25" i="40" s="1"/>
  <c r="AW25" i="40"/>
  <c r="AZ25" i="40" s="1"/>
  <c r="AX13" i="40"/>
  <c r="BA13" i="40" s="1"/>
  <c r="J36" i="40"/>
  <c r="AU33" i="40"/>
  <c r="AU34" i="40"/>
  <c r="AW15" i="40"/>
  <c r="AZ15" i="40" s="1"/>
  <c r="AX15" i="40"/>
  <c r="BA15" i="40" s="1"/>
  <c r="J6" i="40"/>
  <c r="AX2" i="40"/>
  <c r="BA2" i="40" s="1"/>
  <c r="H33" i="40"/>
  <c r="AW5" i="40"/>
  <c r="AZ5" i="40" s="1"/>
  <c r="AQ4" i="40"/>
  <c r="AR22" i="40"/>
  <c r="AT22" i="40" s="1"/>
  <c r="AV22" i="40" s="1"/>
  <c r="AY22" i="40" s="1"/>
  <c r="AW35" i="40"/>
  <c r="AZ35" i="40" s="1"/>
  <c r="AR2" i="40"/>
  <c r="AT2" i="40" s="1"/>
  <c r="AV2" i="40" s="1"/>
  <c r="AY2" i="40" s="1"/>
  <c r="AW12" i="40"/>
  <c r="AZ12" i="40" s="1"/>
  <c r="AT32" i="40"/>
  <c r="AV32" i="40" s="1"/>
  <c r="AY32" i="40" s="1"/>
  <c r="AX35" i="40"/>
  <c r="BA35" i="40" s="1"/>
  <c r="AX12" i="40"/>
  <c r="BA12" i="40" s="1"/>
  <c r="H4" i="40"/>
  <c r="AX32" i="40"/>
  <c r="BA32" i="40" s="1"/>
  <c r="H7" i="40"/>
  <c r="AQ13" i="40"/>
  <c r="AW16" i="40" l="1"/>
  <c r="AZ16" i="40" s="1"/>
  <c r="AT25" i="40"/>
  <c r="AV25" i="40" s="1"/>
  <c r="AY25" i="40" s="1"/>
  <c r="AW36" i="40"/>
  <c r="AZ36" i="40" s="1"/>
  <c r="AV17" i="40"/>
  <c r="AY17" i="40" s="1"/>
  <c r="AX17" i="40"/>
  <c r="BA17" i="40" s="1"/>
  <c r="AW6" i="40"/>
  <c r="AZ6" i="40" s="1"/>
  <c r="AX34" i="40"/>
  <c r="BA34" i="40" s="1"/>
  <c r="AW26" i="40"/>
  <c r="AZ26" i="40" s="1"/>
  <c r="AU16" i="40"/>
  <c r="AX14" i="40"/>
  <c r="BA14" i="40" s="1"/>
  <c r="AX37" i="40"/>
  <c r="BA37" i="40" s="1"/>
  <c r="AT24" i="40"/>
  <c r="AV24" i="40" s="1"/>
  <c r="AY24" i="40" s="1"/>
  <c r="AT7" i="40"/>
  <c r="AV23" i="40"/>
  <c r="AY23" i="40" s="1"/>
  <c r="AT15" i="40"/>
  <c r="AV15" i="40" s="1"/>
  <c r="AY15" i="40" s="1"/>
  <c r="AX3" i="40"/>
  <c r="BA3" i="40" s="1"/>
  <c r="AV14" i="40"/>
  <c r="AY14" i="40" s="1"/>
  <c r="AX23" i="40"/>
  <c r="BA23" i="40" s="1"/>
  <c r="AU26" i="40"/>
  <c r="AV26" i="40" s="1"/>
  <c r="AY26" i="40" s="1"/>
  <c r="AT3" i="40"/>
  <c r="AV3" i="40" s="1"/>
  <c r="AY3" i="40" s="1"/>
  <c r="AW24" i="40"/>
  <c r="AZ24" i="40" s="1"/>
  <c r="AT16" i="40"/>
  <c r="AX27" i="40"/>
  <c r="BA27" i="40" s="1"/>
  <c r="AW27" i="40"/>
  <c r="AZ27" i="40" s="1"/>
  <c r="AT36" i="40"/>
  <c r="AR5" i="40"/>
  <c r="AT5" i="40" s="1"/>
  <c r="AV5" i="40" s="1"/>
  <c r="AY5" i="40" s="1"/>
  <c r="AR13" i="40"/>
  <c r="AT13" i="40" s="1"/>
  <c r="AV13" i="40" s="1"/>
  <c r="AY13" i="40" s="1"/>
  <c r="AU7" i="40"/>
  <c r="AU6" i="40"/>
  <c r="AW4" i="40"/>
  <c r="AZ4" i="40" s="1"/>
  <c r="AX4" i="40"/>
  <c r="BA4" i="40" s="1"/>
  <c r="AR4" i="40"/>
  <c r="AT4" i="40" s="1"/>
  <c r="AV4" i="40" s="1"/>
  <c r="AY4" i="40" s="1"/>
  <c r="AR6" i="40"/>
  <c r="AT6" i="40" s="1"/>
  <c r="AX7" i="40"/>
  <c r="BA7" i="40" s="1"/>
  <c r="AW7" i="40"/>
  <c r="AZ7" i="40" s="1"/>
  <c r="AV27" i="40"/>
  <c r="AY27" i="40" s="1"/>
  <c r="AV34" i="40"/>
  <c r="AY34" i="40" s="1"/>
  <c r="AV33" i="40"/>
  <c r="AY33" i="40" s="1"/>
  <c r="AW33" i="40"/>
  <c r="AZ33" i="40" s="1"/>
  <c r="AX33" i="40"/>
  <c r="BA33" i="40" s="1"/>
  <c r="AU37" i="40"/>
  <c r="AV37" i="40" s="1"/>
  <c r="AY37" i="40" s="1"/>
  <c r="AU36" i="40"/>
  <c r="AV16" i="40" l="1"/>
  <c r="AY16" i="40" s="1"/>
  <c r="AV36" i="40"/>
  <c r="AY36" i="40" s="1"/>
  <c r="AV7" i="40"/>
  <c r="AY7" i="40" s="1"/>
  <c r="AV6" i="40"/>
  <c r="AY6" i="40" s="1"/>
  <c r="AS257" i="2" l="1"/>
  <c r="AN257" i="2"/>
  <c r="AM257" i="2"/>
  <c r="AL257" i="2"/>
  <c r="O257" i="2"/>
  <c r="N257" i="2"/>
  <c r="M257" i="2"/>
  <c r="I257" i="2"/>
  <c r="AQ257" i="2" s="1"/>
  <c r="F257" i="2"/>
  <c r="E257" i="2"/>
  <c r="B257" i="2"/>
  <c r="AS256" i="2"/>
  <c r="AN256" i="2"/>
  <c r="AM256" i="2"/>
  <c r="AL256" i="2"/>
  <c r="O256" i="2"/>
  <c r="M256" i="2"/>
  <c r="I256" i="2"/>
  <c r="F256" i="2"/>
  <c r="E256" i="2"/>
  <c r="H256" i="2" s="1"/>
  <c r="B256" i="2"/>
  <c r="N256" i="2" s="1"/>
  <c r="AS255" i="2"/>
  <c r="AN255" i="2"/>
  <c r="AM255" i="2"/>
  <c r="AL255" i="2"/>
  <c r="O255" i="2"/>
  <c r="M255" i="2"/>
  <c r="I255" i="2"/>
  <c r="J255" i="2" s="1"/>
  <c r="AU255" i="2" s="1"/>
  <c r="F255" i="2"/>
  <c r="H255" i="2" s="1"/>
  <c r="B255" i="2"/>
  <c r="N255" i="2" s="1"/>
  <c r="AS254" i="2"/>
  <c r="AN254" i="2"/>
  <c r="AM254" i="2"/>
  <c r="AL254" i="2"/>
  <c r="O254" i="2"/>
  <c r="M254" i="2"/>
  <c r="I254" i="2"/>
  <c r="F254" i="2"/>
  <c r="E254" i="2"/>
  <c r="B254" i="2"/>
  <c r="N254" i="2" s="1"/>
  <c r="AS253" i="2"/>
  <c r="AN253" i="2"/>
  <c r="AM253" i="2"/>
  <c r="AL253" i="2"/>
  <c r="O253" i="2"/>
  <c r="M253" i="2"/>
  <c r="J253" i="2"/>
  <c r="J256" i="2" s="1"/>
  <c r="AU256" i="2" s="1"/>
  <c r="I253" i="2"/>
  <c r="F253" i="2"/>
  <c r="E253" i="2"/>
  <c r="B253" i="2"/>
  <c r="N253" i="2" s="1"/>
  <c r="AS252" i="2"/>
  <c r="AQ252" i="2"/>
  <c r="AR252" i="2" s="1"/>
  <c r="AT252" i="2" s="1"/>
  <c r="O252" i="2"/>
  <c r="N252" i="2"/>
  <c r="M252" i="2"/>
  <c r="J252" i="2"/>
  <c r="AU252" i="2" s="1"/>
  <c r="H252" i="2"/>
  <c r="AW252" i="2" s="1"/>
  <c r="AZ252" i="2" s="1"/>
  <c r="AQ256" i="2" l="1"/>
  <c r="AU254" i="2"/>
  <c r="AQ253" i="2"/>
  <c r="AR253" i="2" s="1"/>
  <c r="AT253" i="2" s="1"/>
  <c r="AU253" i="2"/>
  <c r="AQ254" i="2"/>
  <c r="AR254" i="2" s="1"/>
  <c r="H257" i="2"/>
  <c r="AV252" i="2"/>
  <c r="AY252" i="2" s="1"/>
  <c r="H253" i="2"/>
  <c r="AW253" i="2" s="1"/>
  <c r="AZ253" i="2" s="1"/>
  <c r="H254" i="2"/>
  <c r="AW254" i="2" s="1"/>
  <c r="AZ254" i="2" s="1"/>
  <c r="AX253" i="2"/>
  <c r="BA253" i="2" s="1"/>
  <c r="AX254" i="2"/>
  <c r="BA254" i="2" s="1"/>
  <c r="AR257" i="2"/>
  <c r="AT257" i="2" s="1"/>
  <c r="AX256" i="2"/>
  <c r="BA256" i="2" s="1"/>
  <c r="AW256" i="2"/>
  <c r="AZ256" i="2" s="1"/>
  <c r="AR256" i="2"/>
  <c r="AT256" i="2" s="1"/>
  <c r="AV256" i="2" s="1"/>
  <c r="AY256" i="2" s="1"/>
  <c r="AX255" i="2"/>
  <c r="BA255" i="2" s="1"/>
  <c r="AW255" i="2"/>
  <c r="AZ255" i="2" s="1"/>
  <c r="AW257" i="2"/>
  <c r="AZ257" i="2" s="1"/>
  <c r="AX257" i="2"/>
  <c r="BA257" i="2" s="1"/>
  <c r="AQ255" i="2"/>
  <c r="AU257" i="2"/>
  <c r="AX252" i="2"/>
  <c r="BA252" i="2" s="1"/>
  <c r="AV253" i="2" l="1"/>
  <c r="AY253" i="2" s="1"/>
  <c r="AT254" i="2"/>
  <c r="AV254" i="2" s="1"/>
  <c r="AY254" i="2" s="1"/>
  <c r="AV257" i="2"/>
  <c r="AY257" i="2" s="1"/>
  <c r="AR255" i="2"/>
  <c r="AT255" i="2" s="1"/>
  <c r="AV255" i="2" s="1"/>
  <c r="AY255" i="2" s="1"/>
  <c r="L1" i="40" l="1"/>
  <c r="X213" i="24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E247" i="2"/>
  <c r="B247" i="2"/>
  <c r="N247" i="2" s="1"/>
  <c r="AS246" i="2"/>
  <c r="AN246" i="2"/>
  <c r="AN247" i="2" s="1"/>
  <c r="AM246" i="2"/>
  <c r="AL246" i="2"/>
  <c r="O246" i="2"/>
  <c r="M246" i="2"/>
  <c r="I246" i="2"/>
  <c r="B246" i="2"/>
  <c r="N246" i="2" s="1"/>
  <c r="AS245" i="2"/>
  <c r="AN245" i="2"/>
  <c r="AM245" i="2"/>
  <c r="AL245" i="2"/>
  <c r="O245" i="2"/>
  <c r="M245" i="2"/>
  <c r="I245" i="2"/>
  <c r="F245" i="2"/>
  <c r="F248" i="2" s="1"/>
  <c r="E245" i="2"/>
  <c r="B245" i="2"/>
  <c r="N245" i="2" s="1"/>
  <c r="AS244" i="2"/>
  <c r="AN244" i="2"/>
  <c r="AM244" i="2"/>
  <c r="AL244" i="2"/>
  <c r="O244" i="2"/>
  <c r="N244" i="2"/>
  <c r="M244" i="2"/>
  <c r="J244" i="2"/>
  <c r="J248" i="2" s="1"/>
  <c r="AU248" i="2" s="1"/>
  <c r="I244" i="2"/>
  <c r="F244" i="2"/>
  <c r="F247" i="2" s="1"/>
  <c r="E244" i="2"/>
  <c r="B244" i="2"/>
  <c r="AS243" i="2"/>
  <c r="AN243" i="2"/>
  <c r="AM243" i="2"/>
  <c r="AL243" i="2"/>
  <c r="O243" i="2"/>
  <c r="M243" i="2"/>
  <c r="J243" i="2"/>
  <c r="AU245" i="2" s="1"/>
  <c r="I243" i="2"/>
  <c r="F243" i="2"/>
  <c r="F246" i="2" s="1"/>
  <c r="H246" i="2" s="1"/>
  <c r="E243" i="2"/>
  <c r="B243" i="2"/>
  <c r="N243" i="2" s="1"/>
  <c r="AS242" i="2"/>
  <c r="AQ242" i="2"/>
  <c r="AR242" i="2" s="1"/>
  <c r="AT242" i="2" s="1"/>
  <c r="O242" i="2"/>
  <c r="N242" i="2"/>
  <c r="M242" i="2"/>
  <c r="J242" i="2"/>
  <c r="AU242" i="2" s="1"/>
  <c r="H242" i="2"/>
  <c r="U6" i="24"/>
  <c r="AU243" i="2" l="1"/>
  <c r="AQ249" i="2"/>
  <c r="AR249" i="2" s="1"/>
  <c r="AT249" i="2" s="1"/>
  <c r="AQ244" i="2"/>
  <c r="AR244" i="2" s="1"/>
  <c r="AT244" i="2" s="1"/>
  <c r="H245" i="2"/>
  <c r="AW245" i="2" s="1"/>
  <c r="AZ245" i="2" s="1"/>
  <c r="J247" i="2"/>
  <c r="AU247" i="2" s="1"/>
  <c r="AQ248" i="2"/>
  <c r="H244" i="2"/>
  <c r="AW244" i="2" s="1"/>
  <c r="AZ244" i="2" s="1"/>
  <c r="AV242" i="2"/>
  <c r="AY242" i="2" s="1"/>
  <c r="AU244" i="2"/>
  <c r="AQ245" i="2"/>
  <c r="AR245" i="2" s="1"/>
  <c r="AT245" i="2" s="1"/>
  <c r="AV245" i="2" s="1"/>
  <c r="AQ246" i="2"/>
  <c r="AR246" i="2" s="1"/>
  <c r="AT246" i="2" s="1"/>
  <c r="I247" i="2"/>
  <c r="AQ247" i="2" s="1"/>
  <c r="AR247" i="2" s="1"/>
  <c r="AT247" i="2" s="1"/>
  <c r="AV247" i="2" s="1"/>
  <c r="H247" i="2"/>
  <c r="AX247" i="2" s="1"/>
  <c r="BA247" i="2" s="1"/>
  <c r="H248" i="2"/>
  <c r="H249" i="2"/>
  <c r="AW249" i="2" s="1"/>
  <c r="AZ249" i="2" s="1"/>
  <c r="AQ243" i="2"/>
  <c r="AR243" i="2" s="1"/>
  <c r="AT243" i="2" s="1"/>
  <c r="AV243" i="2" s="1"/>
  <c r="AW242" i="2"/>
  <c r="AZ242" i="2" s="1"/>
  <c r="AX249" i="2"/>
  <c r="BA249" i="2" s="1"/>
  <c r="AW246" i="2"/>
  <c r="AZ246" i="2" s="1"/>
  <c r="AX246" i="2"/>
  <c r="BA246" i="2" s="1"/>
  <c r="AW248" i="2"/>
  <c r="AZ248" i="2" s="1"/>
  <c r="AX248" i="2"/>
  <c r="BA248" i="2" s="1"/>
  <c r="AR248" i="2"/>
  <c r="AT248" i="2" s="1"/>
  <c r="AV248" i="2" s="1"/>
  <c r="AX245" i="2"/>
  <c r="BA245" i="2" s="1"/>
  <c r="AX244" i="2"/>
  <c r="BA244" i="2" s="1"/>
  <c r="AX242" i="2"/>
  <c r="BA242" i="2" s="1"/>
  <c r="J246" i="2"/>
  <c r="AU246" i="2" s="1"/>
  <c r="H243" i="2"/>
  <c r="AU249" i="2"/>
  <c r="AV249" i="2" s="1"/>
  <c r="AY245" i="2" l="1"/>
  <c r="AV244" i="2"/>
  <c r="AY244" i="2" s="1"/>
  <c r="AW247" i="2"/>
  <c r="AZ247" i="2" s="1"/>
  <c r="AY247" i="2"/>
  <c r="AY249" i="2"/>
  <c r="AY248" i="2"/>
  <c r="AV246" i="2"/>
  <c r="AY246" i="2" s="1"/>
  <c r="AX243" i="2"/>
  <c r="BA243" i="2" s="1"/>
  <c r="AW243" i="2"/>
  <c r="AZ243" i="2" s="1"/>
  <c r="AY243" i="2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J166" i="2" l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S152" i="2"/>
  <c r="AQ152" i="2"/>
  <c r="AR152" i="2" s="1"/>
  <c r="O152" i="2"/>
  <c r="N152" i="2"/>
  <c r="M152" i="2"/>
  <c r="J152" i="2"/>
  <c r="AU152" i="2" s="1"/>
  <c r="H152" i="2"/>
  <c r="AJ11" i="24"/>
  <c r="AE11" i="24" s="1"/>
  <c r="AF11" i="24" s="1"/>
  <c r="AQ154" i="2" l="1"/>
  <c r="AT152" i="2"/>
  <c r="H154" i="2"/>
  <c r="AV152" i="2"/>
  <c r="AY152" i="2" s="1"/>
  <c r="AQ155" i="2"/>
  <c r="AQ157" i="2"/>
  <c r="AR157" i="2" s="1"/>
  <c r="AT157" i="2" s="1"/>
  <c r="L152" i="2"/>
  <c r="J153" i="2" s="1"/>
  <c r="AU153" i="2" s="1"/>
  <c r="AQ153" i="2"/>
  <c r="AR153" i="2" s="1"/>
  <c r="AT153" i="2" s="1"/>
  <c r="H156" i="2"/>
  <c r="AX156" i="2" s="1"/>
  <c r="BA156" i="2" s="1"/>
  <c r="H155" i="2"/>
  <c r="E157" i="2"/>
  <c r="H157" i="2" s="1"/>
  <c r="AW156" i="2"/>
  <c r="AZ156" i="2" s="1"/>
  <c r="AR156" i="2"/>
  <c r="AT156" i="2" s="1"/>
  <c r="AV156" i="2" s="1"/>
  <c r="AY156" i="2" s="1"/>
  <c r="AW152" i="2"/>
  <c r="AZ152" i="2" s="1"/>
  <c r="AR154" i="2"/>
  <c r="AT154" i="2" s="1"/>
  <c r="AX152" i="2"/>
  <c r="BA152" i="2" s="1"/>
  <c r="AW154" i="2"/>
  <c r="AZ154" i="2" s="1"/>
  <c r="AU157" i="2"/>
  <c r="H153" i="2"/>
  <c r="AX154" i="2"/>
  <c r="BA154" i="2" s="1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AR155" i="2" l="1"/>
  <c r="AT155" i="2" s="1"/>
  <c r="AV155" i="2" s="1"/>
  <c r="AY155" i="2" s="1"/>
  <c r="H16" i="2"/>
  <c r="H128" i="2"/>
  <c r="AX128" i="2" s="1"/>
  <c r="BA128" i="2" s="1"/>
  <c r="AU154" i="2"/>
  <c r="AV154" i="2" s="1"/>
  <c r="AY154" i="2" s="1"/>
  <c r="H14" i="2"/>
  <c r="AW14" i="2" s="1"/>
  <c r="AZ14" i="2" s="1"/>
  <c r="AV157" i="2"/>
  <c r="AY157" i="2" s="1"/>
  <c r="AX157" i="2"/>
  <c r="BA157" i="2" s="1"/>
  <c r="AW157" i="2"/>
  <c r="AZ157" i="2" s="1"/>
  <c r="AX155" i="2"/>
  <c r="BA155" i="2" s="1"/>
  <c r="AW155" i="2"/>
  <c r="AZ155" i="2" s="1"/>
  <c r="AV153" i="2"/>
  <c r="AY153" i="2" s="1"/>
  <c r="AW153" i="2"/>
  <c r="AZ153" i="2" s="1"/>
  <c r="AX153" i="2"/>
  <c r="BA153" i="2" s="1"/>
  <c r="AW12" i="2"/>
  <c r="AZ12" i="2" s="1"/>
  <c r="J127" i="2"/>
  <c r="AU127" i="2" s="1"/>
  <c r="I128" i="2"/>
  <c r="J128" i="2" s="1"/>
  <c r="AU128" i="2" s="1"/>
  <c r="I129" i="2"/>
  <c r="AQ129" i="2" s="1"/>
  <c r="AR129" i="2" s="1"/>
  <c r="AT129" i="2" s="1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Q13" i="2"/>
  <c r="H17" i="2"/>
  <c r="AX17" i="2" s="1"/>
  <c r="BA17" i="2" s="1"/>
  <c r="AQ130" i="2"/>
  <c r="AR130" i="2" s="1"/>
  <c r="AM125" i="2"/>
  <c r="AQ125" i="2" s="1"/>
  <c r="AR125" i="2" s="1"/>
  <c r="AT125" i="2" s="1"/>
  <c r="AV125" i="2" s="1"/>
  <c r="AY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R124" i="2" s="1"/>
  <c r="AT124" i="2" s="1"/>
  <c r="AQ16" i="2"/>
  <c r="AR16" i="2" s="1"/>
  <c r="AT16" i="2" s="1"/>
  <c r="AQ17" i="2"/>
  <c r="AR17" i="2" s="1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5" i="2"/>
  <c r="BA15" i="2" s="1"/>
  <c r="AX125" i="2"/>
  <c r="BA125" i="2" s="1"/>
  <c r="AW125" i="2"/>
  <c r="AZ125" i="2" s="1"/>
  <c r="AR127" i="2"/>
  <c r="AT127" i="2" s="1"/>
  <c r="AU124" i="2"/>
  <c r="H126" i="2"/>
  <c r="E129" i="2"/>
  <c r="H129" i="2" s="1"/>
  <c r="AX130" i="2"/>
  <c r="BA130" i="2" s="1"/>
  <c r="AX122" i="2"/>
  <c r="BA122" i="2" s="1"/>
  <c r="AU122" i="2"/>
  <c r="E127" i="2"/>
  <c r="H127" i="2" s="1"/>
  <c r="AU129" i="2" l="1"/>
  <c r="AY13" i="2"/>
  <c r="AW128" i="2"/>
  <c r="AZ128" i="2" s="1"/>
  <c r="AQ128" i="2"/>
  <c r="AR128" i="2" s="1"/>
  <c r="AT128" i="2" s="1"/>
  <c r="AV128" i="2" s="1"/>
  <c r="AY128" i="2" s="1"/>
  <c r="AX14" i="2"/>
  <c r="BA14" i="2" s="1"/>
  <c r="AY14" i="2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6" i="2"/>
  <c r="AU97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R186" i="2" s="1"/>
  <c r="AT186" i="2" s="1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Q167" i="2" l="1"/>
  <c r="AT172" i="2"/>
  <c r="AU142" i="2"/>
  <c r="AU163" i="2"/>
  <c r="AT142" i="2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63" i="2" l="1"/>
  <c r="AV173" i="2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<sst xmlns="http://schemas.openxmlformats.org/spreadsheetml/2006/main" count="5877" uniqueCount="615">
  <si>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</si>
  <si>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</si>
  <si>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</si>
  <si>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</si>
  <si>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</si>
  <si>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</si>
  <si>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</si>
  <si>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</si>
  <si>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</si>
  <si>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</si>
  <si>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</si>
  <si>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</si>
  <si>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</si>
  <si>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</si>
  <si>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</si>
  <si>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</si>
  <si>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</si>
  <si>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</si>
  <si>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</si>
  <si>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</si>
  <si>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</si>
  <si>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</si>
  <si>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</si>
  <si>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</si>
  <si>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</si>
  <si>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</si>
  <si>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</si>
  <si>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</si>
  <si>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</si>
  <si>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</si>
  <si>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</si>
  <si>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</si>
  <si>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</si>
  <si>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</si>
  <si>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</si>
  <si>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</si>
  <si>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</si>
  <si>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</si>
  <si>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</si>
  <si>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</si>
  <si>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</si>
  <si>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</si>
  <si>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</si>
  <si>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</si>
  <si>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</si>
  <si>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</si>
  <si>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</si>
  <si>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</si>
  <si>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</si>
  <si>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</si>
  <si>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</si>
  <si>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</si>
  <si>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</si>
  <si>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</si>
  <si>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</si>
  <si>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</si>
  <si>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</si>
  <si>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</si>
  <si>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</si>
  <si>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</si>
  <si>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</si>
  <si>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</si>
  <si>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</si>
  <si>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</si>
  <si>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</si>
  <si>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</si>
  <si>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</si>
  <si>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</si>
  <si>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</si>
  <si>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</si>
  <si>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</si>
  <si>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</si>
  <si>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</si>
  <si>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</si>
  <si>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</si>
  <si>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</si>
  <si>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</si>
  <si>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</si>
  <si>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</si>
  <si>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</si>
  <si>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</si>
  <si>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</si>
  <si>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</si>
  <si>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</si>
  <si>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</si>
  <si>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</si>
  <si>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</si>
  <si>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</si>
  <si>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</si>
  <si>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</si>
  <si>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</si>
  <si>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</si>
  <si>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</si>
  <si>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</si>
  <si>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</si>
  <si>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</si>
  <si>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</si>
  <si>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</si>
  <si>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</si>
  <si>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</si>
  <si>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</si>
  <si>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</si>
  <si>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</si>
  <si>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</si>
  <si>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</si>
  <si>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</si>
  <si>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</si>
  <si>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</si>
  <si>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</si>
  <si>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</si>
  <si>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</si>
  <si>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</si>
  <si>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</si>
  <si>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</si>
  <si>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</si>
  <si>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</si>
  <si>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</si>
  <si>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</si>
  <si>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</si>
  <si>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</si>
  <si>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</si>
  <si>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</si>
  <si>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</si>
  <si>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</si>
  <si>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</si>
  <si>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</si>
  <si>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</si>
  <si>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</si>
  <si>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</si>
  <si>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</si>
  <si>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</si>
  <si>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</si>
  <si>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</si>
  <si>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</si>
  <si>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</si>
  <si>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</si>
  <si>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</si>
  <si>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</si>
  <si>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</si>
  <si>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</si>
  <si>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</si>
  <si>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</si>
  <si>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</si>
  <si>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</si>
  <si>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</si>
  <si>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</si>
  <si>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</si>
  <si>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</si>
  <si>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</si>
  <si>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</si>
  <si>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</si>
  <si>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</si>
  <si>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</si>
  <si>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</si>
  <si>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</si>
  <si>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</si>
  <si>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</si>
  <si>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</si>
  <si>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</si>
  <si>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</si>
  <si>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</si>
  <si>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</si>
  <si>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</si>
  <si>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</si>
  <si>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</si>
  <si>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</si>
  <si>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</si>
  <si>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</si>
  <si>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</si>
  <si>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</si>
  <si>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</si>
  <si>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</si>
  <si>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</si>
  <si>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</si>
  <si>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</si>
  <si>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</si>
  <si>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</si>
  <si>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</si>
  <si>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</si>
  <si>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</si>
  <si>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</si>
  <si>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</si>
  <si>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</si>
  <si>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</si>
  <si>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</si>
  <si>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</si>
  <si>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</si>
  <si>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</si>
  <si>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</si>
  <si>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</si>
  <si>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</si>
  <si>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</si>
  <si>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</si>
  <si>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</si>
  <si>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</si>
  <si>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</si>
  <si>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</si>
  <si>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</si>
  <si>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</si>
  <si>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</si>
  <si>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</si>
  <si>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</si>
  <si>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</si>
  <si>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</si>
  <si>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</si>
  <si>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</si>
  <si>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</si>
  <si>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</si>
  <si>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</si>
  <si>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</si>
  <si>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</si>
  <si>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</si>
  <si>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</si>
  <si>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</si>
  <si>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</si>
  <si>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</si>
  <si>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</si>
  <si>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</si>
  <si>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</si>
  <si>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</si>
  <si>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</si>
  <si>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</si>
  <si>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</si>
  <si>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</si>
  <si>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</si>
  <si>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</si>
  <si>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</si>
  <si>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</si>
  <si>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</si>
  <si>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</si>
  <si>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</si>
  <si>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</si>
  <si>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</si>
  <si>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</si>
  <si>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</si>
  <si>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</si>
  <si>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</si>
  <si>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</si>
  <si>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</si>
  <si>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</si>
  <si>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</si>
  <si>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</si>
  <si>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</si>
  <si>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</si>
  <si>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</si>
  <si>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</si>
  <si>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</si>
  <si>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</si>
  <si>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</si>
  <si>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</si>
  <si>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</si>
  <si>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</si>
  <si>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</si>
  <si>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</si>
  <si>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</si>
  <si>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</si>
  <si>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</si>
  <si>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</si>
  <si>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</si>
  <si>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</si>
  <si>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</si>
  <si>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</si>
  <si>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</si>
  <si>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</si>
  <si>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</si>
  <si>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</si>
  <si>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</si>
  <si>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</si>
  <si>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</si>
  <si>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</si>
  <si>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</si>
  <si>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</si>
  <si>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</si>
  <si>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</si>
  <si>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</si>
  <si>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</si>
  <si>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</si>
  <si>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</si>
  <si>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</si>
  <si>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</si>
  <si>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</si>
  <si>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</si>
  <si>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</si>
  <si>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</si>
  <si>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</si>
  <si>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</si>
  <si>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</si>
  <si>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</si>
  <si>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</si>
  <si>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</si>
  <si>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</si>
  <si>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</si>
  <si>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</si>
  <si>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</si>
  <si>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</si>
  <si>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</si>
  <si>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</si>
  <si>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</si>
  <si>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</si>
  <si>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</si>
  <si>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</si>
  <si>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</si>
  <si>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</si>
  <si>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</si>
  <si>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</si>
  <si>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</si>
  <si>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</si>
  <si>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</si>
  <si>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</si>
  <si>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</si>
  <si>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</si>
  <si>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</si>
  <si>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</si>
  <si>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</si>
  <si>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</si>
  <si>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</si>
  <si>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</si>
  <si>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</si>
  <si>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</si>
  <si>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</si>
  <si>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</si>
  <si>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</si>
  <si>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</si>
  <si>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</si>
  <si>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</si>
  <si>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</si>
  <si>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</si>
  <si>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</si>
  <si>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</si>
  <si>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</si>
  <si>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</si>
  <si>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</si>
  <si>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</si>
  <si>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</si>
  <si>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</si>
  <si>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</si>
  <si>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</si>
  <si>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</si>
  <si>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</si>
  <si>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</si>
  <si>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</si>
  <si>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</si>
  <si>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</si>
  <si>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</si>
  <si>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</si>
  <si>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</si>
  <si>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</si>
  <si>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</si>
  <si>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</si>
  <si>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</si>
  <si>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</si>
  <si>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</si>
  <si>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</si>
  <si>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</si>
  <si>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</si>
  <si>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</si>
  <si>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</si>
  <si>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</si>
  <si>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</si>
  <si>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</si>
  <si>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</si>
  <si>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</si>
  <si>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</si>
  <si>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</si>
  <si>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</si>
  <si>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</si>
  <si>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</si>
  <si>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</si>
  <si>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</si>
  <si>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</si>
  <si>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</si>
  <si>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</si>
  <si>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</si>
  <si>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</si>
  <si>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</si>
  <si>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</si>
  <si>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</si>
  <si>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</si>
  <si>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</si>
  <si>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</si>
  <si>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</si>
  <si>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</si>
  <si>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</si>
  <si>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</si>
  <si>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</si>
  <si>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</si>
  <si>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</si>
  <si>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</si>
  <si>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</si>
  <si>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</si>
  <si>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</si>
  <si>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</si>
  <si>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</si>
  <si>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</si>
  <si>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</si>
  <si>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</si>
  <si>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</si>
  <si>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</si>
  <si>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</si>
  <si>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</si>
  <si>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</si>
  <si>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</si>
  <si>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</si>
  <si>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</si>
  <si>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</si>
  <si>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</si>
  <si>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</si>
  <si>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</si>
  <si>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</si>
  <si>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</si>
  <si>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</si>
  <si>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</si>
  <si>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</si>
  <si>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</si>
  <si>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</si>
  <si>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</si>
  <si>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</si>
  <si>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</si>
  <si>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</si>
  <si>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</si>
  <si>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</si>
  <si>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</si>
  <si>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</si>
  <si>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</si>
  <si>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</si>
  <si>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</si>
  <si>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</si>
  <si>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</si>
  <si>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</si>
  <si>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</si>
  <si>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</si>
  <si>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</si>
  <si>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</si>
  <si>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</si>
  <si>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</si>
  <si>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</si>
  <si>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</si>
  <si>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</si>
  <si>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</si>
  <si>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</si>
  <si>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</si>
  <si>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</si>
  <si>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</si>
  <si>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</si>
  <si>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</si>
  <si>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</si>
  <si>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</si>
  <si>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</si>
  <si>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</si>
  <si>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</si>
  <si>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</si>
  <si>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</si>
  <si>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</si>
  <si>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</si>
  <si>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</si>
  <si>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</si>
  <si>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</si>
  <si>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</si>
  <si>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</si>
  <si>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</si>
  <si>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</si>
  <si>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</si>
  <si>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</si>
  <si>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</si>
  <si>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</si>
  <si>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</si>
  <si>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</si>
  <si>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</si>
  <si>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</si>
  <si>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</si>
  <si>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</si>
  <si>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</si>
  <si>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</si>
  <si>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</si>
  <si>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</si>
  <si>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</si>
  <si>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</si>
  <si>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</si>
  <si>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</si>
  <si>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</si>
  <si>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</si>
  <si>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</si>
  <si>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</si>
  <si>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</si>
  <si>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попутный нефтяной газ</t>
  </si>
  <si>
    <t>химреагент</t>
  </si>
  <si>
    <t>бактерицид</t>
  </si>
  <si>
    <t>деэмульгатор</t>
  </si>
  <si>
    <t>попутный нефтяной  газ</t>
  </si>
  <si>
    <t>нефтешлам</t>
  </si>
  <si>
    <t>технологическое масло</t>
  </si>
  <si>
    <t>конденсат (нефть)</t>
  </si>
  <si>
    <t>ингибитор коррозии</t>
  </si>
  <si>
    <t>пенообразователь</t>
  </si>
  <si>
    <t>окр.ср.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</si>
  <si>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</si>
  <si>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</si>
  <si>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</si>
  <si>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</si>
  <si>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</si>
  <si>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</si>
  <si>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</si>
  <si>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</si>
  <si>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</si>
  <si>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</si>
  <si>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</si>
  <si>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</si>
  <si>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</si>
  <si>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</si>
  <si>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</si>
  <si>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</si>
  <si>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</si>
  <si>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</si>
  <si>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</si>
  <si>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</si>
  <si>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</si>
  <si>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</si>
  <si>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</si>
  <si>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</si>
  <si>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</si>
  <si>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</si>
  <si>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</si>
  <si>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</si>
  <si>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</si>
  <si>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</si>
  <si>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</si>
  <si>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</si>
  <si>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</si>
  <si>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</si>
  <si>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</si>
  <si>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</si>
  <si>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</si>
  <si>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</si>
  <si>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</si>
  <si>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</si>
  <si>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</si>
  <si>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</si>
  <si>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</si>
  <si>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</si>
  <si>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</si>
  <si>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</si>
  <si>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</si>
  <si>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</si>
  <si>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</si>
  <si>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</si>
  <si>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</si>
  <si>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Трубопровод ЛВЖ_откр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</si>
  <si>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</si>
  <si>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</si>
  <si>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Котельная промбазы "Раевка"</t>
  </si>
  <si>
    <t>мазут</t>
  </si>
  <si>
    <t>ППСН «Калтасы»</t>
  </si>
  <si>
    <t>бензин</t>
  </si>
  <si>
    <t>диз.топливо</t>
  </si>
  <si>
    <t>Публичное акционерное общество</t>
  </si>
  <si>
    <t>ПАО  "Удмуртнефть" имени В.И. Кудинова</t>
  </si>
  <si>
    <t>426011, Удмуртская Республика, город Ижевск, улица Красноармейская, 182</t>
  </si>
  <si>
    <t>(3412) 48-71-25</t>
  </si>
  <si>
    <t>post@udn.rosneft.ru</t>
  </si>
  <si>
    <t>Топал Андрей Юрьевич</t>
  </si>
  <si>
    <t>Л057-00109-18/00545474</t>
  </si>
  <si>
    <t>11.06.2015 г.</t>
  </si>
  <si>
    <t>Система промысловых трубопроводов ВосточноВозейского, ЗападноХатаяхского, ЗападноХатаяхского II, СевероКэйньюского месторождений</t>
  </si>
  <si>
    <t>Республика Коми, Усинский район, ГУ Усинское лесничество, участковое лесничество квартал 300, 323, 324, 360, 361, 363, 364, 365, 381, 383</t>
  </si>
  <si>
    <t>А46-05476-0204</t>
  </si>
  <si>
    <t>Выкидная линия скв.№1 ВВ</t>
  </si>
  <si>
    <t>Выкидная линия скв.№15 ВВ</t>
  </si>
  <si>
    <t>Выкидная линия скв.№1501 ВВ</t>
  </si>
  <si>
    <t>Выкидная линия скв.№76 ВВ</t>
  </si>
  <si>
    <t>Выкидная линия скв.№7601 ВВ</t>
  </si>
  <si>
    <t>Выкидная линия скв.№2 зх</t>
  </si>
  <si>
    <t>Выкидная линия скв.№2001 зх</t>
  </si>
  <si>
    <t>Выкидная линия скв.№2002 зх</t>
  </si>
  <si>
    <t>Выкидная линия скв.№2003 зх</t>
  </si>
  <si>
    <t>Выкидная линия скв.№3000 зх</t>
  </si>
  <si>
    <t>Выкидная линия скв.№5 зх</t>
  </si>
  <si>
    <t>Выкидная линия скв.№5002 зх</t>
  </si>
  <si>
    <t>Выкидная линия скв.№60 зхII</t>
  </si>
  <si>
    <t>Выкидная линия скв.№64 зхII</t>
  </si>
  <si>
    <t>Выкидная линия скв.№3 ск (БД)</t>
  </si>
  <si>
    <t>Выкидная линия скв.№5001 зх</t>
  </si>
  <si>
    <t>Выкидная линия скв.№6001</t>
  </si>
  <si>
    <t>Выкидная линия скв.№7501</t>
  </si>
  <si>
    <t>Выкидная линия скв.№75</t>
  </si>
  <si>
    <t>Выкидная линия скв.№1Б(Быстрин ская)</t>
  </si>
  <si>
    <t>Выкидная линия скв.№74</t>
  </si>
  <si>
    <t>Нефтесборный трубопровод (ПК00 ПК21+78)</t>
  </si>
  <si>
    <t>Нефтесборный трубопровод (ПК21+78-ДНС)</t>
  </si>
  <si>
    <t>Нефтесборный трубопровод (Куст скв. № 1 ЗХ – до ПК21+88)</t>
  </si>
  <si>
    <t>Нефтесборный трубопровод (Куст скв. № 5 ЗХ – до т. вр. в нефтепровод «ПК 21+78 – ДНС»)</t>
  </si>
  <si>
    <t>Нефтесборный трубопровод Куст скв. № 2 ЗХ – т. вр. в н/п «Куст скв. № 5 ЗХ – до т. вр. в н/п «ПК21+78 - ДНС»</t>
  </si>
  <si>
    <t>Нефтесборный трубопровод (куст скв. № 15 - т. 1)</t>
  </si>
  <si>
    <t>трубопровод (Куст скв. 1 ВВ – т. вр. в н/п «ПК106 + 29,2 до ДНС») БД</t>
  </si>
  <si>
    <t>Нефтесборный трубопровод (Куст скв. 3 СК до т. вр. на кусте скв. 5 ЗХ) БД</t>
  </si>
  <si>
    <t>Подземный нефтепровод от ДНС до концевых сооружений</t>
  </si>
  <si>
    <t>Подземный газопровод от ДНС до концевых сооружений(вновь)</t>
  </si>
  <si>
    <t>Камера пуска ОУ УПШ (КВС-П-150-8,0-Л куст 64 зхII)</t>
  </si>
  <si>
    <t>Камера пуска ОУ УПШ (КВСЗ-150-4,0-Л куст 1Б)</t>
  </si>
  <si>
    <t xml:space="preserve">Камера пуска ОУ УПШ (КВСЗ-150-4,0-Л куст 5 зх) </t>
  </si>
  <si>
    <t>Камера приема ОУ УПШ (КВСП-150-4,0-Л куст 1 зх)</t>
  </si>
  <si>
    <t>Камера пуска ОУ УПШ №1</t>
  </si>
  <si>
    <t>Камера пуска ОУ УПШ №2</t>
  </si>
  <si>
    <t>Камера приема ОУ УПШ №1</t>
  </si>
  <si>
    <t>Камера приема ОУ УПШ №2</t>
  </si>
  <si>
    <t>Печь ПП-1,6 АМ</t>
  </si>
  <si>
    <t>Блок редуцирования газа  БРГ 3,7-1,6</t>
  </si>
  <si>
    <t>Дренажная емкость ЕП-8-2000-1300-3</t>
  </si>
  <si>
    <t>ж.ф.+г.ф.</t>
  </si>
  <si>
    <r>
      <t>0,1</t>
    </r>
    <r>
      <rPr>
        <sz val="11"/>
        <color theme="1"/>
        <rFont val="Calibri"/>
        <family val="2"/>
        <charset val="204"/>
      </rPr>
      <t>÷</t>
    </r>
    <r>
      <rPr>
        <sz val="9.35"/>
        <color theme="1"/>
        <rFont val="Calibri"/>
        <family val="2"/>
        <charset val="204"/>
      </rPr>
      <t>2</t>
    </r>
  </si>
  <si>
    <t>Нефтесборный трубопровод (ПК00 ПК21+78), нефть</t>
  </si>
  <si>
    <t>Нефтесборный трубопровод (ПК21+78-ДНС), нефть</t>
  </si>
  <si>
    <t>Нефтесборный трубопровод (Куст скв. № 5 ЗХ – до т. вр. в нефтепровод «ПК 21+78 – ДНС»), нефть</t>
  </si>
  <si>
    <t>Нефтесборный трубопровод (куст скв. № 15 - т. 1), нефть</t>
  </si>
  <si>
    <t>Нефтесборный трубопровод (Куст скв. 3 СК до т. вр. на кусте скв. 5 ЗХ) БД, нефть</t>
  </si>
  <si>
    <t>Подземный нефтепровод от ДНС до концевых сооружений, нефть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</si>
</sst>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22"/>
      <color rgb="FF00B0F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.35"/>
      <color theme="1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8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1" fillId="0" borderId="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justify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2" fontId="24" fillId="0" borderId="43" xfId="0" applyNumberFormat="1" applyFont="1" applyBorder="1" applyAlignment="1">
      <alignment vertical="center" wrapText="1"/>
    </xf>
    <xf numFmtId="49" fontId="24" fillId="0" borderId="47" xfId="0" applyNumberFormat="1" applyFont="1" applyBorder="1" applyAlignment="1">
      <alignment vertical="center" wrapText="1"/>
    </xf>
    <xf numFmtId="49" fontId="24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3" fillId="0" borderId="53" xfId="0" applyFont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 wrapText="1"/>
    </xf>
    <xf numFmtId="2" fontId="24" fillId="0" borderId="48" xfId="0" applyNumberFormat="1" applyFont="1" applyBorder="1" applyAlignment="1">
      <alignment vertical="center" wrapText="1"/>
    </xf>
    <xf numFmtId="2" fontId="24" fillId="0" borderId="50" xfId="0" applyNumberFormat="1" applyFont="1" applyBorder="1" applyAlignment="1">
      <alignment vertical="center" wrapText="1"/>
    </xf>
    <xf numFmtId="2" fontId="24" fillId="0" borderId="51" xfId="0" applyNumberFormat="1" applyFont="1" applyBorder="1" applyAlignment="1">
      <alignment vertical="center" wrapText="1"/>
    </xf>
    <xf numFmtId="0" fontId="24" fillId="0" borderId="43" xfId="0" applyFont="1" applyBorder="1" applyAlignment="1">
      <alignment vertical="center" wrapText="1"/>
    </xf>
    <xf numFmtId="0" fontId="24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0" fontId="1" fillId="2" borderId="25" xfId="0" applyFont="1" applyFill="1" applyBorder="1"/>
    <xf numFmtId="164" fontId="0" fillId="0" borderId="0" xfId="0" applyNumberFormat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12" fillId="4" borderId="21" xfId="0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5" fillId="0" borderId="0" xfId="0" applyFont="1"/>
    <xf numFmtId="0" fontId="26" fillId="0" borderId="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 applyAlignment="1">
      <alignment horizontal="center" vertical="center"/>
    </xf>
    <xf numFmtId="0" fontId="5" fillId="15" borderId="1" xfId="0" applyFont="1" applyFill="1" applyBorder="1"/>
    <xf numFmtId="0" fontId="14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14" fillId="15" borderId="1" xfId="0" applyNumberFormat="1" applyFont="1" applyFill="1" applyBorder="1"/>
    <xf numFmtId="11" fontId="5" fillId="15" borderId="1" xfId="0" applyNumberFormat="1" applyFont="1" applyFill="1" applyBorder="1"/>
    <xf numFmtId="2" fontId="14" fillId="15" borderId="1" xfId="0" applyNumberFormat="1" applyFont="1" applyFill="1" applyBorder="1"/>
    <xf numFmtId="2" fontId="5" fillId="15" borderId="9" xfId="0" applyNumberFormat="1" applyFont="1" applyFill="1" applyBorder="1"/>
    <xf numFmtId="2" fontId="5" fillId="15" borderId="33" xfId="0" applyNumberFormat="1" applyFont="1" applyFill="1" applyBorder="1"/>
    <xf numFmtId="0" fontId="14" fillId="15" borderId="34" xfId="0" applyFont="1" applyFill="1" applyBorder="1"/>
    <xf numFmtId="0" fontId="0" fillId="15" borderId="0" xfId="0" applyFill="1"/>
    <xf numFmtId="0" fontId="5" fillId="15" borderId="0" xfId="0" applyFont="1" applyFill="1"/>
    <xf numFmtId="0" fontId="13" fillId="15" borderId="0" xfId="0" applyFont="1" applyFill="1"/>
    <xf numFmtId="165" fontId="5" fillId="15" borderId="0" xfId="0" applyNumberFormat="1" applyFont="1" applyFill="1"/>
    <xf numFmtId="2" fontId="5" fillId="15" borderId="0" xfId="0" applyNumberFormat="1" applyFont="1" applyFill="1"/>
    <xf numFmtId="11" fontId="5" fillId="15" borderId="0" xfId="0" applyNumberFormat="1" applyFont="1" applyFill="1"/>
    <xf numFmtId="11" fontId="0" fillId="15" borderId="0" xfId="0" applyNumberFormat="1" applyFill="1"/>
    <xf numFmtId="11" fontId="6" fillId="15" borderId="1" xfId="0" applyNumberFormat="1" applyFont="1" applyFill="1" applyBorder="1"/>
    <xf numFmtId="0" fontId="6" fillId="15" borderId="1" xfId="0" applyFont="1" applyFill="1" applyBorder="1"/>
    <xf numFmtId="2" fontId="5" fillId="15" borderId="1" xfId="0" applyNumberFormat="1" applyFont="1" applyFill="1" applyBorder="1"/>
    <xf numFmtId="2" fontId="14" fillId="15" borderId="9" xfId="0" applyNumberFormat="1" applyFont="1" applyFill="1" applyBorder="1"/>
    <xf numFmtId="0" fontId="5" fillId="15" borderId="9" xfId="0" applyFont="1" applyFill="1" applyBorder="1"/>
    <xf numFmtId="2" fontId="5" fillId="15" borderId="20" xfId="0" applyNumberFormat="1" applyFont="1" applyFill="1" applyBorder="1"/>
    <xf numFmtId="0" fontId="14" fillId="15" borderId="21" xfId="0" applyFont="1" applyFill="1" applyBorder="1"/>
    <xf numFmtId="0" fontId="5" fillId="15" borderId="40" xfId="0" applyFont="1" applyFill="1" applyBorder="1"/>
    <xf numFmtId="0" fontId="0" fillId="15" borderId="40" xfId="0" applyFill="1" applyBorder="1"/>
    <xf numFmtId="0" fontId="0" fillId="15" borderId="40" xfId="0" applyFill="1" applyBorder="1" applyAlignment="1">
      <alignment wrapText="1"/>
    </xf>
    <xf numFmtId="11" fontId="6" fillId="15" borderId="40" xfId="0" applyNumberFormat="1" applyFont="1" applyFill="1" applyBorder="1"/>
    <xf numFmtId="0" fontId="6" fillId="15" borderId="40" xfId="0" applyFont="1" applyFill="1" applyBorder="1"/>
    <xf numFmtId="11" fontId="5" fillId="15" borderId="40" xfId="0" applyNumberFormat="1" applyFont="1" applyFill="1" applyBorder="1"/>
    <xf numFmtId="2" fontId="5" fillId="15" borderId="40" xfId="0" applyNumberFormat="1" applyFont="1" applyFill="1" applyBorder="1"/>
    <xf numFmtId="0" fontId="5" fillId="15" borderId="4" xfId="0" applyFont="1" applyFill="1" applyBorder="1"/>
    <xf numFmtId="0" fontId="5" fillId="15" borderId="41" xfId="0" applyFont="1" applyFill="1" applyBorder="1"/>
    <xf numFmtId="0" fontId="6" fillId="15" borderId="42" xfId="0" applyFont="1" applyFill="1" applyBorder="1"/>
    <xf numFmtId="164" fontId="0" fillId="0" borderId="7" xfId="0" applyNumberFormat="1" applyBorder="1"/>
    <xf numFmtId="165" fontId="0" fillId="0" borderId="7" xfId="0" applyNumberFormat="1" applyBorder="1"/>
    <xf numFmtId="0" fontId="0" fillId="2" borderId="20" xfId="0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4" xfId="1" applyFont="1" applyFill="1" applyBorder="1"/>
    <xf numFmtId="0" fontId="1" fillId="4" borderId="6" xfId="1" applyFont="1" applyFill="1" applyBorder="1"/>
    <xf numFmtId="0" fontId="1" fillId="4" borderId="7" xfId="1" applyFont="1" applyFill="1" applyBorder="1"/>
    <xf numFmtId="0" fontId="1" fillId="4" borderId="5" xfId="1" applyFont="1" applyFill="1" applyBorder="1"/>
    <xf numFmtId="0" fontId="1" fillId="4" borderId="5" xfId="0" applyFont="1" applyFill="1" applyBorder="1"/>
    <xf numFmtId="0" fontId="0" fillId="2" borderId="1" xfId="0" quotePrefix="1" applyFill="1" applyBorder="1"/>
    <xf numFmtId="0" fontId="0" fillId="0" borderId="1" xfId="0" applyBorder="1" applyAlignment="1">
      <alignment wrapText="1"/>
    </xf>
    <xf numFmtId="0" fontId="0" fillId="0" borderId="56" xfId="0" applyBorder="1"/>
    <xf numFmtId="0" fontId="0" fillId="2" borderId="55" xfId="0" applyFill="1" applyBorder="1"/>
    <xf numFmtId="0" fontId="1" fillId="2" borderId="18" xfId="0" applyFont="1" applyFill="1" applyBorder="1"/>
    <xf numFmtId="0" fontId="0" fillId="2" borderId="56" xfId="0" applyFill="1" applyBorder="1"/>
    <xf numFmtId="0" fontId="0" fillId="0" borderId="22" xfId="0" applyBorder="1" applyAlignment="1">
      <alignment wrapText="1"/>
    </xf>
    <xf numFmtId="2" fontId="6" fillId="5" borderId="20" xfId="0" applyNumberFormat="1" applyFont="1" applyFill="1" applyBorder="1"/>
    <xf numFmtId="11" fontId="0" fillId="4" borderId="0" xfId="0" applyNumberFormat="1" applyFont="1" applyFill="1"/>
    <xf numFmtId="0" fontId="0" fillId="8" borderId="0" xfId="0" applyFont="1" applyFill="1"/>
    <xf numFmtId="0" fontId="0" fillId="0" borderId="0" xfId="0" applyFont="1"/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3" fillId="0" borderId="44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wrapText="1"/>
    </xf>
    <xf numFmtId="0" fontId="0" fillId="5" borderId="0" xfId="0" applyFont="1" applyFill="1"/>
    <xf numFmtId="2" fontId="14" fillId="5" borderId="9" xfId="0" applyNumberFormat="1" applyFont="1" applyFill="1" applyBorder="1"/>
    <xf numFmtId="0" fontId="0" fillId="5" borderId="40" xfId="0" applyFont="1" applyFill="1" applyBorder="1"/>
    <xf numFmtId="0" fontId="0" fillId="5" borderId="40" xfId="0" applyFont="1" applyFill="1" applyBorder="1" applyAlignment="1">
      <alignment wrapText="1"/>
    </xf>
    <xf numFmtId="0" fontId="0" fillId="0" borderId="1" xfId="0" applyFont="1" applyBorder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&#1044;&#1055;&#1041;%20392%20&#1059;&#1055;&#1053;%20&#1059;&#1088;&#1096;&#1072;&#1082;%20(2025)/ri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 refreshError="1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st@ud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4" workbookViewId="0">
      <selection activeCell="B13" sqref="B13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289" t="s">
        <v>555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289" t="s">
        <v>554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289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289" t="s">
        <v>559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289" t="s">
        <v>556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289" t="s">
        <v>557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289" t="s">
        <v>557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290" t="s">
        <v>558</v>
      </c>
      <c r="C9" t="s">
        <v>202</v>
      </c>
      <c r="F9" s="272" t="s">
        <v>357</v>
      </c>
      <c r="G9" s="272" t="s">
        <v>392</v>
      </c>
      <c r="H9" s="7" t="s">
        <v>398</v>
      </c>
      <c r="I9" s="7" t="s">
        <v>413</v>
      </c>
      <c r="J9" s="272" t="s">
        <v>357</v>
      </c>
      <c r="K9" s="272" t="s">
        <v>357</v>
      </c>
      <c r="L9" s="7" t="s">
        <v>398</v>
      </c>
      <c r="M9" s="272" t="s">
        <v>453</v>
      </c>
    </row>
    <row r="10" spans="1:13" x14ac:dyDescent="0.3">
      <c r="A10" s="140" t="s">
        <v>203</v>
      </c>
      <c r="B10" s="289" t="s">
        <v>560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289" t="s">
        <v>561</v>
      </c>
      <c r="C11" t="s">
        <v>223</v>
      </c>
      <c r="F11" s="273">
        <v>42545</v>
      </c>
      <c r="G11" s="273">
        <v>43854</v>
      </c>
      <c r="H11" s="203">
        <v>42242</v>
      </c>
      <c r="I11" s="7">
        <v>43083</v>
      </c>
      <c r="J11" s="273">
        <v>42545</v>
      </c>
      <c r="K11" s="273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289" t="s">
        <v>562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289" t="s">
        <v>563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289" t="s">
        <v>564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289" t="s">
        <v>216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291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291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291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291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291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291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291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291">
        <v>940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464</v>
      </c>
      <c r="C9" s="213" t="s">
        <v>465</v>
      </c>
      <c r="D9" s="214" t="s">
        <v>466</v>
      </c>
      <c r="E9" s="213" t="s">
        <v>462</v>
      </c>
      <c r="F9" s="213" t="s">
        <v>463</v>
      </c>
      <c r="H9" s="211">
        <v>8</v>
      </c>
      <c r="I9" s="212" t="s">
        <v>459</v>
      </c>
      <c r="J9" s="213" t="s">
        <v>282</v>
      </c>
      <c r="K9" s="214" t="s">
        <v>460</v>
      </c>
      <c r="L9" s="213" t="s">
        <v>461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55"/>
  <sheetViews>
    <sheetView zoomScale="85" zoomScaleNormal="85" workbookViewId="0">
      <pane ySplit="1" topLeftCell="A2" activePane="bottomLeft" state="frozen"/>
      <selection pane="bottomLeft" activeCell="B24" sqref="B24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61" t="s">
        <v>79</v>
      </c>
      <c r="B1" s="362"/>
      <c r="C1" s="363" t="s">
        <v>80</v>
      </c>
      <c r="D1" s="364"/>
      <c r="E1" s="365"/>
      <c r="F1" s="361" t="s">
        <v>81</v>
      </c>
      <c r="G1" s="366"/>
      <c r="H1" s="362"/>
      <c r="I1" s="355" t="s">
        <v>91</v>
      </c>
      <c r="J1" s="355" t="s">
        <v>92</v>
      </c>
      <c r="K1" s="355" t="s">
        <v>93</v>
      </c>
      <c r="L1" s="359" t="s">
        <v>237</v>
      </c>
      <c r="M1" s="355" t="s">
        <v>95</v>
      </c>
      <c r="N1" s="355" t="s">
        <v>94</v>
      </c>
      <c r="O1" s="353" t="s">
        <v>78</v>
      </c>
      <c r="P1" s="355" t="s">
        <v>82</v>
      </c>
      <c r="Q1" s="357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56"/>
      <c r="J2" s="356"/>
      <c r="K2" s="356"/>
      <c r="L2" s="360"/>
      <c r="M2" s="356"/>
      <c r="N2" s="356"/>
      <c r="O2" s="354"/>
      <c r="P2" s="356"/>
      <c r="Q2" s="358"/>
    </row>
    <row r="3" spans="1:45" ht="29.4" thickBot="1" x14ac:dyDescent="0.35">
      <c r="A3" s="348" t="s">
        <v>551</v>
      </c>
      <c r="B3" t="s">
        <v>565</v>
      </c>
      <c r="C3" s="47">
        <v>1</v>
      </c>
      <c r="D3" s="331">
        <v>7.4999999999999997E-2</v>
      </c>
      <c r="E3" s="331">
        <v>7.4999999999999997E-2</v>
      </c>
      <c r="F3" s="47" t="s">
        <v>374</v>
      </c>
      <c r="G3" s="266" t="s">
        <v>608</v>
      </c>
      <c r="H3" s="266" t="s">
        <v>494</v>
      </c>
      <c r="I3" s="50">
        <f>PI()*(POWER(K3/1000,2)/4)*J3</f>
        <v>1.4137166941154067E-2</v>
      </c>
      <c r="J3" s="51">
        <v>20</v>
      </c>
      <c r="K3" s="49">
        <v>30</v>
      </c>
      <c r="L3" s="204">
        <v>0</v>
      </c>
      <c r="M3" s="278">
        <v>5.1999999999999998E-2</v>
      </c>
      <c r="N3" s="279">
        <v>0.86099999999999999</v>
      </c>
      <c r="O3" s="280">
        <v>25</v>
      </c>
      <c r="P3" s="281">
        <v>0.1</v>
      </c>
      <c r="Q3" s="54">
        <v>0</v>
      </c>
      <c r="R3" s="57" t="s">
        <v>98</v>
      </c>
      <c r="T3" s="57" t="s">
        <v>98</v>
      </c>
      <c r="U3" s="275">
        <f>SUMIF($R$3:$R$215,T3,$E$3:$E$215)</f>
        <v>842.06449999999995</v>
      </c>
      <c r="X3" t="s">
        <v>98</v>
      </c>
      <c r="AE3" s="268" t="s">
        <v>369</v>
      </c>
      <c r="AF3" s="269"/>
      <c r="AG3" s="270"/>
    </row>
    <row r="4" spans="1:45" ht="15" thickBot="1" x14ac:dyDescent="0.35">
      <c r="A4" s="348"/>
      <c r="B4" t="s">
        <v>566</v>
      </c>
      <c r="C4" s="47">
        <v>1</v>
      </c>
      <c r="D4" s="331">
        <v>0.184</v>
      </c>
      <c r="E4" s="331">
        <v>0.184</v>
      </c>
      <c r="F4" s="47" t="s">
        <v>374</v>
      </c>
      <c r="G4" s="266" t="s">
        <v>608</v>
      </c>
      <c r="H4" s="266" t="s">
        <v>494</v>
      </c>
      <c r="I4" s="50">
        <f t="shared" ref="I4:I35" si="0">PI()*(POWER(K4/1000,2)/4)*J4</f>
        <v>1.4137166941154067E-2</v>
      </c>
      <c r="J4" s="51">
        <v>20</v>
      </c>
      <c r="K4" s="49">
        <v>30</v>
      </c>
      <c r="L4" s="204">
        <v>0</v>
      </c>
      <c r="M4" s="278">
        <v>5.1999999999999998E-2</v>
      </c>
      <c r="N4" s="279">
        <v>0.86099999999999999</v>
      </c>
      <c r="O4" s="280">
        <v>25</v>
      </c>
      <c r="P4" s="281">
        <v>0.1</v>
      </c>
      <c r="Q4" s="54">
        <v>0</v>
      </c>
      <c r="R4" s="57" t="s">
        <v>98</v>
      </c>
      <c r="T4" s="57" t="s">
        <v>484</v>
      </c>
      <c r="U4" s="275">
        <f t="shared" ref="U4:U5" si="1">SUMIF($R$3:$R$215,T4,$E$3:$E$215)</f>
        <v>0</v>
      </c>
      <c r="W4" s="37"/>
      <c r="X4" s="37" t="s">
        <v>98</v>
      </c>
      <c r="AE4" s="267" t="s">
        <v>370</v>
      </c>
      <c r="AF4" s="16">
        <v>100</v>
      </c>
      <c r="AG4" s="267" t="s">
        <v>371</v>
      </c>
    </row>
    <row r="5" spans="1:45" ht="15" thickBot="1" x14ac:dyDescent="0.35">
      <c r="A5" s="348"/>
      <c r="B5" t="s">
        <v>567</v>
      </c>
      <c r="C5" s="47">
        <v>1</v>
      </c>
      <c r="D5" s="331">
        <v>0.04</v>
      </c>
      <c r="E5" s="331">
        <v>0.04</v>
      </c>
      <c r="F5" s="47" t="s">
        <v>374</v>
      </c>
      <c r="G5" s="266" t="s">
        <v>608</v>
      </c>
      <c r="H5" s="266" t="s">
        <v>494</v>
      </c>
      <c r="I5" s="50">
        <f t="shared" si="0"/>
        <v>1.4137166941154067E-2</v>
      </c>
      <c r="J5" s="51">
        <v>20</v>
      </c>
      <c r="K5" s="49">
        <v>30</v>
      </c>
      <c r="L5" s="204">
        <v>0</v>
      </c>
      <c r="M5" s="278">
        <v>5.1999999999999998E-2</v>
      </c>
      <c r="N5" s="279">
        <v>0.86099999999999999</v>
      </c>
      <c r="O5" s="280">
        <v>25</v>
      </c>
      <c r="P5" s="281">
        <v>0.1</v>
      </c>
      <c r="Q5" s="54">
        <v>0</v>
      </c>
      <c r="R5" s="57" t="s">
        <v>98</v>
      </c>
      <c r="T5" s="57" t="s">
        <v>553</v>
      </c>
      <c r="U5" s="275">
        <f t="shared" si="1"/>
        <v>0</v>
      </c>
      <c r="X5" t="s">
        <v>484</v>
      </c>
      <c r="AE5" s="267" t="s">
        <v>377</v>
      </c>
      <c r="AF5" s="16">
        <v>0.1</v>
      </c>
      <c r="AG5" s="267" t="s">
        <v>378</v>
      </c>
    </row>
    <row r="6" spans="1:45" ht="15" thickBot="1" x14ac:dyDescent="0.35">
      <c r="A6" s="348"/>
      <c r="B6" t="s">
        <v>568</v>
      </c>
      <c r="C6" s="47">
        <v>1</v>
      </c>
      <c r="D6" s="331">
        <v>0.121</v>
      </c>
      <c r="E6" s="331">
        <v>0.121</v>
      </c>
      <c r="F6" s="47" t="s">
        <v>374</v>
      </c>
      <c r="G6" s="266" t="s">
        <v>608</v>
      </c>
      <c r="H6" s="266" t="s">
        <v>494</v>
      </c>
      <c r="I6" s="50">
        <f t="shared" si="0"/>
        <v>1.4137166941154067E-2</v>
      </c>
      <c r="J6" s="51">
        <v>20</v>
      </c>
      <c r="K6" s="49">
        <v>30</v>
      </c>
      <c r="L6" s="204">
        <v>0</v>
      </c>
      <c r="M6" s="278">
        <v>5.1999999999999998E-2</v>
      </c>
      <c r="N6" s="279">
        <v>0.86099999999999999</v>
      </c>
      <c r="O6" s="280">
        <v>25</v>
      </c>
      <c r="P6" s="281">
        <v>0.1</v>
      </c>
      <c r="Q6" s="54">
        <v>0</v>
      </c>
      <c r="R6" s="57" t="s">
        <v>98</v>
      </c>
      <c r="T6" s="57" t="s">
        <v>552</v>
      </c>
      <c r="U6" s="275">
        <f t="shared" ref="U6:U7" si="2">SUMIF($R$3:$R$170,T6,$E$3:$E$170)</f>
        <v>0</v>
      </c>
      <c r="X6" t="s">
        <v>485</v>
      </c>
      <c r="AE6" s="267" t="s">
        <v>379</v>
      </c>
      <c r="AF6" s="16">
        <v>30</v>
      </c>
      <c r="AG6" s="267" t="s">
        <v>380</v>
      </c>
    </row>
    <row r="7" spans="1:45" ht="15" thickBot="1" x14ac:dyDescent="0.35">
      <c r="A7" s="348"/>
      <c r="B7" t="s">
        <v>569</v>
      </c>
      <c r="C7" s="47">
        <v>1</v>
      </c>
      <c r="D7" s="331">
        <v>0.82299999999999995</v>
      </c>
      <c r="E7" s="331">
        <v>0.82299999999999995</v>
      </c>
      <c r="F7" s="47" t="s">
        <v>374</v>
      </c>
      <c r="G7" s="266" t="s">
        <v>608</v>
      </c>
      <c r="H7" s="266" t="s">
        <v>494</v>
      </c>
      <c r="I7" s="50">
        <f t="shared" si="0"/>
        <v>1.4137166941154067E-2</v>
      </c>
      <c r="J7" s="51">
        <v>20</v>
      </c>
      <c r="K7" s="49">
        <v>30</v>
      </c>
      <c r="L7" s="204">
        <v>0</v>
      </c>
      <c r="M7" s="278">
        <v>5.1999999999999998E-2</v>
      </c>
      <c r="N7" s="279">
        <v>0.86099999999999999</v>
      </c>
      <c r="O7" s="280">
        <v>25</v>
      </c>
      <c r="P7" s="281">
        <v>0.1</v>
      </c>
      <c r="Q7" s="54">
        <v>0</v>
      </c>
      <c r="R7" s="57" t="s">
        <v>98</v>
      </c>
      <c r="T7" s="57" t="s">
        <v>484</v>
      </c>
      <c r="U7" s="275">
        <f t="shared" si="2"/>
        <v>0</v>
      </c>
      <c r="X7" t="s">
        <v>493</v>
      </c>
      <c r="AE7" s="267" t="s">
        <v>381</v>
      </c>
      <c r="AF7" s="271">
        <f>((AF4/1000)*AF5*POWER(10,6)/(8.31*(AF6+273)))</f>
        <v>3.9715162852025276</v>
      </c>
      <c r="AG7" s="267" t="s">
        <v>382</v>
      </c>
    </row>
    <row r="8" spans="1:45" ht="15" thickBot="1" x14ac:dyDescent="0.35">
      <c r="A8" s="348"/>
      <c r="B8" t="s">
        <v>570</v>
      </c>
      <c r="C8" s="47">
        <v>1</v>
      </c>
      <c r="D8" s="331">
        <v>6.5000000000000002E-2</v>
      </c>
      <c r="E8" s="331">
        <v>6.5000000000000002E-2</v>
      </c>
      <c r="F8" s="47" t="s">
        <v>374</v>
      </c>
      <c r="G8" s="266" t="s">
        <v>608</v>
      </c>
      <c r="H8" s="266" t="s">
        <v>494</v>
      </c>
      <c r="I8" s="50">
        <f t="shared" si="0"/>
        <v>1.4137166941154067E-2</v>
      </c>
      <c r="J8" s="51">
        <v>20</v>
      </c>
      <c r="K8" s="49">
        <v>30</v>
      </c>
      <c r="L8" s="204">
        <v>0</v>
      </c>
      <c r="M8" s="278">
        <v>5.1999999999999998E-2</v>
      </c>
      <c r="N8" s="279">
        <v>0.86099999999999999</v>
      </c>
      <c r="O8" s="280">
        <v>25</v>
      </c>
      <c r="P8" s="281">
        <v>0.1</v>
      </c>
      <c r="Q8" s="54">
        <v>0</v>
      </c>
      <c r="R8" s="57" t="s">
        <v>98</v>
      </c>
      <c r="T8" s="57"/>
      <c r="U8" s="275"/>
      <c r="X8" t="s">
        <v>486</v>
      </c>
    </row>
    <row r="9" spans="1:45" ht="15" thickBot="1" x14ac:dyDescent="0.35">
      <c r="A9" s="348"/>
      <c r="B9" t="s">
        <v>571</v>
      </c>
      <c r="C9" s="47">
        <v>1</v>
      </c>
      <c r="D9" s="331">
        <v>0.06</v>
      </c>
      <c r="E9" s="331">
        <v>0.06</v>
      </c>
      <c r="F9" s="47" t="s">
        <v>374</v>
      </c>
      <c r="G9" s="266" t="s">
        <v>608</v>
      </c>
      <c r="H9" s="266" t="s">
        <v>494</v>
      </c>
      <c r="I9" s="50">
        <f t="shared" si="0"/>
        <v>1.4137166941154067E-2</v>
      </c>
      <c r="J9" s="51">
        <v>20</v>
      </c>
      <c r="K9" s="49">
        <v>30</v>
      </c>
      <c r="L9" s="204">
        <v>0</v>
      </c>
      <c r="M9" s="278">
        <v>5.1999999999999998E-2</v>
      </c>
      <c r="N9" s="279">
        <v>0.86099999999999999</v>
      </c>
      <c r="O9" s="280">
        <v>25</v>
      </c>
      <c r="P9" s="281">
        <v>0.1</v>
      </c>
      <c r="Q9" s="54">
        <v>0</v>
      </c>
      <c r="R9" s="57" t="s">
        <v>98</v>
      </c>
      <c r="T9" s="57"/>
      <c r="U9" s="275"/>
      <c r="W9" s="277"/>
      <c r="X9" t="s">
        <v>487</v>
      </c>
    </row>
    <row r="10" spans="1:45" ht="30.6" customHeight="1" thickBot="1" x14ac:dyDescent="0.35">
      <c r="A10" s="348"/>
      <c r="B10" t="s">
        <v>572</v>
      </c>
      <c r="C10" s="47">
        <v>1</v>
      </c>
      <c r="D10" s="331">
        <v>0.182</v>
      </c>
      <c r="E10" s="331">
        <v>0.182</v>
      </c>
      <c r="F10" s="47" t="s">
        <v>374</v>
      </c>
      <c r="G10" s="266" t="s">
        <v>608</v>
      </c>
      <c r="H10" s="266" t="s">
        <v>494</v>
      </c>
      <c r="I10" s="50">
        <f t="shared" si="0"/>
        <v>1.4137166941154067E-2</v>
      </c>
      <c r="J10" s="51">
        <v>20</v>
      </c>
      <c r="K10" s="49">
        <v>30</v>
      </c>
      <c r="L10" s="204">
        <v>0</v>
      </c>
      <c r="M10" s="278">
        <v>5.1999999999999998E-2</v>
      </c>
      <c r="N10" s="279">
        <v>0.86099999999999999</v>
      </c>
      <c r="O10" s="280">
        <v>25</v>
      </c>
      <c r="P10" s="281">
        <v>0.1</v>
      </c>
      <c r="Q10" s="54">
        <v>0</v>
      </c>
      <c r="R10" s="57" t="s">
        <v>98</v>
      </c>
      <c r="T10" s="276"/>
      <c r="U10" s="275"/>
      <c r="X10" t="s">
        <v>488</v>
      </c>
    </row>
    <row r="11" spans="1:45" ht="46.2" customHeight="1" x14ac:dyDescent="0.3">
      <c r="A11" s="348"/>
      <c r="B11" t="s">
        <v>573</v>
      </c>
      <c r="C11" s="47">
        <v>1</v>
      </c>
      <c r="D11" s="331">
        <v>0.38300000000000001</v>
      </c>
      <c r="E11" s="331">
        <v>0.38300000000000001</v>
      </c>
      <c r="F11" s="47" t="s">
        <v>374</v>
      </c>
      <c r="G11" s="266" t="s">
        <v>608</v>
      </c>
      <c r="H11" s="266" t="s">
        <v>494</v>
      </c>
      <c r="I11" s="50">
        <f t="shared" si="0"/>
        <v>1.4137166941154067E-2</v>
      </c>
      <c r="J11" s="51">
        <v>20</v>
      </c>
      <c r="K11" s="49">
        <v>30</v>
      </c>
      <c r="L11" s="204">
        <v>0</v>
      </c>
      <c r="M11" s="278">
        <v>5.1999999999999998E-2</v>
      </c>
      <c r="N11" s="279">
        <v>0.86099999999999999</v>
      </c>
      <c r="O11" s="280">
        <v>25</v>
      </c>
      <c r="P11" s="281">
        <v>0.1</v>
      </c>
      <c r="Q11" s="54">
        <v>0</v>
      </c>
      <c r="R11" s="57" t="s">
        <v>98</v>
      </c>
      <c r="T11" s="276"/>
      <c r="U11" s="275"/>
      <c r="X11" t="s">
        <v>489</v>
      </c>
      <c r="AC11" s="48" t="s">
        <v>420</v>
      </c>
      <c r="AD11" s="47">
        <v>1</v>
      </c>
      <c r="AE11" s="274">
        <f t="shared" ref="AE11" si="3">AP11*AQ11*AO11+AP11*(1-AQ11)*AN11+IF(AG11="г.ф.",AN11*AJ11,AO11*AJ11)</f>
        <v>148.94</v>
      </c>
      <c r="AF11" s="274">
        <f t="shared" ref="AF11" si="4">AE11*AD11</f>
        <v>148.94</v>
      </c>
      <c r="AG11" s="47" t="s">
        <v>372</v>
      </c>
      <c r="AH11" s="17">
        <v>1.6</v>
      </c>
      <c r="AI11" s="266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x14ac:dyDescent="0.3">
      <c r="A12" s="348"/>
      <c r="B12" t="s">
        <v>574</v>
      </c>
      <c r="C12" s="47">
        <v>1</v>
      </c>
      <c r="D12" s="331">
        <v>0.04</v>
      </c>
      <c r="E12" s="331">
        <v>0.04</v>
      </c>
      <c r="F12" s="47" t="s">
        <v>374</v>
      </c>
      <c r="G12" s="266" t="s">
        <v>608</v>
      </c>
      <c r="H12" s="266" t="s">
        <v>494</v>
      </c>
      <c r="I12" s="50">
        <f t="shared" si="0"/>
        <v>1.4137166941154067E-2</v>
      </c>
      <c r="J12" s="51">
        <v>20</v>
      </c>
      <c r="K12" s="49">
        <v>30</v>
      </c>
      <c r="L12" s="204">
        <v>0</v>
      </c>
      <c r="M12" s="278">
        <v>5.1999999999999998E-2</v>
      </c>
      <c r="N12" s="279">
        <v>0.86099999999999999</v>
      </c>
      <c r="O12" s="280">
        <v>25</v>
      </c>
      <c r="P12" s="281">
        <v>0.1</v>
      </c>
      <c r="Q12" s="54">
        <v>0</v>
      </c>
      <c r="R12" s="57" t="s">
        <v>98</v>
      </c>
      <c r="X12" t="s">
        <v>490</v>
      </c>
    </row>
    <row r="13" spans="1:45" x14ac:dyDescent="0.3">
      <c r="A13" s="348"/>
      <c r="B13" t="s">
        <v>575</v>
      </c>
      <c r="C13" s="47">
        <v>1</v>
      </c>
      <c r="D13" s="331">
        <v>6.6000000000000003E-2</v>
      </c>
      <c r="E13" s="331">
        <v>6.6000000000000003E-2</v>
      </c>
      <c r="F13" s="47" t="s">
        <v>374</v>
      </c>
      <c r="G13" s="266" t="s">
        <v>608</v>
      </c>
      <c r="H13" s="266" t="s">
        <v>494</v>
      </c>
      <c r="I13" s="50">
        <f t="shared" si="0"/>
        <v>1.4137166941154067E-2</v>
      </c>
      <c r="J13" s="51">
        <v>20</v>
      </c>
      <c r="K13" s="49">
        <v>30</v>
      </c>
      <c r="L13" s="204">
        <v>0</v>
      </c>
      <c r="M13" s="278">
        <v>5.1999999999999998E-2</v>
      </c>
      <c r="N13" s="279">
        <v>0.86099999999999999</v>
      </c>
      <c r="O13" s="280">
        <v>25</v>
      </c>
      <c r="P13" s="281">
        <v>0.1</v>
      </c>
      <c r="Q13" s="54">
        <v>0</v>
      </c>
      <c r="R13" s="57" t="s">
        <v>98</v>
      </c>
      <c r="X13" t="s">
        <v>491</v>
      </c>
    </row>
    <row r="14" spans="1:45" x14ac:dyDescent="0.3">
      <c r="A14" s="348"/>
      <c r="B14" t="s">
        <v>576</v>
      </c>
      <c r="C14" s="47">
        <v>1</v>
      </c>
      <c r="D14" s="331">
        <v>0.13400000000000001</v>
      </c>
      <c r="E14" s="331">
        <v>0.13400000000000001</v>
      </c>
      <c r="F14" s="47" t="s">
        <v>374</v>
      </c>
      <c r="G14" s="266" t="s">
        <v>608</v>
      </c>
      <c r="H14" s="266" t="s">
        <v>494</v>
      </c>
      <c r="I14" s="50">
        <f t="shared" si="0"/>
        <v>1.4137166941154067E-2</v>
      </c>
      <c r="J14" s="51">
        <v>20</v>
      </c>
      <c r="K14" s="49">
        <v>30</v>
      </c>
      <c r="L14" s="204">
        <v>0</v>
      </c>
      <c r="M14" s="278">
        <v>5.1999999999999998E-2</v>
      </c>
      <c r="N14" s="279">
        <v>0.86099999999999999</v>
      </c>
      <c r="O14" s="280">
        <v>25</v>
      </c>
      <c r="P14" s="281">
        <v>0.1</v>
      </c>
      <c r="Q14" s="54">
        <v>0</v>
      </c>
      <c r="R14" s="57" t="s">
        <v>98</v>
      </c>
      <c r="X14" t="s">
        <v>492</v>
      </c>
    </row>
    <row r="15" spans="1:45" x14ac:dyDescent="0.3">
      <c r="A15" s="348"/>
      <c r="B15" t="s">
        <v>577</v>
      </c>
      <c r="C15" s="47">
        <v>1</v>
      </c>
      <c r="D15" s="331">
        <v>0.153</v>
      </c>
      <c r="E15" s="331">
        <v>0.153</v>
      </c>
      <c r="F15" s="47" t="s">
        <v>374</v>
      </c>
      <c r="G15" s="266" t="s">
        <v>608</v>
      </c>
      <c r="H15" s="266" t="s">
        <v>494</v>
      </c>
      <c r="I15" s="50">
        <f t="shared" si="0"/>
        <v>1.4137166941154067E-2</v>
      </c>
      <c r="J15" s="51">
        <v>20</v>
      </c>
      <c r="K15" s="49">
        <v>30</v>
      </c>
      <c r="L15" s="204">
        <v>0</v>
      </c>
      <c r="M15" s="278">
        <v>5.1999999999999998E-2</v>
      </c>
      <c r="N15" s="279">
        <v>0.86099999999999999</v>
      </c>
      <c r="O15" s="280">
        <v>25</v>
      </c>
      <c r="P15" s="281">
        <v>0.1</v>
      </c>
      <c r="Q15" s="54">
        <v>0</v>
      </c>
      <c r="R15" s="57" t="s">
        <v>98</v>
      </c>
    </row>
    <row r="16" spans="1:45" x14ac:dyDescent="0.3">
      <c r="A16" s="348"/>
      <c r="B16" t="s">
        <v>578</v>
      </c>
      <c r="C16" s="47">
        <v>1</v>
      </c>
      <c r="D16" s="331">
        <v>0.123</v>
      </c>
      <c r="E16" s="331">
        <v>0.123</v>
      </c>
      <c r="F16" s="47" t="s">
        <v>374</v>
      </c>
      <c r="G16" s="266" t="s">
        <v>608</v>
      </c>
      <c r="H16" s="266" t="s">
        <v>494</v>
      </c>
      <c r="I16" s="50">
        <f t="shared" si="0"/>
        <v>1.4137166941154067E-2</v>
      </c>
      <c r="J16" s="51">
        <v>20</v>
      </c>
      <c r="K16" s="49">
        <v>30</v>
      </c>
      <c r="L16" s="204">
        <v>0</v>
      </c>
      <c r="M16" s="278">
        <v>5.1999999999999998E-2</v>
      </c>
      <c r="N16" s="279">
        <v>0.86099999999999999</v>
      </c>
      <c r="O16" s="280">
        <v>25</v>
      </c>
      <c r="P16" s="281">
        <v>0.1</v>
      </c>
      <c r="Q16" s="54">
        <v>0</v>
      </c>
      <c r="R16" s="57" t="s">
        <v>98</v>
      </c>
    </row>
    <row r="17" spans="1:25" x14ac:dyDescent="0.3">
      <c r="A17" s="348"/>
      <c r="B17" t="s">
        <v>579</v>
      </c>
      <c r="C17" s="47">
        <v>1</v>
      </c>
      <c r="D17" s="331">
        <v>7.6499999999999999E-2</v>
      </c>
      <c r="E17" s="331">
        <v>7.6499999999999999E-2</v>
      </c>
      <c r="F17" s="47" t="s">
        <v>374</v>
      </c>
      <c r="G17" s="266" t="s">
        <v>608</v>
      </c>
      <c r="H17" s="266" t="s">
        <v>494</v>
      </c>
      <c r="I17" s="50">
        <f t="shared" si="0"/>
        <v>1.4137166941154067E-2</v>
      </c>
      <c r="J17" s="51">
        <v>20</v>
      </c>
      <c r="K17" s="49">
        <v>30</v>
      </c>
      <c r="L17" s="204">
        <v>0</v>
      </c>
      <c r="M17" s="278">
        <v>5.1999999999999998E-2</v>
      </c>
      <c r="N17" s="279">
        <v>0.86099999999999999</v>
      </c>
      <c r="O17" s="280">
        <v>25</v>
      </c>
      <c r="P17" s="281">
        <v>0.1</v>
      </c>
      <c r="Q17" s="54">
        <v>0</v>
      </c>
      <c r="R17" s="57" t="s">
        <v>98</v>
      </c>
      <c r="T17" t="s">
        <v>376</v>
      </c>
    </row>
    <row r="18" spans="1:25" x14ac:dyDescent="0.3">
      <c r="A18" s="348"/>
      <c r="B18" t="s">
        <v>580</v>
      </c>
      <c r="C18" s="47">
        <v>1</v>
      </c>
      <c r="D18" s="331">
        <v>6.8000000000000005E-2</v>
      </c>
      <c r="E18" s="331">
        <v>6.8000000000000005E-2</v>
      </c>
      <c r="F18" s="47" t="s">
        <v>374</v>
      </c>
      <c r="G18" s="266" t="s">
        <v>608</v>
      </c>
      <c r="H18" s="266" t="s">
        <v>494</v>
      </c>
      <c r="I18" s="50">
        <f t="shared" si="0"/>
        <v>1.4137166941154067E-2</v>
      </c>
      <c r="J18" s="51">
        <v>20</v>
      </c>
      <c r="K18" s="49">
        <v>30</v>
      </c>
      <c r="L18" s="204">
        <v>0</v>
      </c>
      <c r="M18" s="278">
        <v>5.1999999999999998E-2</v>
      </c>
      <c r="N18" s="279">
        <v>0.86099999999999999</v>
      </c>
      <c r="O18" s="280">
        <v>25</v>
      </c>
      <c r="P18" s="281">
        <v>0.1</v>
      </c>
      <c r="Q18" s="54">
        <v>0</v>
      </c>
      <c r="R18" s="57" t="s">
        <v>98</v>
      </c>
      <c r="Y18" s="7"/>
    </row>
    <row r="19" spans="1:25" x14ac:dyDescent="0.3">
      <c r="A19" s="348"/>
      <c r="B19" t="s">
        <v>581</v>
      </c>
      <c r="C19" s="47">
        <v>1</v>
      </c>
      <c r="D19" s="331">
        <v>0.10100000000000001</v>
      </c>
      <c r="E19" s="331">
        <v>0.10100000000000001</v>
      </c>
      <c r="F19" s="47" t="s">
        <v>374</v>
      </c>
      <c r="G19" s="266" t="s">
        <v>608</v>
      </c>
      <c r="H19" s="266" t="s">
        <v>494</v>
      </c>
      <c r="I19" s="50">
        <f t="shared" si="0"/>
        <v>1.4137166941154067E-2</v>
      </c>
      <c r="J19" s="51">
        <v>20</v>
      </c>
      <c r="K19" s="49">
        <v>30</v>
      </c>
      <c r="L19" s="204">
        <v>0</v>
      </c>
      <c r="M19" s="278">
        <v>5.1999999999999998E-2</v>
      </c>
      <c r="N19" s="279">
        <v>0.86099999999999999</v>
      </c>
      <c r="O19" s="280">
        <v>25</v>
      </c>
      <c r="P19" s="281">
        <v>0.1</v>
      </c>
      <c r="Q19" s="54">
        <v>0</v>
      </c>
      <c r="R19" s="57" t="s">
        <v>98</v>
      </c>
      <c r="Y19" s="7"/>
    </row>
    <row r="20" spans="1:25" x14ac:dyDescent="0.3">
      <c r="A20" s="348"/>
      <c r="B20" t="s">
        <v>582</v>
      </c>
      <c r="C20" s="47">
        <v>1</v>
      </c>
      <c r="D20" s="331">
        <v>7.5999999999999998E-2</v>
      </c>
      <c r="E20" s="331">
        <v>7.5999999999999998E-2</v>
      </c>
      <c r="F20" s="47" t="s">
        <v>374</v>
      </c>
      <c r="G20" s="266" t="s">
        <v>608</v>
      </c>
      <c r="H20" s="266" t="s">
        <v>494</v>
      </c>
      <c r="I20" s="50">
        <f t="shared" si="0"/>
        <v>1.4137166941154067E-2</v>
      </c>
      <c r="J20" s="51">
        <v>20</v>
      </c>
      <c r="K20" s="49">
        <v>30</v>
      </c>
      <c r="L20" s="204">
        <v>0</v>
      </c>
      <c r="M20" s="278">
        <v>5.1999999999999998E-2</v>
      </c>
      <c r="N20" s="279">
        <v>0.86099999999999999</v>
      </c>
      <c r="O20" s="280">
        <v>25</v>
      </c>
      <c r="P20" s="281">
        <v>0.1</v>
      </c>
      <c r="Q20" s="54">
        <v>0</v>
      </c>
      <c r="R20" s="57" t="s">
        <v>98</v>
      </c>
      <c r="Y20" s="7"/>
    </row>
    <row r="21" spans="1:25" x14ac:dyDescent="0.3">
      <c r="A21" s="348"/>
      <c r="B21" t="s">
        <v>583</v>
      </c>
      <c r="C21" s="47">
        <v>1</v>
      </c>
      <c r="D21" s="331">
        <v>0.125</v>
      </c>
      <c r="E21" s="331">
        <v>0.125</v>
      </c>
      <c r="F21" s="47" t="s">
        <v>374</v>
      </c>
      <c r="G21" s="266" t="s">
        <v>608</v>
      </c>
      <c r="H21" s="266" t="s">
        <v>494</v>
      </c>
      <c r="I21" s="50">
        <f t="shared" si="0"/>
        <v>1.4137166941154067E-2</v>
      </c>
      <c r="J21" s="51">
        <v>20</v>
      </c>
      <c r="K21" s="49">
        <v>30</v>
      </c>
      <c r="L21" s="204">
        <v>0</v>
      </c>
      <c r="M21" s="278">
        <v>5.1999999999999998E-2</v>
      </c>
      <c r="N21" s="279">
        <v>0.86099999999999999</v>
      </c>
      <c r="O21" s="280">
        <v>25</v>
      </c>
      <c r="P21" s="281">
        <v>0.1</v>
      </c>
      <c r="Q21" s="54">
        <v>0</v>
      </c>
      <c r="R21" s="57" t="s">
        <v>98</v>
      </c>
      <c r="Y21" s="7"/>
    </row>
    <row r="22" spans="1:25" x14ac:dyDescent="0.3">
      <c r="A22" s="348"/>
      <c r="B22" t="s">
        <v>584</v>
      </c>
      <c r="C22" s="47">
        <v>1</v>
      </c>
      <c r="D22" s="331">
        <v>7.5999999999999998E-2</v>
      </c>
      <c r="E22" s="331">
        <v>7.5999999999999998E-2</v>
      </c>
      <c r="F22" s="47" t="s">
        <v>374</v>
      </c>
      <c r="G22" s="266" t="s">
        <v>608</v>
      </c>
      <c r="H22" s="266" t="s">
        <v>494</v>
      </c>
      <c r="I22" s="50">
        <f t="shared" si="0"/>
        <v>1.4137166941154067E-2</v>
      </c>
      <c r="J22" s="51">
        <v>20</v>
      </c>
      <c r="K22" s="49">
        <v>30</v>
      </c>
      <c r="L22" s="204">
        <v>0</v>
      </c>
      <c r="M22" s="278">
        <v>5.1999999999999998E-2</v>
      </c>
      <c r="N22" s="279">
        <v>0.86099999999999999</v>
      </c>
      <c r="O22" s="280">
        <v>25</v>
      </c>
      <c r="P22" s="281">
        <v>0.1</v>
      </c>
      <c r="Q22" s="54">
        <v>0</v>
      </c>
      <c r="R22" s="57" t="s">
        <v>98</v>
      </c>
    </row>
    <row r="23" spans="1:25" x14ac:dyDescent="0.3">
      <c r="A23" s="348"/>
      <c r="B23" t="s">
        <v>585</v>
      </c>
      <c r="C23" s="47">
        <v>1</v>
      </c>
      <c r="D23" s="331">
        <v>0.121</v>
      </c>
      <c r="E23" s="331">
        <v>0.121</v>
      </c>
      <c r="F23" s="47" t="s">
        <v>374</v>
      </c>
      <c r="G23" s="266" t="s">
        <v>608</v>
      </c>
      <c r="H23" s="266" t="s">
        <v>494</v>
      </c>
      <c r="I23" s="50">
        <f t="shared" si="0"/>
        <v>1.4137166941154067E-2</v>
      </c>
      <c r="J23" s="51">
        <v>20</v>
      </c>
      <c r="K23" s="49">
        <v>30</v>
      </c>
      <c r="L23" s="204">
        <v>0</v>
      </c>
      <c r="M23" s="278">
        <v>5.1999999999999998E-2</v>
      </c>
      <c r="N23" s="279">
        <v>0.86099999999999999</v>
      </c>
      <c r="O23" s="280">
        <v>25</v>
      </c>
      <c r="P23" s="281">
        <v>0.1</v>
      </c>
      <c r="Q23" s="54">
        <v>0</v>
      </c>
      <c r="R23" s="57" t="s">
        <v>98</v>
      </c>
    </row>
    <row r="24" spans="1:25" x14ac:dyDescent="0.3">
      <c r="A24" s="348"/>
      <c r="B24" t="s">
        <v>586</v>
      </c>
      <c r="C24" s="47">
        <v>1</v>
      </c>
      <c r="D24" s="331">
        <v>21.283999999999999</v>
      </c>
      <c r="E24" s="331">
        <v>21.283999999999999</v>
      </c>
      <c r="F24" s="47" t="s">
        <v>374</v>
      </c>
      <c r="G24" s="266" t="s">
        <v>608</v>
      </c>
      <c r="H24" s="266" t="s">
        <v>494</v>
      </c>
      <c r="I24" s="50">
        <f t="shared" si="0"/>
        <v>1.4137166941154067E-2</v>
      </c>
      <c r="J24" s="51">
        <v>20</v>
      </c>
      <c r="K24" s="49">
        <v>30</v>
      </c>
      <c r="L24" s="204">
        <v>0</v>
      </c>
      <c r="M24" s="278">
        <v>5.1999999999999998E-2</v>
      </c>
      <c r="N24" s="279">
        <v>0.86099999999999999</v>
      </c>
      <c r="O24" s="280">
        <v>25</v>
      </c>
      <c r="P24" s="281">
        <v>0.1</v>
      </c>
      <c r="Q24" s="54">
        <v>0</v>
      </c>
      <c r="R24" s="57" t="s">
        <v>98</v>
      </c>
    </row>
    <row r="25" spans="1:25" x14ac:dyDescent="0.3">
      <c r="A25" s="348"/>
      <c r="B25" t="s">
        <v>587</v>
      </c>
      <c r="C25" s="47">
        <v>1</v>
      </c>
      <c r="D25" s="331">
        <v>63.726999999999997</v>
      </c>
      <c r="E25" s="331">
        <v>63.726999999999997</v>
      </c>
      <c r="F25" s="47" t="s">
        <v>374</v>
      </c>
      <c r="G25" s="266" t="s">
        <v>608</v>
      </c>
      <c r="H25" s="266" t="s">
        <v>494</v>
      </c>
      <c r="I25" s="50">
        <f t="shared" si="0"/>
        <v>1.4137166941154067E-2</v>
      </c>
      <c r="J25" s="51">
        <v>20</v>
      </c>
      <c r="K25" s="49">
        <v>30</v>
      </c>
      <c r="L25" s="204">
        <v>0</v>
      </c>
      <c r="M25" s="278">
        <v>5.1999999999999998E-2</v>
      </c>
      <c r="N25" s="279">
        <v>0.86099999999999999</v>
      </c>
      <c r="O25" s="280">
        <v>25</v>
      </c>
      <c r="P25" s="281">
        <v>0.1</v>
      </c>
      <c r="Q25" s="54">
        <v>0</v>
      </c>
      <c r="R25" s="57" t="s">
        <v>98</v>
      </c>
    </row>
    <row r="26" spans="1:25" x14ac:dyDescent="0.3">
      <c r="A26" s="348"/>
      <c r="B26" t="s">
        <v>588</v>
      </c>
      <c r="C26" s="47">
        <v>1</v>
      </c>
      <c r="D26" s="331">
        <v>0.34399999999999997</v>
      </c>
      <c r="E26" s="331">
        <v>0.34399999999999997</v>
      </c>
      <c r="F26" s="47" t="s">
        <v>374</v>
      </c>
      <c r="G26" s="266" t="s">
        <v>608</v>
      </c>
      <c r="H26" s="266" t="s">
        <v>494</v>
      </c>
      <c r="I26" s="50">
        <f t="shared" si="0"/>
        <v>1.4137166941154067E-2</v>
      </c>
      <c r="J26" s="51">
        <v>20</v>
      </c>
      <c r="K26" s="49">
        <v>30</v>
      </c>
      <c r="L26" s="204">
        <v>0</v>
      </c>
      <c r="M26" s="278">
        <v>5.1999999999999998E-2</v>
      </c>
      <c r="N26" s="279">
        <v>0.86099999999999999</v>
      </c>
      <c r="O26" s="280">
        <v>25</v>
      </c>
      <c r="P26" s="281">
        <v>0.1</v>
      </c>
      <c r="Q26" s="54">
        <v>0</v>
      </c>
      <c r="R26" s="57" t="s">
        <v>98</v>
      </c>
    </row>
    <row r="27" spans="1:25" x14ac:dyDescent="0.3">
      <c r="A27" s="348"/>
      <c r="B27" t="s">
        <v>589</v>
      </c>
      <c r="C27" s="47">
        <v>1</v>
      </c>
      <c r="D27" s="331">
        <v>25.423999999999999</v>
      </c>
      <c r="E27" s="331">
        <v>25.423999999999999</v>
      </c>
      <c r="F27" s="47" t="s">
        <v>374</v>
      </c>
      <c r="G27" s="266" t="s">
        <v>608</v>
      </c>
      <c r="H27" s="266" t="s">
        <v>494</v>
      </c>
      <c r="I27" s="50">
        <f t="shared" si="0"/>
        <v>1.4137166941154067E-2</v>
      </c>
      <c r="J27" s="51">
        <v>20</v>
      </c>
      <c r="K27" s="49">
        <v>30</v>
      </c>
      <c r="L27" s="204">
        <v>0</v>
      </c>
      <c r="M27" s="278">
        <v>5.1999999999999998E-2</v>
      </c>
      <c r="N27" s="279">
        <v>0.86099999999999999</v>
      </c>
      <c r="O27" s="280">
        <v>25</v>
      </c>
      <c r="P27" s="281">
        <v>0.1</v>
      </c>
      <c r="Q27" s="54">
        <v>0</v>
      </c>
      <c r="R27" s="57" t="s">
        <v>98</v>
      </c>
    </row>
    <row r="28" spans="1:25" x14ac:dyDescent="0.3">
      <c r="A28" s="348"/>
      <c r="B28" t="s">
        <v>590</v>
      </c>
      <c r="C28" s="47">
        <v>1</v>
      </c>
      <c r="D28" s="331">
        <v>1.006</v>
      </c>
      <c r="E28" s="331">
        <v>1.006</v>
      </c>
      <c r="F28" s="47" t="s">
        <v>374</v>
      </c>
      <c r="G28" s="266" t="s">
        <v>608</v>
      </c>
      <c r="H28" s="266" t="s">
        <v>494</v>
      </c>
      <c r="I28" s="50">
        <f t="shared" si="0"/>
        <v>1.4137166941154067E-2</v>
      </c>
      <c r="J28" s="51">
        <v>20</v>
      </c>
      <c r="K28" s="49">
        <v>30</v>
      </c>
      <c r="L28" s="204">
        <v>0</v>
      </c>
      <c r="M28" s="278">
        <v>5.1999999999999998E-2</v>
      </c>
      <c r="N28" s="279">
        <v>0.86099999999999999</v>
      </c>
      <c r="O28" s="280">
        <v>25</v>
      </c>
      <c r="P28" s="281">
        <v>0.1</v>
      </c>
      <c r="Q28" s="54">
        <v>0</v>
      </c>
      <c r="R28" s="57" t="s">
        <v>98</v>
      </c>
    </row>
    <row r="29" spans="1:25" x14ac:dyDescent="0.3">
      <c r="A29" s="348"/>
      <c r="B29" t="s">
        <v>591</v>
      </c>
      <c r="C29" s="47">
        <v>1</v>
      </c>
      <c r="D29" s="331">
        <v>12.067</v>
      </c>
      <c r="E29" s="331">
        <v>12.067</v>
      </c>
      <c r="F29" s="47" t="s">
        <v>374</v>
      </c>
      <c r="G29" s="266" t="s">
        <v>608</v>
      </c>
      <c r="H29" s="266" t="s">
        <v>494</v>
      </c>
      <c r="I29" s="50">
        <f t="shared" si="0"/>
        <v>1.4137166941154067E-2</v>
      </c>
      <c r="J29" s="51">
        <v>20</v>
      </c>
      <c r="K29" s="49">
        <v>30</v>
      </c>
      <c r="L29" s="204">
        <v>0</v>
      </c>
      <c r="M29" s="278">
        <v>5.1999999999999998E-2</v>
      </c>
      <c r="N29" s="279">
        <v>0.86099999999999999</v>
      </c>
      <c r="O29" s="280">
        <v>25</v>
      </c>
      <c r="P29" s="281">
        <v>0.1</v>
      </c>
      <c r="Q29" s="54">
        <v>0</v>
      </c>
      <c r="R29" s="57" t="s">
        <v>98</v>
      </c>
    </row>
    <row r="30" spans="1:25" x14ac:dyDescent="0.3">
      <c r="A30" s="348"/>
      <c r="B30" t="s">
        <v>592</v>
      </c>
      <c r="C30" s="47">
        <v>1</v>
      </c>
      <c r="D30" s="331">
        <v>0.23200000000000001</v>
      </c>
      <c r="E30" s="331">
        <v>0.23200000000000001</v>
      </c>
      <c r="F30" s="47" t="s">
        <v>374</v>
      </c>
      <c r="G30" s="266" t="s">
        <v>608</v>
      </c>
      <c r="H30" s="266" t="s">
        <v>494</v>
      </c>
      <c r="I30" s="50">
        <f t="shared" si="0"/>
        <v>1.4137166941154067E-2</v>
      </c>
      <c r="J30" s="51">
        <v>20</v>
      </c>
      <c r="K30" s="49">
        <v>30</v>
      </c>
      <c r="L30" s="204">
        <v>0</v>
      </c>
      <c r="M30" s="278">
        <v>5.1999999999999998E-2</v>
      </c>
      <c r="N30" s="279">
        <v>0.86099999999999999</v>
      </c>
      <c r="O30" s="280">
        <v>25</v>
      </c>
      <c r="P30" s="281">
        <v>0.1</v>
      </c>
      <c r="Q30" s="54">
        <v>0</v>
      </c>
      <c r="R30" s="57" t="s">
        <v>98</v>
      </c>
    </row>
    <row r="31" spans="1:25" x14ac:dyDescent="0.3">
      <c r="A31" s="348"/>
      <c r="B31" t="s">
        <v>593</v>
      </c>
      <c r="C31" s="47">
        <v>1</v>
      </c>
      <c r="D31" s="331">
        <v>59.256</v>
      </c>
      <c r="E31" s="331">
        <v>59.256</v>
      </c>
      <c r="F31" s="47" t="s">
        <v>374</v>
      </c>
      <c r="G31" s="266" t="s">
        <v>608</v>
      </c>
      <c r="H31" s="266" t="s">
        <v>494</v>
      </c>
      <c r="I31" s="50">
        <f t="shared" si="0"/>
        <v>1.4137166941154067E-2</v>
      </c>
      <c r="J31" s="51">
        <v>20</v>
      </c>
      <c r="K31" s="49">
        <v>30</v>
      </c>
      <c r="L31" s="204">
        <v>0</v>
      </c>
      <c r="M31" s="278">
        <v>5.1999999999999998E-2</v>
      </c>
      <c r="N31" s="279">
        <v>0.86099999999999999</v>
      </c>
      <c r="O31" s="280">
        <v>25</v>
      </c>
      <c r="P31" s="281">
        <v>0.1</v>
      </c>
      <c r="Q31" s="54">
        <v>0</v>
      </c>
      <c r="R31" s="57" t="s">
        <v>98</v>
      </c>
    </row>
    <row r="32" spans="1:25" x14ac:dyDescent="0.3">
      <c r="A32" s="348"/>
      <c r="B32" t="s">
        <v>594</v>
      </c>
      <c r="C32" s="47">
        <v>1</v>
      </c>
      <c r="D32" s="331">
        <v>651.10599999999999</v>
      </c>
      <c r="E32" s="331">
        <v>651.10599999999999</v>
      </c>
      <c r="F32" s="47" t="s">
        <v>374</v>
      </c>
      <c r="G32" s="266" t="s">
        <v>608</v>
      </c>
      <c r="H32" s="266">
        <v>50</v>
      </c>
      <c r="I32" s="50">
        <f t="shared" si="0"/>
        <v>1.4137166941154067E-2</v>
      </c>
      <c r="J32" s="51">
        <v>20</v>
      </c>
      <c r="K32" s="49">
        <v>30</v>
      </c>
      <c r="L32" s="204">
        <v>0</v>
      </c>
      <c r="M32" s="278">
        <v>5.1999999999999998E-2</v>
      </c>
      <c r="N32" s="279">
        <v>0.86099999999999999</v>
      </c>
      <c r="O32" s="280">
        <v>25</v>
      </c>
      <c r="P32" s="281">
        <v>0.1</v>
      </c>
      <c r="Q32" s="54">
        <v>0</v>
      </c>
      <c r="R32" s="57" t="s">
        <v>98</v>
      </c>
    </row>
    <row r="33" spans="1:20" x14ac:dyDescent="0.3">
      <c r="A33" s="348"/>
      <c r="B33" t="s">
        <v>595</v>
      </c>
      <c r="C33" s="47">
        <v>1</v>
      </c>
      <c r="D33" s="331">
        <v>0.56000000000000005</v>
      </c>
      <c r="E33" s="331">
        <v>0.56000000000000005</v>
      </c>
      <c r="F33" s="47" t="s">
        <v>372</v>
      </c>
      <c r="G33" s="266" t="s">
        <v>608</v>
      </c>
      <c r="H33" s="266">
        <v>50</v>
      </c>
      <c r="I33" s="50">
        <f t="shared" si="0"/>
        <v>1.4137166941154067E-2</v>
      </c>
      <c r="J33" s="51">
        <v>20</v>
      </c>
      <c r="K33" s="49">
        <v>30</v>
      </c>
      <c r="L33" s="204">
        <v>0</v>
      </c>
      <c r="M33" s="278">
        <v>5.1999999999999998E-2</v>
      </c>
      <c r="N33" s="279">
        <v>0.86099999999999999</v>
      </c>
      <c r="O33" s="280">
        <v>25</v>
      </c>
      <c r="P33" s="281">
        <v>0.1</v>
      </c>
      <c r="Q33" s="54">
        <v>0</v>
      </c>
      <c r="R33" s="57" t="s">
        <v>98</v>
      </c>
    </row>
    <row r="34" spans="1:20" x14ac:dyDescent="0.3">
      <c r="A34" s="348"/>
      <c r="B34" t="s">
        <v>596</v>
      </c>
      <c r="C34" s="47">
        <v>1</v>
      </c>
      <c r="D34" s="331">
        <v>0.127</v>
      </c>
      <c r="E34" s="331">
        <v>0.127</v>
      </c>
      <c r="F34" s="47" t="s">
        <v>374</v>
      </c>
      <c r="G34" s="266" t="s">
        <v>608</v>
      </c>
      <c r="H34" s="266" t="s">
        <v>494</v>
      </c>
      <c r="I34" s="50">
        <f t="shared" si="0"/>
        <v>1.4137166941154067E-2</v>
      </c>
      <c r="J34" s="51">
        <v>20</v>
      </c>
      <c r="K34" s="49">
        <v>30</v>
      </c>
      <c r="L34" s="204">
        <v>0</v>
      </c>
      <c r="M34" s="278">
        <v>5.1999999999999998E-2</v>
      </c>
      <c r="N34" s="279">
        <v>0.86099999999999999</v>
      </c>
      <c r="O34" s="280">
        <v>25</v>
      </c>
      <c r="P34" s="281">
        <v>0.1</v>
      </c>
      <c r="Q34" s="54">
        <v>0</v>
      </c>
      <c r="R34" s="57" t="s">
        <v>98</v>
      </c>
    </row>
    <row r="35" spans="1:20" ht="28.8" x14ac:dyDescent="0.3">
      <c r="A35" s="348"/>
      <c r="B35" s="7" t="s">
        <v>597</v>
      </c>
      <c r="C35" s="47">
        <v>1</v>
      </c>
      <c r="D35" s="331">
        <v>0.13500000000000001</v>
      </c>
      <c r="E35" s="331">
        <v>0.13500000000000001</v>
      </c>
      <c r="F35" s="47" t="s">
        <v>374</v>
      </c>
      <c r="G35" s="266" t="s">
        <v>608</v>
      </c>
      <c r="H35" s="266" t="s">
        <v>494</v>
      </c>
      <c r="I35" s="50">
        <f t="shared" si="0"/>
        <v>1.4137166941154067E-2</v>
      </c>
      <c r="J35" s="51">
        <v>20</v>
      </c>
      <c r="K35" s="49">
        <v>30</v>
      </c>
      <c r="L35" s="204">
        <v>0</v>
      </c>
      <c r="M35" s="278">
        <v>5.1999999999999998E-2</v>
      </c>
      <c r="N35" s="279">
        <v>0.86099999999999999</v>
      </c>
      <c r="O35" s="280">
        <v>25</v>
      </c>
      <c r="P35" s="281">
        <v>0.1</v>
      </c>
      <c r="Q35" s="54">
        <v>0</v>
      </c>
      <c r="R35" s="57" t="s">
        <v>98</v>
      </c>
    </row>
    <row r="36" spans="1:20" ht="28.8" x14ac:dyDescent="0.3">
      <c r="A36" s="348"/>
      <c r="B36" s="7" t="s">
        <v>598</v>
      </c>
      <c r="C36" s="47">
        <v>1</v>
      </c>
      <c r="D36" s="331">
        <v>0.13500000000000001</v>
      </c>
      <c r="E36" s="331">
        <v>0.13500000000000001</v>
      </c>
      <c r="F36" s="47" t="s">
        <v>374</v>
      </c>
      <c r="G36" s="266" t="s">
        <v>608</v>
      </c>
      <c r="H36" s="266" t="s">
        <v>494</v>
      </c>
      <c r="I36" s="50">
        <f>PI()*(POWER(K36/1000,2)/4)*J36</f>
        <v>1.4137166941154067E-2</v>
      </c>
      <c r="J36" s="51">
        <v>20</v>
      </c>
      <c r="K36" s="49">
        <v>30</v>
      </c>
      <c r="L36" s="204">
        <v>0</v>
      </c>
      <c r="M36" s="278">
        <v>5.1999999999999998E-2</v>
      </c>
      <c r="N36" s="279">
        <v>0.86099999999999999</v>
      </c>
      <c r="O36" s="280">
        <v>25</v>
      </c>
      <c r="P36" s="281">
        <v>0.1</v>
      </c>
      <c r="Q36" s="54">
        <v>0</v>
      </c>
      <c r="R36" s="57" t="s">
        <v>98</v>
      </c>
    </row>
    <row r="37" spans="1:20" x14ac:dyDescent="0.3">
      <c r="A37" s="348"/>
      <c r="B37" t="s">
        <v>599</v>
      </c>
      <c r="C37" s="47">
        <v>1</v>
      </c>
      <c r="D37" s="331">
        <v>0.127</v>
      </c>
      <c r="E37" s="331">
        <v>0.127</v>
      </c>
      <c r="F37" s="47" t="s">
        <v>374</v>
      </c>
      <c r="G37" s="266" t="s">
        <v>608</v>
      </c>
      <c r="H37" s="266" t="s">
        <v>494</v>
      </c>
      <c r="I37" s="50">
        <f t="shared" ref="I37:I45" si="5">PI()*(POWER(K37/1000,2)/4)*J37</f>
        <v>1.4137166941154067E-2</v>
      </c>
      <c r="J37" s="51">
        <v>20</v>
      </c>
      <c r="K37" s="49">
        <v>30</v>
      </c>
      <c r="L37" s="204">
        <v>0</v>
      </c>
      <c r="M37" s="278">
        <v>5.1999999999999998E-2</v>
      </c>
      <c r="N37" s="279">
        <v>0.86099999999999999</v>
      </c>
      <c r="O37" s="280">
        <v>25</v>
      </c>
      <c r="P37" s="281">
        <v>0.1</v>
      </c>
      <c r="Q37" s="54">
        <v>0</v>
      </c>
      <c r="R37" s="57" t="s">
        <v>98</v>
      </c>
    </row>
    <row r="38" spans="1:20" x14ac:dyDescent="0.3">
      <c r="A38" s="348"/>
      <c r="B38" t="s">
        <v>600</v>
      </c>
      <c r="C38" s="47">
        <v>1</v>
      </c>
      <c r="D38" s="331">
        <v>0.14000000000000001</v>
      </c>
      <c r="E38" s="331">
        <v>0.14000000000000001</v>
      </c>
      <c r="F38" s="47" t="s">
        <v>374</v>
      </c>
      <c r="G38" s="266" t="s">
        <v>608</v>
      </c>
      <c r="H38" s="266" t="s">
        <v>494</v>
      </c>
      <c r="I38" s="50">
        <f t="shared" si="5"/>
        <v>1.4137166941154067E-2</v>
      </c>
      <c r="J38" s="51">
        <v>20</v>
      </c>
      <c r="K38" s="49">
        <v>30</v>
      </c>
      <c r="L38" s="204">
        <v>0</v>
      </c>
      <c r="M38" s="278">
        <v>5.1999999999999998E-2</v>
      </c>
      <c r="N38" s="279">
        <v>0.86099999999999999</v>
      </c>
      <c r="O38" s="280">
        <v>25</v>
      </c>
      <c r="P38" s="281">
        <v>0.1</v>
      </c>
      <c r="Q38" s="54">
        <v>0</v>
      </c>
      <c r="R38" s="57" t="s">
        <v>98</v>
      </c>
    </row>
    <row r="39" spans="1:20" x14ac:dyDescent="0.3">
      <c r="A39" s="348"/>
      <c r="B39" t="s">
        <v>601</v>
      </c>
      <c r="C39" s="47">
        <v>1</v>
      </c>
      <c r="D39" s="331">
        <v>4.1000000000000002E-2</v>
      </c>
      <c r="E39" s="331">
        <v>4.1000000000000002E-2</v>
      </c>
      <c r="F39" s="47" t="s">
        <v>374</v>
      </c>
      <c r="G39" s="266" t="s">
        <v>608</v>
      </c>
      <c r="H39" s="266" t="s">
        <v>494</v>
      </c>
      <c r="I39" s="50">
        <f t="shared" si="5"/>
        <v>1.4137166941154067E-2</v>
      </c>
      <c r="J39" s="51">
        <v>20</v>
      </c>
      <c r="K39" s="49">
        <v>30</v>
      </c>
      <c r="L39" s="204">
        <v>0</v>
      </c>
      <c r="M39" s="278">
        <v>5.1999999999999998E-2</v>
      </c>
      <c r="N39" s="279">
        <v>0.86099999999999999</v>
      </c>
      <c r="O39" s="280">
        <v>25</v>
      </c>
      <c r="P39" s="281">
        <v>0.1</v>
      </c>
      <c r="Q39" s="54">
        <v>0</v>
      </c>
      <c r="R39" s="57" t="s">
        <v>98</v>
      </c>
    </row>
    <row r="40" spans="1:20" x14ac:dyDescent="0.3">
      <c r="A40" s="348"/>
      <c r="B40" t="s">
        <v>602</v>
      </c>
      <c r="C40" s="47">
        <v>1</v>
      </c>
      <c r="D40" s="331">
        <v>0.14000000000000001</v>
      </c>
      <c r="E40" s="331">
        <v>0.14000000000000001</v>
      </c>
      <c r="F40" s="47" t="s">
        <v>374</v>
      </c>
      <c r="G40" s="266" t="s">
        <v>608</v>
      </c>
      <c r="H40" s="266" t="s">
        <v>494</v>
      </c>
      <c r="I40" s="50">
        <f t="shared" si="5"/>
        <v>1.4137166941154067E-2</v>
      </c>
      <c r="J40" s="51">
        <v>20</v>
      </c>
      <c r="K40" s="49">
        <v>30</v>
      </c>
      <c r="L40" s="204">
        <v>0</v>
      </c>
      <c r="M40" s="278">
        <v>5.1999999999999998E-2</v>
      </c>
      <c r="N40" s="279">
        <v>0.86099999999999999</v>
      </c>
      <c r="O40" s="280">
        <v>25</v>
      </c>
      <c r="P40" s="281">
        <v>0.1</v>
      </c>
      <c r="Q40" s="54">
        <v>0</v>
      </c>
      <c r="R40" s="57" t="s">
        <v>98</v>
      </c>
    </row>
    <row r="41" spans="1:20" x14ac:dyDescent="0.3">
      <c r="A41" s="348"/>
      <c r="B41" t="s">
        <v>603</v>
      </c>
      <c r="C41" s="47">
        <v>1</v>
      </c>
      <c r="D41" s="331">
        <v>4.1000000000000002E-2</v>
      </c>
      <c r="E41" s="331">
        <v>4.1000000000000002E-2</v>
      </c>
      <c r="F41" s="47" t="s">
        <v>374</v>
      </c>
      <c r="G41" s="266" t="s">
        <v>608</v>
      </c>
      <c r="H41" s="266" t="s">
        <v>494</v>
      </c>
      <c r="I41" s="50">
        <f t="shared" si="5"/>
        <v>1.4137166941154067E-2</v>
      </c>
      <c r="J41" s="51">
        <v>20</v>
      </c>
      <c r="K41" s="49">
        <v>30</v>
      </c>
      <c r="L41" s="204">
        <v>0</v>
      </c>
      <c r="M41" s="278">
        <v>5.1999999999999998E-2</v>
      </c>
      <c r="N41" s="279">
        <v>0.86099999999999999</v>
      </c>
      <c r="O41" s="280">
        <v>25</v>
      </c>
      <c r="P41" s="281">
        <v>0.1</v>
      </c>
      <c r="Q41" s="54">
        <v>0</v>
      </c>
      <c r="R41" s="57" t="s">
        <v>98</v>
      </c>
    </row>
    <row r="42" spans="1:20" x14ac:dyDescent="0.3">
      <c r="A42" s="348"/>
      <c r="B42" t="s">
        <v>604</v>
      </c>
      <c r="C42" s="47">
        <v>1</v>
      </c>
      <c r="D42" s="331">
        <v>0.5</v>
      </c>
      <c r="E42" s="331">
        <v>0.5</v>
      </c>
      <c r="F42" s="47" t="s">
        <v>607</v>
      </c>
      <c r="G42" s="266">
        <v>6.3</v>
      </c>
      <c r="H42" s="266">
        <v>40</v>
      </c>
      <c r="I42" s="50">
        <f t="shared" si="5"/>
        <v>1.4137166941154067E-2</v>
      </c>
      <c r="J42" s="51">
        <v>20</v>
      </c>
      <c r="K42" s="49">
        <v>30</v>
      </c>
      <c r="L42" s="204">
        <v>0</v>
      </c>
      <c r="M42" s="278">
        <v>5.1999999999999998E-2</v>
      </c>
      <c r="N42" s="279">
        <v>0.86099999999999999</v>
      </c>
      <c r="O42" s="280">
        <v>25</v>
      </c>
      <c r="P42" s="281">
        <v>0.1</v>
      </c>
      <c r="Q42" s="54">
        <v>0</v>
      </c>
      <c r="R42" s="57" t="s">
        <v>98</v>
      </c>
    </row>
    <row r="43" spans="1:20" x14ac:dyDescent="0.3">
      <c r="A43" s="348"/>
      <c r="B43" t="s">
        <v>604</v>
      </c>
      <c r="C43" s="47">
        <v>1</v>
      </c>
      <c r="D43" s="331">
        <v>0.5</v>
      </c>
      <c r="E43" s="331">
        <v>0.5</v>
      </c>
      <c r="F43" s="47" t="s">
        <v>607</v>
      </c>
      <c r="G43" s="266">
        <v>6.3</v>
      </c>
      <c r="H43" s="266">
        <v>40</v>
      </c>
      <c r="I43" s="50">
        <f t="shared" si="5"/>
        <v>1.4137166941154067E-2</v>
      </c>
      <c r="J43" s="51">
        <v>20</v>
      </c>
      <c r="K43" s="49">
        <v>30</v>
      </c>
      <c r="L43" s="204">
        <v>0</v>
      </c>
      <c r="M43" s="278">
        <v>5.1999999999999998E-2</v>
      </c>
      <c r="N43" s="279">
        <v>0.86099999999999999</v>
      </c>
      <c r="O43" s="280">
        <v>25</v>
      </c>
      <c r="P43" s="281">
        <v>0.1</v>
      </c>
      <c r="Q43" s="54">
        <v>0</v>
      </c>
      <c r="R43" s="57" t="s">
        <v>98</v>
      </c>
    </row>
    <row r="44" spans="1:20" x14ac:dyDescent="0.3">
      <c r="A44" s="348"/>
      <c r="B44" t="s">
        <v>605</v>
      </c>
      <c r="C44" s="47">
        <v>1</v>
      </c>
      <c r="D44" s="331">
        <v>0.1</v>
      </c>
      <c r="E44" s="331">
        <v>0.1</v>
      </c>
      <c r="F44" s="47" t="s">
        <v>372</v>
      </c>
      <c r="G44" s="266">
        <v>0.4</v>
      </c>
      <c r="H44" s="266" t="s">
        <v>494</v>
      </c>
      <c r="I44" s="50">
        <f t="shared" si="5"/>
        <v>1.4137166941154067E-2</v>
      </c>
      <c r="J44" s="51">
        <v>20</v>
      </c>
      <c r="K44" s="49">
        <v>30</v>
      </c>
      <c r="L44" s="204">
        <v>0</v>
      </c>
      <c r="M44" s="278">
        <v>5.1999999999999998E-2</v>
      </c>
      <c r="N44" s="279">
        <v>0.86099999999999999</v>
      </c>
      <c r="O44" s="280">
        <v>25</v>
      </c>
      <c r="P44" s="281">
        <v>0.1</v>
      </c>
      <c r="Q44" s="54">
        <v>0</v>
      </c>
      <c r="R44" s="57" t="s">
        <v>98</v>
      </c>
    </row>
    <row r="45" spans="1:20" x14ac:dyDescent="0.3">
      <c r="A45" s="348"/>
      <c r="B45" t="s">
        <v>606</v>
      </c>
      <c r="C45" s="47">
        <v>1</v>
      </c>
      <c r="D45" s="331">
        <v>1.98</v>
      </c>
      <c r="E45" s="331">
        <v>1.98</v>
      </c>
      <c r="F45" s="47" t="s">
        <v>374</v>
      </c>
      <c r="G45" s="266">
        <v>0.01</v>
      </c>
      <c r="H45" s="266" t="s">
        <v>494</v>
      </c>
      <c r="I45" s="50">
        <f t="shared" si="5"/>
        <v>1.4137166941154067E-2</v>
      </c>
      <c r="J45" s="51">
        <v>20</v>
      </c>
      <c r="K45" s="49">
        <v>30</v>
      </c>
      <c r="L45" s="204">
        <v>0</v>
      </c>
      <c r="M45" s="278">
        <v>5.1999999999999998E-2</v>
      </c>
      <c r="N45" s="279">
        <v>0.86099999999999999</v>
      </c>
      <c r="O45" s="280">
        <v>25</v>
      </c>
      <c r="P45" s="281">
        <v>0.1</v>
      </c>
      <c r="Q45" s="54">
        <v>0</v>
      </c>
      <c r="R45" s="57" t="s">
        <v>98</v>
      </c>
    </row>
    <row r="46" spans="1:20" x14ac:dyDescent="0.3">
      <c r="A46" s="348"/>
      <c r="B46" s="48"/>
      <c r="C46" s="47"/>
      <c r="D46" s="332"/>
      <c r="E46" s="332"/>
      <c r="F46" s="47"/>
      <c r="G46" s="266"/>
      <c r="H46" s="266"/>
      <c r="I46" s="50"/>
      <c r="J46" s="51"/>
      <c r="K46" s="49"/>
      <c r="L46" s="204"/>
      <c r="M46" s="278"/>
      <c r="N46" s="279"/>
      <c r="O46" s="280"/>
      <c r="P46" s="281"/>
      <c r="Q46" s="54"/>
      <c r="R46" s="57"/>
      <c r="T46" s="3"/>
    </row>
    <row r="47" spans="1:20" x14ac:dyDescent="0.3">
      <c r="A47" s="348"/>
      <c r="B47" s="48"/>
      <c r="C47" s="47"/>
      <c r="D47" s="332"/>
      <c r="E47" s="332"/>
      <c r="F47" s="47"/>
      <c r="G47" s="266"/>
      <c r="H47" s="266"/>
      <c r="I47" s="50"/>
      <c r="J47" s="51"/>
      <c r="K47" s="49"/>
      <c r="L47" s="204"/>
      <c r="M47" s="278"/>
      <c r="N47" s="279"/>
      <c r="O47" s="280"/>
      <c r="P47" s="281"/>
      <c r="Q47" s="54"/>
      <c r="R47" s="57"/>
    </row>
    <row r="48" spans="1:20" x14ac:dyDescent="0.3">
      <c r="A48" s="348"/>
      <c r="B48" s="48"/>
      <c r="C48" s="47"/>
      <c r="D48" s="332"/>
      <c r="E48" s="332"/>
      <c r="F48" s="47"/>
      <c r="G48" s="266"/>
      <c r="H48" s="266"/>
      <c r="I48" s="50"/>
      <c r="J48" s="51"/>
      <c r="K48" s="49"/>
      <c r="L48" s="204"/>
      <c r="M48" s="278"/>
      <c r="N48" s="279"/>
      <c r="O48" s="280"/>
      <c r="P48" s="281"/>
      <c r="Q48" s="54"/>
      <c r="R48" s="57"/>
    </row>
    <row r="49" spans="1:26" x14ac:dyDescent="0.3">
      <c r="A49" s="348"/>
      <c r="B49" s="48"/>
      <c r="C49" s="47"/>
      <c r="D49" s="332"/>
      <c r="E49" s="332"/>
      <c r="F49" s="47"/>
      <c r="G49" s="266"/>
      <c r="H49" s="266"/>
      <c r="I49" s="50"/>
      <c r="J49" s="51"/>
      <c r="K49" s="49"/>
      <c r="L49" s="204"/>
      <c r="M49" s="278"/>
      <c r="N49" s="279"/>
      <c r="O49" s="280"/>
      <c r="P49" s="281"/>
      <c r="Q49" s="54"/>
      <c r="R49" s="57"/>
    </row>
    <row r="50" spans="1:26" x14ac:dyDescent="0.3">
      <c r="A50" s="348"/>
      <c r="B50" s="48"/>
      <c r="C50" s="47"/>
      <c r="D50" s="332"/>
      <c r="E50" s="332"/>
      <c r="F50" s="47"/>
      <c r="G50" s="266"/>
      <c r="H50" s="266"/>
      <c r="I50" s="50"/>
      <c r="J50" s="51"/>
      <c r="K50" s="49"/>
      <c r="L50" s="204"/>
      <c r="M50" s="278"/>
      <c r="N50" s="279"/>
      <c r="O50" s="280"/>
      <c r="P50" s="281"/>
      <c r="Q50" s="54"/>
      <c r="R50" s="57"/>
    </row>
    <row r="51" spans="1:26" x14ac:dyDescent="0.3">
      <c r="A51" s="348"/>
      <c r="B51" s="48"/>
      <c r="C51" s="47"/>
      <c r="D51" s="332"/>
      <c r="E51" s="332"/>
      <c r="F51" s="47"/>
      <c r="G51" s="266"/>
      <c r="H51" s="266"/>
      <c r="I51" s="50"/>
      <c r="J51" s="51"/>
      <c r="K51" s="49"/>
      <c r="L51" s="204"/>
      <c r="M51" s="278"/>
      <c r="N51" s="279"/>
      <c r="O51" s="280"/>
      <c r="P51" s="281"/>
      <c r="Q51" s="54"/>
      <c r="R51" s="57"/>
    </row>
    <row r="52" spans="1:26" x14ac:dyDescent="0.3">
      <c r="A52" s="348"/>
      <c r="B52" s="48"/>
      <c r="C52" s="47"/>
      <c r="D52" s="332"/>
      <c r="E52" s="332"/>
      <c r="F52" s="47"/>
      <c r="G52" s="266"/>
      <c r="H52" s="266"/>
      <c r="I52" s="50"/>
      <c r="J52" s="51"/>
      <c r="K52" s="49"/>
      <c r="L52" s="204"/>
      <c r="M52" s="278"/>
      <c r="N52" s="279"/>
      <c r="O52" s="280"/>
      <c r="P52" s="281"/>
      <c r="Q52" s="54"/>
      <c r="R52" s="57"/>
    </row>
    <row r="53" spans="1:26" x14ac:dyDescent="0.3">
      <c r="A53" s="348"/>
      <c r="B53" s="48"/>
      <c r="C53" s="47"/>
      <c r="D53" s="332"/>
      <c r="E53" s="332"/>
      <c r="F53" s="47"/>
      <c r="G53" s="266"/>
      <c r="H53" s="266"/>
      <c r="I53" s="50"/>
      <c r="J53" s="51"/>
      <c r="K53" s="49"/>
      <c r="L53" s="204"/>
      <c r="M53" s="278"/>
      <c r="N53" s="279"/>
      <c r="O53" s="280"/>
      <c r="P53" s="281"/>
      <c r="Q53" s="54"/>
      <c r="R53" s="57"/>
      <c r="Z53" s="292"/>
    </row>
    <row r="54" spans="1:26" x14ac:dyDescent="0.3">
      <c r="A54" s="348"/>
      <c r="B54" s="48"/>
      <c r="C54" s="47"/>
      <c r="D54" s="332"/>
      <c r="E54" s="332"/>
      <c r="F54" s="47"/>
      <c r="G54" s="266"/>
      <c r="H54" s="266"/>
      <c r="I54" s="50"/>
      <c r="J54" s="51"/>
      <c r="K54" s="49"/>
      <c r="L54" s="204"/>
      <c r="M54" s="278"/>
      <c r="N54" s="279"/>
      <c r="O54" s="280"/>
      <c r="P54" s="281"/>
      <c r="Q54" s="54"/>
      <c r="R54" s="57"/>
      <c r="Z54" s="292"/>
    </row>
    <row r="55" spans="1:26" x14ac:dyDescent="0.3">
      <c r="A55" s="348"/>
      <c r="B55" s="48"/>
      <c r="C55" s="47"/>
      <c r="D55" s="332"/>
      <c r="E55" s="332"/>
      <c r="F55" s="47"/>
      <c r="G55" s="266"/>
      <c r="H55" s="266"/>
      <c r="I55" s="50"/>
      <c r="J55" s="51"/>
      <c r="K55" s="49"/>
      <c r="L55" s="204"/>
      <c r="M55" s="278"/>
      <c r="N55" s="279"/>
      <c r="O55" s="280"/>
      <c r="P55" s="281"/>
      <c r="Q55" s="54"/>
      <c r="R55" s="57"/>
      <c r="Z55" s="292"/>
    </row>
    <row r="56" spans="1:26" x14ac:dyDescent="0.3">
      <c r="A56" s="348"/>
      <c r="B56" s="48"/>
      <c r="C56" s="47"/>
      <c r="D56" s="332"/>
      <c r="E56" s="332"/>
      <c r="F56" s="47"/>
      <c r="G56" s="266"/>
      <c r="H56" s="266"/>
      <c r="I56" s="50"/>
      <c r="J56" s="51"/>
      <c r="K56" s="49"/>
      <c r="L56" s="204"/>
      <c r="M56" s="278"/>
      <c r="N56" s="279"/>
      <c r="O56" s="280"/>
      <c r="P56" s="281"/>
      <c r="Q56" s="54"/>
      <c r="R56" s="57"/>
      <c r="Z56" s="292"/>
    </row>
    <row r="57" spans="1:26" x14ac:dyDescent="0.3">
      <c r="A57" s="348"/>
      <c r="B57" s="48"/>
      <c r="C57" s="47"/>
      <c r="D57" s="332"/>
      <c r="E57" s="332"/>
      <c r="F57" s="47"/>
      <c r="G57" s="266"/>
      <c r="H57" s="266"/>
      <c r="I57" s="50"/>
      <c r="J57" s="51"/>
      <c r="K57" s="49"/>
      <c r="L57" s="204"/>
      <c r="M57" s="278"/>
      <c r="N57" s="279"/>
      <c r="O57" s="280"/>
      <c r="P57" s="281"/>
      <c r="Q57" s="54"/>
      <c r="R57" s="57"/>
    </row>
    <row r="58" spans="1:26" x14ac:dyDescent="0.3">
      <c r="A58" s="348"/>
      <c r="B58" s="48"/>
      <c r="C58" s="47"/>
      <c r="D58" s="332"/>
      <c r="E58" s="332"/>
      <c r="F58" s="47"/>
      <c r="G58" s="266"/>
      <c r="H58" s="266"/>
      <c r="I58" s="50"/>
      <c r="J58" s="51"/>
      <c r="K58" s="49"/>
      <c r="L58" s="204"/>
      <c r="M58" s="278"/>
      <c r="N58" s="279"/>
      <c r="O58" s="280"/>
      <c r="P58" s="281"/>
      <c r="Q58" s="54"/>
      <c r="R58" s="57"/>
    </row>
    <row r="59" spans="1:26" x14ac:dyDescent="0.3">
      <c r="A59" s="348"/>
      <c r="B59" s="48"/>
      <c r="C59" s="47"/>
      <c r="D59" s="332"/>
      <c r="E59" s="332"/>
      <c r="F59" s="47"/>
      <c r="G59" s="266"/>
      <c r="H59" s="266"/>
      <c r="I59" s="50"/>
      <c r="J59" s="51"/>
      <c r="K59" s="49"/>
      <c r="L59" s="204"/>
      <c r="M59" s="278"/>
      <c r="N59" s="279"/>
      <c r="O59" s="280"/>
      <c r="P59" s="281"/>
      <c r="Q59" s="54"/>
      <c r="R59" s="57"/>
    </row>
    <row r="60" spans="1:26" x14ac:dyDescent="0.3">
      <c r="A60" s="348"/>
      <c r="B60" s="48"/>
      <c r="C60" s="47"/>
      <c r="D60" s="332"/>
      <c r="E60" s="332"/>
      <c r="F60" s="47"/>
      <c r="G60" s="266"/>
      <c r="H60" s="266"/>
      <c r="I60" s="50"/>
      <c r="J60" s="51"/>
      <c r="K60" s="49"/>
      <c r="L60" s="204"/>
      <c r="M60" s="278"/>
      <c r="N60" s="279"/>
      <c r="O60" s="280"/>
      <c r="P60" s="281"/>
      <c r="Q60" s="54"/>
      <c r="R60" s="57"/>
    </row>
    <row r="61" spans="1:26" x14ac:dyDescent="0.3">
      <c r="A61" s="348"/>
      <c r="B61" s="48"/>
      <c r="C61" s="47"/>
      <c r="D61" s="332"/>
      <c r="E61" s="332"/>
      <c r="F61" s="47"/>
      <c r="G61" s="266"/>
      <c r="H61" s="266"/>
      <c r="I61" s="50"/>
      <c r="J61" s="51"/>
      <c r="K61" s="49"/>
      <c r="L61" s="204"/>
      <c r="M61" s="278"/>
      <c r="N61" s="279"/>
      <c r="O61" s="280"/>
      <c r="P61" s="281"/>
      <c r="Q61" s="54"/>
      <c r="R61" s="57"/>
    </row>
    <row r="62" spans="1:26" x14ac:dyDescent="0.3">
      <c r="A62" s="348"/>
      <c r="B62" s="48"/>
      <c r="C62" s="47"/>
      <c r="D62" s="332"/>
      <c r="E62" s="332"/>
      <c r="F62" s="47"/>
      <c r="G62" s="266"/>
      <c r="H62" s="266"/>
      <c r="I62" s="50"/>
      <c r="J62" s="51"/>
      <c r="K62" s="49"/>
      <c r="L62" s="204"/>
      <c r="M62" s="278"/>
      <c r="N62" s="279"/>
      <c r="O62" s="280"/>
      <c r="P62" s="281"/>
      <c r="Q62" s="54"/>
      <c r="R62" s="57"/>
    </row>
    <row r="63" spans="1:26" x14ac:dyDescent="0.3">
      <c r="A63" s="348"/>
      <c r="B63" s="48"/>
      <c r="C63" s="47"/>
      <c r="D63" s="332"/>
      <c r="E63" s="332"/>
      <c r="F63" s="47"/>
      <c r="G63" s="266"/>
      <c r="H63" s="266"/>
      <c r="I63" s="50"/>
      <c r="J63" s="51"/>
      <c r="K63" s="49"/>
      <c r="L63" s="204"/>
      <c r="M63" s="278"/>
      <c r="N63" s="279"/>
      <c r="O63" s="280"/>
      <c r="P63" s="281"/>
      <c r="Q63" s="54"/>
      <c r="R63" s="57"/>
    </row>
    <row r="64" spans="1:26" x14ac:dyDescent="0.3">
      <c r="A64" s="348"/>
      <c r="B64" s="48"/>
      <c r="C64" s="47"/>
      <c r="D64" s="332"/>
      <c r="E64" s="332"/>
      <c r="F64" s="47"/>
      <c r="G64" s="266"/>
      <c r="H64" s="266"/>
      <c r="I64" s="50"/>
      <c r="J64" s="51"/>
      <c r="K64" s="49"/>
      <c r="L64" s="204"/>
      <c r="M64" s="278"/>
      <c r="N64" s="279"/>
      <c r="O64" s="280"/>
      <c r="P64" s="281"/>
      <c r="Q64" s="54"/>
      <c r="R64" s="57"/>
    </row>
    <row r="65" spans="1:26" x14ac:dyDescent="0.3">
      <c r="A65" s="348"/>
      <c r="B65" s="48"/>
      <c r="C65" s="47"/>
      <c r="D65" s="332"/>
      <c r="E65" s="332"/>
      <c r="F65" s="47"/>
      <c r="G65" s="266"/>
      <c r="H65" s="266"/>
      <c r="I65" s="50"/>
      <c r="J65" s="51"/>
      <c r="K65" s="49"/>
      <c r="L65" s="204"/>
      <c r="M65" s="278"/>
      <c r="N65" s="279"/>
      <c r="O65" s="280"/>
      <c r="P65" s="281"/>
      <c r="Q65" s="54"/>
      <c r="R65" s="57"/>
    </row>
    <row r="66" spans="1:26" x14ac:dyDescent="0.3">
      <c r="A66" s="348"/>
      <c r="B66" s="48"/>
      <c r="C66" s="47"/>
      <c r="D66" s="332"/>
      <c r="E66" s="332"/>
      <c r="F66" s="47"/>
      <c r="G66" s="266"/>
      <c r="H66" s="266"/>
      <c r="I66" s="50"/>
      <c r="J66" s="51"/>
      <c r="K66" s="49"/>
      <c r="L66" s="204"/>
      <c r="M66" s="278"/>
      <c r="N66" s="279"/>
      <c r="O66" s="280"/>
      <c r="P66" s="281"/>
      <c r="Q66" s="54"/>
      <c r="R66" s="57"/>
    </row>
    <row r="67" spans="1:26" x14ac:dyDescent="0.3">
      <c r="A67" s="348"/>
      <c r="B67" s="48"/>
      <c r="C67" s="47"/>
      <c r="D67" s="332"/>
      <c r="E67" s="332"/>
      <c r="F67" s="47"/>
      <c r="G67" s="266"/>
      <c r="H67" s="266"/>
      <c r="I67" s="50"/>
      <c r="J67" s="51"/>
      <c r="K67" s="49"/>
      <c r="L67" s="204"/>
      <c r="M67" s="278"/>
      <c r="N67" s="279"/>
      <c r="O67" s="280"/>
      <c r="P67" s="281"/>
      <c r="Q67" s="54"/>
      <c r="R67" s="57"/>
    </row>
    <row r="68" spans="1:26" x14ac:dyDescent="0.3">
      <c r="A68" s="348"/>
      <c r="B68" s="48"/>
      <c r="C68" s="47"/>
      <c r="D68" s="332"/>
      <c r="E68" s="332"/>
      <c r="F68" s="47"/>
      <c r="G68" s="266"/>
      <c r="H68" s="266"/>
      <c r="I68" s="50"/>
      <c r="J68" s="51"/>
      <c r="K68" s="49"/>
      <c r="L68" s="204"/>
      <c r="M68" s="278"/>
      <c r="N68" s="279"/>
      <c r="O68" s="280"/>
      <c r="P68" s="281"/>
      <c r="Q68" s="54"/>
      <c r="R68" s="57"/>
    </row>
    <row r="69" spans="1:26" x14ac:dyDescent="0.3">
      <c r="A69" s="348"/>
      <c r="B69" s="48"/>
      <c r="C69" s="47"/>
      <c r="D69" s="332"/>
      <c r="E69" s="332"/>
      <c r="F69" s="47"/>
      <c r="G69" s="266"/>
      <c r="H69" s="266"/>
      <c r="I69" s="50"/>
      <c r="J69" s="51"/>
      <c r="K69" s="49"/>
      <c r="L69" s="204"/>
      <c r="M69" s="278"/>
      <c r="N69" s="279"/>
      <c r="O69" s="280"/>
      <c r="P69" s="281"/>
      <c r="Q69" s="54"/>
      <c r="R69" s="57"/>
    </row>
    <row r="70" spans="1:26" x14ac:dyDescent="0.3">
      <c r="A70" s="348"/>
      <c r="B70" s="48"/>
      <c r="C70" s="47"/>
      <c r="D70" s="332"/>
      <c r="E70" s="332"/>
      <c r="F70" s="47"/>
      <c r="G70" s="266"/>
      <c r="H70" s="266"/>
      <c r="I70" s="50"/>
      <c r="J70" s="51"/>
      <c r="K70" s="49"/>
      <c r="L70" s="204"/>
      <c r="M70" s="278"/>
      <c r="N70" s="279"/>
      <c r="O70" s="280"/>
      <c r="P70" s="281"/>
      <c r="Q70" s="54"/>
      <c r="R70" s="57"/>
    </row>
    <row r="71" spans="1:26" x14ac:dyDescent="0.3">
      <c r="A71" s="348"/>
      <c r="B71" s="48"/>
      <c r="C71" s="47"/>
      <c r="D71" s="332"/>
      <c r="E71" s="332"/>
      <c r="F71" s="47"/>
      <c r="G71" s="266"/>
      <c r="H71" s="266"/>
      <c r="I71" s="50"/>
      <c r="J71" s="51"/>
      <c r="K71" s="49"/>
      <c r="L71" s="204"/>
      <c r="M71" s="278"/>
      <c r="N71" s="279"/>
      <c r="O71" s="280"/>
      <c r="P71" s="281"/>
      <c r="Q71" s="54"/>
      <c r="R71" s="57"/>
    </row>
    <row r="72" spans="1:26" x14ac:dyDescent="0.3">
      <c r="A72" s="348"/>
      <c r="B72" s="48"/>
      <c r="C72" s="47"/>
      <c r="D72" s="332"/>
      <c r="E72" s="332"/>
      <c r="F72" s="47"/>
      <c r="G72" s="266"/>
      <c r="H72" s="266"/>
      <c r="I72" s="50"/>
      <c r="J72" s="51"/>
      <c r="K72" s="49"/>
      <c r="L72" s="204"/>
      <c r="M72" s="278"/>
      <c r="N72" s="279"/>
      <c r="O72" s="280"/>
      <c r="P72" s="281"/>
      <c r="Q72" s="54"/>
      <c r="R72" s="57"/>
    </row>
    <row r="73" spans="1:26" x14ac:dyDescent="0.3">
      <c r="A73" s="348"/>
      <c r="B73" s="48"/>
      <c r="C73" s="47"/>
      <c r="D73" s="332"/>
      <c r="E73" s="332"/>
      <c r="F73" s="47"/>
      <c r="G73" s="266"/>
      <c r="H73" s="266"/>
      <c r="I73" s="50"/>
      <c r="J73" s="51"/>
      <c r="K73" s="49"/>
      <c r="L73" s="204"/>
      <c r="M73" s="278"/>
      <c r="N73" s="279"/>
      <c r="O73" s="280"/>
      <c r="P73" s="281"/>
      <c r="Q73" s="54"/>
      <c r="R73" s="57"/>
    </row>
    <row r="74" spans="1:26" x14ac:dyDescent="0.3">
      <c r="A74" s="348"/>
      <c r="B74" s="48"/>
      <c r="C74" s="47"/>
      <c r="D74" s="332"/>
      <c r="E74" s="332"/>
      <c r="F74" s="47"/>
      <c r="G74" s="266"/>
      <c r="H74" s="266"/>
      <c r="I74" s="50"/>
      <c r="J74" s="51"/>
      <c r="K74" s="49"/>
      <c r="L74" s="204"/>
      <c r="M74" s="278"/>
      <c r="N74" s="279"/>
      <c r="O74" s="280"/>
      <c r="P74" s="281"/>
      <c r="Q74" s="54"/>
      <c r="R74" s="57"/>
    </row>
    <row r="75" spans="1:26" x14ac:dyDescent="0.3">
      <c r="A75" s="348"/>
      <c r="B75" s="48"/>
      <c r="C75" s="47"/>
      <c r="D75" s="332"/>
      <c r="E75" s="332"/>
      <c r="F75" s="47"/>
      <c r="G75" s="266"/>
      <c r="H75" s="266"/>
      <c r="I75" s="50"/>
      <c r="J75" s="51"/>
      <c r="K75" s="49"/>
      <c r="L75" s="204"/>
      <c r="M75" s="278"/>
      <c r="N75" s="279"/>
      <c r="O75" s="280"/>
      <c r="P75" s="281"/>
      <c r="Q75" s="54"/>
      <c r="R75" s="57"/>
    </row>
    <row r="76" spans="1:26" x14ac:dyDescent="0.3">
      <c r="A76" s="348"/>
      <c r="B76" s="48"/>
      <c r="C76" s="47"/>
      <c r="D76" s="332"/>
      <c r="E76" s="332"/>
      <c r="F76" s="47"/>
      <c r="G76" s="266"/>
      <c r="H76" s="266"/>
      <c r="I76" s="50"/>
      <c r="J76" s="51"/>
      <c r="K76" s="49"/>
      <c r="L76" s="204"/>
      <c r="M76" s="278"/>
      <c r="N76" s="279"/>
      <c r="O76" s="280"/>
      <c r="P76" s="281"/>
      <c r="Q76" s="54"/>
      <c r="R76" s="57"/>
    </row>
    <row r="77" spans="1:26" x14ac:dyDescent="0.3">
      <c r="A77" s="348"/>
      <c r="B77" s="48"/>
      <c r="C77" s="47"/>
      <c r="D77" s="332"/>
      <c r="E77" s="332"/>
      <c r="F77" s="47"/>
      <c r="G77" s="266"/>
      <c r="H77" s="266"/>
      <c r="I77" s="50"/>
      <c r="J77" s="51"/>
      <c r="K77" s="49"/>
      <c r="L77" s="204"/>
      <c r="M77" s="278"/>
      <c r="N77" s="279"/>
      <c r="O77" s="280"/>
      <c r="P77" s="281"/>
      <c r="Q77" s="54"/>
      <c r="R77" s="57"/>
    </row>
    <row r="78" spans="1:26" x14ac:dyDescent="0.3">
      <c r="A78" s="348"/>
      <c r="B78" s="48"/>
      <c r="C78" s="47"/>
      <c r="D78" s="332"/>
      <c r="E78" s="332"/>
      <c r="F78" s="47"/>
      <c r="G78" s="266"/>
      <c r="H78" s="266"/>
      <c r="I78" s="50"/>
      <c r="J78" s="51"/>
      <c r="K78" s="49"/>
      <c r="L78" s="204"/>
      <c r="M78" s="278"/>
      <c r="N78" s="279"/>
      <c r="O78" s="280"/>
      <c r="P78" s="281"/>
      <c r="Q78" s="54"/>
      <c r="R78" s="57"/>
    </row>
    <row r="79" spans="1:26" x14ac:dyDescent="0.3">
      <c r="A79" s="348"/>
      <c r="B79" s="48"/>
      <c r="C79" s="47"/>
      <c r="D79" s="332"/>
      <c r="E79" s="332"/>
      <c r="F79" s="47"/>
      <c r="G79" s="266"/>
      <c r="H79" s="266"/>
      <c r="I79" s="50"/>
      <c r="J79" s="51"/>
      <c r="K79" s="49"/>
      <c r="L79" s="204"/>
      <c r="M79" s="278"/>
      <c r="N79" s="279"/>
      <c r="O79" s="280"/>
      <c r="P79" s="281"/>
      <c r="Q79" s="54"/>
      <c r="R79" s="57"/>
      <c r="Z79" s="292"/>
    </row>
    <row r="80" spans="1:26" x14ac:dyDescent="0.3">
      <c r="A80" s="348"/>
      <c r="B80" s="48"/>
      <c r="C80" s="47"/>
      <c r="D80" s="332"/>
      <c r="E80" s="332"/>
      <c r="F80" s="47"/>
      <c r="G80" s="266"/>
      <c r="H80" s="266"/>
      <c r="I80" s="50"/>
      <c r="J80" s="51"/>
      <c r="K80" s="49"/>
      <c r="L80" s="204"/>
      <c r="M80" s="278"/>
      <c r="N80" s="279"/>
      <c r="O80" s="280"/>
      <c r="P80" s="281"/>
      <c r="Q80" s="54"/>
      <c r="R80" s="57"/>
      <c r="Z80" s="292"/>
    </row>
    <row r="81" spans="2:21" x14ac:dyDescent="0.3">
      <c r="B81" s="48"/>
      <c r="C81" s="47"/>
      <c r="D81" s="331"/>
      <c r="E81" s="331"/>
      <c r="F81" s="47"/>
      <c r="G81" s="266"/>
      <c r="H81" s="266"/>
      <c r="I81" s="50"/>
      <c r="J81" s="51"/>
      <c r="K81" s="49"/>
      <c r="L81" s="204"/>
      <c r="M81" s="278"/>
      <c r="N81" s="279"/>
      <c r="O81" s="280"/>
      <c r="P81" s="281"/>
      <c r="Q81" s="54"/>
      <c r="R81" s="57"/>
    </row>
    <row r="82" spans="2:21" x14ac:dyDescent="0.3">
      <c r="B82" s="48"/>
      <c r="C82" s="346"/>
      <c r="D82" s="43"/>
      <c r="E82" s="43"/>
      <c r="F82" s="47"/>
      <c r="G82" s="266"/>
      <c r="H82" s="266"/>
      <c r="I82" s="50"/>
      <c r="J82" s="51"/>
      <c r="K82" s="49"/>
      <c r="L82" s="204"/>
      <c r="M82" s="278"/>
      <c r="N82" s="279"/>
      <c r="O82" s="280"/>
      <c r="P82" s="281"/>
      <c r="Q82" s="54"/>
      <c r="R82" s="57"/>
    </row>
    <row r="83" spans="2:21" x14ac:dyDescent="0.3">
      <c r="B83" s="48"/>
      <c r="C83" s="346"/>
      <c r="D83" s="331"/>
      <c r="E83" s="331"/>
      <c r="F83" s="47"/>
      <c r="G83" s="266"/>
      <c r="H83" s="266"/>
      <c r="I83" s="50"/>
      <c r="J83" s="51"/>
      <c r="K83" s="49"/>
      <c r="L83" s="204"/>
      <c r="M83" s="278"/>
      <c r="N83" s="279"/>
      <c r="O83" s="280"/>
      <c r="P83" s="281"/>
      <c r="Q83" s="54"/>
      <c r="R83" s="57"/>
    </row>
    <row r="84" spans="2:21" x14ac:dyDescent="0.3">
      <c r="B84" s="48"/>
      <c r="C84" s="47"/>
      <c r="D84" s="43"/>
      <c r="E84" s="43"/>
      <c r="F84" s="47"/>
      <c r="G84" s="266"/>
      <c r="H84" s="266"/>
      <c r="I84" s="50"/>
      <c r="J84" s="51"/>
      <c r="K84" s="49"/>
      <c r="L84" s="204"/>
      <c r="M84" s="278"/>
      <c r="N84" s="279"/>
      <c r="O84" s="280"/>
      <c r="P84" s="281"/>
      <c r="Q84" s="54"/>
      <c r="R84" s="57"/>
    </row>
    <row r="85" spans="2:21" ht="15" thickBot="1" x14ac:dyDescent="0.35">
      <c r="B85" s="48"/>
      <c r="C85" s="47"/>
      <c r="D85" s="43"/>
      <c r="E85" s="43"/>
      <c r="F85" s="47"/>
      <c r="G85" s="266"/>
      <c r="H85" s="266"/>
      <c r="I85" s="50"/>
      <c r="J85" s="51"/>
      <c r="K85" s="49"/>
      <c r="L85" s="204"/>
      <c r="M85" s="278"/>
      <c r="N85" s="279"/>
      <c r="O85" s="280"/>
      <c r="P85" s="281"/>
      <c r="Q85" s="54"/>
      <c r="R85" s="57"/>
    </row>
    <row r="86" spans="2:21" ht="15" thickBot="1" x14ac:dyDescent="0.35">
      <c r="B86" s="48"/>
      <c r="C86" s="47"/>
      <c r="D86" s="43"/>
      <c r="E86" s="43"/>
      <c r="F86" s="47"/>
      <c r="G86" s="266"/>
      <c r="H86" s="266"/>
      <c r="I86" s="50"/>
      <c r="J86" s="51"/>
      <c r="K86" s="49"/>
      <c r="L86" s="204"/>
      <c r="M86" s="278"/>
      <c r="N86" s="279"/>
      <c r="O86" s="280"/>
      <c r="P86" s="281"/>
      <c r="Q86" s="54"/>
      <c r="R86" s="57"/>
      <c r="T86" s="57"/>
      <c r="U86" s="275"/>
    </row>
    <row r="87" spans="2:21" ht="15" thickBot="1" x14ac:dyDescent="0.35">
      <c r="B87" s="48"/>
      <c r="C87" s="47"/>
      <c r="D87" s="43"/>
      <c r="E87" s="43"/>
      <c r="F87" s="47"/>
      <c r="G87" s="266"/>
      <c r="H87" s="266"/>
      <c r="I87" s="50"/>
      <c r="J87" s="51"/>
      <c r="K87" s="49"/>
      <c r="L87" s="204"/>
      <c r="M87" s="278"/>
      <c r="N87" s="279"/>
      <c r="O87" s="280"/>
      <c r="P87" s="281"/>
      <c r="Q87" s="54"/>
      <c r="R87" s="57"/>
      <c r="T87" s="57"/>
      <c r="U87" s="275"/>
    </row>
    <row r="88" spans="2:21" ht="15" thickBot="1" x14ac:dyDescent="0.35">
      <c r="B88" s="48"/>
      <c r="C88" s="47"/>
      <c r="D88" s="43"/>
      <c r="E88" s="43"/>
      <c r="F88" s="47"/>
      <c r="G88" s="266"/>
      <c r="H88" s="266"/>
      <c r="I88" s="50"/>
      <c r="J88" s="51"/>
      <c r="K88" s="49"/>
      <c r="L88" s="204"/>
      <c r="M88" s="278"/>
      <c r="N88" s="279"/>
      <c r="O88" s="280"/>
      <c r="P88" s="281"/>
      <c r="Q88" s="54"/>
      <c r="R88" s="57"/>
      <c r="T88" s="57"/>
      <c r="U88" s="275"/>
    </row>
    <row r="89" spans="2:21" ht="15" thickBot="1" x14ac:dyDescent="0.35">
      <c r="B89" s="48"/>
      <c r="C89" s="47"/>
      <c r="D89" s="331"/>
      <c r="E89" s="331"/>
      <c r="F89" s="47"/>
      <c r="G89" s="266"/>
      <c r="H89" s="266"/>
      <c r="I89" s="50"/>
      <c r="J89" s="51"/>
      <c r="K89" s="49"/>
      <c r="L89" s="204"/>
      <c r="M89" s="278"/>
      <c r="N89" s="279"/>
      <c r="O89" s="280"/>
      <c r="P89" s="281"/>
      <c r="Q89" s="54"/>
      <c r="R89" s="57"/>
      <c r="T89" s="57"/>
      <c r="U89" s="275"/>
    </row>
    <row r="90" spans="2:21" ht="15" thickBot="1" x14ac:dyDescent="0.35">
      <c r="B90" s="48"/>
      <c r="C90" s="47"/>
      <c r="D90" s="331"/>
      <c r="E90" s="331"/>
      <c r="F90" s="47"/>
      <c r="G90" s="266"/>
      <c r="H90" s="266"/>
      <c r="I90" s="50"/>
      <c r="J90" s="51"/>
      <c r="K90" s="49"/>
      <c r="L90" s="204"/>
      <c r="M90" s="278"/>
      <c r="N90" s="279"/>
      <c r="O90" s="280"/>
      <c r="P90" s="281"/>
      <c r="Q90" s="54"/>
      <c r="R90" s="57"/>
      <c r="T90" s="57"/>
      <c r="U90" s="275"/>
    </row>
    <row r="91" spans="2:21" ht="15" thickBot="1" x14ac:dyDescent="0.35">
      <c r="B91" s="48"/>
      <c r="C91" s="47"/>
      <c r="D91" s="331"/>
      <c r="E91" s="331"/>
      <c r="F91" s="47"/>
      <c r="G91" s="266"/>
      <c r="H91" s="266"/>
      <c r="I91" s="50"/>
      <c r="J91" s="51"/>
      <c r="K91" s="49"/>
      <c r="L91" s="204"/>
      <c r="M91" s="278"/>
      <c r="N91" s="279"/>
      <c r="O91" s="280"/>
      <c r="P91" s="281"/>
      <c r="Q91" s="54"/>
      <c r="R91" s="57"/>
      <c r="T91" s="57"/>
      <c r="U91" s="275"/>
    </row>
    <row r="92" spans="2:21" x14ac:dyDescent="0.3">
      <c r="B92" s="48"/>
      <c r="C92" s="47"/>
      <c r="D92" s="332"/>
      <c r="E92" s="332"/>
      <c r="F92" s="47"/>
      <c r="G92" s="266"/>
      <c r="H92" s="266"/>
      <c r="I92" s="50"/>
      <c r="J92" s="51"/>
      <c r="K92" s="49"/>
      <c r="L92" s="204"/>
      <c r="M92" s="278"/>
      <c r="N92" s="279"/>
      <c r="O92" s="280"/>
      <c r="P92" s="281"/>
      <c r="Q92" s="54"/>
      <c r="R92" s="57"/>
      <c r="T92" s="57"/>
      <c r="U92" s="275"/>
    </row>
    <row r="93" spans="2:21" x14ac:dyDescent="0.3">
      <c r="B93" s="48"/>
      <c r="C93" s="47"/>
      <c r="D93" s="331"/>
      <c r="E93" s="331"/>
      <c r="F93" s="47"/>
      <c r="G93" s="266"/>
      <c r="H93" s="266"/>
      <c r="I93" s="50"/>
      <c r="J93" s="51"/>
      <c r="K93" s="49"/>
      <c r="L93" s="204"/>
      <c r="M93" s="278"/>
      <c r="N93" s="279"/>
      <c r="O93" s="280"/>
      <c r="P93" s="281"/>
      <c r="Q93" s="54"/>
      <c r="R93" s="57"/>
    </row>
    <row r="94" spans="2:21" x14ac:dyDescent="0.3">
      <c r="B94" s="48"/>
      <c r="C94" s="47"/>
      <c r="D94" s="332"/>
      <c r="E94" s="332"/>
      <c r="F94" s="47"/>
      <c r="G94" s="266"/>
      <c r="H94" s="266"/>
      <c r="I94" s="50"/>
      <c r="J94" s="51"/>
      <c r="K94" s="49"/>
      <c r="L94" s="204"/>
      <c r="M94" s="278"/>
      <c r="N94" s="279"/>
      <c r="O94" s="280"/>
      <c r="P94" s="281"/>
      <c r="Q94" s="54"/>
      <c r="R94" s="57"/>
    </row>
    <row r="95" spans="2:21" x14ac:dyDescent="0.3">
      <c r="B95" s="48"/>
      <c r="C95" s="47"/>
      <c r="D95" s="331"/>
      <c r="E95" s="331"/>
      <c r="F95" s="47"/>
      <c r="G95" s="266"/>
      <c r="H95" s="266"/>
      <c r="I95" s="50"/>
      <c r="J95" s="51"/>
      <c r="K95" s="49"/>
      <c r="L95" s="204"/>
      <c r="M95" s="278"/>
      <c r="N95" s="279"/>
      <c r="O95" s="280"/>
      <c r="P95" s="281"/>
      <c r="Q95" s="54"/>
      <c r="R95" s="57"/>
    </row>
    <row r="96" spans="2:21" x14ac:dyDescent="0.3">
      <c r="B96" s="48"/>
      <c r="C96" s="47"/>
      <c r="D96" s="43"/>
      <c r="E96" s="43"/>
      <c r="F96" s="47"/>
      <c r="G96" s="266"/>
      <c r="H96" s="266"/>
      <c r="I96" s="50"/>
      <c r="J96" s="51"/>
      <c r="K96" s="49"/>
      <c r="L96" s="204"/>
      <c r="M96" s="278"/>
      <c r="N96" s="279"/>
      <c r="O96" s="280"/>
      <c r="P96" s="281"/>
      <c r="Q96" s="54"/>
      <c r="R96" s="57"/>
    </row>
    <row r="97" spans="2:28" x14ac:dyDescent="0.3">
      <c r="B97" s="48"/>
      <c r="C97" s="333"/>
      <c r="D97" s="331"/>
      <c r="E97" s="331"/>
      <c r="F97" s="47"/>
      <c r="G97" s="266"/>
      <c r="H97" s="266"/>
      <c r="I97" s="50"/>
      <c r="J97" s="51"/>
      <c r="K97" s="49"/>
      <c r="L97" s="204"/>
      <c r="M97" s="278"/>
      <c r="N97" s="279"/>
      <c r="O97" s="280"/>
      <c r="P97" s="281"/>
      <c r="Q97" s="54"/>
      <c r="R97" s="57"/>
    </row>
    <row r="98" spans="2:28" x14ac:dyDescent="0.3">
      <c r="B98" s="48"/>
      <c r="C98" s="47"/>
      <c r="D98" s="43"/>
      <c r="E98" s="43"/>
      <c r="F98" s="47"/>
      <c r="G98" s="266"/>
      <c r="H98" s="266"/>
      <c r="I98" s="50"/>
      <c r="J98" s="334"/>
      <c r="K98" s="335"/>
      <c r="L98" s="336"/>
      <c r="M98" s="337"/>
      <c r="N98" s="338"/>
      <c r="O98" s="339"/>
      <c r="P98" s="340"/>
      <c r="Q98" s="341"/>
      <c r="R98" s="57"/>
    </row>
    <row r="99" spans="2:28" x14ac:dyDescent="0.3">
      <c r="B99" s="48"/>
      <c r="C99" s="333"/>
      <c r="D99" s="331"/>
      <c r="E99" s="331"/>
      <c r="F99" s="47"/>
      <c r="G99" s="266"/>
      <c r="H99" s="266"/>
      <c r="I99" s="50"/>
      <c r="J99" s="51"/>
      <c r="K99" s="49"/>
      <c r="L99" s="204"/>
      <c r="M99" s="278"/>
      <c r="N99" s="279"/>
      <c r="O99" s="280"/>
      <c r="P99" s="281"/>
      <c r="Q99" s="54"/>
      <c r="R99" s="57"/>
    </row>
    <row r="100" spans="2:28" x14ac:dyDescent="0.3">
      <c r="B100" s="48"/>
      <c r="C100" s="47"/>
      <c r="D100" s="43"/>
      <c r="E100" s="43"/>
      <c r="F100" s="47"/>
      <c r="G100" s="266"/>
      <c r="H100" s="266"/>
      <c r="I100" s="50"/>
      <c r="J100" s="51"/>
      <c r="K100" s="49"/>
      <c r="L100" s="204"/>
      <c r="M100" s="278"/>
      <c r="N100" s="279"/>
      <c r="O100" s="280"/>
      <c r="P100" s="281"/>
      <c r="Q100" s="54"/>
      <c r="R100" s="57"/>
      <c r="Y100" s="7"/>
    </row>
    <row r="101" spans="2:28" x14ac:dyDescent="0.3">
      <c r="B101" s="48"/>
      <c r="C101" s="333"/>
      <c r="D101" s="331"/>
      <c r="E101" s="331"/>
      <c r="F101" s="47"/>
      <c r="G101" s="266"/>
      <c r="H101" s="266"/>
      <c r="I101" s="50"/>
      <c r="J101" s="51"/>
      <c r="K101" s="49"/>
      <c r="L101" s="204"/>
      <c r="M101" s="278"/>
      <c r="N101" s="279"/>
      <c r="O101" s="280"/>
      <c r="P101" s="281"/>
      <c r="Q101" s="54"/>
      <c r="R101" s="57"/>
    </row>
    <row r="102" spans="2:28" x14ac:dyDescent="0.3">
      <c r="B102" s="180"/>
      <c r="C102" s="47"/>
      <c r="D102" s="43"/>
      <c r="E102" s="43"/>
      <c r="F102" s="47"/>
      <c r="G102" s="266"/>
      <c r="H102" s="266"/>
      <c r="I102" s="50"/>
      <c r="J102" s="51"/>
      <c r="K102" s="49"/>
      <c r="L102" s="204"/>
      <c r="M102" s="278"/>
      <c r="N102" s="279"/>
      <c r="O102" s="280"/>
      <c r="P102" s="281"/>
      <c r="Q102" s="54"/>
      <c r="R102" s="57"/>
    </row>
    <row r="103" spans="2:28" x14ac:dyDescent="0.3">
      <c r="B103" s="343"/>
      <c r="C103" s="180"/>
      <c r="D103" s="180"/>
      <c r="E103" s="180"/>
      <c r="F103" s="47"/>
      <c r="G103" s="266"/>
      <c r="H103" s="266"/>
      <c r="I103" s="50"/>
      <c r="J103" s="51"/>
      <c r="K103" s="49"/>
      <c r="L103" s="204"/>
      <c r="M103" s="278"/>
      <c r="N103" s="279"/>
      <c r="O103" s="280"/>
      <c r="P103" s="281"/>
      <c r="Q103" s="54"/>
      <c r="R103" s="344"/>
    </row>
    <row r="104" spans="2:28" x14ac:dyDescent="0.3">
      <c r="B104" s="343"/>
      <c r="C104" s="180"/>
      <c r="D104" s="180"/>
      <c r="E104" s="180"/>
      <c r="F104" s="47"/>
      <c r="G104" s="266"/>
      <c r="H104" s="266"/>
      <c r="I104" s="50"/>
      <c r="J104" s="51"/>
      <c r="K104" s="49"/>
      <c r="L104" s="204"/>
      <c r="M104" s="278"/>
      <c r="N104" s="279"/>
      <c r="O104" s="280"/>
      <c r="P104" s="281"/>
      <c r="Q104" s="54"/>
      <c r="R104" s="344"/>
    </row>
    <row r="105" spans="2:28" x14ac:dyDescent="0.3">
      <c r="B105" s="343"/>
      <c r="C105" s="180"/>
      <c r="D105" s="180"/>
      <c r="E105" s="180"/>
      <c r="F105" s="47"/>
      <c r="G105" s="266"/>
      <c r="H105" s="266"/>
      <c r="I105" s="50"/>
      <c r="J105" s="51"/>
      <c r="K105" s="49"/>
      <c r="L105" s="204"/>
      <c r="M105" s="278"/>
      <c r="N105" s="279"/>
      <c r="O105" s="280"/>
      <c r="P105" s="281"/>
      <c r="Q105" s="54"/>
      <c r="R105" s="344"/>
    </row>
    <row r="106" spans="2:28" ht="15" thickBot="1" x14ac:dyDescent="0.35">
      <c r="B106" s="343"/>
      <c r="C106" s="180"/>
      <c r="D106" s="180"/>
      <c r="E106" s="180"/>
      <c r="F106" s="47"/>
      <c r="G106" s="266"/>
      <c r="H106" s="266"/>
      <c r="I106" s="50"/>
      <c r="J106" s="51"/>
      <c r="K106" s="49"/>
      <c r="L106" s="204"/>
      <c r="M106" s="278"/>
      <c r="N106" s="279"/>
      <c r="O106" s="280"/>
      <c r="P106" s="281"/>
      <c r="Q106" s="54"/>
      <c r="R106" s="344"/>
    </row>
    <row r="107" spans="2:28" ht="15" thickBot="1" x14ac:dyDescent="0.35">
      <c r="B107" s="343"/>
      <c r="C107" s="180"/>
      <c r="D107" s="180"/>
      <c r="E107" s="180"/>
      <c r="F107" s="47"/>
      <c r="G107" s="266"/>
      <c r="H107" s="266"/>
      <c r="I107" s="50"/>
      <c r="J107" s="51"/>
      <c r="K107" s="49"/>
      <c r="L107" s="204"/>
      <c r="M107" s="278"/>
      <c r="N107" s="279"/>
      <c r="O107" s="280"/>
      <c r="P107" s="281"/>
      <c r="Q107" s="54"/>
      <c r="R107" s="344"/>
      <c r="T107" s="268" t="s">
        <v>369</v>
      </c>
      <c r="U107" s="269"/>
      <c r="V107" s="270"/>
      <c r="W107" s="267" t="s">
        <v>377</v>
      </c>
      <c r="AA107" s="267" t="s">
        <v>381</v>
      </c>
    </row>
    <row r="108" spans="2:28" x14ac:dyDescent="0.3">
      <c r="B108" s="343"/>
      <c r="C108" s="180"/>
      <c r="D108" s="180"/>
      <c r="E108" s="180"/>
      <c r="F108" s="47"/>
      <c r="G108" s="266"/>
      <c r="H108" s="266"/>
      <c r="I108" s="50"/>
      <c r="J108" s="51"/>
      <c r="K108" s="49"/>
      <c r="L108" s="204"/>
      <c r="M108" s="278"/>
      <c r="N108" s="279"/>
      <c r="O108" s="280"/>
      <c r="P108" s="281"/>
      <c r="Q108" s="54"/>
      <c r="R108" s="344"/>
      <c r="T108" s="267" t="s">
        <v>370</v>
      </c>
      <c r="U108" s="16">
        <v>50</v>
      </c>
      <c r="V108" s="267" t="s">
        <v>371</v>
      </c>
      <c r="W108" s="16">
        <v>0.1</v>
      </c>
      <c r="AA108" s="271">
        <f>(($U$108/1000)*W108*POWER(10,6)/(8.31*($Y$108+273)))</f>
        <v>2.2039733231068972</v>
      </c>
      <c r="AB108" s="267" t="s">
        <v>382</v>
      </c>
    </row>
    <row r="109" spans="2:28" x14ac:dyDescent="0.3">
      <c r="B109" s="343"/>
      <c r="C109" s="180"/>
      <c r="D109" s="180"/>
      <c r="E109" s="180"/>
      <c r="F109" s="47"/>
      <c r="G109" s="266"/>
      <c r="H109" s="266"/>
      <c r="I109" s="50"/>
      <c r="J109" s="51"/>
      <c r="K109" s="49"/>
      <c r="L109" s="204"/>
      <c r="M109" s="278"/>
      <c r="N109" s="279"/>
      <c r="O109" s="280"/>
      <c r="P109" s="281"/>
      <c r="Q109" s="54"/>
      <c r="R109" s="344"/>
      <c r="W109" s="16">
        <v>0.2</v>
      </c>
      <c r="AA109" s="271">
        <f t="shared" ref="AA109:AA127" si="6">(($U$108/1000)*W109*POWER(10,6)/(8.31*($Y$108+273)))</f>
        <v>4.4079466462137944</v>
      </c>
    </row>
    <row r="110" spans="2:28" x14ac:dyDescent="0.3">
      <c r="B110" s="343"/>
      <c r="C110" s="180"/>
      <c r="D110" s="180"/>
      <c r="E110" s="180"/>
      <c r="F110" s="47"/>
      <c r="G110" s="266"/>
      <c r="H110" s="266"/>
      <c r="I110" s="50"/>
      <c r="J110" s="51"/>
      <c r="K110" s="49"/>
      <c r="L110" s="204"/>
      <c r="M110" s="278"/>
      <c r="N110" s="279"/>
      <c r="O110" s="280"/>
      <c r="P110" s="281"/>
      <c r="Q110" s="54"/>
      <c r="R110" s="57"/>
      <c r="W110" s="16">
        <v>0.3</v>
      </c>
      <c r="AA110" s="271">
        <f t="shared" si="6"/>
        <v>6.6119199693206907</v>
      </c>
    </row>
    <row r="111" spans="2:28" x14ac:dyDescent="0.3">
      <c r="B111" s="343"/>
      <c r="C111" s="180"/>
      <c r="D111" s="180"/>
      <c r="E111" s="180"/>
      <c r="F111" s="47"/>
      <c r="G111" s="266"/>
      <c r="H111" s="266"/>
      <c r="I111" s="50"/>
      <c r="J111" s="51"/>
      <c r="K111" s="49"/>
      <c r="L111" s="204"/>
      <c r="M111" s="278"/>
      <c r="N111" s="279"/>
      <c r="O111" s="280"/>
      <c r="P111" s="281"/>
      <c r="Q111" s="54"/>
      <c r="R111" s="57"/>
      <c r="W111" s="16">
        <v>0.4</v>
      </c>
      <c r="AA111" s="271">
        <f t="shared" si="6"/>
        <v>8.8158932924275888</v>
      </c>
    </row>
    <row r="112" spans="2:28" x14ac:dyDescent="0.3">
      <c r="B112" s="343"/>
      <c r="C112" s="180"/>
      <c r="D112" s="180"/>
      <c r="E112" s="180"/>
      <c r="F112" s="47"/>
      <c r="G112" s="266"/>
      <c r="H112" s="266"/>
      <c r="I112" s="50"/>
      <c r="J112" s="51"/>
      <c r="K112" s="49"/>
      <c r="L112" s="204"/>
      <c r="M112" s="278"/>
      <c r="N112" s="279"/>
      <c r="O112" s="280"/>
      <c r="P112" s="281"/>
      <c r="Q112" s="54"/>
      <c r="R112" s="57"/>
      <c r="W112" s="16">
        <v>0.5</v>
      </c>
      <c r="AA112" s="271">
        <f t="shared" si="6"/>
        <v>11.019866615534484</v>
      </c>
    </row>
    <row r="113" spans="2:27" x14ac:dyDescent="0.3">
      <c r="B113" s="343"/>
      <c r="C113" s="180"/>
      <c r="D113" s="180"/>
      <c r="E113" s="180"/>
      <c r="F113" s="47"/>
      <c r="G113" s="266"/>
      <c r="H113" s="266"/>
      <c r="I113" s="50"/>
      <c r="J113" s="51"/>
      <c r="K113" s="49"/>
      <c r="L113" s="204"/>
      <c r="M113" s="278"/>
      <c r="N113" s="279"/>
      <c r="O113" s="280"/>
      <c r="P113" s="281"/>
      <c r="Q113" s="54"/>
      <c r="R113" s="57"/>
      <c r="W113" s="16">
        <v>0.6</v>
      </c>
      <c r="AA113" s="271">
        <f t="shared" si="6"/>
        <v>13.223839938641381</v>
      </c>
    </row>
    <row r="114" spans="2:27" x14ac:dyDescent="0.3">
      <c r="B114" s="343"/>
      <c r="C114" s="180"/>
      <c r="D114" s="180"/>
      <c r="E114" s="180"/>
      <c r="F114" s="47"/>
      <c r="G114" s="266"/>
      <c r="H114" s="266"/>
      <c r="I114" s="50"/>
      <c r="J114" s="51"/>
      <c r="K114" s="49"/>
      <c r="L114" s="204"/>
      <c r="M114" s="278"/>
      <c r="N114" s="279"/>
      <c r="O114" s="280"/>
      <c r="P114" s="281"/>
      <c r="Q114" s="54"/>
      <c r="R114" s="57"/>
      <c r="W114" s="16">
        <v>0.7</v>
      </c>
      <c r="AA114" s="271">
        <f t="shared" si="6"/>
        <v>15.427813261748279</v>
      </c>
    </row>
    <row r="115" spans="2:27" x14ac:dyDescent="0.3">
      <c r="B115" s="343"/>
      <c r="C115" s="180"/>
      <c r="D115" s="180"/>
      <c r="E115" s="180"/>
      <c r="F115" s="47"/>
      <c r="G115" s="180"/>
      <c r="H115" s="266"/>
      <c r="I115" s="50"/>
      <c r="J115" s="51"/>
      <c r="K115" s="49"/>
      <c r="L115" s="204"/>
      <c r="M115" s="278"/>
      <c r="N115" s="279"/>
      <c r="O115" s="280"/>
      <c r="P115" s="281"/>
      <c r="Q115" s="54"/>
      <c r="R115" s="57"/>
      <c r="W115" s="16">
        <v>0.8</v>
      </c>
      <c r="AA115" s="271">
        <f t="shared" si="6"/>
        <v>17.631786584855178</v>
      </c>
    </row>
    <row r="116" spans="2:27" x14ac:dyDescent="0.3">
      <c r="B116" s="343"/>
      <c r="C116" s="180"/>
      <c r="D116" s="180"/>
      <c r="E116" s="180"/>
      <c r="F116" s="11"/>
      <c r="G116" s="11"/>
      <c r="H116" s="342"/>
      <c r="I116" s="50"/>
      <c r="J116" s="51"/>
      <c r="K116" s="49"/>
      <c r="L116" s="204"/>
      <c r="M116" s="278"/>
      <c r="N116" s="279"/>
      <c r="O116" s="280"/>
      <c r="P116" s="281"/>
      <c r="Q116" s="54"/>
      <c r="R116" s="347"/>
      <c r="W116" s="16">
        <v>0.9</v>
      </c>
      <c r="AA116" s="271">
        <f t="shared" si="6"/>
        <v>19.835759907962075</v>
      </c>
    </row>
    <row r="117" spans="2:27" x14ac:dyDescent="0.3">
      <c r="B117" s="343"/>
      <c r="C117" s="180"/>
      <c r="D117" s="180"/>
      <c r="E117" s="180"/>
      <c r="F117" s="11"/>
      <c r="G117" s="11"/>
      <c r="H117" s="342"/>
      <c r="I117" s="50"/>
      <c r="J117" s="51"/>
      <c r="K117" s="49"/>
      <c r="L117" s="204"/>
      <c r="M117" s="278"/>
      <c r="N117" s="279"/>
      <c r="O117" s="280"/>
      <c r="P117" s="281"/>
      <c r="Q117" s="54"/>
      <c r="R117" s="347"/>
      <c r="W117" s="16">
        <v>1</v>
      </c>
      <c r="AA117" s="271">
        <f t="shared" si="6"/>
        <v>22.039733231068968</v>
      </c>
    </row>
    <row r="118" spans="2:27" x14ac:dyDescent="0.3">
      <c r="B118" s="343"/>
      <c r="C118" s="180"/>
      <c r="D118" s="180"/>
      <c r="E118" s="180"/>
      <c r="F118" s="11"/>
      <c r="G118" s="11"/>
      <c r="H118" s="342"/>
      <c r="I118" s="50"/>
      <c r="J118" s="51"/>
      <c r="K118" s="49"/>
      <c r="L118" s="204"/>
      <c r="M118" s="278"/>
      <c r="N118" s="279"/>
      <c r="O118" s="280"/>
      <c r="P118" s="281"/>
      <c r="Q118" s="54"/>
      <c r="R118" s="347"/>
      <c r="W118" s="16">
        <v>1.1000000000000001</v>
      </c>
      <c r="AA118" s="271">
        <f t="shared" si="6"/>
        <v>24.243706554175869</v>
      </c>
    </row>
    <row r="119" spans="2:27" x14ac:dyDescent="0.3">
      <c r="B119" s="343"/>
      <c r="C119" s="180"/>
      <c r="D119" s="180"/>
      <c r="E119" s="180"/>
      <c r="F119" s="11"/>
      <c r="G119" s="11"/>
      <c r="H119" s="342"/>
      <c r="I119" s="50"/>
      <c r="J119" s="51"/>
      <c r="K119" s="49"/>
      <c r="L119" s="204"/>
      <c r="M119" s="278"/>
      <c r="N119" s="279"/>
      <c r="O119" s="280"/>
      <c r="P119" s="281"/>
      <c r="Q119" s="54"/>
      <c r="R119" s="347"/>
      <c r="W119" s="16">
        <v>1.2</v>
      </c>
      <c r="AA119" s="271">
        <f t="shared" si="6"/>
        <v>26.447679877282763</v>
      </c>
    </row>
    <row r="120" spans="2:27" x14ac:dyDescent="0.3">
      <c r="B120" s="343"/>
      <c r="C120" s="180"/>
      <c r="D120" s="180"/>
      <c r="E120" s="180"/>
      <c r="F120" s="11"/>
      <c r="G120" s="11"/>
      <c r="H120" s="342"/>
      <c r="I120" s="50"/>
      <c r="J120" s="51"/>
      <c r="K120" s="49"/>
      <c r="L120" s="204"/>
      <c r="M120" s="278"/>
      <c r="N120" s="279"/>
      <c r="O120" s="280"/>
      <c r="P120" s="281"/>
      <c r="Q120" s="54"/>
      <c r="R120" s="347"/>
      <c r="W120" s="16">
        <v>1.3</v>
      </c>
      <c r="AA120" s="271">
        <f t="shared" si="6"/>
        <v>28.65165320038966</v>
      </c>
    </row>
    <row r="121" spans="2:27" x14ac:dyDescent="0.3">
      <c r="B121" s="343"/>
      <c r="C121" s="180"/>
      <c r="D121" s="180"/>
      <c r="E121" s="180"/>
      <c r="F121" s="11"/>
      <c r="G121" s="11"/>
      <c r="H121" s="342"/>
      <c r="I121" s="50"/>
      <c r="J121" s="51"/>
      <c r="K121" s="49"/>
      <c r="L121" s="204"/>
      <c r="M121" s="278"/>
      <c r="N121" s="279"/>
      <c r="O121" s="280"/>
      <c r="P121" s="281"/>
      <c r="Q121" s="54"/>
      <c r="R121" s="347"/>
      <c r="W121" s="16">
        <v>1.4</v>
      </c>
      <c r="AA121" s="271">
        <f t="shared" si="6"/>
        <v>30.855626523496557</v>
      </c>
    </row>
    <row r="122" spans="2:27" x14ac:dyDescent="0.3">
      <c r="B122" s="343"/>
      <c r="C122" s="180"/>
      <c r="D122" s="180"/>
      <c r="E122" s="180"/>
      <c r="F122" s="11"/>
      <c r="G122" s="11"/>
      <c r="H122" s="342"/>
      <c r="I122" s="50"/>
      <c r="J122" s="51"/>
      <c r="K122" s="49"/>
      <c r="L122" s="204"/>
      <c r="M122" s="278"/>
      <c r="N122" s="279"/>
      <c r="O122" s="280"/>
      <c r="P122" s="281"/>
      <c r="Q122" s="54"/>
      <c r="R122" s="347"/>
      <c r="W122" s="16">
        <v>1.5</v>
      </c>
      <c r="AA122" s="271">
        <f t="shared" si="6"/>
        <v>33.059599846603462</v>
      </c>
    </row>
    <row r="123" spans="2:27" x14ac:dyDescent="0.3">
      <c r="B123" s="343"/>
      <c r="C123" s="180"/>
      <c r="D123" s="180"/>
      <c r="E123" s="180"/>
      <c r="F123" s="11"/>
      <c r="G123" s="11"/>
      <c r="H123" s="342"/>
      <c r="I123" s="50"/>
      <c r="J123" s="51"/>
      <c r="K123" s="49"/>
      <c r="L123" s="204"/>
      <c r="M123" s="278"/>
      <c r="N123" s="279"/>
      <c r="O123" s="280"/>
      <c r="P123" s="281"/>
      <c r="Q123" s="54"/>
      <c r="R123" s="347"/>
      <c r="W123" s="16">
        <v>1.6</v>
      </c>
      <c r="AA123" s="271">
        <f t="shared" si="6"/>
        <v>35.263573169710355</v>
      </c>
    </row>
    <row r="124" spans="2:27" x14ac:dyDescent="0.3">
      <c r="B124" s="343"/>
      <c r="C124" s="180"/>
      <c r="D124" s="180"/>
      <c r="E124" s="180"/>
      <c r="F124" s="11"/>
      <c r="G124" s="11"/>
      <c r="H124" s="342"/>
      <c r="I124" s="50"/>
      <c r="J124" s="51"/>
      <c r="K124" s="49"/>
      <c r="L124" s="204"/>
      <c r="M124" s="278"/>
      <c r="N124" s="279"/>
      <c r="O124" s="280"/>
      <c r="P124" s="281"/>
      <c r="Q124" s="54"/>
      <c r="R124" s="347"/>
      <c r="W124" s="16">
        <v>1.7</v>
      </c>
      <c r="AA124" s="271">
        <f t="shared" si="6"/>
        <v>37.467546492817249</v>
      </c>
    </row>
    <row r="125" spans="2:27" x14ac:dyDescent="0.3">
      <c r="B125" s="343"/>
      <c r="C125" s="180"/>
      <c r="D125" s="180"/>
      <c r="E125" s="180"/>
      <c r="F125" s="11"/>
      <c r="G125" s="11"/>
      <c r="H125" s="342"/>
      <c r="I125" s="50"/>
      <c r="J125" s="51"/>
      <c r="K125" s="49"/>
      <c r="L125" s="204"/>
      <c r="M125" s="278"/>
      <c r="N125" s="279"/>
      <c r="O125" s="280"/>
      <c r="P125" s="281"/>
      <c r="Q125" s="54"/>
      <c r="R125" s="347"/>
      <c r="W125" s="16">
        <v>1.8</v>
      </c>
      <c r="AA125" s="271">
        <f t="shared" si="6"/>
        <v>39.67151981592415</v>
      </c>
    </row>
    <row r="126" spans="2:27" x14ac:dyDescent="0.3">
      <c r="B126" s="343"/>
      <c r="C126" s="180"/>
      <c r="D126" s="180"/>
      <c r="E126" s="180"/>
      <c r="F126" s="180"/>
      <c r="G126" s="11"/>
      <c r="H126" s="342"/>
      <c r="I126" s="50"/>
      <c r="J126" s="51"/>
      <c r="K126" s="49"/>
      <c r="L126" s="204"/>
      <c r="M126" s="278"/>
      <c r="N126" s="279"/>
      <c r="O126" s="280"/>
      <c r="P126" s="281"/>
      <c r="Q126" s="54"/>
      <c r="R126" s="344"/>
      <c r="W126" s="16">
        <v>1.9</v>
      </c>
      <c r="AA126" s="271">
        <f t="shared" si="6"/>
        <v>41.875493139031043</v>
      </c>
    </row>
    <row r="127" spans="2:27" x14ac:dyDescent="0.3">
      <c r="B127" s="343"/>
      <c r="C127" s="180"/>
      <c r="D127" s="180"/>
      <c r="E127" s="180"/>
      <c r="F127" s="180"/>
      <c r="G127" s="11"/>
      <c r="H127" s="342"/>
      <c r="I127" s="50"/>
      <c r="J127" s="51"/>
      <c r="K127" s="49"/>
      <c r="L127" s="204"/>
      <c r="M127" s="278"/>
      <c r="N127" s="279"/>
      <c r="O127" s="280"/>
      <c r="P127" s="281"/>
      <c r="Q127" s="54"/>
      <c r="R127" s="180"/>
      <c r="W127" s="16">
        <v>2</v>
      </c>
      <c r="AA127" s="271">
        <f t="shared" si="6"/>
        <v>44.079466462137937</v>
      </c>
    </row>
    <row r="128" spans="2:27" x14ac:dyDescent="0.3">
      <c r="B128" s="343"/>
      <c r="C128" s="180"/>
      <c r="D128" s="180"/>
      <c r="E128" s="180"/>
      <c r="F128" s="345"/>
      <c r="G128" s="342"/>
      <c r="H128" s="342"/>
      <c r="I128" s="50"/>
      <c r="J128" s="51"/>
      <c r="K128" s="49"/>
      <c r="L128" s="204"/>
      <c r="M128" s="278"/>
      <c r="N128" s="279"/>
      <c r="O128" s="280"/>
      <c r="P128" s="281"/>
      <c r="Q128" s="54"/>
      <c r="R128" s="11"/>
    </row>
    <row r="129" spans="2:18" x14ac:dyDescent="0.3">
      <c r="B129" s="343"/>
      <c r="C129" s="180"/>
      <c r="D129" s="180"/>
      <c r="E129" s="180"/>
      <c r="F129" s="345"/>
      <c r="G129" s="342"/>
      <c r="H129" s="342"/>
      <c r="I129" s="50"/>
      <c r="J129" s="51"/>
      <c r="K129" s="49"/>
      <c r="L129" s="204"/>
      <c r="M129" s="278"/>
      <c r="N129" s="279"/>
      <c r="O129" s="280"/>
      <c r="P129" s="281"/>
      <c r="Q129" s="54"/>
      <c r="R129" s="11"/>
    </row>
    <row r="130" spans="2:18" x14ac:dyDescent="0.3">
      <c r="B130" s="343"/>
      <c r="C130" s="180"/>
      <c r="D130" s="180"/>
      <c r="E130" s="180"/>
      <c r="F130" s="345"/>
      <c r="G130" s="342"/>
      <c r="H130" s="342"/>
      <c r="I130" s="50"/>
      <c r="J130" s="51"/>
      <c r="K130" s="49"/>
      <c r="L130" s="204"/>
      <c r="M130" s="278"/>
      <c r="N130" s="279"/>
      <c r="O130" s="280"/>
      <c r="P130" s="281"/>
      <c r="Q130" s="54"/>
      <c r="R130" s="11"/>
    </row>
    <row r="131" spans="2:18" x14ac:dyDescent="0.3">
      <c r="B131" s="343"/>
      <c r="C131" s="180"/>
      <c r="D131" s="180"/>
      <c r="E131" s="180"/>
      <c r="F131" s="345"/>
      <c r="G131" s="342"/>
      <c r="H131" s="342"/>
      <c r="I131" s="50"/>
      <c r="J131" s="51"/>
      <c r="K131" s="49"/>
      <c r="L131" s="204"/>
      <c r="M131" s="278"/>
      <c r="N131" s="279"/>
      <c r="O131" s="280"/>
      <c r="P131" s="281"/>
      <c r="Q131" s="54"/>
      <c r="R131" s="11"/>
    </row>
    <row r="132" spans="2:18" x14ac:dyDescent="0.3">
      <c r="B132" s="343"/>
      <c r="C132" s="180"/>
      <c r="D132" s="180"/>
      <c r="E132" s="180"/>
      <c r="F132" s="345"/>
      <c r="G132" s="342"/>
      <c r="H132" s="342"/>
      <c r="I132" s="50"/>
      <c r="J132" s="51"/>
      <c r="K132" s="49"/>
      <c r="L132" s="204"/>
      <c r="M132" s="278"/>
      <c r="N132" s="279"/>
      <c r="O132" s="280"/>
      <c r="P132" s="281"/>
      <c r="Q132" s="54"/>
      <c r="R132" s="344"/>
    </row>
    <row r="133" spans="2:18" x14ac:dyDescent="0.3">
      <c r="B133" s="343"/>
      <c r="C133" s="180"/>
      <c r="D133" s="180"/>
      <c r="E133" s="180"/>
      <c r="F133" s="345"/>
      <c r="G133" s="342"/>
      <c r="H133" s="342"/>
      <c r="I133" s="50"/>
      <c r="J133" s="51"/>
      <c r="K133" s="49"/>
      <c r="L133" s="204"/>
      <c r="M133" s="278"/>
      <c r="N133" s="279"/>
      <c r="O133" s="280"/>
      <c r="P133" s="281"/>
      <c r="Q133" s="54"/>
      <c r="R133" s="344"/>
    </row>
    <row r="134" spans="2:18" x14ac:dyDescent="0.3">
      <c r="B134" s="343"/>
      <c r="C134" s="180"/>
      <c r="D134" s="180"/>
      <c r="E134" s="180"/>
      <c r="F134" s="345"/>
      <c r="G134" s="342"/>
      <c r="H134" s="342"/>
      <c r="I134" s="50"/>
      <c r="J134" s="51"/>
      <c r="K134" s="49"/>
      <c r="L134" s="204"/>
      <c r="M134" s="278"/>
      <c r="N134" s="279"/>
      <c r="O134" s="280"/>
      <c r="P134" s="281"/>
      <c r="Q134" s="54"/>
      <c r="R134" s="344"/>
    </row>
    <row r="135" spans="2:18" x14ac:dyDescent="0.3">
      <c r="B135" s="343"/>
      <c r="C135" s="180"/>
      <c r="D135" s="180"/>
      <c r="E135" s="180"/>
      <c r="F135" s="345"/>
      <c r="G135" s="342"/>
      <c r="H135" s="342"/>
      <c r="I135" s="50"/>
      <c r="J135" s="51"/>
      <c r="K135" s="49"/>
      <c r="L135" s="204"/>
      <c r="M135" s="278"/>
      <c r="N135" s="279"/>
      <c r="O135" s="280"/>
      <c r="P135" s="281"/>
      <c r="Q135" s="54"/>
      <c r="R135" s="344"/>
    </row>
    <row r="136" spans="2:18" x14ac:dyDescent="0.3">
      <c r="B136" s="343"/>
      <c r="C136" s="180"/>
      <c r="D136" s="180"/>
      <c r="E136" s="180"/>
      <c r="F136" s="345"/>
      <c r="G136" s="342"/>
      <c r="H136" s="342"/>
      <c r="I136" s="50"/>
      <c r="J136" s="51"/>
      <c r="K136" s="49"/>
      <c r="L136" s="204"/>
      <c r="M136" s="278"/>
      <c r="N136" s="279"/>
      <c r="O136" s="280"/>
      <c r="P136" s="281"/>
      <c r="Q136" s="54"/>
      <c r="R136" s="344"/>
    </row>
    <row r="137" spans="2:18" x14ac:dyDescent="0.3">
      <c r="B137" s="343"/>
      <c r="C137" s="180"/>
      <c r="D137" s="180"/>
      <c r="E137" s="180"/>
      <c r="F137" s="345"/>
      <c r="G137" s="342"/>
      <c r="H137" s="342"/>
      <c r="I137" s="50"/>
      <c r="J137" s="51"/>
      <c r="K137" s="49"/>
      <c r="L137" s="204"/>
      <c r="M137" s="278"/>
      <c r="N137" s="279"/>
      <c r="O137" s="280"/>
      <c r="P137" s="281"/>
      <c r="Q137" s="54"/>
      <c r="R137" s="344"/>
    </row>
    <row r="138" spans="2:18" x14ac:dyDescent="0.3">
      <c r="B138" s="343"/>
      <c r="C138" s="180"/>
      <c r="D138" s="180"/>
      <c r="E138" s="180"/>
      <c r="F138" s="345"/>
      <c r="G138" s="342"/>
      <c r="H138" s="342"/>
      <c r="I138" s="50"/>
      <c r="J138" s="51"/>
      <c r="K138" s="49"/>
      <c r="L138" s="204"/>
      <c r="M138" s="278"/>
      <c r="N138" s="279"/>
      <c r="O138" s="280"/>
      <c r="P138" s="281"/>
      <c r="Q138" s="54"/>
      <c r="R138" s="344"/>
    </row>
    <row r="139" spans="2:18" x14ac:dyDescent="0.3">
      <c r="B139" s="343"/>
      <c r="C139" s="180"/>
      <c r="D139" s="180"/>
      <c r="E139" s="180"/>
      <c r="F139" s="345"/>
      <c r="G139" s="342"/>
      <c r="H139" s="342"/>
      <c r="I139" s="50"/>
      <c r="J139" s="51"/>
      <c r="K139" s="49"/>
      <c r="L139" s="204"/>
      <c r="M139" s="278"/>
      <c r="N139" s="279"/>
      <c r="O139" s="280"/>
      <c r="P139" s="281"/>
      <c r="Q139" s="54"/>
      <c r="R139" s="344"/>
    </row>
    <row r="140" spans="2:18" x14ac:dyDescent="0.3">
      <c r="B140" s="343"/>
      <c r="C140" s="180"/>
      <c r="D140" s="180"/>
      <c r="E140" s="180"/>
      <c r="F140" s="345"/>
      <c r="G140" s="342"/>
      <c r="H140" s="342"/>
      <c r="I140" s="50"/>
      <c r="J140" s="51"/>
      <c r="K140" s="49"/>
      <c r="L140" s="204"/>
      <c r="M140" s="278"/>
      <c r="N140" s="279"/>
      <c r="O140" s="280"/>
      <c r="P140" s="281"/>
      <c r="Q140" s="54"/>
      <c r="R140" s="344"/>
    </row>
    <row r="141" spans="2:18" x14ac:dyDescent="0.3">
      <c r="B141" s="343"/>
      <c r="C141" s="180"/>
      <c r="D141" s="180"/>
      <c r="E141" s="180"/>
      <c r="F141" s="345"/>
      <c r="G141" s="342"/>
      <c r="H141" s="342"/>
      <c r="I141" s="50"/>
      <c r="J141" s="51"/>
      <c r="K141" s="49"/>
      <c r="L141" s="204"/>
      <c r="M141" s="278"/>
      <c r="N141" s="279"/>
      <c r="O141" s="280"/>
      <c r="P141" s="281"/>
      <c r="Q141" s="54"/>
      <c r="R141" s="344"/>
    </row>
    <row r="142" spans="2:18" x14ac:dyDescent="0.3">
      <c r="B142" s="343"/>
      <c r="C142" s="180"/>
      <c r="D142" s="180"/>
      <c r="E142" s="180"/>
      <c r="F142" s="345"/>
      <c r="G142" s="342"/>
      <c r="H142" s="342"/>
      <c r="I142" s="50"/>
      <c r="J142" s="51"/>
      <c r="K142" s="49"/>
      <c r="L142" s="204"/>
      <c r="M142" s="278"/>
      <c r="N142" s="279"/>
      <c r="O142" s="280"/>
      <c r="P142" s="281"/>
      <c r="Q142" s="54"/>
      <c r="R142" s="344"/>
    </row>
    <row r="143" spans="2:18" x14ac:dyDescent="0.3">
      <c r="B143" s="343"/>
      <c r="C143" s="180"/>
      <c r="D143" s="180"/>
      <c r="E143" s="180"/>
      <c r="F143" s="345"/>
      <c r="G143" s="342"/>
      <c r="H143" s="342"/>
      <c r="I143" s="50"/>
      <c r="J143" s="51"/>
      <c r="K143" s="49"/>
      <c r="L143" s="204"/>
      <c r="M143" s="278"/>
      <c r="N143" s="279"/>
      <c r="O143" s="280"/>
      <c r="P143" s="281"/>
      <c r="Q143" s="54"/>
      <c r="R143" s="344"/>
    </row>
    <row r="144" spans="2:18" x14ac:dyDescent="0.3">
      <c r="B144" s="343"/>
      <c r="C144" s="180"/>
      <c r="D144" s="180"/>
      <c r="E144" s="180"/>
      <c r="F144" s="345"/>
      <c r="G144" s="342"/>
      <c r="H144" s="342"/>
      <c r="I144" s="50"/>
      <c r="J144" s="51"/>
      <c r="K144" s="49"/>
      <c r="L144" s="204"/>
      <c r="M144" s="278"/>
      <c r="N144" s="279"/>
      <c r="O144" s="280"/>
      <c r="P144" s="281"/>
      <c r="Q144" s="54"/>
      <c r="R144" s="344"/>
    </row>
    <row r="145" spans="2:18" x14ac:dyDescent="0.3">
      <c r="B145" s="343"/>
      <c r="C145" s="180"/>
      <c r="D145" s="180"/>
      <c r="E145" s="180"/>
      <c r="F145" s="345"/>
      <c r="G145" s="342"/>
      <c r="H145" s="342"/>
      <c r="I145" s="50"/>
      <c r="J145" s="51"/>
      <c r="K145" s="49"/>
      <c r="L145" s="204"/>
      <c r="M145" s="278"/>
      <c r="N145" s="279"/>
      <c r="O145" s="280"/>
      <c r="P145" s="281"/>
      <c r="Q145" s="54"/>
      <c r="R145" s="344"/>
    </row>
    <row r="146" spans="2:18" x14ac:dyDescent="0.3">
      <c r="B146" s="343"/>
      <c r="C146" s="180"/>
      <c r="D146" s="180"/>
      <c r="E146" s="180"/>
      <c r="F146" s="345"/>
      <c r="G146" s="342"/>
      <c r="H146" s="342"/>
      <c r="I146" s="50"/>
      <c r="J146" s="51"/>
      <c r="K146" s="49"/>
      <c r="L146" s="204"/>
      <c r="M146" s="278"/>
      <c r="N146" s="279"/>
      <c r="O146" s="280"/>
      <c r="P146" s="281"/>
      <c r="Q146" s="54"/>
      <c r="R146" s="344"/>
    </row>
    <row r="147" spans="2:18" x14ac:dyDescent="0.3">
      <c r="B147" s="343"/>
      <c r="C147" s="180"/>
      <c r="D147" s="180"/>
      <c r="E147" s="180"/>
      <c r="F147" s="345"/>
      <c r="G147" s="342"/>
      <c r="H147" s="342"/>
      <c r="I147" s="50"/>
      <c r="J147" s="51"/>
      <c r="K147" s="49"/>
      <c r="L147" s="204"/>
      <c r="M147" s="278"/>
      <c r="N147" s="279"/>
      <c r="O147" s="280"/>
      <c r="P147" s="281"/>
      <c r="Q147" s="54"/>
      <c r="R147" s="344"/>
    </row>
    <row r="148" spans="2:18" x14ac:dyDescent="0.3">
      <c r="B148" s="343"/>
      <c r="C148" s="180"/>
      <c r="D148" s="180"/>
      <c r="E148" s="180"/>
      <c r="F148" s="345"/>
      <c r="G148" s="342"/>
      <c r="H148" s="342"/>
      <c r="I148" s="50"/>
      <c r="J148" s="51"/>
      <c r="K148" s="49"/>
      <c r="L148" s="204"/>
      <c r="M148" s="278"/>
      <c r="N148" s="279"/>
      <c r="O148" s="280"/>
      <c r="P148" s="281"/>
      <c r="Q148" s="54"/>
      <c r="R148" s="344"/>
    </row>
    <row r="149" spans="2:18" x14ac:dyDescent="0.3">
      <c r="B149" s="343"/>
      <c r="C149" s="180"/>
      <c r="D149" s="180"/>
      <c r="E149" s="180"/>
      <c r="F149" s="345"/>
      <c r="G149" s="342"/>
      <c r="H149" s="342"/>
      <c r="I149" s="50"/>
      <c r="J149" s="51"/>
      <c r="K149" s="49"/>
      <c r="L149" s="204"/>
      <c r="M149" s="278"/>
      <c r="N149" s="279"/>
      <c r="O149" s="280"/>
      <c r="P149" s="281"/>
      <c r="Q149" s="54"/>
      <c r="R149" s="344"/>
    </row>
    <row r="150" spans="2:18" x14ac:dyDescent="0.3">
      <c r="B150" s="343"/>
      <c r="C150" s="180"/>
      <c r="D150" s="180"/>
      <c r="E150" s="180"/>
      <c r="F150" s="345"/>
      <c r="G150" s="342"/>
      <c r="H150" s="342"/>
      <c r="I150" s="50"/>
      <c r="J150" s="51"/>
      <c r="K150" s="49"/>
      <c r="L150" s="204"/>
      <c r="M150" s="278"/>
      <c r="N150" s="279"/>
      <c r="O150" s="280"/>
      <c r="P150" s="281"/>
      <c r="Q150" s="54"/>
      <c r="R150" s="344"/>
    </row>
    <row r="151" spans="2:18" x14ac:dyDescent="0.3">
      <c r="B151" s="343"/>
      <c r="C151" s="180"/>
      <c r="D151" s="180"/>
      <c r="E151" s="180"/>
      <c r="F151" s="345"/>
      <c r="G151" s="342"/>
      <c r="H151" s="342"/>
      <c r="I151" s="50"/>
      <c r="J151" s="51"/>
      <c r="K151" s="49"/>
      <c r="L151" s="204"/>
      <c r="M151" s="278"/>
      <c r="N151" s="279"/>
      <c r="O151" s="280"/>
      <c r="P151" s="281"/>
      <c r="Q151" s="54"/>
      <c r="R151" s="344"/>
    </row>
    <row r="152" spans="2:18" x14ac:dyDescent="0.3">
      <c r="B152" s="343"/>
      <c r="C152" s="180"/>
      <c r="D152" s="180"/>
      <c r="E152" s="180"/>
      <c r="F152" s="345"/>
      <c r="G152" s="342"/>
      <c r="H152" s="342"/>
      <c r="I152" s="50"/>
      <c r="J152" s="51"/>
      <c r="K152" s="49"/>
      <c r="L152" s="204"/>
      <c r="M152" s="278"/>
      <c r="N152" s="279"/>
      <c r="O152" s="280"/>
      <c r="P152" s="281"/>
      <c r="Q152" s="54"/>
      <c r="R152" s="344"/>
    </row>
    <row r="153" spans="2:18" x14ac:dyDescent="0.3">
      <c r="B153" s="343"/>
      <c r="C153" s="180"/>
      <c r="D153" s="180"/>
      <c r="E153" s="180"/>
      <c r="F153" s="345"/>
      <c r="G153" s="342"/>
      <c r="H153" s="342"/>
      <c r="I153" s="50"/>
      <c r="J153" s="51"/>
      <c r="K153" s="49"/>
      <c r="L153" s="204"/>
      <c r="M153" s="278"/>
      <c r="N153" s="279"/>
      <c r="O153" s="280"/>
      <c r="P153" s="281"/>
      <c r="Q153" s="54"/>
      <c r="R153" s="344"/>
    </row>
    <row r="154" spans="2:18" x14ac:dyDescent="0.3">
      <c r="B154" s="343"/>
      <c r="C154" s="180"/>
      <c r="D154" s="180"/>
      <c r="E154" s="180"/>
      <c r="F154" s="345"/>
      <c r="G154" s="342"/>
      <c r="H154" s="342"/>
      <c r="I154" s="50"/>
      <c r="J154" s="51"/>
      <c r="K154" s="49"/>
      <c r="L154" s="204"/>
      <c r="M154" s="278"/>
      <c r="N154" s="279"/>
      <c r="O154" s="280"/>
      <c r="P154" s="281"/>
      <c r="Q154" s="54"/>
      <c r="R154" s="344"/>
    </row>
    <row r="155" spans="2:18" x14ac:dyDescent="0.3">
      <c r="B155" s="343"/>
      <c r="C155" s="180"/>
      <c r="D155" s="180"/>
      <c r="E155" s="180"/>
      <c r="F155" s="345"/>
      <c r="G155" s="342"/>
      <c r="H155" s="342"/>
      <c r="I155" s="50"/>
      <c r="J155" s="51"/>
      <c r="K155" s="49"/>
      <c r="L155" s="204"/>
      <c r="M155" s="278"/>
      <c r="N155" s="279"/>
      <c r="O155" s="280"/>
      <c r="P155" s="281"/>
      <c r="Q155" s="54"/>
      <c r="R155" s="344"/>
    </row>
    <row r="156" spans="2:18" x14ac:dyDescent="0.3">
      <c r="B156" s="343"/>
      <c r="C156" s="180"/>
      <c r="D156" s="180"/>
      <c r="E156" s="180"/>
      <c r="F156" s="345"/>
      <c r="G156" s="342"/>
      <c r="H156" s="342"/>
      <c r="I156" s="50"/>
      <c r="J156" s="51"/>
      <c r="K156" s="49"/>
      <c r="L156" s="204"/>
      <c r="M156" s="278"/>
      <c r="N156" s="279"/>
      <c r="O156" s="280"/>
      <c r="P156" s="281"/>
      <c r="Q156" s="54"/>
      <c r="R156" s="344"/>
    </row>
    <row r="157" spans="2:18" x14ac:dyDescent="0.3">
      <c r="B157" s="343"/>
      <c r="C157" s="180"/>
      <c r="D157" s="180"/>
      <c r="E157" s="180"/>
      <c r="F157" s="345"/>
      <c r="G157" s="342"/>
      <c r="H157" s="342"/>
      <c r="I157" s="50"/>
      <c r="J157" s="51"/>
      <c r="K157" s="49"/>
      <c r="L157" s="204"/>
      <c r="M157" s="278"/>
      <c r="N157" s="279"/>
      <c r="O157" s="280"/>
      <c r="P157" s="281"/>
      <c r="Q157" s="54"/>
      <c r="R157" s="344"/>
    </row>
    <row r="158" spans="2:18" x14ac:dyDescent="0.3">
      <c r="B158" s="343"/>
      <c r="C158" s="180"/>
      <c r="D158" s="180"/>
      <c r="E158" s="180"/>
      <c r="F158" s="345"/>
      <c r="G158" s="342"/>
      <c r="H158" s="342"/>
      <c r="I158" s="50"/>
      <c r="J158" s="51"/>
      <c r="K158" s="49"/>
      <c r="L158" s="204"/>
      <c r="M158" s="278"/>
      <c r="N158" s="279"/>
      <c r="O158" s="280"/>
      <c r="P158" s="281"/>
      <c r="Q158" s="54"/>
      <c r="R158" s="344"/>
    </row>
    <row r="159" spans="2:18" x14ac:dyDescent="0.3">
      <c r="B159" s="343"/>
      <c r="C159" s="180"/>
      <c r="D159" s="180"/>
      <c r="E159" s="180"/>
      <c r="F159" s="345"/>
      <c r="G159" s="342"/>
      <c r="H159" s="342"/>
      <c r="I159" s="50"/>
      <c r="J159" s="51"/>
      <c r="K159" s="49"/>
      <c r="L159" s="204"/>
      <c r="M159" s="278"/>
      <c r="N159" s="279"/>
      <c r="O159" s="280"/>
      <c r="P159" s="281"/>
      <c r="Q159" s="54"/>
      <c r="R159" s="344"/>
    </row>
    <row r="160" spans="2:18" x14ac:dyDescent="0.3">
      <c r="B160" s="343"/>
      <c r="C160" s="180"/>
      <c r="D160" s="180"/>
      <c r="E160" s="180"/>
      <c r="F160" s="345"/>
      <c r="G160" s="342"/>
      <c r="H160" s="342"/>
      <c r="I160" s="50"/>
      <c r="J160" s="51"/>
      <c r="K160" s="49"/>
      <c r="L160" s="204"/>
      <c r="M160" s="278"/>
      <c r="N160" s="279"/>
      <c r="O160" s="280"/>
      <c r="P160" s="281"/>
      <c r="Q160" s="54"/>
      <c r="R160" s="344"/>
    </row>
    <row r="161" spans="2:25" x14ac:dyDescent="0.3">
      <c r="B161" s="343"/>
      <c r="C161" s="180"/>
      <c r="D161" s="180"/>
      <c r="E161" s="180"/>
      <c r="F161" s="345"/>
      <c r="G161" s="342"/>
      <c r="H161" s="342"/>
      <c r="I161" s="50"/>
      <c r="J161" s="51"/>
      <c r="K161" s="49"/>
      <c r="L161" s="204"/>
      <c r="M161" s="278"/>
      <c r="N161" s="279"/>
      <c r="O161" s="280"/>
      <c r="P161" s="281"/>
      <c r="Q161" s="54"/>
      <c r="R161" s="344"/>
    </row>
    <row r="162" spans="2:25" x14ac:dyDescent="0.3">
      <c r="B162" s="343"/>
      <c r="C162" s="180"/>
      <c r="D162" s="180"/>
      <c r="E162" s="180"/>
      <c r="F162" s="345"/>
      <c r="G162" s="342"/>
      <c r="H162" s="342"/>
      <c r="I162" s="50"/>
      <c r="J162" s="51"/>
      <c r="K162" s="49"/>
      <c r="L162" s="204"/>
      <c r="M162" s="278"/>
      <c r="N162" s="279"/>
      <c r="O162" s="280"/>
      <c r="P162" s="281"/>
      <c r="Q162" s="54"/>
      <c r="R162" s="344"/>
      <c r="V162" s="295"/>
    </row>
    <row r="163" spans="2:25" x14ac:dyDescent="0.3">
      <c r="B163" s="343"/>
      <c r="C163" s="180"/>
      <c r="D163" s="180"/>
      <c r="E163" s="180"/>
      <c r="F163" s="345"/>
      <c r="G163" s="342"/>
      <c r="H163" s="342"/>
      <c r="I163" s="50"/>
      <c r="J163" s="51"/>
      <c r="K163" s="49"/>
      <c r="L163" s="204"/>
      <c r="M163" s="278"/>
      <c r="N163" s="279"/>
      <c r="O163" s="280"/>
      <c r="P163" s="281"/>
      <c r="Q163" s="54"/>
      <c r="R163" s="344"/>
      <c r="V163" s="295"/>
    </row>
    <row r="164" spans="2:25" x14ac:dyDescent="0.3">
      <c r="B164" s="343"/>
      <c r="C164" s="180"/>
      <c r="D164" s="180"/>
      <c r="E164" s="180"/>
      <c r="F164" s="345"/>
      <c r="G164" s="342"/>
      <c r="H164" s="342"/>
      <c r="I164" s="50"/>
      <c r="J164" s="51"/>
      <c r="K164" s="49"/>
      <c r="L164" s="204"/>
      <c r="M164" s="278"/>
      <c r="N164" s="279"/>
      <c r="O164" s="280"/>
      <c r="P164" s="281"/>
      <c r="Q164" s="54"/>
      <c r="R164" s="344"/>
      <c r="V164" s="295"/>
    </row>
    <row r="165" spans="2:25" x14ac:dyDescent="0.3">
      <c r="B165" s="343"/>
      <c r="C165" s="180"/>
      <c r="D165" s="180"/>
      <c r="E165" s="180"/>
      <c r="F165" s="345"/>
      <c r="G165" s="342"/>
      <c r="H165" s="342"/>
      <c r="I165" s="50"/>
      <c r="J165" s="51"/>
      <c r="K165" s="49"/>
      <c r="L165" s="204"/>
      <c r="M165" s="278"/>
      <c r="N165" s="279"/>
      <c r="O165" s="280"/>
      <c r="P165" s="281"/>
      <c r="Q165" s="54"/>
      <c r="R165" s="344"/>
    </row>
    <row r="166" spans="2:25" x14ac:dyDescent="0.3">
      <c r="B166" s="343"/>
      <c r="C166" s="180"/>
      <c r="D166" s="180"/>
      <c r="E166" s="180"/>
      <c r="F166" s="345"/>
      <c r="G166" s="342"/>
      <c r="H166" s="342"/>
      <c r="I166" s="50"/>
      <c r="J166" s="51"/>
      <c r="K166" s="49"/>
      <c r="L166" s="204"/>
      <c r="M166" s="278"/>
      <c r="N166" s="279"/>
      <c r="O166" s="280"/>
      <c r="P166" s="281"/>
      <c r="Q166" s="54"/>
      <c r="R166" s="344"/>
      <c r="V166" s="277"/>
    </row>
    <row r="167" spans="2:25" x14ac:dyDescent="0.3">
      <c r="B167" s="343"/>
      <c r="C167" s="180"/>
      <c r="D167" s="180"/>
      <c r="E167" s="180"/>
      <c r="F167" s="345"/>
      <c r="G167" s="342"/>
      <c r="H167" s="342"/>
      <c r="I167" s="50"/>
      <c r="J167" s="51"/>
      <c r="K167" s="49"/>
      <c r="L167" s="204"/>
      <c r="M167" s="278"/>
      <c r="N167" s="279"/>
      <c r="O167" s="280"/>
      <c r="P167" s="281"/>
      <c r="Q167" s="54"/>
      <c r="R167" s="344"/>
    </row>
    <row r="168" spans="2:25" x14ac:dyDescent="0.3">
      <c r="B168" s="343"/>
      <c r="C168" s="180"/>
      <c r="D168" s="180"/>
      <c r="E168" s="180"/>
      <c r="F168" s="345"/>
      <c r="G168" s="342"/>
      <c r="H168" s="342"/>
      <c r="I168" s="50"/>
      <c r="J168" s="51"/>
      <c r="K168" s="49"/>
      <c r="L168" s="204"/>
      <c r="M168" s="278"/>
      <c r="N168" s="279"/>
      <c r="O168" s="280"/>
      <c r="P168" s="281"/>
      <c r="Q168" s="54"/>
      <c r="R168" s="344"/>
    </row>
    <row r="169" spans="2:25" ht="15" thickBot="1" x14ac:dyDescent="0.35">
      <c r="B169" s="343"/>
      <c r="C169" s="180"/>
      <c r="D169" s="180"/>
      <c r="E169" s="180"/>
      <c r="F169" s="345"/>
      <c r="G169" s="342"/>
      <c r="H169" s="342"/>
      <c r="I169" s="50"/>
      <c r="J169" s="51"/>
      <c r="K169" s="49"/>
      <c r="L169" s="204"/>
      <c r="M169" s="278"/>
      <c r="N169" s="279"/>
      <c r="O169" s="280"/>
      <c r="P169" s="281"/>
      <c r="Q169" s="54"/>
      <c r="R169" s="344"/>
    </row>
    <row r="170" spans="2:25" ht="15" thickBot="1" x14ac:dyDescent="0.35">
      <c r="B170" s="343"/>
      <c r="C170" s="180"/>
      <c r="D170" s="180"/>
      <c r="E170" s="180"/>
      <c r="F170" s="345"/>
      <c r="G170" s="342"/>
      <c r="H170" s="342"/>
      <c r="I170" s="50"/>
      <c r="J170" s="51"/>
      <c r="K170" s="49"/>
      <c r="L170" s="204"/>
      <c r="M170" s="278"/>
      <c r="N170" s="279"/>
      <c r="O170" s="280"/>
      <c r="P170" s="281"/>
      <c r="Q170" s="54"/>
      <c r="R170" s="344"/>
      <c r="T170" s="57"/>
      <c r="U170" s="275"/>
    </row>
    <row r="171" spans="2:25" ht="15" thickBot="1" x14ac:dyDescent="0.35">
      <c r="B171" s="343"/>
      <c r="C171" s="180"/>
      <c r="D171" s="180"/>
      <c r="E171" s="180"/>
      <c r="F171" s="345"/>
      <c r="G171" s="342"/>
      <c r="H171" s="342"/>
      <c r="I171" s="50"/>
      <c r="J171" s="51"/>
      <c r="K171" s="49"/>
      <c r="L171" s="204"/>
      <c r="M171" s="278"/>
      <c r="N171" s="279"/>
      <c r="O171" s="280"/>
      <c r="P171" s="281"/>
      <c r="Q171" s="54"/>
      <c r="R171" s="344"/>
      <c r="T171" s="276"/>
      <c r="U171" s="275"/>
    </row>
    <row r="172" spans="2:25" ht="15" thickBot="1" x14ac:dyDescent="0.35">
      <c r="B172" s="343"/>
      <c r="C172" s="180"/>
      <c r="D172" s="180"/>
      <c r="E172" s="180"/>
      <c r="F172" s="345"/>
      <c r="G172" s="342"/>
      <c r="H172" s="342"/>
      <c r="I172" s="50"/>
      <c r="J172" s="51"/>
      <c r="K172" s="49"/>
      <c r="L172" s="204"/>
      <c r="M172" s="278"/>
      <c r="N172" s="279"/>
      <c r="O172" s="280"/>
      <c r="P172" s="281"/>
      <c r="Q172" s="54"/>
      <c r="R172" s="344"/>
      <c r="T172" s="57"/>
      <c r="U172" s="275"/>
    </row>
    <row r="173" spans="2:25" ht="15" thickBot="1" x14ac:dyDescent="0.35">
      <c r="B173" s="343"/>
      <c r="C173" s="180"/>
      <c r="D173" s="180"/>
      <c r="E173" s="180"/>
      <c r="F173" s="11"/>
      <c r="G173" s="342"/>
      <c r="H173" s="342"/>
      <c r="I173" s="50"/>
      <c r="J173" s="51"/>
      <c r="K173" s="49"/>
      <c r="L173" s="204"/>
      <c r="M173" s="278"/>
      <c r="N173" s="279"/>
      <c r="O173" s="280"/>
      <c r="P173" s="281"/>
      <c r="Q173" s="54"/>
      <c r="R173" s="344"/>
      <c r="T173" s="57"/>
      <c r="U173" s="275"/>
    </row>
    <row r="174" spans="2:25" ht="210" customHeight="1" thickBot="1" x14ac:dyDescent="0.35">
      <c r="B174" s="343"/>
      <c r="C174" s="180"/>
      <c r="D174" s="180"/>
      <c r="E174" s="180"/>
      <c r="F174" s="180"/>
      <c r="G174" s="180"/>
      <c r="H174" s="342"/>
      <c r="I174" s="50"/>
      <c r="J174" s="51"/>
      <c r="K174" s="49"/>
      <c r="L174" s="204"/>
      <c r="M174" s="278"/>
      <c r="N174" s="279"/>
      <c r="O174" s="280"/>
      <c r="P174" s="281"/>
      <c r="Q174" s="54"/>
      <c r="R174" s="344"/>
      <c r="T174" s="57"/>
      <c r="U174" s="275"/>
      <c r="Y174" s="7"/>
    </row>
    <row r="175" spans="2:25" ht="15" thickBot="1" x14ac:dyDescent="0.35">
      <c r="B175" s="343"/>
      <c r="C175" s="180"/>
      <c r="D175" s="180"/>
      <c r="E175" s="180"/>
      <c r="F175" s="180"/>
      <c r="G175" s="180"/>
      <c r="H175" s="342"/>
      <c r="I175" s="50"/>
      <c r="J175" s="51"/>
      <c r="K175" s="49"/>
      <c r="L175" s="204"/>
      <c r="M175" s="278"/>
      <c r="N175" s="279"/>
      <c r="O175" s="280"/>
      <c r="P175" s="281"/>
      <c r="Q175" s="54"/>
      <c r="R175" s="344"/>
      <c r="T175" s="57"/>
      <c r="U175" s="275"/>
    </row>
    <row r="176" spans="2:25" ht="15" thickBot="1" x14ac:dyDescent="0.35">
      <c r="B176" s="343"/>
      <c r="C176" s="180"/>
      <c r="D176" s="180"/>
      <c r="E176" s="180"/>
      <c r="F176" s="180"/>
      <c r="G176" s="180"/>
      <c r="H176" s="342"/>
      <c r="I176" s="50"/>
      <c r="J176" s="51"/>
      <c r="K176" s="49"/>
      <c r="L176" s="204"/>
      <c r="M176" s="278"/>
      <c r="N176" s="279"/>
      <c r="O176" s="280"/>
      <c r="P176" s="281"/>
      <c r="Q176" s="54"/>
      <c r="R176" s="344"/>
      <c r="T176" s="57"/>
      <c r="U176" s="275"/>
    </row>
    <row r="177" spans="2:21" ht="15" thickBot="1" x14ac:dyDescent="0.35">
      <c r="B177" s="343"/>
      <c r="C177" s="180"/>
      <c r="D177" s="180"/>
      <c r="E177" s="180"/>
      <c r="F177" s="180"/>
      <c r="G177" s="180"/>
      <c r="H177" s="342"/>
      <c r="I177" s="50"/>
      <c r="J177" s="51"/>
      <c r="K177" s="49"/>
      <c r="L177" s="204"/>
      <c r="M177" s="278"/>
      <c r="N177" s="279"/>
      <c r="O177" s="280"/>
      <c r="P177" s="281"/>
      <c r="Q177" s="54"/>
      <c r="R177" s="344"/>
      <c r="T177" s="276"/>
      <c r="U177" s="275"/>
    </row>
    <row r="178" spans="2:21" x14ac:dyDescent="0.3">
      <c r="B178" s="343"/>
      <c r="C178" s="180"/>
      <c r="D178" s="180"/>
      <c r="E178" s="180"/>
      <c r="F178" s="180"/>
      <c r="G178" s="180"/>
      <c r="H178" s="342"/>
      <c r="I178" s="50"/>
      <c r="J178" s="51"/>
      <c r="K178" s="49"/>
      <c r="L178" s="204"/>
      <c r="M178" s="278"/>
      <c r="N178" s="279"/>
      <c r="O178" s="280"/>
      <c r="P178" s="281"/>
      <c r="Q178" s="54"/>
      <c r="R178" s="344"/>
      <c r="U178" s="275"/>
    </row>
    <row r="179" spans="2:21" x14ac:dyDescent="0.3">
      <c r="B179" s="343"/>
      <c r="C179" s="180"/>
      <c r="D179" s="180"/>
      <c r="E179" s="180"/>
      <c r="F179" s="180"/>
      <c r="G179" s="180"/>
      <c r="H179" s="342"/>
      <c r="I179" s="50"/>
      <c r="J179" s="51"/>
      <c r="K179" s="49"/>
      <c r="L179" s="204"/>
      <c r="M179" s="278"/>
      <c r="N179" s="279"/>
      <c r="O179" s="280"/>
      <c r="P179" s="281"/>
      <c r="Q179" s="54"/>
      <c r="R179" s="344"/>
    </row>
    <row r="180" spans="2:21" x14ac:dyDescent="0.3">
      <c r="B180" s="343"/>
      <c r="C180" s="180"/>
      <c r="D180" s="180"/>
      <c r="E180" s="180"/>
      <c r="F180" s="180"/>
      <c r="G180" s="180"/>
      <c r="H180" s="342"/>
      <c r="I180" s="50"/>
      <c r="J180" s="51"/>
      <c r="K180" s="49"/>
      <c r="L180" s="204"/>
      <c r="M180" s="278"/>
      <c r="N180" s="279"/>
      <c r="O180" s="280"/>
      <c r="P180" s="281"/>
      <c r="Q180" s="54"/>
      <c r="R180" s="344"/>
    </row>
    <row r="181" spans="2:21" x14ac:dyDescent="0.3">
      <c r="B181" s="343"/>
      <c r="C181" s="180"/>
      <c r="D181" s="180"/>
      <c r="E181" s="180"/>
      <c r="F181" s="180"/>
      <c r="G181" s="180"/>
      <c r="H181" s="342"/>
      <c r="I181" s="50"/>
      <c r="J181" s="51"/>
      <c r="K181" s="49"/>
      <c r="L181" s="204"/>
      <c r="M181" s="278"/>
      <c r="N181" s="279"/>
      <c r="O181" s="280"/>
      <c r="P181" s="281"/>
      <c r="Q181" s="54"/>
      <c r="R181" s="344"/>
    </row>
    <row r="182" spans="2:21" x14ac:dyDescent="0.3">
      <c r="B182" s="343"/>
      <c r="C182" s="180"/>
      <c r="D182" s="180"/>
      <c r="E182" s="180"/>
      <c r="F182" s="180"/>
      <c r="G182" s="180"/>
      <c r="H182" s="342"/>
      <c r="I182" s="50"/>
      <c r="J182" s="51"/>
      <c r="K182" s="49"/>
      <c r="L182" s="204"/>
      <c r="M182" s="278"/>
      <c r="N182" s="279"/>
      <c r="O182" s="280"/>
      <c r="P182" s="281"/>
      <c r="Q182" s="54"/>
      <c r="R182" s="344"/>
    </row>
    <row r="183" spans="2:21" x14ac:dyDescent="0.3">
      <c r="B183" s="343"/>
      <c r="C183" s="180"/>
      <c r="D183" s="180"/>
      <c r="E183" s="180"/>
      <c r="F183" s="180"/>
      <c r="G183" s="180"/>
      <c r="H183" s="342"/>
      <c r="I183" s="50"/>
      <c r="J183" s="51"/>
      <c r="K183" s="49"/>
      <c r="L183" s="204"/>
      <c r="M183" s="278"/>
      <c r="N183" s="279"/>
      <c r="O183" s="280"/>
      <c r="P183" s="281"/>
      <c r="Q183" s="54"/>
      <c r="R183" s="344"/>
    </row>
    <row r="184" spans="2:21" x14ac:dyDescent="0.3">
      <c r="B184" s="343"/>
      <c r="C184" s="180"/>
      <c r="D184" s="180"/>
      <c r="E184" s="180"/>
      <c r="F184" s="180"/>
      <c r="G184" s="180"/>
      <c r="H184" s="342"/>
      <c r="I184" s="50"/>
      <c r="J184" s="51"/>
      <c r="K184" s="49"/>
      <c r="L184" s="204"/>
      <c r="M184" s="278"/>
      <c r="N184" s="279"/>
      <c r="O184" s="280"/>
      <c r="P184" s="281"/>
      <c r="Q184" s="54"/>
      <c r="R184" s="344"/>
    </row>
    <row r="185" spans="2:21" x14ac:dyDescent="0.3">
      <c r="B185" s="343"/>
      <c r="C185" s="180"/>
      <c r="D185" s="180"/>
      <c r="E185" s="180"/>
      <c r="F185" s="180"/>
      <c r="G185" s="180"/>
      <c r="H185" s="342"/>
      <c r="I185" s="50"/>
      <c r="J185" s="51"/>
      <c r="K185" s="49"/>
      <c r="L185" s="204"/>
      <c r="M185" s="278"/>
      <c r="N185" s="279"/>
      <c r="O185" s="280"/>
      <c r="P185" s="281"/>
      <c r="Q185" s="54"/>
      <c r="R185" s="344"/>
    </row>
    <row r="186" spans="2:21" x14ac:dyDescent="0.3">
      <c r="B186" s="343"/>
      <c r="C186" s="180"/>
      <c r="D186" s="180"/>
      <c r="E186" s="180"/>
      <c r="F186" s="180"/>
      <c r="G186" s="180"/>
      <c r="H186" s="342"/>
      <c r="I186" s="50"/>
      <c r="J186" s="51"/>
      <c r="K186" s="49"/>
      <c r="L186" s="204"/>
      <c r="M186" s="278"/>
      <c r="N186" s="279"/>
      <c r="O186" s="280"/>
      <c r="P186" s="281"/>
      <c r="Q186" s="54"/>
      <c r="R186" s="344"/>
    </row>
    <row r="187" spans="2:21" x14ac:dyDescent="0.3">
      <c r="B187" s="343"/>
      <c r="C187" s="180"/>
      <c r="D187" s="180"/>
      <c r="E187" s="180"/>
      <c r="F187" s="180"/>
      <c r="G187" s="180"/>
      <c r="H187" s="342"/>
      <c r="I187" s="50"/>
      <c r="J187" s="51"/>
      <c r="K187" s="49"/>
      <c r="L187" s="204"/>
      <c r="M187" s="278"/>
      <c r="N187" s="279"/>
      <c r="O187" s="280"/>
      <c r="P187" s="281"/>
      <c r="Q187" s="54"/>
      <c r="R187" s="344"/>
    </row>
    <row r="188" spans="2:21" x14ac:dyDescent="0.3">
      <c r="B188" s="343"/>
      <c r="C188" s="180"/>
      <c r="D188" s="180"/>
      <c r="E188" s="180"/>
      <c r="F188" s="180"/>
      <c r="G188" s="180"/>
      <c r="H188" s="342"/>
      <c r="I188" s="50"/>
      <c r="J188" s="51"/>
      <c r="K188" s="49"/>
      <c r="L188" s="204"/>
      <c r="M188" s="278"/>
      <c r="N188" s="279"/>
      <c r="O188" s="280"/>
      <c r="P188" s="281"/>
      <c r="Q188" s="54"/>
      <c r="R188" s="344"/>
    </row>
    <row r="189" spans="2:21" x14ac:dyDescent="0.3">
      <c r="B189" s="343"/>
      <c r="C189" s="180"/>
      <c r="D189" s="180"/>
      <c r="E189" s="180"/>
      <c r="F189" s="180"/>
      <c r="G189" s="180"/>
      <c r="H189" s="342"/>
      <c r="I189" s="50"/>
      <c r="J189" s="51"/>
      <c r="K189" s="49"/>
      <c r="L189" s="204"/>
      <c r="M189" s="278"/>
      <c r="N189" s="279"/>
      <c r="O189" s="280"/>
      <c r="P189" s="281"/>
      <c r="Q189" s="54"/>
      <c r="R189" s="344"/>
    </row>
    <row r="190" spans="2:21" x14ac:dyDescent="0.3">
      <c r="B190" s="343"/>
      <c r="C190" s="180"/>
      <c r="D190" s="180"/>
      <c r="E190" s="180"/>
      <c r="F190" s="180"/>
      <c r="G190" s="180"/>
      <c r="H190" s="342"/>
      <c r="I190" s="50"/>
      <c r="J190" s="51"/>
      <c r="K190" s="49"/>
      <c r="L190" s="204"/>
      <c r="M190" s="278"/>
      <c r="N190" s="279"/>
      <c r="O190" s="280"/>
      <c r="P190" s="281"/>
      <c r="Q190" s="54"/>
      <c r="R190" s="344"/>
    </row>
    <row r="191" spans="2:21" x14ac:dyDescent="0.3">
      <c r="B191" s="343"/>
      <c r="C191" s="180"/>
      <c r="D191" s="180"/>
      <c r="E191" s="180"/>
      <c r="F191" s="180"/>
      <c r="G191" s="180"/>
      <c r="H191" s="342"/>
      <c r="I191" s="50"/>
      <c r="J191" s="51"/>
      <c r="K191" s="49"/>
      <c r="L191" s="204"/>
      <c r="M191" s="278"/>
      <c r="N191" s="279"/>
      <c r="O191" s="280"/>
      <c r="P191" s="281"/>
      <c r="Q191" s="54"/>
      <c r="R191" s="344"/>
    </row>
    <row r="192" spans="2:21" x14ac:dyDescent="0.3">
      <c r="B192" s="343"/>
      <c r="C192" s="180"/>
      <c r="D192" s="180"/>
      <c r="E192" s="180"/>
      <c r="F192" s="180"/>
      <c r="G192" s="180"/>
      <c r="H192" s="342"/>
      <c r="I192" s="50"/>
      <c r="J192" s="51"/>
      <c r="K192" s="49"/>
      <c r="L192" s="204"/>
      <c r="M192" s="278"/>
      <c r="N192" s="279"/>
      <c r="O192" s="280"/>
      <c r="P192" s="281"/>
      <c r="Q192" s="54"/>
      <c r="R192" s="344"/>
    </row>
    <row r="193" spans="2:24" x14ac:dyDescent="0.3">
      <c r="B193" s="343"/>
      <c r="C193" s="180"/>
      <c r="D193" s="180"/>
      <c r="E193" s="180"/>
      <c r="F193" s="180"/>
      <c r="G193" s="180"/>
      <c r="H193" s="342"/>
      <c r="I193" s="50"/>
      <c r="J193" s="51"/>
      <c r="K193" s="49"/>
      <c r="L193" s="204"/>
      <c r="M193" s="278"/>
      <c r="N193" s="279"/>
      <c r="O193" s="280"/>
      <c r="P193" s="281"/>
      <c r="Q193" s="54"/>
      <c r="R193" s="344"/>
    </row>
    <row r="194" spans="2:24" x14ac:dyDescent="0.3">
      <c r="B194" s="343"/>
      <c r="C194" s="180"/>
      <c r="D194" s="180"/>
      <c r="E194" s="180"/>
      <c r="F194" s="180"/>
      <c r="G194" s="180"/>
      <c r="H194" s="342"/>
      <c r="I194" s="50"/>
      <c r="J194" s="51"/>
      <c r="K194" s="49"/>
      <c r="L194" s="204"/>
      <c r="M194" s="278"/>
      <c r="N194" s="279"/>
      <c r="O194" s="280"/>
      <c r="P194" s="281"/>
      <c r="Q194" s="54"/>
      <c r="R194" s="344"/>
    </row>
    <row r="195" spans="2:24" x14ac:dyDescent="0.3">
      <c r="B195" s="343"/>
      <c r="C195" s="180"/>
      <c r="D195" s="180"/>
      <c r="E195" s="180"/>
      <c r="F195" s="180"/>
      <c r="G195" s="180"/>
      <c r="H195" s="342"/>
      <c r="I195" s="50"/>
      <c r="J195" s="51"/>
      <c r="K195" s="49"/>
      <c r="L195" s="204"/>
      <c r="M195" s="278"/>
      <c r="N195" s="279"/>
      <c r="O195" s="280"/>
      <c r="P195" s="281"/>
      <c r="Q195" s="54"/>
      <c r="R195" s="344"/>
    </row>
    <row r="196" spans="2:24" x14ac:dyDescent="0.3">
      <c r="B196" s="343"/>
      <c r="C196" s="180"/>
      <c r="D196" s="180"/>
      <c r="E196" s="180"/>
      <c r="F196" s="180"/>
      <c r="G196" s="180"/>
      <c r="H196" s="342"/>
      <c r="I196" s="50"/>
      <c r="J196" s="51"/>
      <c r="K196" s="49"/>
      <c r="L196" s="204"/>
      <c r="M196" s="278"/>
      <c r="N196" s="279"/>
      <c r="O196" s="280"/>
      <c r="P196" s="281"/>
      <c r="Q196" s="54"/>
      <c r="R196" s="344"/>
    </row>
    <row r="197" spans="2:24" ht="15" thickBot="1" x14ac:dyDescent="0.35">
      <c r="B197" s="343"/>
      <c r="C197" s="180"/>
      <c r="D197" s="180"/>
      <c r="E197" s="180"/>
      <c r="F197" s="180"/>
      <c r="G197" s="180"/>
      <c r="H197" s="342"/>
      <c r="I197" s="50"/>
      <c r="J197" s="51"/>
      <c r="K197" s="49"/>
      <c r="L197" s="204"/>
      <c r="M197" s="278"/>
      <c r="N197" s="279"/>
      <c r="O197" s="280"/>
      <c r="P197" s="281"/>
      <c r="Q197" s="54"/>
      <c r="R197" s="344"/>
    </row>
    <row r="198" spans="2:24" ht="15" thickBot="1" x14ac:dyDescent="0.35">
      <c r="B198" s="343"/>
      <c r="C198" s="180"/>
      <c r="D198" s="180"/>
      <c r="E198" s="180"/>
      <c r="F198" s="180"/>
      <c r="G198" s="180"/>
      <c r="H198" s="342"/>
      <c r="I198" s="50"/>
      <c r="J198" s="51"/>
      <c r="K198" s="49"/>
      <c r="L198" s="204"/>
      <c r="M198" s="278"/>
      <c r="N198" s="279"/>
      <c r="O198" s="280"/>
      <c r="P198" s="281"/>
      <c r="Q198" s="54"/>
      <c r="R198" s="344"/>
      <c r="T198" s="57"/>
      <c r="U198" s="275"/>
    </row>
    <row r="199" spans="2:24" ht="15" thickBot="1" x14ac:dyDescent="0.35">
      <c r="B199" s="343"/>
      <c r="C199" s="180"/>
      <c r="D199" s="180"/>
      <c r="E199" s="180"/>
      <c r="F199" s="180"/>
      <c r="G199" s="180"/>
      <c r="H199" s="342"/>
      <c r="I199" s="50"/>
      <c r="J199" s="51"/>
      <c r="K199" s="49"/>
      <c r="L199" s="204"/>
      <c r="M199" s="278"/>
      <c r="N199" s="279"/>
      <c r="O199" s="280"/>
      <c r="P199" s="281"/>
      <c r="Q199" s="54"/>
      <c r="R199" s="344"/>
      <c r="T199" s="57"/>
      <c r="U199" s="275"/>
    </row>
    <row r="200" spans="2:24" ht="15" thickBot="1" x14ac:dyDescent="0.35">
      <c r="B200" s="343"/>
      <c r="C200" s="180"/>
      <c r="D200" s="180"/>
      <c r="E200" s="180"/>
      <c r="F200" s="180"/>
      <c r="G200" s="180"/>
      <c r="H200" s="342"/>
      <c r="I200" s="50"/>
      <c r="J200" s="51"/>
      <c r="K200" s="49"/>
      <c r="L200" s="204"/>
      <c r="M200" s="278"/>
      <c r="N200" s="279"/>
      <c r="O200" s="280"/>
      <c r="P200" s="281"/>
      <c r="Q200" s="54"/>
      <c r="R200" s="344"/>
      <c r="U200" s="275"/>
    </row>
    <row r="201" spans="2:24" ht="15" thickBot="1" x14ac:dyDescent="0.35">
      <c r="B201" s="343"/>
      <c r="C201" s="180"/>
      <c r="D201" s="180"/>
      <c r="E201" s="180"/>
      <c r="F201" s="180"/>
      <c r="G201" s="180"/>
      <c r="H201" s="342"/>
      <c r="I201" s="50"/>
      <c r="J201" s="51"/>
      <c r="K201" s="49"/>
      <c r="L201" s="204"/>
      <c r="M201" s="278"/>
      <c r="N201" s="279"/>
      <c r="O201" s="280"/>
      <c r="P201" s="281"/>
      <c r="Q201" s="54"/>
      <c r="R201" s="344"/>
      <c r="U201" s="275"/>
    </row>
    <row r="202" spans="2:24" ht="15" thickBot="1" x14ac:dyDescent="0.35">
      <c r="B202" s="343"/>
      <c r="C202" s="180"/>
      <c r="D202" s="180"/>
      <c r="E202" s="180"/>
      <c r="F202" s="180"/>
      <c r="G202" s="180"/>
      <c r="H202" s="342"/>
      <c r="I202" s="50"/>
      <c r="J202" s="51"/>
      <c r="K202" s="49"/>
      <c r="L202" s="204"/>
      <c r="M202" s="278"/>
      <c r="N202" s="279"/>
      <c r="O202" s="280"/>
      <c r="P202" s="281"/>
      <c r="Q202" s="54"/>
      <c r="R202" s="344"/>
      <c r="U202" s="275"/>
    </row>
    <row r="203" spans="2:24" ht="15" thickBot="1" x14ac:dyDescent="0.35">
      <c r="B203" s="343"/>
      <c r="C203" s="180"/>
      <c r="D203" s="180"/>
      <c r="E203" s="180"/>
      <c r="F203" s="180"/>
      <c r="G203" s="180"/>
      <c r="H203" s="342"/>
      <c r="I203" s="50"/>
      <c r="J203" s="51"/>
      <c r="K203" s="49"/>
      <c r="L203" s="204"/>
      <c r="M203" s="278"/>
      <c r="N203" s="279"/>
      <c r="O203" s="280"/>
      <c r="P203" s="281"/>
      <c r="Q203" s="54"/>
      <c r="R203" s="344"/>
      <c r="U203" s="275"/>
    </row>
    <row r="204" spans="2:24" ht="15" thickBot="1" x14ac:dyDescent="0.35">
      <c r="B204" s="343"/>
      <c r="C204" s="180"/>
      <c r="D204" s="180"/>
      <c r="E204" s="180"/>
      <c r="F204" s="180"/>
      <c r="G204" s="180"/>
      <c r="H204" s="342"/>
      <c r="I204" s="50"/>
      <c r="J204" s="51"/>
      <c r="K204" s="49"/>
      <c r="L204" s="204"/>
      <c r="M204" s="278"/>
      <c r="N204" s="279"/>
      <c r="O204" s="280"/>
      <c r="P204" s="281"/>
      <c r="Q204" s="54"/>
      <c r="R204" s="344"/>
      <c r="U204" s="275"/>
    </row>
    <row r="205" spans="2:24" ht="15" thickBot="1" x14ac:dyDescent="0.35">
      <c r="B205" s="343"/>
      <c r="C205" s="180"/>
      <c r="D205" s="180"/>
      <c r="E205" s="180"/>
      <c r="F205" s="180"/>
      <c r="G205" s="180"/>
      <c r="H205" s="342"/>
      <c r="I205" s="50"/>
      <c r="J205" s="51"/>
      <c r="K205" s="49"/>
      <c r="L205" s="204"/>
      <c r="M205" s="278"/>
      <c r="N205" s="279"/>
      <c r="O205" s="280"/>
      <c r="P205" s="281"/>
      <c r="Q205" s="54"/>
      <c r="R205" s="344"/>
      <c r="U205" s="275"/>
      <c r="X205" s="293">
        <v>8301.3610000000008</v>
      </c>
    </row>
    <row r="206" spans="2:24" ht="15" thickBot="1" x14ac:dyDescent="0.35">
      <c r="B206" s="343"/>
      <c r="C206" s="180"/>
      <c r="D206" s="180"/>
      <c r="E206" s="180"/>
      <c r="F206" s="180"/>
      <c r="G206" s="180"/>
      <c r="H206" s="342"/>
      <c r="I206" s="50"/>
      <c r="J206" s="51"/>
      <c r="K206" s="49"/>
      <c r="L206" s="204"/>
      <c r="M206" s="278"/>
      <c r="N206" s="279"/>
      <c r="O206" s="280"/>
      <c r="P206" s="281"/>
      <c r="Q206" s="54"/>
      <c r="R206" s="344"/>
      <c r="U206" s="275"/>
      <c r="X206" s="294" t="s">
        <v>46</v>
      </c>
    </row>
    <row r="207" spans="2:24" ht="15" thickBot="1" x14ac:dyDescent="0.35">
      <c r="B207" s="343"/>
      <c r="C207" s="180"/>
      <c r="D207" s="180"/>
      <c r="E207" s="180"/>
      <c r="F207" s="180"/>
      <c r="G207" s="180"/>
      <c r="H207" s="342"/>
      <c r="I207" s="50"/>
      <c r="J207" s="51"/>
      <c r="K207" s="49"/>
      <c r="L207" s="204"/>
      <c r="M207" s="278"/>
      <c r="N207" s="279"/>
      <c r="O207" s="280"/>
      <c r="P207" s="281"/>
      <c r="Q207" s="54"/>
      <c r="R207" s="344"/>
      <c r="X207" s="294">
        <v>0.14000000000000001</v>
      </c>
    </row>
    <row r="208" spans="2:24" ht="15" thickBot="1" x14ac:dyDescent="0.35">
      <c r="B208" s="343"/>
      <c r="C208" s="180"/>
      <c r="D208" s="180"/>
      <c r="E208" s="180"/>
      <c r="F208" s="180"/>
      <c r="G208" s="180"/>
      <c r="H208" s="342"/>
      <c r="I208" s="50"/>
      <c r="J208" s="51"/>
      <c r="K208" s="49"/>
      <c r="L208" s="204"/>
      <c r="M208" s="278"/>
      <c r="N208" s="279"/>
      <c r="O208" s="280"/>
      <c r="P208" s="281"/>
      <c r="Q208" s="54"/>
      <c r="R208" s="344"/>
      <c r="X208" s="294">
        <v>0.16</v>
      </c>
    </row>
    <row r="209" spans="2:24" ht="15" thickBot="1" x14ac:dyDescent="0.35">
      <c r="B209" s="343"/>
      <c r="C209" s="180"/>
      <c r="D209" s="180"/>
      <c r="E209" s="180"/>
      <c r="F209" s="180"/>
      <c r="G209" s="180"/>
      <c r="H209" s="342"/>
      <c r="I209" s="50"/>
      <c r="J209" s="51"/>
      <c r="K209" s="49"/>
      <c r="L209" s="204"/>
      <c r="M209" s="278"/>
      <c r="N209" s="279"/>
      <c r="O209" s="280"/>
      <c r="P209" s="281"/>
      <c r="Q209" s="54"/>
      <c r="R209" s="344"/>
      <c r="X209" s="294">
        <v>0.7</v>
      </c>
    </row>
    <row r="210" spans="2:24" ht="15" thickBot="1" x14ac:dyDescent="0.35">
      <c r="B210" s="343"/>
      <c r="C210" s="180"/>
      <c r="D210" s="180"/>
      <c r="E210" s="180"/>
      <c r="F210" s="180"/>
      <c r="G210" s="180"/>
      <c r="H210" s="342"/>
      <c r="I210" s="50"/>
      <c r="J210" s="51"/>
      <c r="K210" s="49"/>
      <c r="L210" s="204"/>
      <c r="M210" s="278"/>
      <c r="N210" s="279"/>
      <c r="O210" s="280"/>
      <c r="P210" s="281"/>
      <c r="Q210" s="54"/>
      <c r="R210" s="344"/>
      <c r="X210" s="294">
        <v>1.63</v>
      </c>
    </row>
    <row r="211" spans="2:24" ht="15" thickBot="1" x14ac:dyDescent="0.35">
      <c r="B211" s="343"/>
      <c r="C211" s="180"/>
      <c r="D211" s="180"/>
      <c r="E211" s="180"/>
      <c r="F211" s="180"/>
      <c r="G211" s="180"/>
      <c r="H211" s="342"/>
      <c r="I211" s="50"/>
      <c r="J211" s="51"/>
      <c r="K211" s="49"/>
      <c r="L211" s="204"/>
      <c r="M211" s="278"/>
      <c r="N211" s="279"/>
      <c r="O211" s="280"/>
      <c r="P211" s="281"/>
      <c r="Q211" s="54"/>
      <c r="R211" s="344"/>
      <c r="X211" s="294">
        <v>126</v>
      </c>
    </row>
    <row r="212" spans="2:24" x14ac:dyDescent="0.3">
      <c r="B212" s="343"/>
      <c r="C212" s="180"/>
      <c r="D212" s="180"/>
      <c r="E212" s="180"/>
      <c r="F212" s="180"/>
      <c r="G212" s="180"/>
      <c r="H212" s="342"/>
      <c r="I212" s="50"/>
      <c r="J212" s="51"/>
      <c r="K212" s="49"/>
      <c r="L212" s="204"/>
      <c r="M212" s="278"/>
      <c r="N212" s="279"/>
      <c r="O212" s="280"/>
      <c r="P212" s="281"/>
      <c r="Q212" s="54"/>
      <c r="R212" s="344"/>
    </row>
    <row r="213" spans="2:24" x14ac:dyDescent="0.3">
      <c r="B213" s="343"/>
      <c r="C213" s="180"/>
      <c r="D213" s="180"/>
      <c r="E213" s="180"/>
      <c r="F213" s="180"/>
      <c r="G213" s="180"/>
      <c r="H213" s="342"/>
      <c r="I213" s="50"/>
      <c r="J213" s="51"/>
      <c r="K213" s="49"/>
      <c r="L213" s="204"/>
      <c r="M213" s="278"/>
      <c r="N213" s="279"/>
      <c r="O213" s="280"/>
      <c r="P213" s="281"/>
      <c r="Q213" s="54"/>
      <c r="R213" s="344"/>
      <c r="X213">
        <f>SUM(X205:X211)</f>
        <v>8429.991</v>
      </c>
    </row>
    <row r="214" spans="2:24" x14ac:dyDescent="0.3">
      <c r="B214" s="343"/>
      <c r="C214" s="180"/>
      <c r="D214" s="180"/>
      <c r="E214" s="180"/>
      <c r="F214" s="180"/>
      <c r="G214" s="180"/>
      <c r="H214" s="342"/>
      <c r="I214" s="50"/>
      <c r="J214" s="51"/>
      <c r="K214" s="49"/>
      <c r="L214" s="204"/>
      <c r="M214" s="278"/>
      <c r="N214" s="279"/>
      <c r="O214" s="280"/>
      <c r="P214" s="281"/>
      <c r="Q214" s="54"/>
      <c r="R214" s="344"/>
    </row>
    <row r="215" spans="2:24" ht="15" thickBot="1" x14ac:dyDescent="0.35">
      <c r="B215" s="343"/>
      <c r="C215" s="180"/>
      <c r="D215" s="180"/>
      <c r="E215" s="180"/>
      <c r="F215" s="180"/>
      <c r="G215" s="180"/>
      <c r="H215" s="342"/>
      <c r="I215" s="50"/>
      <c r="J215" s="51"/>
      <c r="K215" s="49"/>
      <c r="L215" s="204"/>
      <c r="M215" s="278"/>
      <c r="N215" s="279"/>
      <c r="O215" s="280"/>
      <c r="P215" s="281"/>
      <c r="Q215" s="54"/>
      <c r="R215" s="344"/>
    </row>
    <row r="216" spans="2:24" ht="15" thickBot="1" x14ac:dyDescent="0.35">
      <c r="B216" s="343"/>
      <c r="C216" s="180"/>
      <c r="D216" s="180"/>
      <c r="E216" s="180"/>
      <c r="F216" s="180"/>
      <c r="G216" s="180"/>
      <c r="H216" s="342"/>
      <c r="I216" s="50"/>
      <c r="J216" s="51"/>
      <c r="K216" s="49"/>
      <c r="L216" s="204"/>
      <c r="M216" s="278"/>
      <c r="N216" s="279"/>
      <c r="O216" s="280"/>
      <c r="P216" s="281"/>
      <c r="Q216" s="54"/>
      <c r="R216" s="344"/>
      <c r="T216" s="57"/>
      <c r="U216" s="275"/>
    </row>
    <row r="217" spans="2:24" ht="15" thickBot="1" x14ac:dyDescent="0.35">
      <c r="B217" s="343"/>
      <c r="C217" s="180"/>
      <c r="D217" s="180"/>
      <c r="E217" s="180"/>
      <c r="F217" s="180"/>
      <c r="G217" s="180"/>
      <c r="H217" s="342"/>
      <c r="I217" s="50"/>
      <c r="J217" s="51"/>
      <c r="K217" s="49"/>
      <c r="L217" s="204"/>
      <c r="M217" s="278"/>
      <c r="N217" s="279"/>
      <c r="O217" s="280"/>
      <c r="P217" s="281"/>
      <c r="Q217" s="54"/>
      <c r="R217" s="344"/>
      <c r="T217" s="57"/>
      <c r="U217" s="275"/>
    </row>
    <row r="218" spans="2:24" ht="15" thickBot="1" x14ac:dyDescent="0.35">
      <c r="B218" s="343"/>
      <c r="C218" s="180"/>
      <c r="D218" s="180"/>
      <c r="E218" s="180"/>
      <c r="F218" s="180"/>
      <c r="G218" s="180"/>
      <c r="H218" s="342"/>
      <c r="I218" s="50"/>
      <c r="J218" s="51"/>
      <c r="K218" s="49"/>
      <c r="L218" s="204"/>
      <c r="M218" s="278"/>
      <c r="N218" s="279"/>
      <c r="O218" s="280"/>
      <c r="P218" s="281"/>
      <c r="Q218" s="54"/>
      <c r="R218" s="344"/>
      <c r="T218" s="57"/>
      <c r="U218" s="275"/>
    </row>
    <row r="219" spans="2:24" x14ac:dyDescent="0.3">
      <c r="B219" s="343"/>
      <c r="C219" s="180"/>
      <c r="D219" s="180"/>
      <c r="E219" s="180"/>
      <c r="F219" s="180"/>
      <c r="G219" s="180"/>
      <c r="H219" s="342"/>
      <c r="I219" s="50"/>
      <c r="J219" s="51"/>
      <c r="K219" s="49"/>
      <c r="L219" s="204"/>
      <c r="M219" s="278"/>
      <c r="N219" s="279"/>
      <c r="O219" s="280"/>
      <c r="P219" s="281"/>
      <c r="Q219" s="54"/>
      <c r="R219" s="344"/>
      <c r="T219" s="57"/>
      <c r="U219" s="275"/>
    </row>
    <row r="220" spans="2:24" x14ac:dyDescent="0.3">
      <c r="B220" s="343"/>
      <c r="C220" s="180"/>
      <c r="D220" s="180"/>
      <c r="E220" s="180"/>
      <c r="F220" s="180"/>
      <c r="G220" s="180"/>
      <c r="H220" s="342"/>
      <c r="I220" s="50"/>
      <c r="J220" s="51"/>
      <c r="K220" s="49"/>
      <c r="L220" s="204"/>
      <c r="M220" s="278"/>
      <c r="N220" s="279"/>
      <c r="O220" s="280"/>
      <c r="P220" s="281"/>
      <c r="Q220" s="54"/>
      <c r="R220" s="344"/>
    </row>
    <row r="221" spans="2:24" x14ac:dyDescent="0.3">
      <c r="B221" s="343"/>
      <c r="C221" s="180"/>
      <c r="D221" s="180"/>
      <c r="E221" s="180"/>
      <c r="F221" s="180"/>
      <c r="G221" s="180"/>
      <c r="H221" s="342"/>
      <c r="I221" s="50"/>
      <c r="J221" s="51"/>
      <c r="K221" s="49"/>
      <c r="L221" s="204"/>
      <c r="M221" s="278"/>
      <c r="N221" s="279"/>
      <c r="O221" s="280"/>
      <c r="P221" s="281"/>
      <c r="Q221" s="54"/>
      <c r="R221" s="344"/>
    </row>
    <row r="222" spans="2:24" x14ac:dyDescent="0.3">
      <c r="B222" s="343"/>
      <c r="C222" s="180"/>
      <c r="D222" s="180"/>
      <c r="E222" s="180"/>
      <c r="F222" s="180"/>
      <c r="G222" s="180"/>
      <c r="H222" s="342"/>
      <c r="I222" s="50"/>
      <c r="J222" s="51"/>
      <c r="K222" s="49"/>
      <c r="L222" s="204"/>
      <c r="M222" s="278"/>
      <c r="N222" s="279"/>
      <c r="O222" s="280"/>
      <c r="P222" s="281"/>
      <c r="Q222" s="54"/>
      <c r="R222" s="344"/>
    </row>
    <row r="223" spans="2:24" x14ac:dyDescent="0.3">
      <c r="B223" s="343"/>
      <c r="C223" s="180"/>
      <c r="D223" s="180"/>
      <c r="E223" s="180"/>
      <c r="F223" s="180"/>
      <c r="G223" s="180"/>
      <c r="H223" s="342"/>
      <c r="I223" s="50"/>
      <c r="J223" s="51"/>
      <c r="K223" s="49"/>
      <c r="L223" s="204"/>
      <c r="M223" s="278"/>
      <c r="N223" s="279"/>
      <c r="O223" s="280"/>
      <c r="P223" s="281"/>
      <c r="Q223" s="54"/>
      <c r="R223" s="344"/>
    </row>
    <row r="224" spans="2:24" x14ac:dyDescent="0.3">
      <c r="B224" s="343"/>
      <c r="C224" s="180"/>
      <c r="D224" s="180"/>
      <c r="E224" s="180"/>
      <c r="F224" s="180"/>
      <c r="G224" s="180"/>
      <c r="H224" s="342"/>
      <c r="I224" s="50"/>
      <c r="J224" s="51"/>
      <c r="K224" s="49"/>
      <c r="L224" s="204"/>
      <c r="M224" s="278"/>
      <c r="N224" s="279"/>
      <c r="O224" s="280"/>
      <c r="P224" s="281"/>
      <c r="Q224" s="54"/>
      <c r="R224" s="344"/>
    </row>
    <row r="225" spans="2:18" x14ac:dyDescent="0.3">
      <c r="B225" s="343"/>
      <c r="C225" s="180"/>
      <c r="D225" s="180"/>
      <c r="E225" s="180"/>
      <c r="F225" s="180"/>
      <c r="G225" s="180"/>
      <c r="H225" s="342"/>
      <c r="I225" s="50"/>
      <c r="J225" s="51"/>
      <c r="K225" s="49"/>
      <c r="L225" s="204"/>
      <c r="M225" s="278"/>
      <c r="N225" s="279"/>
      <c r="O225" s="280"/>
      <c r="P225" s="281"/>
      <c r="Q225" s="54"/>
      <c r="R225" s="344"/>
    </row>
    <row r="226" spans="2:18" x14ac:dyDescent="0.3">
      <c r="B226" s="343"/>
      <c r="C226" s="180"/>
      <c r="D226" s="180"/>
      <c r="E226" s="180"/>
      <c r="F226" s="180"/>
      <c r="G226" s="180"/>
      <c r="H226" s="342"/>
      <c r="I226" s="50"/>
      <c r="J226" s="51"/>
      <c r="K226" s="49"/>
      <c r="L226" s="204"/>
      <c r="M226" s="278"/>
      <c r="N226" s="279"/>
      <c r="O226" s="280"/>
      <c r="P226" s="281"/>
      <c r="Q226" s="54"/>
      <c r="R226" s="344"/>
    </row>
    <row r="227" spans="2:18" x14ac:dyDescent="0.3">
      <c r="B227" s="343"/>
      <c r="C227" s="180"/>
      <c r="D227" s="180"/>
      <c r="E227" s="180"/>
      <c r="F227" s="180"/>
      <c r="G227" s="180"/>
      <c r="H227" s="342"/>
      <c r="I227" s="50"/>
      <c r="J227" s="51"/>
      <c r="K227" s="49"/>
      <c r="L227" s="204"/>
      <c r="M227" s="278"/>
      <c r="N227" s="279"/>
      <c r="O227" s="280"/>
      <c r="P227" s="281"/>
      <c r="Q227" s="54"/>
      <c r="R227" s="344"/>
    </row>
    <row r="228" spans="2:18" x14ac:dyDescent="0.3">
      <c r="B228" s="343"/>
      <c r="C228" s="180"/>
      <c r="D228" s="180"/>
      <c r="E228" s="180"/>
      <c r="F228" s="180"/>
      <c r="G228" s="180"/>
      <c r="H228" s="342"/>
      <c r="I228" s="50"/>
      <c r="J228" s="51"/>
      <c r="K228" s="49"/>
      <c r="L228" s="204"/>
      <c r="M228" s="278"/>
      <c r="N228" s="279"/>
      <c r="O228" s="280"/>
      <c r="P228" s="281"/>
      <c r="Q228" s="54"/>
      <c r="R228" s="344"/>
    </row>
    <row r="229" spans="2:18" x14ac:dyDescent="0.3">
      <c r="B229" s="343"/>
      <c r="C229" s="180"/>
      <c r="D229" s="180"/>
      <c r="E229" s="180"/>
      <c r="F229" s="180"/>
      <c r="G229" s="180"/>
      <c r="H229" s="342"/>
      <c r="I229" s="50"/>
      <c r="J229" s="51"/>
      <c r="K229" s="49"/>
      <c r="L229" s="204"/>
      <c r="M229" s="278"/>
      <c r="N229" s="279"/>
      <c r="O229" s="280"/>
      <c r="P229" s="281"/>
      <c r="Q229" s="54"/>
      <c r="R229" s="344"/>
    </row>
    <row r="230" spans="2:18" x14ac:dyDescent="0.3">
      <c r="B230" s="343"/>
      <c r="C230" s="180"/>
      <c r="D230" s="180"/>
      <c r="E230" s="180"/>
      <c r="F230" s="180"/>
      <c r="G230" s="180"/>
      <c r="H230" s="342"/>
      <c r="I230" s="50"/>
      <c r="J230" s="51"/>
      <c r="K230" s="49"/>
      <c r="L230" s="204"/>
      <c r="M230" s="278"/>
      <c r="N230" s="279"/>
      <c r="O230" s="280"/>
      <c r="P230" s="281"/>
      <c r="Q230" s="54"/>
      <c r="R230" s="344"/>
    </row>
    <row r="231" spans="2:18" x14ac:dyDescent="0.3">
      <c r="B231" s="343"/>
      <c r="C231" s="180"/>
      <c r="D231" s="180"/>
      <c r="E231" s="180"/>
      <c r="F231" s="180"/>
      <c r="G231" s="180"/>
      <c r="H231" s="342"/>
      <c r="I231" s="50"/>
      <c r="J231" s="51"/>
      <c r="K231" s="49"/>
      <c r="L231" s="204"/>
      <c r="M231" s="278"/>
      <c r="N231" s="279"/>
      <c r="O231" s="280"/>
      <c r="P231" s="281"/>
      <c r="Q231" s="54"/>
      <c r="R231" s="344"/>
    </row>
    <row r="232" spans="2:18" x14ac:dyDescent="0.3">
      <c r="B232" s="343"/>
      <c r="C232" s="180"/>
      <c r="D232" s="180"/>
      <c r="E232" s="180"/>
      <c r="F232" s="180"/>
      <c r="G232" s="180"/>
      <c r="H232" s="342"/>
      <c r="I232" s="50"/>
      <c r="J232" s="51"/>
      <c r="K232" s="49"/>
      <c r="L232" s="204"/>
      <c r="M232" s="278"/>
      <c r="N232" s="279"/>
      <c r="O232" s="280"/>
      <c r="P232" s="281"/>
      <c r="Q232" s="54"/>
      <c r="R232" s="344"/>
    </row>
    <row r="233" spans="2:18" x14ac:dyDescent="0.3">
      <c r="B233" s="343"/>
      <c r="C233" s="180"/>
      <c r="D233" s="180"/>
      <c r="E233" s="180"/>
      <c r="F233" s="180"/>
      <c r="G233" s="180"/>
      <c r="H233" s="342"/>
      <c r="I233" s="50"/>
      <c r="J233" s="51"/>
      <c r="K233" s="49"/>
      <c r="L233" s="204"/>
      <c r="M233" s="278"/>
      <c r="N233" s="279"/>
      <c r="O233" s="280"/>
      <c r="P233" s="281"/>
      <c r="Q233" s="54"/>
      <c r="R233" s="344"/>
    </row>
    <row r="234" spans="2:18" x14ac:dyDescent="0.3">
      <c r="B234" s="343"/>
      <c r="C234" s="180"/>
      <c r="D234" s="180"/>
      <c r="E234" s="180"/>
      <c r="F234" s="180"/>
      <c r="G234" s="180"/>
      <c r="H234" s="342"/>
      <c r="I234" s="50"/>
      <c r="J234" s="51"/>
      <c r="K234" s="49"/>
      <c r="L234" s="204"/>
      <c r="M234" s="278"/>
      <c r="N234" s="279"/>
      <c r="O234" s="280"/>
      <c r="P234" s="281"/>
      <c r="Q234" s="54"/>
      <c r="R234" s="344"/>
    </row>
    <row r="235" spans="2:18" x14ac:dyDescent="0.3">
      <c r="B235" s="343"/>
      <c r="C235" s="180"/>
      <c r="D235" s="180"/>
      <c r="E235" s="180"/>
      <c r="F235" s="180"/>
      <c r="G235" s="180"/>
      <c r="H235" s="342"/>
      <c r="I235" s="50"/>
      <c r="J235" s="51"/>
      <c r="K235" s="49"/>
      <c r="L235" s="204"/>
      <c r="M235" s="278"/>
      <c r="N235" s="279"/>
      <c r="O235" s="280"/>
      <c r="P235" s="281"/>
      <c r="Q235" s="54"/>
      <c r="R235" s="344"/>
    </row>
    <row r="236" spans="2:18" x14ac:dyDescent="0.3">
      <c r="B236" s="343"/>
      <c r="C236" s="180"/>
      <c r="D236" s="180"/>
      <c r="E236" s="180"/>
      <c r="F236" s="180"/>
      <c r="G236" s="180"/>
      <c r="H236" s="342"/>
      <c r="I236" s="50"/>
      <c r="J236" s="51"/>
      <c r="K236" s="49"/>
      <c r="L236" s="204"/>
      <c r="M236" s="278"/>
      <c r="N236" s="279"/>
      <c r="O236" s="280"/>
      <c r="P236" s="281"/>
      <c r="Q236" s="54"/>
      <c r="R236" s="344"/>
    </row>
    <row r="237" spans="2:18" x14ac:dyDescent="0.3">
      <c r="B237" s="343"/>
      <c r="C237" s="180"/>
      <c r="D237" s="180"/>
      <c r="E237" s="180"/>
      <c r="F237" s="180"/>
      <c r="G237" s="180"/>
      <c r="H237" s="342"/>
      <c r="I237" s="50"/>
      <c r="J237" s="51"/>
      <c r="K237" s="49"/>
      <c r="L237" s="204"/>
      <c r="M237" s="278"/>
      <c r="N237" s="279"/>
      <c r="O237" s="280"/>
      <c r="P237" s="281"/>
      <c r="Q237" s="54"/>
      <c r="R237" s="344"/>
    </row>
    <row r="238" spans="2:18" x14ac:dyDescent="0.3">
      <c r="B238" s="343"/>
      <c r="C238" s="180"/>
      <c r="D238" s="180"/>
      <c r="E238" s="180"/>
      <c r="F238" s="180"/>
      <c r="G238" s="180"/>
      <c r="H238" s="342"/>
      <c r="I238" s="50"/>
      <c r="J238" s="51"/>
      <c r="K238" s="49"/>
      <c r="L238" s="204"/>
      <c r="M238" s="278"/>
      <c r="N238" s="279"/>
      <c r="O238" s="280"/>
      <c r="P238" s="281"/>
      <c r="Q238" s="54"/>
      <c r="R238" s="344"/>
    </row>
    <row r="239" spans="2:18" x14ac:dyDescent="0.3">
      <c r="B239" s="343"/>
      <c r="C239" s="180"/>
      <c r="D239" s="180"/>
      <c r="E239" s="180"/>
      <c r="F239" s="180"/>
      <c r="G239" s="180"/>
      <c r="H239" s="342"/>
      <c r="I239" s="50"/>
      <c r="J239" s="51"/>
      <c r="K239" s="49"/>
      <c r="L239" s="204"/>
      <c r="M239" s="278"/>
      <c r="N239" s="279"/>
      <c r="O239" s="280"/>
      <c r="P239" s="281"/>
      <c r="Q239" s="54"/>
      <c r="R239" s="344"/>
    </row>
    <row r="240" spans="2:18" x14ac:dyDescent="0.3">
      <c r="B240" s="343"/>
      <c r="C240" s="180"/>
      <c r="D240" s="180"/>
      <c r="E240" s="180"/>
      <c r="F240" s="180"/>
      <c r="G240" s="180"/>
      <c r="H240" s="342"/>
      <c r="I240" s="50"/>
      <c r="J240" s="51"/>
      <c r="K240" s="49"/>
      <c r="L240" s="204"/>
      <c r="M240" s="278"/>
      <c r="N240" s="279"/>
      <c r="O240" s="280"/>
      <c r="P240" s="281"/>
      <c r="Q240" s="54"/>
      <c r="R240" s="344"/>
    </row>
    <row r="241" spans="2:21" x14ac:dyDescent="0.3">
      <c r="B241" s="343"/>
      <c r="C241" s="180"/>
      <c r="D241" s="180"/>
      <c r="E241" s="180"/>
      <c r="F241" s="180"/>
      <c r="G241" s="180"/>
      <c r="H241" s="342"/>
      <c r="I241" s="50"/>
      <c r="J241" s="51"/>
      <c r="K241" s="49"/>
      <c r="L241" s="204"/>
      <c r="M241" s="278"/>
      <c r="N241" s="279"/>
      <c r="O241" s="280"/>
      <c r="P241" s="281"/>
      <c r="Q241" s="54"/>
      <c r="R241" s="344"/>
    </row>
    <row r="242" spans="2:21" x14ac:dyDescent="0.3">
      <c r="B242" s="343"/>
      <c r="C242" s="180"/>
      <c r="D242" s="180"/>
      <c r="E242" s="180"/>
      <c r="F242" s="180"/>
      <c r="G242" s="180"/>
      <c r="H242" s="342"/>
      <c r="I242" s="50"/>
      <c r="J242" s="51"/>
      <c r="K242" s="49"/>
      <c r="L242" s="204"/>
      <c r="M242" s="278"/>
      <c r="N242" s="279"/>
      <c r="O242" s="280"/>
      <c r="P242" s="281"/>
      <c r="Q242" s="54"/>
      <c r="R242" s="344"/>
    </row>
    <row r="243" spans="2:21" x14ac:dyDescent="0.3">
      <c r="B243" s="343"/>
      <c r="C243" s="180"/>
      <c r="D243" s="180"/>
      <c r="E243" s="180"/>
      <c r="F243" s="180"/>
      <c r="G243" s="180"/>
      <c r="H243" s="342"/>
      <c r="I243" s="50"/>
      <c r="J243" s="51"/>
      <c r="K243" s="49"/>
      <c r="L243" s="204"/>
      <c r="M243" s="278"/>
      <c r="N243" s="279"/>
      <c r="O243" s="280"/>
      <c r="P243" s="281"/>
      <c r="Q243" s="54"/>
      <c r="R243" s="344"/>
    </row>
    <row r="244" spans="2:21" x14ac:dyDescent="0.3">
      <c r="B244" s="343"/>
      <c r="C244" s="180"/>
      <c r="D244" s="180"/>
      <c r="E244" s="180"/>
      <c r="F244" s="180"/>
      <c r="G244" s="180"/>
      <c r="H244" s="342"/>
      <c r="I244" s="50"/>
      <c r="J244" s="51"/>
      <c r="K244" s="49"/>
      <c r="L244" s="204"/>
      <c r="M244" s="278"/>
      <c r="N244" s="279"/>
      <c r="O244" s="280"/>
      <c r="P244" s="281"/>
      <c r="Q244" s="54"/>
      <c r="R244" s="344"/>
    </row>
    <row r="245" spans="2:21" x14ac:dyDescent="0.3">
      <c r="B245" s="343"/>
      <c r="C245" s="180"/>
      <c r="D245" s="180"/>
      <c r="E245" s="180"/>
      <c r="F245" s="180"/>
      <c r="G245" s="180"/>
      <c r="H245" s="342"/>
      <c r="I245" s="50"/>
      <c r="J245" s="51"/>
      <c r="K245" s="49"/>
      <c r="L245" s="204"/>
      <c r="M245" s="278"/>
      <c r="N245" s="279"/>
      <c r="O245" s="280"/>
      <c r="P245" s="281"/>
      <c r="Q245" s="54"/>
      <c r="R245" s="344"/>
    </row>
    <row r="246" spans="2:21" x14ac:dyDescent="0.3">
      <c r="B246" s="343"/>
      <c r="C246" s="180"/>
      <c r="D246" s="180"/>
      <c r="E246" s="180"/>
      <c r="F246" s="180"/>
      <c r="G246" s="180"/>
      <c r="H246" s="342"/>
      <c r="I246" s="50"/>
      <c r="J246" s="51"/>
      <c r="K246" s="49"/>
      <c r="L246" s="204"/>
      <c r="M246" s="278"/>
      <c r="N246" s="279"/>
      <c r="O246" s="280"/>
      <c r="P246" s="281"/>
      <c r="Q246" s="54"/>
      <c r="R246" s="344"/>
    </row>
    <row r="247" spans="2:21" ht="15" thickBot="1" x14ac:dyDescent="0.35">
      <c r="B247" s="343"/>
      <c r="C247" s="180"/>
      <c r="D247" s="180"/>
      <c r="E247" s="180"/>
      <c r="F247" s="180"/>
      <c r="G247" s="180"/>
      <c r="H247" s="342"/>
      <c r="I247" s="50"/>
      <c r="J247" s="51"/>
      <c r="K247" s="49"/>
      <c r="L247" s="204"/>
      <c r="M247" s="278"/>
      <c r="N247" s="279"/>
      <c r="O247" s="280"/>
      <c r="P247" s="281"/>
      <c r="Q247" s="54"/>
      <c r="R247" s="344"/>
    </row>
    <row r="248" spans="2:21" ht="15" thickBot="1" x14ac:dyDescent="0.35">
      <c r="B248" s="343"/>
      <c r="C248" s="180"/>
      <c r="D248" s="180"/>
      <c r="E248" s="180"/>
      <c r="F248" s="180"/>
      <c r="G248" s="180"/>
      <c r="H248" s="342"/>
      <c r="I248" s="50"/>
      <c r="J248" s="51"/>
      <c r="K248" s="49"/>
      <c r="L248" s="204"/>
      <c r="M248" s="278"/>
      <c r="N248" s="279"/>
      <c r="O248" s="280"/>
      <c r="P248" s="281"/>
      <c r="Q248" s="54"/>
      <c r="R248" s="344"/>
      <c r="T248" s="57" t="s">
        <v>550</v>
      </c>
      <c r="U248" s="275">
        <f>SUMIF($R$247:$R$260,T248,$E$247:$E$260)</f>
        <v>0</v>
      </c>
    </row>
    <row r="249" spans="2:21" ht="15" thickBot="1" x14ac:dyDescent="0.35">
      <c r="B249" s="343"/>
      <c r="C249" s="180"/>
      <c r="D249" s="180"/>
      <c r="E249" s="180"/>
      <c r="F249" s="180"/>
      <c r="G249" s="180"/>
      <c r="H249" s="342"/>
      <c r="I249" s="50"/>
      <c r="J249" s="51"/>
      <c r="K249" s="49"/>
      <c r="L249" s="204"/>
      <c r="M249" s="278"/>
      <c r="N249" s="279"/>
      <c r="O249" s="280"/>
      <c r="P249" s="281"/>
      <c r="Q249" s="54"/>
      <c r="R249" s="344"/>
      <c r="T249" s="57" t="s">
        <v>484</v>
      </c>
      <c r="U249" s="275">
        <f t="shared" ref="U249" si="7">SUMIF($R$247:$R$260,T249,$E$247:$E$260)</f>
        <v>0</v>
      </c>
    </row>
    <row r="250" spans="2:21" ht="15" thickBot="1" x14ac:dyDescent="0.35">
      <c r="B250" s="343"/>
      <c r="C250" s="180"/>
      <c r="D250" s="180"/>
      <c r="E250" s="180"/>
      <c r="F250" s="180"/>
      <c r="G250" s="180"/>
      <c r="H250" s="342"/>
      <c r="I250" s="50"/>
      <c r="J250" s="51"/>
      <c r="K250" s="49"/>
      <c r="L250" s="204"/>
      <c r="M250" s="278"/>
      <c r="N250" s="279"/>
      <c r="O250" s="280"/>
      <c r="P250" s="281"/>
      <c r="Q250" s="54"/>
      <c r="R250" s="344"/>
      <c r="T250" s="57"/>
      <c r="U250" s="275"/>
    </row>
    <row r="251" spans="2:21" x14ac:dyDescent="0.3">
      <c r="B251" s="343"/>
      <c r="C251" s="180"/>
      <c r="D251" s="180"/>
      <c r="E251" s="180"/>
      <c r="F251" s="180"/>
      <c r="G251" s="180"/>
      <c r="H251" s="342"/>
      <c r="I251" s="50"/>
      <c r="J251" s="51"/>
      <c r="K251" s="49"/>
      <c r="L251" s="204"/>
      <c r="M251" s="278"/>
      <c r="N251" s="279"/>
      <c r="O251" s="280"/>
      <c r="P251" s="281"/>
      <c r="Q251" s="54"/>
      <c r="R251" s="344"/>
      <c r="T251" s="57"/>
      <c r="U251" s="275"/>
    </row>
    <row r="252" spans="2:21" x14ac:dyDescent="0.3">
      <c r="B252" s="343"/>
      <c r="C252" s="180"/>
      <c r="D252" s="180"/>
      <c r="E252" s="180"/>
      <c r="F252" s="180"/>
      <c r="G252" s="180"/>
      <c r="H252" s="342"/>
      <c r="I252" s="50"/>
      <c r="J252" s="51"/>
      <c r="K252" s="49"/>
      <c r="L252" s="204"/>
      <c r="M252" s="278"/>
      <c r="N252" s="279"/>
      <c r="O252" s="280"/>
      <c r="P252" s="281"/>
      <c r="Q252" s="54"/>
      <c r="R252" s="344"/>
    </row>
    <row r="253" spans="2:21" x14ac:dyDescent="0.3">
      <c r="B253" s="343"/>
      <c r="C253" s="180"/>
      <c r="D253" s="180"/>
      <c r="E253" s="180"/>
      <c r="F253" s="180"/>
      <c r="G253" s="180"/>
      <c r="H253" s="342"/>
      <c r="I253" s="50"/>
      <c r="J253" s="51"/>
      <c r="K253" s="49"/>
      <c r="L253" s="204"/>
      <c r="M253" s="278"/>
      <c r="N253" s="279"/>
      <c r="O253" s="280"/>
      <c r="P253" s="281"/>
      <c r="Q253" s="54"/>
      <c r="R253" s="344"/>
    </row>
    <row r="254" spans="2:21" x14ac:dyDescent="0.3">
      <c r="B254" s="343"/>
      <c r="C254" s="180"/>
      <c r="D254" s="180"/>
      <c r="E254" s="180"/>
      <c r="F254" s="180"/>
      <c r="G254" s="180"/>
      <c r="H254" s="342"/>
      <c r="I254" s="50"/>
      <c r="J254" s="51"/>
      <c r="K254" s="49"/>
      <c r="L254" s="204"/>
      <c r="M254" s="278"/>
      <c r="N254" s="279"/>
      <c r="O254" s="280"/>
      <c r="P254" s="281"/>
      <c r="Q254" s="54"/>
      <c r="R254" s="344"/>
    </row>
    <row r="255" spans="2:21" x14ac:dyDescent="0.3">
      <c r="B255" s="343"/>
      <c r="C255" s="180"/>
      <c r="D255" s="180"/>
      <c r="E255" s="180"/>
      <c r="F255" s="180"/>
      <c r="G255" s="180"/>
      <c r="H255" s="342"/>
      <c r="I255" s="50"/>
      <c r="J255" s="51"/>
      <c r="K255" s="49"/>
      <c r="L255" s="204"/>
      <c r="M255" s="278"/>
      <c r="N255" s="279"/>
      <c r="O255" s="280"/>
      <c r="P255" s="281"/>
      <c r="Q255" s="54"/>
      <c r="R255" s="344"/>
    </row>
  </sheetData>
  <mergeCells count="12">
    <mergeCell ref="I1:I2"/>
    <mergeCell ref="A1:B1"/>
    <mergeCell ref="C1:E1"/>
    <mergeCell ref="F1:H1"/>
    <mergeCell ref="J1:J2"/>
    <mergeCell ref="O1:O2"/>
    <mergeCell ref="N1:N2"/>
    <mergeCell ref="P1:P2"/>
    <mergeCell ref="K1:K2"/>
    <mergeCell ref="Q1:Q2"/>
    <mergeCell ref="M1:M2"/>
    <mergeCell ref="L1:L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80"/>
  <sheetViews>
    <sheetView tabSelected="1" zoomScale="85" zoomScaleNormal="85" workbookViewId="0">
      <pane ySplit="1" topLeftCell="A2" activePane="bottomLeft" state="frozen"/>
      <selection pane="bottomLeft" activeCell="K83" sqref="K83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469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L1" s="296">
        <f>20*60</f>
        <v>1200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284" t="s">
        <v>29</v>
      </c>
      <c r="Q1" s="284" t="s">
        <v>30</v>
      </c>
      <c r="R1" s="284" t="s">
        <v>31</v>
      </c>
      <c r="S1" s="284" t="s">
        <v>32</v>
      </c>
      <c r="T1" s="284" t="s">
        <v>345</v>
      </c>
      <c r="U1" s="284" t="s">
        <v>260</v>
      </c>
      <c r="V1" s="284" t="s">
        <v>347</v>
      </c>
      <c r="W1" s="284" t="s">
        <v>34</v>
      </c>
      <c r="X1" s="284" t="s">
        <v>346</v>
      </c>
      <c r="Y1" s="284" t="s">
        <v>36</v>
      </c>
      <c r="Z1" s="284" t="s">
        <v>37</v>
      </c>
      <c r="AA1" s="284" t="s">
        <v>38</v>
      </c>
      <c r="AB1" s="284" t="s">
        <v>39</v>
      </c>
      <c r="AC1" s="285" t="s">
        <v>40</v>
      </c>
      <c r="AD1" s="285" t="s">
        <v>41</v>
      </c>
      <c r="AE1" s="284" t="s">
        <v>42</v>
      </c>
      <c r="AF1" s="284" t="s">
        <v>43</v>
      </c>
      <c r="AG1" s="284" t="s">
        <v>44</v>
      </c>
      <c r="AH1" s="284" t="s">
        <v>45</v>
      </c>
      <c r="AI1" s="284" t="s">
        <v>259</v>
      </c>
      <c r="AJ1" s="286" t="s">
        <v>480</v>
      </c>
      <c r="AK1" s="286" t="s">
        <v>481</v>
      </c>
      <c r="AL1" s="287" t="s">
        <v>482</v>
      </c>
      <c r="AM1" s="288" t="s">
        <v>483</v>
      </c>
      <c r="AN1" s="288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478</v>
      </c>
      <c r="BA1" s="5" t="s">
        <v>479</v>
      </c>
    </row>
    <row r="2" spans="1:53" s="352" customFormat="1" ht="15" thickBot="1" x14ac:dyDescent="0.35">
      <c r="A2" s="8" t="s">
        <v>468</v>
      </c>
      <c r="B2" s="63" t="s">
        <v>609</v>
      </c>
      <c r="C2" s="375" t="s">
        <v>106</v>
      </c>
      <c r="D2" s="376" t="s">
        <v>25</v>
      </c>
      <c r="E2" s="66">
        <v>2.9999999999999999E-7</v>
      </c>
      <c r="F2" s="63">
        <v>2178</v>
      </c>
      <c r="G2" s="8">
        <v>0.2</v>
      </c>
      <c r="H2" s="10">
        <f t="shared" ref="H2:H7" si="2">E2*F2*G2</f>
        <v>1.3067999999999999E-4</v>
      </c>
      <c r="I2" s="64">
        <v>8.09</v>
      </c>
      <c r="J2" s="69">
        <f>I2</f>
        <v>8.09</v>
      </c>
      <c r="K2" s="72" t="s">
        <v>122</v>
      </c>
      <c r="L2" s="77">
        <f>I2*20</f>
        <v>161.80000000000001</v>
      </c>
      <c r="M2" s="377" t="str">
        <f t="shared" ref="M2:N7" si="3">A2</f>
        <v>C1</v>
      </c>
      <c r="N2" s="377" t="str">
        <f t="shared" si="3"/>
        <v>Нефтесборный трубопровод (ПК00 ПК21+78), нефть</v>
      </c>
      <c r="O2" s="377" t="str">
        <f t="shared" ref="O2:O7" si="4">D2</f>
        <v>Полное-пожар</v>
      </c>
      <c r="P2" s="377">
        <v>10.3</v>
      </c>
      <c r="Q2" s="377">
        <v>14.5</v>
      </c>
      <c r="R2" s="377">
        <v>21.4</v>
      </c>
      <c r="S2" s="377">
        <v>41.4</v>
      </c>
      <c r="T2" s="377" t="s">
        <v>46</v>
      </c>
      <c r="U2" s="377" t="s">
        <v>46</v>
      </c>
      <c r="V2" s="377" t="s">
        <v>46</v>
      </c>
      <c r="W2" s="377" t="s">
        <v>46</v>
      </c>
      <c r="X2" s="377" t="s">
        <v>46</v>
      </c>
      <c r="Y2" s="377" t="s">
        <v>46</v>
      </c>
      <c r="Z2" s="377" t="s">
        <v>46</v>
      </c>
      <c r="AA2" s="377" t="s">
        <v>46</v>
      </c>
      <c r="AB2" s="377" t="s">
        <v>46</v>
      </c>
      <c r="AC2" s="377" t="s">
        <v>46</v>
      </c>
      <c r="AD2" s="377" t="s">
        <v>46</v>
      </c>
      <c r="AE2" s="377" t="s">
        <v>46</v>
      </c>
      <c r="AF2" s="377" t="s">
        <v>46</v>
      </c>
      <c r="AG2" s="377" t="s">
        <v>46</v>
      </c>
      <c r="AH2" s="377" t="s">
        <v>46</v>
      </c>
      <c r="AI2" s="377" t="s">
        <v>46</v>
      </c>
      <c r="AJ2" s="12">
        <v>0</v>
      </c>
      <c r="AK2" s="12">
        <v>1</v>
      </c>
      <c r="AL2" s="65">
        <v>0.75</v>
      </c>
      <c r="AM2" s="65">
        <v>2.7E-2</v>
      </c>
      <c r="AN2" s="65">
        <v>3</v>
      </c>
      <c r="AO2" s="377"/>
      <c r="AP2" s="377"/>
      <c r="AQ2" s="32">
        <f>AM2*I2+AL2</f>
        <v>0.96843000000000001</v>
      </c>
      <c r="AR2" s="32">
        <f t="shared" ref="AR2:AR7" si="5">0.1*AQ2</f>
        <v>9.6843000000000012E-2</v>
      </c>
      <c r="AS2" s="33">
        <f t="shared" ref="AS2:AS7" si="6">AJ2*3+0.25*AK2</f>
        <v>0.25</v>
      </c>
      <c r="AT2" s="33">
        <f t="shared" ref="AT2:AT7" si="7">SUM(AQ2:AS2)/4</f>
        <v>0.32881824999999998</v>
      </c>
      <c r="AU2" s="32">
        <f>10068.2*J2*POWER(10,-6)</f>
        <v>8.1451737999999996E-2</v>
      </c>
      <c r="AV2" s="33">
        <f t="shared" ref="AV2:AV7" si="8">AU2+AT2+AS2+AR2+AQ2</f>
        <v>1.7255429879999999</v>
      </c>
      <c r="AW2" s="34">
        <f t="shared" ref="AW2:AW7" si="9">AJ2*H2</f>
        <v>0</v>
      </c>
      <c r="AX2" s="34">
        <f t="shared" ref="AX2:AX7" si="10">H2*AK2</f>
        <v>1.3067999999999999E-4</v>
      </c>
      <c r="AY2" s="34">
        <f t="shared" ref="AY2:AY7" si="11">H2*AV2</f>
        <v>2.2549395767183997E-4</v>
      </c>
      <c r="AZ2" s="350">
        <f>AW2/[1]DB!$B$23</f>
        <v>0</v>
      </c>
      <c r="BA2" s="350">
        <f>AX2/[1]DB!$B$23</f>
        <v>1.5744578313253011E-7</v>
      </c>
    </row>
    <row r="3" spans="1:53" s="352" customFormat="1" ht="15" thickBot="1" x14ac:dyDescent="0.35">
      <c r="A3" s="8" t="s">
        <v>470</v>
      </c>
      <c r="B3" s="8" t="str">
        <f>B2</f>
        <v>Нефтесборный трубопровод (ПК00 ПК21+78), нефть</v>
      </c>
      <c r="C3" s="375" t="s">
        <v>107</v>
      </c>
      <c r="D3" s="376" t="s">
        <v>28</v>
      </c>
      <c r="E3" s="67">
        <f>E2</f>
        <v>2.9999999999999999E-7</v>
      </c>
      <c r="F3" s="68">
        <f>F2</f>
        <v>2178</v>
      </c>
      <c r="G3" s="8">
        <v>0.04</v>
      </c>
      <c r="H3" s="10">
        <f t="shared" si="2"/>
        <v>2.6135999999999998E-5</v>
      </c>
      <c r="I3" s="62">
        <f>I2</f>
        <v>8.09</v>
      </c>
      <c r="J3" s="378">
        <f>POWER(10,-6)*35*SQRT(100)*3600*L2/1000*0.1</f>
        <v>2.0386799999999997E-2</v>
      </c>
      <c r="K3" s="72" t="s">
        <v>123</v>
      </c>
      <c r="L3" s="77">
        <v>0</v>
      </c>
      <c r="M3" s="377" t="str">
        <f t="shared" si="3"/>
        <v>C2</v>
      </c>
      <c r="N3" s="377" t="str">
        <f t="shared" si="3"/>
        <v>Нефтесборный трубопровод (ПК00 ПК21+78), нефть</v>
      </c>
      <c r="O3" s="377" t="str">
        <f t="shared" si="4"/>
        <v>Полное-взрыв</v>
      </c>
      <c r="P3" s="377" t="s">
        <v>46</v>
      </c>
      <c r="Q3" s="377" t="s">
        <v>46</v>
      </c>
      <c r="R3" s="377" t="s">
        <v>46</v>
      </c>
      <c r="S3" s="377" t="s">
        <v>46</v>
      </c>
      <c r="T3" s="377">
        <v>0</v>
      </c>
      <c r="U3" s="377">
        <v>0</v>
      </c>
      <c r="V3" s="377">
        <v>20.6</v>
      </c>
      <c r="W3" s="377">
        <v>69.099999999999994</v>
      </c>
      <c r="X3" s="377">
        <v>100.6</v>
      </c>
      <c r="Y3" s="377" t="s">
        <v>46</v>
      </c>
      <c r="Z3" s="377" t="s">
        <v>46</v>
      </c>
      <c r="AA3" s="377" t="s">
        <v>46</v>
      </c>
      <c r="AB3" s="377" t="s">
        <v>46</v>
      </c>
      <c r="AC3" s="377" t="s">
        <v>46</v>
      </c>
      <c r="AD3" s="377" t="s">
        <v>46</v>
      </c>
      <c r="AE3" s="377" t="s">
        <v>46</v>
      </c>
      <c r="AF3" s="377" t="s">
        <v>46</v>
      </c>
      <c r="AG3" s="377" t="s">
        <v>46</v>
      </c>
      <c r="AH3" s="377" t="s">
        <v>46</v>
      </c>
      <c r="AI3" s="377" t="s">
        <v>46</v>
      </c>
      <c r="AJ3" s="12">
        <v>0</v>
      </c>
      <c r="AK3" s="12">
        <v>1</v>
      </c>
      <c r="AL3" s="377">
        <f>AL2</f>
        <v>0.75</v>
      </c>
      <c r="AM3" s="377">
        <f>AM2</f>
        <v>2.7E-2</v>
      </c>
      <c r="AN3" s="377">
        <f>AN2</f>
        <v>3</v>
      </c>
      <c r="AO3" s="377"/>
      <c r="AP3" s="377"/>
      <c r="AQ3" s="32">
        <f>AM3*I3+AL3</f>
        <v>0.96843000000000001</v>
      </c>
      <c r="AR3" s="32">
        <f t="shared" si="5"/>
        <v>9.6843000000000012E-2</v>
      </c>
      <c r="AS3" s="33">
        <f t="shared" si="6"/>
        <v>0.25</v>
      </c>
      <c r="AT3" s="33">
        <f t="shared" si="7"/>
        <v>0.32881824999999998</v>
      </c>
      <c r="AU3" s="32">
        <f>10068.2*J3*POWER(10,-6)*10</f>
        <v>2.0525837975999997E-3</v>
      </c>
      <c r="AV3" s="33">
        <f t="shared" si="8"/>
        <v>1.6461438337976</v>
      </c>
      <c r="AW3" s="34">
        <f t="shared" si="9"/>
        <v>0</v>
      </c>
      <c r="AX3" s="34">
        <f t="shared" si="10"/>
        <v>2.6135999999999998E-5</v>
      </c>
      <c r="AY3" s="34">
        <f t="shared" si="11"/>
        <v>4.3023615240134071E-5</v>
      </c>
      <c r="AZ3" s="350">
        <f>AW3/[1]DB!$B$23</f>
        <v>0</v>
      </c>
      <c r="BA3" s="350">
        <f>AX3/[1]DB!$B$23</f>
        <v>3.1489156626506022E-8</v>
      </c>
    </row>
    <row r="4" spans="1:53" s="352" customFormat="1" x14ac:dyDescent="0.3">
      <c r="A4" s="8" t="s">
        <v>471</v>
      </c>
      <c r="B4" s="8" t="str">
        <f>B2</f>
        <v>Нефтесборный трубопровод (ПК00 ПК21+78), нефть</v>
      </c>
      <c r="C4" s="375" t="s">
        <v>108</v>
      </c>
      <c r="D4" s="376" t="s">
        <v>26</v>
      </c>
      <c r="E4" s="67">
        <f>E2</f>
        <v>2.9999999999999999E-7</v>
      </c>
      <c r="F4" s="68">
        <f>F2</f>
        <v>2178</v>
      </c>
      <c r="G4" s="8">
        <v>0.76</v>
      </c>
      <c r="H4" s="10">
        <f t="shared" si="2"/>
        <v>4.96584E-4</v>
      </c>
      <c r="I4" s="62">
        <f>I2</f>
        <v>8.09</v>
      </c>
      <c r="J4" s="71">
        <v>0</v>
      </c>
      <c r="K4" s="72" t="s">
        <v>124</v>
      </c>
      <c r="L4" s="77">
        <v>0</v>
      </c>
      <c r="M4" s="377" t="str">
        <f t="shared" si="3"/>
        <v>C3</v>
      </c>
      <c r="N4" s="377" t="str">
        <f t="shared" si="3"/>
        <v>Нефтесборный трубопровод (ПК00 ПК21+78), нефть</v>
      </c>
      <c r="O4" s="377" t="str">
        <f t="shared" si="4"/>
        <v>Полное-ликвидация</v>
      </c>
      <c r="P4" s="377" t="s">
        <v>46</v>
      </c>
      <c r="Q4" s="377" t="s">
        <v>46</v>
      </c>
      <c r="R4" s="377" t="s">
        <v>46</v>
      </c>
      <c r="S4" s="377" t="s">
        <v>46</v>
      </c>
      <c r="T4" s="377" t="s">
        <v>46</v>
      </c>
      <c r="U4" s="377" t="s">
        <v>46</v>
      </c>
      <c r="V4" s="377" t="s">
        <v>46</v>
      </c>
      <c r="W4" s="377" t="s">
        <v>46</v>
      </c>
      <c r="X4" s="377" t="s">
        <v>46</v>
      </c>
      <c r="Y4" s="377" t="s">
        <v>46</v>
      </c>
      <c r="Z4" s="377" t="s">
        <v>46</v>
      </c>
      <c r="AA4" s="377" t="s">
        <v>46</v>
      </c>
      <c r="AB4" s="377" t="s">
        <v>46</v>
      </c>
      <c r="AC4" s="377" t="s">
        <v>46</v>
      </c>
      <c r="AD4" s="377" t="s">
        <v>46</v>
      </c>
      <c r="AE4" s="377" t="s">
        <v>46</v>
      </c>
      <c r="AF4" s="377" t="s">
        <v>46</v>
      </c>
      <c r="AG4" s="377" t="s">
        <v>46</v>
      </c>
      <c r="AH4" s="377" t="s">
        <v>46</v>
      </c>
      <c r="AI4" s="377" t="s">
        <v>46</v>
      </c>
      <c r="AJ4" s="377">
        <v>0</v>
      </c>
      <c r="AK4" s="377">
        <v>0</v>
      </c>
      <c r="AL4" s="377">
        <f>AL2</f>
        <v>0.75</v>
      </c>
      <c r="AM4" s="377">
        <f>AM2</f>
        <v>2.7E-2</v>
      </c>
      <c r="AN4" s="377">
        <f>AN2</f>
        <v>3</v>
      </c>
      <c r="AO4" s="377"/>
      <c r="AP4" s="377"/>
      <c r="AQ4" s="32">
        <f>AM4*I4*0.1+AL4</f>
        <v>0.77184300000000006</v>
      </c>
      <c r="AR4" s="32">
        <f t="shared" si="5"/>
        <v>7.7184300000000011E-2</v>
      </c>
      <c r="AS4" s="33">
        <f t="shared" si="6"/>
        <v>0</v>
      </c>
      <c r="AT4" s="33">
        <f t="shared" si="7"/>
        <v>0.21225682500000001</v>
      </c>
      <c r="AU4" s="32">
        <f>1333*J3*POWER(10,-6)</f>
        <v>2.7175604399999992E-5</v>
      </c>
      <c r="AV4" s="33">
        <f t="shared" si="8"/>
        <v>1.0613113006043999</v>
      </c>
      <c r="AW4" s="34">
        <f t="shared" si="9"/>
        <v>0</v>
      </c>
      <c r="AX4" s="34">
        <f t="shared" si="10"/>
        <v>0</v>
      </c>
      <c r="AY4" s="34">
        <f t="shared" si="11"/>
        <v>5.2703021089933538E-4</v>
      </c>
      <c r="AZ4" s="350">
        <f>AW4/[1]DB!$B$23</f>
        <v>0</v>
      </c>
      <c r="BA4" s="350">
        <f>AX4/[1]DB!$B$23</f>
        <v>0</v>
      </c>
    </row>
    <row r="5" spans="1:53" s="352" customFormat="1" x14ac:dyDescent="0.3">
      <c r="A5" s="8" t="s">
        <v>472</v>
      </c>
      <c r="B5" s="8" t="str">
        <f>B2</f>
        <v>Нефтесборный трубопровод (ПК00 ПК21+78), нефть</v>
      </c>
      <c r="C5" s="375" t="s">
        <v>109</v>
      </c>
      <c r="D5" s="376" t="s">
        <v>47</v>
      </c>
      <c r="E5" s="66">
        <v>1.9999999999999999E-6</v>
      </c>
      <c r="F5" s="68">
        <f>F2</f>
        <v>2178</v>
      </c>
      <c r="G5" s="8">
        <v>0.2</v>
      </c>
      <c r="H5" s="10">
        <f t="shared" si="2"/>
        <v>8.7119999999999993E-4</v>
      </c>
      <c r="I5" s="62">
        <f>0.15*I2</f>
        <v>1.2135</v>
      </c>
      <c r="J5" s="69">
        <f>I5</f>
        <v>1.2135</v>
      </c>
      <c r="K5" s="74" t="s">
        <v>126</v>
      </c>
      <c r="L5" s="78">
        <v>45390</v>
      </c>
      <c r="M5" s="377" t="str">
        <f t="shared" si="3"/>
        <v>C4</v>
      </c>
      <c r="N5" s="377" t="str">
        <f t="shared" si="3"/>
        <v>Нефтесборный трубопровод (ПК00 ПК21+78), нефть</v>
      </c>
      <c r="O5" s="377" t="str">
        <f t="shared" si="4"/>
        <v>Частичное-пожар</v>
      </c>
      <c r="P5" s="377">
        <v>4.4000000000000004</v>
      </c>
      <c r="Q5" s="377">
        <v>6.4</v>
      </c>
      <c r="R5" s="377">
        <v>9.4</v>
      </c>
      <c r="S5" s="377">
        <v>17.399999999999999</v>
      </c>
      <c r="T5" s="377" t="s">
        <v>46</v>
      </c>
      <c r="U5" s="377" t="s">
        <v>46</v>
      </c>
      <c r="V5" s="377" t="s">
        <v>46</v>
      </c>
      <c r="W5" s="377" t="s">
        <v>46</v>
      </c>
      <c r="X5" s="377" t="s">
        <v>46</v>
      </c>
      <c r="Y5" s="377" t="s">
        <v>46</v>
      </c>
      <c r="Z5" s="377" t="s">
        <v>46</v>
      </c>
      <c r="AA5" s="377" t="s">
        <v>46</v>
      </c>
      <c r="AB5" s="377" t="s">
        <v>46</v>
      </c>
      <c r="AC5" s="377" t="s">
        <v>46</v>
      </c>
      <c r="AD5" s="377" t="s">
        <v>46</v>
      </c>
      <c r="AE5" s="377" t="s">
        <v>46</v>
      </c>
      <c r="AF5" s="377" t="s">
        <v>46</v>
      </c>
      <c r="AG5" s="377" t="s">
        <v>46</v>
      </c>
      <c r="AH5" s="377" t="s">
        <v>46</v>
      </c>
      <c r="AI5" s="377" t="s">
        <v>46</v>
      </c>
      <c r="AJ5" s="377">
        <v>0</v>
      </c>
      <c r="AK5" s="377">
        <v>1</v>
      </c>
      <c r="AL5" s="351">
        <f>0.1*AL2</f>
        <v>7.5000000000000011E-2</v>
      </c>
      <c r="AM5" s="377">
        <f>AM2</f>
        <v>2.7E-2</v>
      </c>
      <c r="AN5" s="377">
        <f>ROUNDUP(AN2/3,0)</f>
        <v>1</v>
      </c>
      <c r="AO5" s="377"/>
      <c r="AP5" s="377"/>
      <c r="AQ5" s="32">
        <f>AM5*I5+AL5</f>
        <v>0.10776450000000001</v>
      </c>
      <c r="AR5" s="32">
        <f t="shared" si="5"/>
        <v>1.0776450000000002E-2</v>
      </c>
      <c r="AS5" s="33">
        <f t="shared" si="6"/>
        <v>0.25</v>
      </c>
      <c r="AT5" s="33">
        <f t="shared" si="7"/>
        <v>9.2135237500000008E-2</v>
      </c>
      <c r="AU5" s="32">
        <f>10068.2*J5*POWER(10,-6)</f>
        <v>1.22177607E-2</v>
      </c>
      <c r="AV5" s="33">
        <f t="shared" si="8"/>
        <v>0.47289394819999997</v>
      </c>
      <c r="AW5" s="34">
        <f t="shared" si="9"/>
        <v>0</v>
      </c>
      <c r="AX5" s="34">
        <f t="shared" si="10"/>
        <v>8.7119999999999993E-4</v>
      </c>
      <c r="AY5" s="34">
        <f t="shared" si="11"/>
        <v>4.1198520767183992E-4</v>
      </c>
      <c r="AZ5" s="350">
        <f>AW5/[1]DB!$B$23</f>
        <v>0</v>
      </c>
      <c r="BA5" s="350">
        <f>AX5/[1]DB!$B$23</f>
        <v>1.0496385542168673E-6</v>
      </c>
    </row>
    <row r="6" spans="1:53" s="352" customFormat="1" x14ac:dyDescent="0.3">
      <c r="A6" s="8" t="s">
        <v>473</v>
      </c>
      <c r="B6" s="8" t="str">
        <f>B2</f>
        <v>Нефтесборный трубопровод (ПК00 ПК21+78), нефть</v>
      </c>
      <c r="C6" s="375" t="s">
        <v>110</v>
      </c>
      <c r="D6" s="376" t="s">
        <v>112</v>
      </c>
      <c r="E6" s="67">
        <f>E5</f>
        <v>1.9999999999999999E-6</v>
      </c>
      <c r="F6" s="68">
        <f>F2</f>
        <v>2178</v>
      </c>
      <c r="G6" s="8">
        <v>0.04</v>
      </c>
      <c r="H6" s="10">
        <f t="shared" si="2"/>
        <v>1.7423999999999999E-4</v>
      </c>
      <c r="I6" s="62">
        <f>0.15*I2</f>
        <v>1.2135</v>
      </c>
      <c r="J6" s="69">
        <f>0.9*J3</f>
        <v>1.8348119999999999E-2</v>
      </c>
      <c r="K6" s="74" t="s">
        <v>127</v>
      </c>
      <c r="L6" s="78">
        <v>3</v>
      </c>
      <c r="M6" s="377" t="str">
        <f t="shared" si="3"/>
        <v>C5</v>
      </c>
      <c r="N6" s="377" t="str">
        <f t="shared" si="3"/>
        <v>Нефтесборный трубопровод (ПК00 ПК21+78), нефть</v>
      </c>
      <c r="O6" s="377" t="str">
        <f t="shared" si="4"/>
        <v>Частичное-пожар-вспышка</v>
      </c>
      <c r="P6" s="377" t="s">
        <v>46</v>
      </c>
      <c r="Q6" s="377" t="s">
        <v>46</v>
      </c>
      <c r="R6" s="377" t="s">
        <v>46</v>
      </c>
      <c r="S6" s="377" t="s">
        <v>46</v>
      </c>
      <c r="T6" s="377" t="s">
        <v>46</v>
      </c>
      <c r="U6" s="377" t="s">
        <v>46</v>
      </c>
      <c r="V6" s="377" t="s">
        <v>46</v>
      </c>
      <c r="W6" s="377" t="s">
        <v>46</v>
      </c>
      <c r="X6" s="377" t="s">
        <v>46</v>
      </c>
      <c r="Y6" s="377" t="s">
        <v>46</v>
      </c>
      <c r="Z6" s="377" t="s">
        <v>46</v>
      </c>
      <c r="AA6" s="377">
        <v>8.9600000000000009</v>
      </c>
      <c r="AB6" s="377">
        <v>10.75</v>
      </c>
      <c r="AC6" s="377" t="s">
        <v>46</v>
      </c>
      <c r="AD6" s="377" t="s">
        <v>46</v>
      </c>
      <c r="AE6" s="377" t="s">
        <v>46</v>
      </c>
      <c r="AF6" s="377" t="s">
        <v>46</v>
      </c>
      <c r="AG6" s="377" t="s">
        <v>46</v>
      </c>
      <c r="AH6" s="377" t="s">
        <v>46</v>
      </c>
      <c r="AI6" s="377" t="s">
        <v>46</v>
      </c>
      <c r="AJ6" s="377">
        <v>0</v>
      </c>
      <c r="AK6" s="377">
        <v>1</v>
      </c>
      <c r="AL6" s="351">
        <f t="shared" ref="AL6:AL7" si="12">0.1*AL3</f>
        <v>7.5000000000000011E-2</v>
      </c>
      <c r="AM6" s="377">
        <f>AM2</f>
        <v>2.7E-2</v>
      </c>
      <c r="AN6" s="377">
        <f>ROUNDUP(AN2/3,0)</f>
        <v>1</v>
      </c>
      <c r="AO6" s="377"/>
      <c r="AP6" s="377"/>
      <c r="AQ6" s="32">
        <f>AM6*I6+AL6</f>
        <v>0.10776450000000001</v>
      </c>
      <c r="AR6" s="32">
        <f t="shared" si="5"/>
        <v>1.0776450000000002E-2</v>
      </c>
      <c r="AS6" s="33">
        <f t="shared" si="6"/>
        <v>0.25</v>
      </c>
      <c r="AT6" s="33">
        <f t="shared" si="7"/>
        <v>9.2135237500000008E-2</v>
      </c>
      <c r="AU6" s="32">
        <f>10068.2*J6*POWER(10,-6)*10</f>
        <v>1.8473254178399999E-3</v>
      </c>
      <c r="AV6" s="33">
        <f t="shared" si="8"/>
        <v>0.46252351291784</v>
      </c>
      <c r="AW6" s="34">
        <f t="shared" si="9"/>
        <v>0</v>
      </c>
      <c r="AX6" s="34">
        <f t="shared" si="10"/>
        <v>1.7423999999999999E-4</v>
      </c>
      <c r="AY6" s="34">
        <f t="shared" si="11"/>
        <v>8.0590096890804434E-5</v>
      </c>
      <c r="AZ6" s="350">
        <f>AW6/[1]DB!$B$23</f>
        <v>0</v>
      </c>
      <c r="BA6" s="350">
        <f>AX6/[1]DB!$B$23</f>
        <v>2.0992771084337348E-7</v>
      </c>
    </row>
    <row r="7" spans="1:53" s="352" customFormat="1" x14ac:dyDescent="0.3">
      <c r="A7" s="170" t="s">
        <v>474</v>
      </c>
      <c r="B7" s="170" t="str">
        <f>B2</f>
        <v>Нефтесборный трубопровод (ПК00 ПК21+78), нефть</v>
      </c>
      <c r="C7" s="379" t="s">
        <v>111</v>
      </c>
      <c r="D7" s="380" t="s">
        <v>27</v>
      </c>
      <c r="E7" s="173">
        <f>E5</f>
        <v>1.9999999999999999E-6</v>
      </c>
      <c r="F7" s="174">
        <f>F2</f>
        <v>2178</v>
      </c>
      <c r="G7" s="170">
        <v>0.76</v>
      </c>
      <c r="H7" s="175">
        <f t="shared" si="2"/>
        <v>3.3105599999999997E-3</v>
      </c>
      <c r="I7" s="176">
        <f>0.15*I2</f>
        <v>1.2135</v>
      </c>
      <c r="J7" s="177">
        <v>0</v>
      </c>
      <c r="K7" s="178" t="s">
        <v>138</v>
      </c>
      <c r="L7" s="179">
        <v>1</v>
      </c>
      <c r="M7" s="377" t="str">
        <f t="shared" si="3"/>
        <v>C6</v>
      </c>
      <c r="N7" s="377" t="str">
        <f t="shared" si="3"/>
        <v>Нефтесборный трубопровод (ПК00 ПК21+78), нефть</v>
      </c>
      <c r="O7" s="377" t="str">
        <f t="shared" si="4"/>
        <v>Частичное-ликвидация</v>
      </c>
      <c r="P7" s="377" t="s">
        <v>46</v>
      </c>
      <c r="Q7" s="377" t="s">
        <v>46</v>
      </c>
      <c r="R7" s="377" t="s">
        <v>46</v>
      </c>
      <c r="S7" s="377" t="s">
        <v>46</v>
      </c>
      <c r="T7" s="377" t="s">
        <v>46</v>
      </c>
      <c r="U7" s="377" t="s">
        <v>46</v>
      </c>
      <c r="V7" s="377" t="s">
        <v>46</v>
      </c>
      <c r="W7" s="377" t="s">
        <v>46</v>
      </c>
      <c r="X7" s="377" t="s">
        <v>46</v>
      </c>
      <c r="Y7" s="377" t="s">
        <v>46</v>
      </c>
      <c r="Z7" s="377" t="s">
        <v>46</v>
      </c>
      <c r="AA7" s="377" t="s">
        <v>46</v>
      </c>
      <c r="AB7" s="377" t="s">
        <v>46</v>
      </c>
      <c r="AC7" s="377" t="s">
        <v>46</v>
      </c>
      <c r="AD7" s="377" t="s">
        <v>46</v>
      </c>
      <c r="AE7" s="377" t="s">
        <v>46</v>
      </c>
      <c r="AF7" s="377" t="s">
        <v>46</v>
      </c>
      <c r="AG7" s="377" t="s">
        <v>46</v>
      </c>
      <c r="AH7" s="377" t="s">
        <v>46</v>
      </c>
      <c r="AI7" s="377" t="s">
        <v>46</v>
      </c>
      <c r="AJ7" s="377">
        <v>0</v>
      </c>
      <c r="AK7" s="377">
        <v>0</v>
      </c>
      <c r="AL7" s="351">
        <f t="shared" si="12"/>
        <v>7.5000000000000011E-2</v>
      </c>
      <c r="AM7" s="377">
        <f>AM2</f>
        <v>2.7E-2</v>
      </c>
      <c r="AN7" s="377">
        <f>ROUNDUP(AN2/3,0)</f>
        <v>1</v>
      </c>
      <c r="AO7" s="377"/>
      <c r="AP7" s="377"/>
      <c r="AQ7" s="32">
        <f>AM7*I7*0.1+AL7</f>
        <v>7.8276450000000011E-2</v>
      </c>
      <c r="AR7" s="32">
        <f t="shared" si="5"/>
        <v>7.8276450000000011E-3</v>
      </c>
      <c r="AS7" s="33">
        <f t="shared" si="6"/>
        <v>0</v>
      </c>
      <c r="AT7" s="33">
        <f t="shared" si="7"/>
        <v>2.1526023750000005E-2</v>
      </c>
      <c r="AU7" s="32">
        <f>1333*J6*POWER(10,-6)</f>
        <v>2.4458043959999996E-5</v>
      </c>
      <c r="AV7" s="33">
        <f t="shared" si="8"/>
        <v>0.10765457679396001</v>
      </c>
      <c r="AW7" s="34">
        <f t="shared" si="9"/>
        <v>0</v>
      </c>
      <c r="AX7" s="34">
        <f t="shared" si="10"/>
        <v>0</v>
      </c>
      <c r="AY7" s="34">
        <f t="shared" si="11"/>
        <v>3.5639693575101225E-4</v>
      </c>
      <c r="AZ7" s="350">
        <f>AW7/[1]DB!$B$23</f>
        <v>0</v>
      </c>
      <c r="BA7" s="350">
        <f>AX7/[1]DB!$B$23</f>
        <v>0</v>
      </c>
    </row>
    <row r="8" spans="1:53" s="381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349" t="s">
        <v>467</v>
      </c>
      <c r="L8" s="153" t="s">
        <v>562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381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381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/>
    <row r="12" spans="1:53" s="352" customFormat="1" ht="15" thickBot="1" x14ac:dyDescent="0.35">
      <c r="A12" s="170" t="s">
        <v>475</v>
      </c>
      <c r="B12" s="63" t="s">
        <v>610</v>
      </c>
      <c r="C12" s="375" t="s">
        <v>106</v>
      </c>
      <c r="D12" s="376" t="s">
        <v>25</v>
      </c>
      <c r="E12" s="66">
        <v>2.9999999999999999E-7</v>
      </c>
      <c r="F12" s="63">
        <v>5072</v>
      </c>
      <c r="G12" s="8">
        <v>0.2</v>
      </c>
      <c r="H12" s="10">
        <f t="shared" ref="H12:H17" si="13">E12*F12*G12</f>
        <v>3.0432000000000001E-4</v>
      </c>
      <c r="I12" s="64">
        <v>16.329999999999998</v>
      </c>
      <c r="J12" s="69">
        <f>I12</f>
        <v>16.329999999999998</v>
      </c>
      <c r="K12" s="72" t="s">
        <v>122</v>
      </c>
      <c r="L12" s="77">
        <f>I12*20</f>
        <v>326.59999999999997</v>
      </c>
      <c r="M12" s="377" t="str">
        <f t="shared" ref="M12:N17" si="14">A12</f>
        <v>C7</v>
      </c>
      <c r="N12" s="377" t="str">
        <f t="shared" si="14"/>
        <v>Нефтесборный трубопровод (ПК21+78-ДНС), нефть</v>
      </c>
      <c r="O12" s="377" t="str">
        <f t="shared" ref="O12:O17" si="15">D12</f>
        <v>Полное-пожар</v>
      </c>
      <c r="P12" s="377">
        <v>14.6</v>
      </c>
      <c r="Q12" s="377">
        <v>20.399999999999999</v>
      </c>
      <c r="R12" s="377">
        <v>29.6</v>
      </c>
      <c r="S12" s="377">
        <v>56.1</v>
      </c>
      <c r="T12" s="377" t="s">
        <v>46</v>
      </c>
      <c r="U12" s="377" t="s">
        <v>46</v>
      </c>
      <c r="V12" s="377" t="s">
        <v>46</v>
      </c>
      <c r="W12" s="377" t="s">
        <v>46</v>
      </c>
      <c r="X12" s="377" t="s">
        <v>46</v>
      </c>
      <c r="Y12" s="377" t="s">
        <v>46</v>
      </c>
      <c r="Z12" s="377" t="s">
        <v>46</v>
      </c>
      <c r="AA12" s="377" t="s">
        <v>46</v>
      </c>
      <c r="AB12" s="377" t="s">
        <v>46</v>
      </c>
      <c r="AC12" s="377" t="s">
        <v>46</v>
      </c>
      <c r="AD12" s="377" t="s">
        <v>46</v>
      </c>
      <c r="AE12" s="377" t="s">
        <v>46</v>
      </c>
      <c r="AF12" s="377" t="s">
        <v>46</v>
      </c>
      <c r="AG12" s="377" t="s">
        <v>46</v>
      </c>
      <c r="AH12" s="377" t="s">
        <v>46</v>
      </c>
      <c r="AI12" s="377" t="s">
        <v>46</v>
      </c>
      <c r="AJ12" s="12">
        <v>1</v>
      </c>
      <c r="AK12" s="12">
        <v>1</v>
      </c>
      <c r="AL12" s="65">
        <v>0.75</v>
      </c>
      <c r="AM12" s="65">
        <v>2.7E-2</v>
      </c>
      <c r="AN12" s="65">
        <v>3</v>
      </c>
      <c r="AO12" s="377"/>
      <c r="AP12" s="377"/>
      <c r="AQ12" s="32">
        <f>AM12*I12+AL12</f>
        <v>1.1909099999999999</v>
      </c>
      <c r="AR12" s="32">
        <f t="shared" ref="AR12:AR17" si="16">0.1*AQ12</f>
        <v>0.119091</v>
      </c>
      <c r="AS12" s="33">
        <f t="shared" ref="AS12:AS17" si="17">AJ12*3+0.25*AK12</f>
        <v>3.25</v>
      </c>
      <c r="AT12" s="33">
        <f t="shared" ref="AT12:AT17" si="18">SUM(AQ12:AS12)/4</f>
        <v>1.1400002499999999</v>
      </c>
      <c r="AU12" s="32">
        <f>10068.2*J12*POWER(10,-6)</f>
        <v>0.16441370599999999</v>
      </c>
      <c r="AV12" s="33">
        <f t="shared" ref="AV12:AV17" si="19">AU12+AT12+AS12+AR12+AQ12</f>
        <v>5.8644149559999992</v>
      </c>
      <c r="AW12" s="34">
        <f t="shared" ref="AW12:AW17" si="20">AJ12*H12</f>
        <v>3.0432000000000001E-4</v>
      </c>
      <c r="AX12" s="34">
        <f t="shared" ref="AX12:AX17" si="21">H12*AK12</f>
        <v>3.0432000000000001E-4</v>
      </c>
      <c r="AY12" s="34">
        <f t="shared" ref="AY12:AY17" si="22">H12*AV12</f>
        <v>1.7846587594099199E-3</v>
      </c>
      <c r="AZ12" s="350">
        <f>AW12/[1]DB!$B$23</f>
        <v>3.6665060240963856E-7</v>
      </c>
      <c r="BA12" s="350">
        <f>AX12/[1]DB!$B$23</f>
        <v>3.6665060240963856E-7</v>
      </c>
    </row>
    <row r="13" spans="1:53" s="352" customFormat="1" ht="15" thickBot="1" x14ac:dyDescent="0.35">
      <c r="A13" s="170" t="s">
        <v>476</v>
      </c>
      <c r="B13" s="8" t="str">
        <f>B12</f>
        <v>Нефтесборный трубопровод (ПК21+78-ДНС), нефть</v>
      </c>
      <c r="C13" s="375" t="s">
        <v>107</v>
      </c>
      <c r="D13" s="376" t="s">
        <v>28</v>
      </c>
      <c r="E13" s="67">
        <f>E12</f>
        <v>2.9999999999999999E-7</v>
      </c>
      <c r="F13" s="68">
        <f>F12</f>
        <v>5072</v>
      </c>
      <c r="G13" s="8">
        <v>0.04</v>
      </c>
      <c r="H13" s="10">
        <f t="shared" si="13"/>
        <v>6.0863999999999999E-5</v>
      </c>
      <c r="I13" s="62">
        <f>I12</f>
        <v>16.329999999999998</v>
      </c>
      <c r="J13" s="378">
        <f>POWER(10,-6)*35*SQRT(100)*3600*L12/1000*0.1</f>
        <v>4.115159999999999E-2</v>
      </c>
      <c r="K13" s="72" t="s">
        <v>123</v>
      </c>
      <c r="L13" s="77">
        <v>0</v>
      </c>
      <c r="M13" s="377" t="str">
        <f t="shared" si="14"/>
        <v>C8</v>
      </c>
      <c r="N13" s="377" t="str">
        <f t="shared" si="14"/>
        <v>Нефтесборный трубопровод (ПК21+78-ДНС), нефть</v>
      </c>
      <c r="O13" s="377" t="str">
        <f t="shared" si="15"/>
        <v>Полное-взрыв</v>
      </c>
      <c r="P13" s="377" t="s">
        <v>46</v>
      </c>
      <c r="Q13" s="377" t="s">
        <v>46</v>
      </c>
      <c r="R13" s="377" t="s">
        <v>46</v>
      </c>
      <c r="S13" s="377" t="s">
        <v>46</v>
      </c>
      <c r="T13" s="377">
        <v>0</v>
      </c>
      <c r="U13" s="377">
        <v>0</v>
      </c>
      <c r="V13" s="377">
        <v>26.1</v>
      </c>
      <c r="W13" s="377">
        <v>87.1</v>
      </c>
      <c r="X13" s="377">
        <v>127.6</v>
      </c>
      <c r="Y13" s="377" t="s">
        <v>46</v>
      </c>
      <c r="Z13" s="377" t="s">
        <v>46</v>
      </c>
      <c r="AA13" s="377" t="s">
        <v>46</v>
      </c>
      <c r="AB13" s="377" t="s">
        <v>46</v>
      </c>
      <c r="AC13" s="377" t="s">
        <v>46</v>
      </c>
      <c r="AD13" s="377" t="s">
        <v>46</v>
      </c>
      <c r="AE13" s="377" t="s">
        <v>46</v>
      </c>
      <c r="AF13" s="377" t="s">
        <v>46</v>
      </c>
      <c r="AG13" s="377" t="s">
        <v>46</v>
      </c>
      <c r="AH13" s="377" t="s">
        <v>46</v>
      </c>
      <c r="AI13" s="377" t="s">
        <v>46</v>
      </c>
      <c r="AJ13" s="12">
        <v>1</v>
      </c>
      <c r="AK13" s="12">
        <v>1</v>
      </c>
      <c r="AL13" s="377">
        <f>AL12</f>
        <v>0.75</v>
      </c>
      <c r="AM13" s="377">
        <f>AM12</f>
        <v>2.7E-2</v>
      </c>
      <c r="AN13" s="377">
        <f>AN12</f>
        <v>3</v>
      </c>
      <c r="AO13" s="377"/>
      <c r="AP13" s="377"/>
      <c r="AQ13" s="32">
        <f>AM13*I13+AL13</f>
        <v>1.1909099999999999</v>
      </c>
      <c r="AR13" s="32">
        <f t="shared" si="16"/>
        <v>0.119091</v>
      </c>
      <c r="AS13" s="33">
        <f t="shared" si="17"/>
        <v>3.25</v>
      </c>
      <c r="AT13" s="33">
        <f t="shared" si="18"/>
        <v>1.1400002499999999</v>
      </c>
      <c r="AU13" s="32">
        <f>10068.2*J13*POWER(10,-6)*10</f>
        <v>4.143225391199999E-3</v>
      </c>
      <c r="AV13" s="33">
        <f t="shared" si="19"/>
        <v>5.7041444753911996</v>
      </c>
      <c r="AW13" s="34">
        <f t="shared" si="20"/>
        <v>6.0863999999999999E-5</v>
      </c>
      <c r="AX13" s="34">
        <f t="shared" si="21"/>
        <v>6.0863999999999999E-5</v>
      </c>
      <c r="AY13" s="34">
        <f t="shared" si="22"/>
        <v>3.4717704935020995E-4</v>
      </c>
      <c r="AZ13" s="350">
        <f>AW13/[1]DB!$B$23</f>
        <v>7.3330120481927714E-8</v>
      </c>
      <c r="BA13" s="350">
        <f>AX13/[1]DB!$B$23</f>
        <v>7.3330120481927714E-8</v>
      </c>
    </row>
    <row r="14" spans="1:53" s="352" customFormat="1" x14ac:dyDescent="0.3">
      <c r="A14" s="170" t="s">
        <v>477</v>
      </c>
      <c r="B14" s="8" t="str">
        <f>B12</f>
        <v>Нефтесборный трубопровод (ПК21+78-ДНС), нефть</v>
      </c>
      <c r="C14" s="375" t="s">
        <v>108</v>
      </c>
      <c r="D14" s="376" t="s">
        <v>26</v>
      </c>
      <c r="E14" s="67">
        <f>E12</f>
        <v>2.9999999999999999E-7</v>
      </c>
      <c r="F14" s="68">
        <f>F12</f>
        <v>5072</v>
      </c>
      <c r="G14" s="8">
        <v>0.76</v>
      </c>
      <c r="H14" s="10">
        <f t="shared" si="13"/>
        <v>1.156416E-3</v>
      </c>
      <c r="I14" s="62">
        <f>I12</f>
        <v>16.329999999999998</v>
      </c>
      <c r="J14" s="71">
        <v>0</v>
      </c>
      <c r="K14" s="72" t="s">
        <v>124</v>
      </c>
      <c r="L14" s="77">
        <v>0</v>
      </c>
      <c r="M14" s="377" t="str">
        <f t="shared" si="14"/>
        <v>C9</v>
      </c>
      <c r="N14" s="377" t="str">
        <f t="shared" si="14"/>
        <v>Нефтесборный трубопровод (ПК21+78-ДНС), нефть</v>
      </c>
      <c r="O14" s="377" t="str">
        <f t="shared" si="15"/>
        <v>Полное-ликвидация</v>
      </c>
      <c r="P14" s="377" t="s">
        <v>46</v>
      </c>
      <c r="Q14" s="377" t="s">
        <v>46</v>
      </c>
      <c r="R14" s="377" t="s">
        <v>46</v>
      </c>
      <c r="S14" s="377" t="s">
        <v>46</v>
      </c>
      <c r="T14" s="377" t="s">
        <v>46</v>
      </c>
      <c r="U14" s="377" t="s">
        <v>46</v>
      </c>
      <c r="V14" s="377" t="s">
        <v>46</v>
      </c>
      <c r="W14" s="377" t="s">
        <v>46</v>
      </c>
      <c r="X14" s="377" t="s">
        <v>46</v>
      </c>
      <c r="Y14" s="377" t="s">
        <v>46</v>
      </c>
      <c r="Z14" s="377" t="s">
        <v>46</v>
      </c>
      <c r="AA14" s="377" t="s">
        <v>46</v>
      </c>
      <c r="AB14" s="377" t="s">
        <v>46</v>
      </c>
      <c r="AC14" s="377" t="s">
        <v>46</v>
      </c>
      <c r="AD14" s="377" t="s">
        <v>46</v>
      </c>
      <c r="AE14" s="377" t="s">
        <v>46</v>
      </c>
      <c r="AF14" s="377" t="s">
        <v>46</v>
      </c>
      <c r="AG14" s="377" t="s">
        <v>46</v>
      </c>
      <c r="AH14" s="377" t="s">
        <v>46</v>
      </c>
      <c r="AI14" s="377" t="s">
        <v>46</v>
      </c>
      <c r="AJ14" s="377">
        <v>0</v>
      </c>
      <c r="AK14" s="377">
        <v>0</v>
      </c>
      <c r="AL14" s="377">
        <f>AL12</f>
        <v>0.75</v>
      </c>
      <c r="AM14" s="377">
        <f>AM12</f>
        <v>2.7E-2</v>
      </c>
      <c r="AN14" s="377">
        <f>AN12</f>
        <v>3</v>
      </c>
      <c r="AO14" s="377"/>
      <c r="AP14" s="377"/>
      <c r="AQ14" s="32">
        <f>AM14*I14*0.1+AL14</f>
        <v>0.79409099999999999</v>
      </c>
      <c r="AR14" s="32">
        <f t="shared" si="16"/>
        <v>7.940910000000001E-2</v>
      </c>
      <c r="AS14" s="33">
        <f t="shared" si="17"/>
        <v>0</v>
      </c>
      <c r="AT14" s="33">
        <f t="shared" si="18"/>
        <v>0.218375025</v>
      </c>
      <c r="AU14" s="32">
        <f>1333*J13*POWER(10,-6)</f>
        <v>5.4855082799999979E-5</v>
      </c>
      <c r="AV14" s="33">
        <f t="shared" si="19"/>
        <v>1.0919299800828</v>
      </c>
      <c r="AW14" s="34">
        <f t="shared" si="20"/>
        <v>0</v>
      </c>
      <c r="AX14" s="34">
        <f t="shared" si="21"/>
        <v>0</v>
      </c>
      <c r="AY14" s="34">
        <f t="shared" si="22"/>
        <v>1.2627252998474311E-3</v>
      </c>
      <c r="AZ14" s="350">
        <f>AW14/[1]DB!$B$23</f>
        <v>0</v>
      </c>
      <c r="BA14" s="350">
        <f>AX14/[1]DB!$B$23</f>
        <v>0</v>
      </c>
    </row>
    <row r="15" spans="1:53" s="352" customFormat="1" x14ac:dyDescent="0.3">
      <c r="A15" s="170" t="s">
        <v>504</v>
      </c>
      <c r="B15" s="8" t="str">
        <f>B12</f>
        <v>Нефтесборный трубопровод (ПК21+78-ДНС), нефть</v>
      </c>
      <c r="C15" s="375" t="s">
        <v>109</v>
      </c>
      <c r="D15" s="376" t="s">
        <v>47</v>
      </c>
      <c r="E15" s="66">
        <v>1.9999999999999999E-6</v>
      </c>
      <c r="F15" s="68">
        <f>F12</f>
        <v>5072</v>
      </c>
      <c r="G15" s="8">
        <v>0.2</v>
      </c>
      <c r="H15" s="10">
        <f t="shared" si="13"/>
        <v>2.0288000000000003E-3</v>
      </c>
      <c r="I15" s="62">
        <f>0.15*I12</f>
        <v>2.4494999999999996</v>
      </c>
      <c r="J15" s="69">
        <f>I15</f>
        <v>2.4494999999999996</v>
      </c>
      <c r="K15" s="74" t="s">
        <v>126</v>
      </c>
      <c r="L15" s="78">
        <v>45390</v>
      </c>
      <c r="M15" s="377" t="str">
        <f t="shared" si="14"/>
        <v>C10</v>
      </c>
      <c r="N15" s="377" t="str">
        <f t="shared" si="14"/>
        <v>Нефтесборный трубопровод (ПК21+78-ДНС), нефть</v>
      </c>
      <c r="O15" s="377" t="str">
        <f t="shared" si="15"/>
        <v>Частичное-пожар</v>
      </c>
      <c r="P15" s="377">
        <v>5.3</v>
      </c>
      <c r="Q15" s="377">
        <v>7.6</v>
      </c>
      <c r="R15" s="377">
        <v>11.3</v>
      </c>
      <c r="S15" s="377">
        <v>21.8</v>
      </c>
      <c r="T15" s="377" t="s">
        <v>46</v>
      </c>
      <c r="U15" s="377" t="s">
        <v>46</v>
      </c>
      <c r="V15" s="377" t="s">
        <v>46</v>
      </c>
      <c r="W15" s="377" t="s">
        <v>46</v>
      </c>
      <c r="X15" s="377" t="s">
        <v>46</v>
      </c>
      <c r="Y15" s="377" t="s">
        <v>46</v>
      </c>
      <c r="Z15" s="377" t="s">
        <v>46</v>
      </c>
      <c r="AA15" s="377" t="s">
        <v>46</v>
      </c>
      <c r="AB15" s="377" t="s">
        <v>46</v>
      </c>
      <c r="AC15" s="377" t="s">
        <v>46</v>
      </c>
      <c r="AD15" s="377" t="s">
        <v>46</v>
      </c>
      <c r="AE15" s="377" t="s">
        <v>46</v>
      </c>
      <c r="AF15" s="377" t="s">
        <v>46</v>
      </c>
      <c r="AG15" s="377" t="s">
        <v>46</v>
      </c>
      <c r="AH15" s="377" t="s">
        <v>46</v>
      </c>
      <c r="AI15" s="377" t="s">
        <v>46</v>
      </c>
      <c r="AJ15" s="377">
        <v>0</v>
      </c>
      <c r="AK15" s="377">
        <v>1</v>
      </c>
      <c r="AL15" s="351">
        <f>0.1*AL12</f>
        <v>7.5000000000000011E-2</v>
      </c>
      <c r="AM15" s="377">
        <f>AM12</f>
        <v>2.7E-2</v>
      </c>
      <c r="AN15" s="377">
        <f>ROUNDUP(AN12/3,0)</f>
        <v>1</v>
      </c>
      <c r="AO15" s="377"/>
      <c r="AP15" s="377"/>
      <c r="AQ15" s="32">
        <f>AM15*I15+AL15</f>
        <v>0.1411365</v>
      </c>
      <c r="AR15" s="32">
        <f t="shared" si="16"/>
        <v>1.411365E-2</v>
      </c>
      <c r="AS15" s="33">
        <f t="shared" si="17"/>
        <v>0.25</v>
      </c>
      <c r="AT15" s="33">
        <f t="shared" si="18"/>
        <v>0.10131253749999999</v>
      </c>
      <c r="AU15" s="32">
        <f>10068.2*J15*POWER(10,-6)</f>
        <v>2.4662055899999993E-2</v>
      </c>
      <c r="AV15" s="33">
        <f t="shared" si="19"/>
        <v>0.53122474339999992</v>
      </c>
      <c r="AW15" s="34">
        <f t="shared" si="20"/>
        <v>0</v>
      </c>
      <c r="AX15" s="34">
        <f t="shared" si="21"/>
        <v>2.0288000000000003E-3</v>
      </c>
      <c r="AY15" s="34">
        <f t="shared" si="22"/>
        <v>1.07774875940992E-3</v>
      </c>
      <c r="AZ15" s="350">
        <f>AW15/[1]DB!$B$23</f>
        <v>0</v>
      </c>
      <c r="BA15" s="350">
        <f>AX15/[1]DB!$B$23</f>
        <v>2.4443373493975908E-6</v>
      </c>
    </row>
    <row r="16" spans="1:53" s="352" customFormat="1" x14ac:dyDescent="0.3">
      <c r="A16" s="170" t="s">
        <v>505</v>
      </c>
      <c r="B16" s="8" t="str">
        <f>B12</f>
        <v>Нефтесборный трубопровод (ПК21+78-ДНС), нефть</v>
      </c>
      <c r="C16" s="375" t="s">
        <v>110</v>
      </c>
      <c r="D16" s="376" t="s">
        <v>112</v>
      </c>
      <c r="E16" s="67">
        <f>E15</f>
        <v>1.9999999999999999E-6</v>
      </c>
      <c r="F16" s="68">
        <f>F12</f>
        <v>5072</v>
      </c>
      <c r="G16" s="8">
        <v>0.04</v>
      </c>
      <c r="H16" s="10">
        <f t="shared" si="13"/>
        <v>4.0576000000000002E-4</v>
      </c>
      <c r="I16" s="62">
        <f>0.15*I12</f>
        <v>2.4494999999999996</v>
      </c>
      <c r="J16" s="69">
        <f>0.9*J13</f>
        <v>3.703643999999999E-2</v>
      </c>
      <c r="K16" s="74" t="s">
        <v>127</v>
      </c>
      <c r="L16" s="78">
        <v>3</v>
      </c>
      <c r="M16" s="377" t="str">
        <f t="shared" si="14"/>
        <v>C11</v>
      </c>
      <c r="N16" s="377" t="str">
        <f t="shared" si="14"/>
        <v>Нефтесборный трубопровод (ПК21+78-ДНС), нефть</v>
      </c>
      <c r="O16" s="377" t="str">
        <f t="shared" si="15"/>
        <v>Частичное-пожар-вспышка</v>
      </c>
      <c r="P16" s="377" t="s">
        <v>46</v>
      </c>
      <c r="Q16" s="377" t="s">
        <v>46</v>
      </c>
      <c r="R16" s="377" t="s">
        <v>46</v>
      </c>
      <c r="S16" s="377" t="s">
        <v>46</v>
      </c>
      <c r="T16" s="377" t="s">
        <v>46</v>
      </c>
      <c r="U16" s="377" t="s">
        <v>46</v>
      </c>
      <c r="V16" s="377" t="s">
        <v>46</v>
      </c>
      <c r="W16" s="377" t="s">
        <v>46</v>
      </c>
      <c r="X16" s="377" t="s">
        <v>46</v>
      </c>
      <c r="Y16" s="377" t="s">
        <v>46</v>
      </c>
      <c r="Z16" s="377" t="s">
        <v>46</v>
      </c>
      <c r="AA16" s="377">
        <v>11.3</v>
      </c>
      <c r="AB16" s="377">
        <v>13.56</v>
      </c>
      <c r="AC16" s="377" t="s">
        <v>46</v>
      </c>
      <c r="AD16" s="377" t="s">
        <v>46</v>
      </c>
      <c r="AE16" s="377" t="s">
        <v>46</v>
      </c>
      <c r="AF16" s="377" t="s">
        <v>46</v>
      </c>
      <c r="AG16" s="377" t="s">
        <v>46</v>
      </c>
      <c r="AH16" s="377" t="s">
        <v>46</v>
      </c>
      <c r="AI16" s="377" t="s">
        <v>46</v>
      </c>
      <c r="AJ16" s="377">
        <v>0</v>
      </c>
      <c r="AK16" s="377">
        <v>1</v>
      </c>
      <c r="AL16" s="351">
        <f t="shared" ref="AL16:AL17" si="23">0.1*AL13</f>
        <v>7.5000000000000011E-2</v>
      </c>
      <c r="AM16" s="377">
        <f>AM12</f>
        <v>2.7E-2</v>
      </c>
      <c r="AN16" s="377">
        <f>ROUNDUP(AN12/3,0)</f>
        <v>1</v>
      </c>
      <c r="AO16" s="377"/>
      <c r="AP16" s="377"/>
      <c r="AQ16" s="32">
        <f>AM16*I16+AL16</f>
        <v>0.1411365</v>
      </c>
      <c r="AR16" s="32">
        <f t="shared" si="16"/>
        <v>1.411365E-2</v>
      </c>
      <c r="AS16" s="33">
        <f t="shared" si="17"/>
        <v>0.25</v>
      </c>
      <c r="AT16" s="33">
        <f t="shared" si="18"/>
        <v>0.10131253749999999</v>
      </c>
      <c r="AU16" s="32">
        <f>10068.2*J16*POWER(10,-6)*10</f>
        <v>3.7289028520799987E-3</v>
      </c>
      <c r="AV16" s="33">
        <f t="shared" si="19"/>
        <v>0.51029159035207994</v>
      </c>
      <c r="AW16" s="34">
        <f t="shared" si="20"/>
        <v>0</v>
      </c>
      <c r="AX16" s="34">
        <f t="shared" si="21"/>
        <v>4.0576000000000002E-4</v>
      </c>
      <c r="AY16" s="34">
        <f t="shared" si="22"/>
        <v>2.0705591570125998E-4</v>
      </c>
      <c r="AZ16" s="350">
        <f>AW16/[1]DB!$B$23</f>
        <v>0</v>
      </c>
      <c r="BA16" s="350">
        <f>AX16/[1]DB!$B$23</f>
        <v>4.8886746987951808E-7</v>
      </c>
    </row>
    <row r="17" spans="1:53" s="352" customFormat="1" x14ac:dyDescent="0.3">
      <c r="A17" s="170" t="s">
        <v>506</v>
      </c>
      <c r="B17" s="170" t="str">
        <f>B12</f>
        <v>Нефтесборный трубопровод (ПК21+78-ДНС), нефть</v>
      </c>
      <c r="C17" s="379" t="s">
        <v>111</v>
      </c>
      <c r="D17" s="380" t="s">
        <v>27</v>
      </c>
      <c r="E17" s="173">
        <f>E15</f>
        <v>1.9999999999999999E-6</v>
      </c>
      <c r="F17" s="174">
        <f>F12</f>
        <v>5072</v>
      </c>
      <c r="G17" s="170">
        <v>0.76</v>
      </c>
      <c r="H17" s="175">
        <f t="shared" si="13"/>
        <v>7.7094400000000006E-3</v>
      </c>
      <c r="I17" s="176">
        <f>0.15*I12</f>
        <v>2.4494999999999996</v>
      </c>
      <c r="J17" s="177">
        <v>0</v>
      </c>
      <c r="K17" s="178" t="s">
        <v>138</v>
      </c>
      <c r="L17" s="179">
        <v>1</v>
      </c>
      <c r="M17" s="377" t="str">
        <f t="shared" si="14"/>
        <v>C12</v>
      </c>
      <c r="N17" s="377" t="str">
        <f t="shared" si="14"/>
        <v>Нефтесборный трубопровод (ПК21+78-ДНС), нефть</v>
      </c>
      <c r="O17" s="377" t="str">
        <f t="shared" si="15"/>
        <v>Частичное-ликвидация</v>
      </c>
      <c r="P17" s="377" t="s">
        <v>46</v>
      </c>
      <c r="Q17" s="377" t="s">
        <v>46</v>
      </c>
      <c r="R17" s="377" t="s">
        <v>46</v>
      </c>
      <c r="S17" s="377" t="s">
        <v>46</v>
      </c>
      <c r="T17" s="377" t="s">
        <v>46</v>
      </c>
      <c r="U17" s="377" t="s">
        <v>46</v>
      </c>
      <c r="V17" s="377" t="s">
        <v>46</v>
      </c>
      <c r="W17" s="377" t="s">
        <v>46</v>
      </c>
      <c r="X17" s="377" t="s">
        <v>46</v>
      </c>
      <c r="Y17" s="377" t="s">
        <v>46</v>
      </c>
      <c r="Z17" s="377" t="s">
        <v>46</v>
      </c>
      <c r="AA17" s="377" t="s">
        <v>46</v>
      </c>
      <c r="AB17" s="377" t="s">
        <v>46</v>
      </c>
      <c r="AC17" s="377" t="s">
        <v>46</v>
      </c>
      <c r="AD17" s="377" t="s">
        <v>46</v>
      </c>
      <c r="AE17" s="377" t="s">
        <v>46</v>
      </c>
      <c r="AF17" s="377" t="s">
        <v>46</v>
      </c>
      <c r="AG17" s="377" t="s">
        <v>46</v>
      </c>
      <c r="AH17" s="377" t="s">
        <v>46</v>
      </c>
      <c r="AI17" s="377" t="s">
        <v>46</v>
      </c>
      <c r="AJ17" s="377">
        <v>0</v>
      </c>
      <c r="AK17" s="377">
        <v>0</v>
      </c>
      <c r="AL17" s="351">
        <f t="shared" si="23"/>
        <v>7.5000000000000011E-2</v>
      </c>
      <c r="AM17" s="377">
        <f>AM12</f>
        <v>2.7E-2</v>
      </c>
      <c r="AN17" s="377">
        <f>ROUNDUP(AN12/3,0)</f>
        <v>1</v>
      </c>
      <c r="AO17" s="377"/>
      <c r="AP17" s="377"/>
      <c r="AQ17" s="32">
        <f>AM17*I17*0.1+AL17</f>
        <v>8.161365000000001E-2</v>
      </c>
      <c r="AR17" s="32">
        <f t="shared" si="16"/>
        <v>8.161365000000002E-3</v>
      </c>
      <c r="AS17" s="33">
        <f t="shared" si="17"/>
        <v>0</v>
      </c>
      <c r="AT17" s="33">
        <f t="shared" si="18"/>
        <v>2.2443753750000003E-2</v>
      </c>
      <c r="AU17" s="32">
        <f>1333*J16*POWER(10,-6)</f>
        <v>4.9369574519999982E-5</v>
      </c>
      <c r="AV17" s="33">
        <f t="shared" si="19"/>
        <v>0.11226813832452001</v>
      </c>
      <c r="AW17" s="34">
        <f t="shared" si="20"/>
        <v>0</v>
      </c>
      <c r="AX17" s="34">
        <f t="shared" si="21"/>
        <v>0</v>
      </c>
      <c r="AY17" s="34">
        <f t="shared" si="22"/>
        <v>8.6552447632458763E-4</v>
      </c>
      <c r="AZ17" s="350">
        <f>AW17/[1]DB!$B$23</f>
        <v>0</v>
      </c>
      <c r="BA17" s="350">
        <f>AX17/[1]DB!$B$23</f>
        <v>0</v>
      </c>
    </row>
    <row r="18" spans="1:53" s="381" customForma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349" t="s">
        <v>467</v>
      </c>
      <c r="L18" s="153" t="s">
        <v>562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3" s="381" customForma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3" s="381" customForma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3" ht="15" thickBot="1" x14ac:dyDescent="0.35"/>
    <row r="22" spans="1:53" s="352" customFormat="1" ht="15" thickBot="1" x14ac:dyDescent="0.35">
      <c r="A22" s="8" t="s">
        <v>507</v>
      </c>
      <c r="B22" s="63" t="s">
        <v>611</v>
      </c>
      <c r="C22" s="375" t="s">
        <v>106</v>
      </c>
      <c r="D22" s="376" t="s">
        <v>25</v>
      </c>
      <c r="E22" s="66">
        <v>2.9999999999999999E-7</v>
      </c>
      <c r="F22" s="63">
        <v>2023</v>
      </c>
      <c r="G22" s="8">
        <v>0.2</v>
      </c>
      <c r="H22" s="10">
        <f t="shared" ref="H22:H27" si="24">E22*F22*G22</f>
        <v>1.2137999999999999E-4</v>
      </c>
      <c r="I22" s="64">
        <v>8.5500000000000007</v>
      </c>
      <c r="J22" s="69">
        <f>I22</f>
        <v>8.5500000000000007</v>
      </c>
      <c r="K22" s="72" t="s">
        <v>122</v>
      </c>
      <c r="L22" s="77">
        <f>I22*20</f>
        <v>171</v>
      </c>
      <c r="M22" s="377" t="str">
        <f t="shared" ref="M22:N27" si="25">A22</f>
        <v>C13</v>
      </c>
      <c r="N22" s="377" t="str">
        <f t="shared" si="25"/>
        <v>Нефтесборный трубопровод (Куст скв. № 5 ЗХ – до т. вр. в нефтепровод «ПК 21+78 – ДНС»), нефть</v>
      </c>
      <c r="O22" s="377" t="str">
        <f t="shared" ref="O22:O27" si="26">D22</f>
        <v>Полное-пожар</v>
      </c>
      <c r="P22" s="377">
        <v>10.6</v>
      </c>
      <c r="Q22" s="377">
        <v>14.9</v>
      </c>
      <c r="R22" s="377">
        <v>21.9</v>
      </c>
      <c r="S22" s="377">
        <v>42.4</v>
      </c>
      <c r="T22" s="377" t="s">
        <v>46</v>
      </c>
      <c r="U22" s="377" t="s">
        <v>46</v>
      </c>
      <c r="V22" s="377" t="s">
        <v>46</v>
      </c>
      <c r="W22" s="377" t="s">
        <v>46</v>
      </c>
      <c r="X22" s="377" t="s">
        <v>46</v>
      </c>
      <c r="Y22" s="377" t="s">
        <v>46</v>
      </c>
      <c r="Z22" s="377" t="s">
        <v>46</v>
      </c>
      <c r="AA22" s="377" t="s">
        <v>46</v>
      </c>
      <c r="AB22" s="377" t="s">
        <v>46</v>
      </c>
      <c r="AC22" s="377" t="s">
        <v>46</v>
      </c>
      <c r="AD22" s="377" t="s">
        <v>46</v>
      </c>
      <c r="AE22" s="377" t="s">
        <v>46</v>
      </c>
      <c r="AF22" s="377" t="s">
        <v>46</v>
      </c>
      <c r="AG22" s="377" t="s">
        <v>46</v>
      </c>
      <c r="AH22" s="377" t="s">
        <v>46</v>
      </c>
      <c r="AI22" s="377" t="s">
        <v>46</v>
      </c>
      <c r="AJ22" s="12">
        <v>0</v>
      </c>
      <c r="AK22" s="12">
        <v>1</v>
      </c>
      <c r="AL22" s="65">
        <v>0.75</v>
      </c>
      <c r="AM22" s="65">
        <v>2.7E-2</v>
      </c>
      <c r="AN22" s="65">
        <v>3</v>
      </c>
      <c r="AO22" s="377"/>
      <c r="AP22" s="377"/>
      <c r="AQ22" s="32">
        <f>AM22*I22+AL22</f>
        <v>0.98085</v>
      </c>
      <c r="AR22" s="32">
        <f t="shared" ref="AR22:AR27" si="27">0.1*AQ22</f>
        <v>9.8085000000000006E-2</v>
      </c>
      <c r="AS22" s="33">
        <f t="shared" ref="AS22:AS27" si="28">AJ22*3+0.25*AK22</f>
        <v>0.25</v>
      </c>
      <c r="AT22" s="33">
        <f t="shared" ref="AT22:AT27" si="29">SUM(AQ22:AS22)/4</f>
        <v>0.33223374999999999</v>
      </c>
      <c r="AU22" s="32">
        <f>10068.2*J22*POWER(10,-6)</f>
        <v>8.6083110000000004E-2</v>
      </c>
      <c r="AV22" s="33">
        <f t="shared" ref="AV22:AV27" si="30">AU22+AT22+AS22+AR22+AQ22</f>
        <v>1.74725186</v>
      </c>
      <c r="AW22" s="34">
        <f t="shared" ref="AW22:AW27" si="31">AJ22*H22</f>
        <v>0</v>
      </c>
      <c r="AX22" s="34">
        <f t="shared" ref="AX22:AX27" si="32">H22*AK22</f>
        <v>1.2137999999999999E-4</v>
      </c>
      <c r="AY22" s="34">
        <f t="shared" ref="AY22:AY27" si="33">H22*AV22</f>
        <v>2.1208143076679997E-4</v>
      </c>
      <c r="AZ22" s="350">
        <f>AW22/[1]DB!$B$23</f>
        <v>0</v>
      </c>
      <c r="BA22" s="350">
        <f>AX22/[1]DB!$B$23</f>
        <v>1.4624096385542169E-7</v>
      </c>
    </row>
    <row r="23" spans="1:53" s="352" customFormat="1" ht="15" thickBot="1" x14ac:dyDescent="0.35">
      <c r="A23" s="8" t="s">
        <v>508</v>
      </c>
      <c r="B23" s="8" t="str">
        <f>B22</f>
        <v>Нефтесборный трубопровод (Куст скв. № 5 ЗХ – до т. вр. в нефтепровод «ПК 21+78 – ДНС»), нефть</v>
      </c>
      <c r="C23" s="375" t="s">
        <v>107</v>
      </c>
      <c r="D23" s="376" t="s">
        <v>28</v>
      </c>
      <c r="E23" s="67">
        <f>E22</f>
        <v>2.9999999999999999E-7</v>
      </c>
      <c r="F23" s="68">
        <f>F22</f>
        <v>2023</v>
      </c>
      <c r="G23" s="8">
        <v>0.04</v>
      </c>
      <c r="H23" s="10">
        <f t="shared" si="24"/>
        <v>2.4275999999999999E-5</v>
      </c>
      <c r="I23" s="62">
        <f>I22</f>
        <v>8.5500000000000007</v>
      </c>
      <c r="J23" s="378">
        <f>POWER(10,-6)*35*SQRT(100)*3600*L22/1000*0.1</f>
        <v>2.1545999999999996E-2</v>
      </c>
      <c r="K23" s="72" t="s">
        <v>123</v>
      </c>
      <c r="L23" s="77">
        <v>0</v>
      </c>
      <c r="M23" s="377" t="str">
        <f t="shared" si="25"/>
        <v>C14</v>
      </c>
      <c r="N23" s="377" t="str">
        <f t="shared" si="25"/>
        <v>Нефтесборный трубопровод (Куст скв. № 5 ЗХ – до т. вр. в нефтепровод «ПК 21+78 – ДНС»), нефть</v>
      </c>
      <c r="O23" s="377" t="str">
        <f t="shared" si="26"/>
        <v>Полное-взрыв</v>
      </c>
      <c r="P23" s="377" t="s">
        <v>46</v>
      </c>
      <c r="Q23" s="377" t="s">
        <v>46</v>
      </c>
      <c r="R23" s="377" t="s">
        <v>46</v>
      </c>
      <c r="S23" s="377" t="s">
        <v>46</v>
      </c>
      <c r="T23" s="377">
        <v>0</v>
      </c>
      <c r="U23" s="377">
        <v>0</v>
      </c>
      <c r="V23" s="377">
        <v>21.1</v>
      </c>
      <c r="W23" s="377">
        <v>70.599999999999994</v>
      </c>
      <c r="X23" s="377">
        <v>102.6</v>
      </c>
      <c r="Y23" s="377" t="s">
        <v>46</v>
      </c>
      <c r="Z23" s="377" t="s">
        <v>46</v>
      </c>
      <c r="AA23" s="377" t="s">
        <v>46</v>
      </c>
      <c r="AB23" s="377" t="s">
        <v>46</v>
      </c>
      <c r="AC23" s="377" t="s">
        <v>46</v>
      </c>
      <c r="AD23" s="377" t="s">
        <v>46</v>
      </c>
      <c r="AE23" s="377" t="s">
        <v>46</v>
      </c>
      <c r="AF23" s="377" t="s">
        <v>46</v>
      </c>
      <c r="AG23" s="377" t="s">
        <v>46</v>
      </c>
      <c r="AH23" s="377" t="s">
        <v>46</v>
      </c>
      <c r="AI23" s="377" t="s">
        <v>46</v>
      </c>
      <c r="AJ23" s="12">
        <v>0</v>
      </c>
      <c r="AK23" s="12">
        <v>1</v>
      </c>
      <c r="AL23" s="377">
        <f>AL22</f>
        <v>0.75</v>
      </c>
      <c r="AM23" s="377">
        <f>AM22</f>
        <v>2.7E-2</v>
      </c>
      <c r="AN23" s="377">
        <f>AN22</f>
        <v>3</v>
      </c>
      <c r="AO23" s="377"/>
      <c r="AP23" s="377"/>
      <c r="AQ23" s="32">
        <f>AM23*I23+AL23</f>
        <v>0.98085</v>
      </c>
      <c r="AR23" s="32">
        <f t="shared" si="27"/>
        <v>9.8085000000000006E-2</v>
      </c>
      <c r="AS23" s="33">
        <f t="shared" si="28"/>
        <v>0.25</v>
      </c>
      <c r="AT23" s="33">
        <f t="shared" si="29"/>
        <v>0.33223374999999999</v>
      </c>
      <c r="AU23" s="32">
        <f>10068.2*J23*POWER(10,-6)*10</f>
        <v>2.1692943719999994E-3</v>
      </c>
      <c r="AV23" s="33">
        <f t="shared" si="30"/>
        <v>1.6633380443719998</v>
      </c>
      <c r="AW23" s="34">
        <f t="shared" si="31"/>
        <v>0</v>
      </c>
      <c r="AX23" s="34">
        <f t="shared" si="32"/>
        <v>2.4275999999999999E-5</v>
      </c>
      <c r="AY23" s="34">
        <f t="shared" si="33"/>
        <v>4.0379194365174665E-5</v>
      </c>
      <c r="AZ23" s="350">
        <f>AW23/[1]DB!$B$23</f>
        <v>0</v>
      </c>
      <c r="BA23" s="350">
        <f>AX23/[1]DB!$B$23</f>
        <v>2.9248192771084337E-8</v>
      </c>
    </row>
    <row r="24" spans="1:53" s="352" customFormat="1" x14ac:dyDescent="0.3">
      <c r="A24" s="8" t="s">
        <v>509</v>
      </c>
      <c r="B24" s="8" t="str">
        <f>B22</f>
        <v>Нефтесборный трубопровод (Куст скв. № 5 ЗХ – до т. вр. в нефтепровод «ПК 21+78 – ДНС»), нефть</v>
      </c>
      <c r="C24" s="375" t="s">
        <v>108</v>
      </c>
      <c r="D24" s="376" t="s">
        <v>26</v>
      </c>
      <c r="E24" s="67">
        <f>E22</f>
        <v>2.9999999999999999E-7</v>
      </c>
      <c r="F24" s="68">
        <f>F22</f>
        <v>2023</v>
      </c>
      <c r="G24" s="8">
        <v>0.76</v>
      </c>
      <c r="H24" s="10">
        <f t="shared" si="24"/>
        <v>4.6124399999999998E-4</v>
      </c>
      <c r="I24" s="62">
        <f>I22</f>
        <v>8.5500000000000007</v>
      </c>
      <c r="J24" s="71">
        <v>0</v>
      </c>
      <c r="K24" s="72" t="s">
        <v>124</v>
      </c>
      <c r="L24" s="77">
        <v>0</v>
      </c>
      <c r="M24" s="377" t="str">
        <f t="shared" si="25"/>
        <v>C15</v>
      </c>
      <c r="N24" s="377" t="str">
        <f t="shared" si="25"/>
        <v>Нефтесборный трубопровод (Куст скв. № 5 ЗХ – до т. вр. в нефтепровод «ПК 21+78 – ДНС»), нефть</v>
      </c>
      <c r="O24" s="377" t="str">
        <f t="shared" si="26"/>
        <v>Полное-ликвидация</v>
      </c>
      <c r="P24" s="377" t="s">
        <v>46</v>
      </c>
      <c r="Q24" s="377" t="s">
        <v>46</v>
      </c>
      <c r="R24" s="377" t="s">
        <v>46</v>
      </c>
      <c r="S24" s="377" t="s">
        <v>46</v>
      </c>
      <c r="T24" s="377" t="s">
        <v>46</v>
      </c>
      <c r="U24" s="377" t="s">
        <v>46</v>
      </c>
      <c r="V24" s="377" t="s">
        <v>46</v>
      </c>
      <c r="W24" s="377" t="s">
        <v>46</v>
      </c>
      <c r="X24" s="377" t="s">
        <v>46</v>
      </c>
      <c r="Y24" s="377" t="s">
        <v>46</v>
      </c>
      <c r="Z24" s="377" t="s">
        <v>46</v>
      </c>
      <c r="AA24" s="377" t="s">
        <v>46</v>
      </c>
      <c r="AB24" s="377" t="s">
        <v>46</v>
      </c>
      <c r="AC24" s="377" t="s">
        <v>46</v>
      </c>
      <c r="AD24" s="377" t="s">
        <v>46</v>
      </c>
      <c r="AE24" s="377" t="s">
        <v>46</v>
      </c>
      <c r="AF24" s="377" t="s">
        <v>46</v>
      </c>
      <c r="AG24" s="377" t="s">
        <v>46</v>
      </c>
      <c r="AH24" s="377" t="s">
        <v>46</v>
      </c>
      <c r="AI24" s="377" t="s">
        <v>46</v>
      </c>
      <c r="AJ24" s="377">
        <v>0</v>
      </c>
      <c r="AK24" s="377">
        <v>0</v>
      </c>
      <c r="AL24" s="377">
        <f>AL22</f>
        <v>0.75</v>
      </c>
      <c r="AM24" s="377">
        <f>AM22</f>
        <v>2.7E-2</v>
      </c>
      <c r="AN24" s="377">
        <f>AN22</f>
        <v>3</v>
      </c>
      <c r="AO24" s="377"/>
      <c r="AP24" s="377"/>
      <c r="AQ24" s="32">
        <f>AM24*I24*0.1+AL24</f>
        <v>0.77308500000000002</v>
      </c>
      <c r="AR24" s="32">
        <f t="shared" si="27"/>
        <v>7.7308500000000002E-2</v>
      </c>
      <c r="AS24" s="33">
        <f t="shared" si="28"/>
        <v>0</v>
      </c>
      <c r="AT24" s="33">
        <f t="shared" si="29"/>
        <v>0.21259837500000001</v>
      </c>
      <c r="AU24" s="32">
        <f>1333*J23*POWER(10,-6)</f>
        <v>2.8720817999999994E-5</v>
      </c>
      <c r="AV24" s="33">
        <f t="shared" si="30"/>
        <v>1.0630205958180001</v>
      </c>
      <c r="AW24" s="34">
        <f t="shared" si="31"/>
        <v>0</v>
      </c>
      <c r="AX24" s="34">
        <f t="shared" si="32"/>
        <v>0</v>
      </c>
      <c r="AY24" s="34">
        <f t="shared" si="33"/>
        <v>4.9031187169747766E-4</v>
      </c>
      <c r="AZ24" s="350">
        <f>AW24/[1]DB!$B$23</f>
        <v>0</v>
      </c>
      <c r="BA24" s="350">
        <f>AX24/[1]DB!$B$23</f>
        <v>0</v>
      </c>
    </row>
    <row r="25" spans="1:53" s="352" customFormat="1" x14ac:dyDescent="0.3">
      <c r="A25" s="8" t="s">
        <v>510</v>
      </c>
      <c r="B25" s="8" t="str">
        <f>B22</f>
        <v>Нефтесборный трубопровод (Куст скв. № 5 ЗХ – до т. вр. в нефтепровод «ПК 21+78 – ДНС»), нефть</v>
      </c>
      <c r="C25" s="375" t="s">
        <v>109</v>
      </c>
      <c r="D25" s="376" t="s">
        <v>47</v>
      </c>
      <c r="E25" s="66">
        <v>1.9999999999999999E-6</v>
      </c>
      <c r="F25" s="68">
        <f>F22</f>
        <v>2023</v>
      </c>
      <c r="G25" s="8">
        <v>0.2</v>
      </c>
      <c r="H25" s="10">
        <f t="shared" si="24"/>
        <v>8.0920000000000005E-4</v>
      </c>
      <c r="I25" s="62">
        <f>0.15*I22</f>
        <v>1.2825</v>
      </c>
      <c r="J25" s="69">
        <f>I25</f>
        <v>1.2825</v>
      </c>
      <c r="K25" s="74" t="s">
        <v>126</v>
      </c>
      <c r="L25" s="78">
        <v>45390</v>
      </c>
      <c r="M25" s="377" t="str">
        <f t="shared" si="25"/>
        <v>C16</v>
      </c>
      <c r="N25" s="377" t="str">
        <f t="shared" si="25"/>
        <v>Нефтесборный трубопровод (Куст скв. № 5 ЗХ – до т. вр. в нефтепровод «ПК 21+78 – ДНС»), нефть</v>
      </c>
      <c r="O25" s="377" t="str">
        <f t="shared" si="26"/>
        <v>Частичное-пожар</v>
      </c>
      <c r="P25" s="377">
        <v>4.4000000000000004</v>
      </c>
      <c r="Q25" s="377">
        <v>6.5</v>
      </c>
      <c r="R25" s="377">
        <v>9.6</v>
      </c>
      <c r="S25" s="377">
        <v>17.8</v>
      </c>
      <c r="T25" s="377" t="s">
        <v>46</v>
      </c>
      <c r="U25" s="377" t="s">
        <v>46</v>
      </c>
      <c r="V25" s="377" t="s">
        <v>46</v>
      </c>
      <c r="W25" s="377" t="s">
        <v>46</v>
      </c>
      <c r="X25" s="377" t="s">
        <v>46</v>
      </c>
      <c r="Y25" s="377" t="s">
        <v>46</v>
      </c>
      <c r="Z25" s="377" t="s">
        <v>46</v>
      </c>
      <c r="AA25" s="377" t="s">
        <v>46</v>
      </c>
      <c r="AB25" s="377" t="s">
        <v>46</v>
      </c>
      <c r="AC25" s="377" t="s">
        <v>46</v>
      </c>
      <c r="AD25" s="377" t="s">
        <v>46</v>
      </c>
      <c r="AE25" s="377" t="s">
        <v>46</v>
      </c>
      <c r="AF25" s="377" t="s">
        <v>46</v>
      </c>
      <c r="AG25" s="377" t="s">
        <v>46</v>
      </c>
      <c r="AH25" s="377" t="s">
        <v>46</v>
      </c>
      <c r="AI25" s="377" t="s">
        <v>46</v>
      </c>
      <c r="AJ25" s="377">
        <v>0</v>
      </c>
      <c r="AK25" s="377">
        <v>1</v>
      </c>
      <c r="AL25" s="351">
        <f>0.1*AL22</f>
        <v>7.5000000000000011E-2</v>
      </c>
      <c r="AM25" s="377">
        <f>AM22</f>
        <v>2.7E-2</v>
      </c>
      <c r="AN25" s="377">
        <f>ROUNDUP(AN22/3,0)</f>
        <v>1</v>
      </c>
      <c r="AO25" s="377"/>
      <c r="AP25" s="377"/>
      <c r="AQ25" s="32">
        <f>AM25*I25+AL25</f>
        <v>0.10962750000000002</v>
      </c>
      <c r="AR25" s="32">
        <f t="shared" si="27"/>
        <v>1.0962750000000002E-2</v>
      </c>
      <c r="AS25" s="33">
        <f t="shared" si="28"/>
        <v>0.25</v>
      </c>
      <c r="AT25" s="33">
        <f t="shared" si="29"/>
        <v>9.2647562500000002E-2</v>
      </c>
      <c r="AU25" s="32">
        <f>10068.2*J25*POWER(10,-6)</f>
        <v>1.2912466500000001E-2</v>
      </c>
      <c r="AV25" s="33">
        <f t="shared" si="30"/>
        <v>0.47615027900000007</v>
      </c>
      <c r="AW25" s="34">
        <f t="shared" si="31"/>
        <v>0</v>
      </c>
      <c r="AX25" s="34">
        <f t="shared" si="32"/>
        <v>8.0920000000000005E-4</v>
      </c>
      <c r="AY25" s="34">
        <f t="shared" si="33"/>
        <v>3.8530080576680006E-4</v>
      </c>
      <c r="AZ25" s="350">
        <f>AW25/[1]DB!$B$23</f>
        <v>0</v>
      </c>
      <c r="BA25" s="350">
        <f>AX25/[1]DB!$B$23</f>
        <v>9.7493975903614469E-7</v>
      </c>
    </row>
    <row r="26" spans="1:53" s="352" customFormat="1" x14ac:dyDescent="0.3">
      <c r="A26" s="8" t="s">
        <v>511</v>
      </c>
      <c r="B26" s="8" t="str">
        <f>B22</f>
        <v>Нефтесборный трубопровод (Куст скв. № 5 ЗХ – до т. вр. в нефтепровод «ПК 21+78 – ДНС»), нефть</v>
      </c>
      <c r="C26" s="375" t="s">
        <v>110</v>
      </c>
      <c r="D26" s="376" t="s">
        <v>112</v>
      </c>
      <c r="E26" s="67">
        <f>E25</f>
        <v>1.9999999999999999E-6</v>
      </c>
      <c r="F26" s="68">
        <f>F22</f>
        <v>2023</v>
      </c>
      <c r="G26" s="8">
        <v>0.04</v>
      </c>
      <c r="H26" s="10">
        <f t="shared" si="24"/>
        <v>1.6184000000000001E-4</v>
      </c>
      <c r="I26" s="62">
        <f>0.15*I22</f>
        <v>1.2825</v>
      </c>
      <c r="J26" s="69">
        <f>0.9*J23</f>
        <v>1.9391399999999996E-2</v>
      </c>
      <c r="K26" s="74" t="s">
        <v>127</v>
      </c>
      <c r="L26" s="78">
        <v>3</v>
      </c>
      <c r="M26" s="377" t="str">
        <f t="shared" si="25"/>
        <v>C17</v>
      </c>
      <c r="N26" s="377" t="str">
        <f t="shared" si="25"/>
        <v>Нефтесборный трубопровод (Куст скв. № 5 ЗХ – до т. вр. в нефтепровод «ПК 21+78 – ДНС»), нефть</v>
      </c>
      <c r="O26" s="377" t="str">
        <f t="shared" si="26"/>
        <v>Частичное-пожар-вспышка</v>
      </c>
      <c r="P26" s="377" t="s">
        <v>46</v>
      </c>
      <c r="Q26" s="377" t="s">
        <v>46</v>
      </c>
      <c r="R26" s="377" t="s">
        <v>46</v>
      </c>
      <c r="S26" s="377" t="s">
        <v>46</v>
      </c>
      <c r="T26" s="377" t="s">
        <v>46</v>
      </c>
      <c r="U26" s="377" t="s">
        <v>46</v>
      </c>
      <c r="V26" s="377" t="s">
        <v>46</v>
      </c>
      <c r="W26" s="377" t="s">
        <v>46</v>
      </c>
      <c r="X26" s="377" t="s">
        <v>46</v>
      </c>
      <c r="Y26" s="377" t="s">
        <v>46</v>
      </c>
      <c r="Z26" s="377" t="s">
        <v>46</v>
      </c>
      <c r="AA26" s="377">
        <v>9.1199999999999992</v>
      </c>
      <c r="AB26" s="377">
        <v>10.94</v>
      </c>
      <c r="AC26" s="377" t="s">
        <v>46</v>
      </c>
      <c r="AD26" s="377" t="s">
        <v>46</v>
      </c>
      <c r="AE26" s="377" t="s">
        <v>46</v>
      </c>
      <c r="AF26" s="377" t="s">
        <v>46</v>
      </c>
      <c r="AG26" s="377" t="s">
        <v>46</v>
      </c>
      <c r="AH26" s="377" t="s">
        <v>46</v>
      </c>
      <c r="AI26" s="377" t="s">
        <v>46</v>
      </c>
      <c r="AJ26" s="377">
        <v>0</v>
      </c>
      <c r="AK26" s="377">
        <v>1</v>
      </c>
      <c r="AL26" s="351">
        <f t="shared" ref="AL26:AL27" si="34">0.1*AL23</f>
        <v>7.5000000000000011E-2</v>
      </c>
      <c r="AM26" s="377">
        <f>AM22</f>
        <v>2.7E-2</v>
      </c>
      <c r="AN26" s="377">
        <f>ROUNDUP(AN22/3,0)</f>
        <v>1</v>
      </c>
      <c r="AO26" s="377"/>
      <c r="AP26" s="377"/>
      <c r="AQ26" s="32">
        <f>AM26*I26+AL26</f>
        <v>0.10962750000000002</v>
      </c>
      <c r="AR26" s="32">
        <f t="shared" si="27"/>
        <v>1.0962750000000002E-2</v>
      </c>
      <c r="AS26" s="33">
        <f t="shared" si="28"/>
        <v>0.25</v>
      </c>
      <c r="AT26" s="33">
        <f t="shared" si="29"/>
        <v>9.2647562500000002E-2</v>
      </c>
      <c r="AU26" s="32">
        <f>10068.2*J26*POWER(10,-6)*10</f>
        <v>1.9523649347999998E-3</v>
      </c>
      <c r="AV26" s="33">
        <f t="shared" si="30"/>
        <v>0.46519017743480007</v>
      </c>
      <c r="AW26" s="34">
        <f t="shared" si="31"/>
        <v>0</v>
      </c>
      <c r="AX26" s="34">
        <f t="shared" si="32"/>
        <v>1.6184000000000001E-4</v>
      </c>
      <c r="AY26" s="34">
        <f t="shared" si="33"/>
        <v>7.5286378316048041E-5</v>
      </c>
      <c r="AZ26" s="350">
        <f>AW26/[1]DB!$B$23</f>
        <v>0</v>
      </c>
      <c r="BA26" s="350">
        <f>AX26/[1]DB!$B$23</f>
        <v>1.9498795180722892E-7</v>
      </c>
    </row>
    <row r="27" spans="1:53" s="352" customFormat="1" x14ac:dyDescent="0.3">
      <c r="A27" s="170" t="s">
        <v>512</v>
      </c>
      <c r="B27" s="170" t="str">
        <f>B22</f>
        <v>Нефтесборный трубопровод (Куст скв. № 5 ЗХ – до т. вр. в нефтепровод «ПК 21+78 – ДНС»), нефть</v>
      </c>
      <c r="C27" s="379" t="s">
        <v>111</v>
      </c>
      <c r="D27" s="380" t="s">
        <v>27</v>
      </c>
      <c r="E27" s="173">
        <f>E25</f>
        <v>1.9999999999999999E-6</v>
      </c>
      <c r="F27" s="174">
        <f>F22</f>
        <v>2023</v>
      </c>
      <c r="G27" s="170">
        <v>0.76</v>
      </c>
      <c r="H27" s="175">
        <f t="shared" si="24"/>
        <v>3.0749600000000003E-3</v>
      </c>
      <c r="I27" s="176">
        <f>0.15*I22</f>
        <v>1.2825</v>
      </c>
      <c r="J27" s="177">
        <v>0</v>
      </c>
      <c r="K27" s="178" t="s">
        <v>138</v>
      </c>
      <c r="L27" s="179">
        <v>1</v>
      </c>
      <c r="M27" s="377" t="str">
        <f t="shared" si="25"/>
        <v>C18</v>
      </c>
      <c r="N27" s="377" t="str">
        <f t="shared" si="25"/>
        <v>Нефтесборный трубопровод (Куст скв. № 5 ЗХ – до т. вр. в нефтепровод «ПК 21+78 – ДНС»), нефть</v>
      </c>
      <c r="O27" s="377" t="str">
        <f t="shared" si="26"/>
        <v>Частичное-ликвидация</v>
      </c>
      <c r="P27" s="377" t="s">
        <v>46</v>
      </c>
      <c r="Q27" s="377" t="s">
        <v>46</v>
      </c>
      <c r="R27" s="377" t="s">
        <v>46</v>
      </c>
      <c r="S27" s="377" t="s">
        <v>46</v>
      </c>
      <c r="T27" s="377" t="s">
        <v>46</v>
      </c>
      <c r="U27" s="377" t="s">
        <v>46</v>
      </c>
      <c r="V27" s="377" t="s">
        <v>46</v>
      </c>
      <c r="W27" s="377" t="s">
        <v>46</v>
      </c>
      <c r="X27" s="377" t="s">
        <v>46</v>
      </c>
      <c r="Y27" s="377" t="s">
        <v>46</v>
      </c>
      <c r="Z27" s="377" t="s">
        <v>46</v>
      </c>
      <c r="AA27" s="377" t="s">
        <v>46</v>
      </c>
      <c r="AB27" s="377" t="s">
        <v>46</v>
      </c>
      <c r="AC27" s="377" t="s">
        <v>46</v>
      </c>
      <c r="AD27" s="377" t="s">
        <v>46</v>
      </c>
      <c r="AE27" s="377" t="s">
        <v>46</v>
      </c>
      <c r="AF27" s="377" t="s">
        <v>46</v>
      </c>
      <c r="AG27" s="377" t="s">
        <v>46</v>
      </c>
      <c r="AH27" s="377" t="s">
        <v>46</v>
      </c>
      <c r="AI27" s="377" t="s">
        <v>46</v>
      </c>
      <c r="AJ27" s="377">
        <v>0</v>
      </c>
      <c r="AK27" s="377">
        <v>0</v>
      </c>
      <c r="AL27" s="351">
        <f t="shared" si="34"/>
        <v>7.5000000000000011E-2</v>
      </c>
      <c r="AM27" s="377">
        <f>AM22</f>
        <v>2.7E-2</v>
      </c>
      <c r="AN27" s="377">
        <f>ROUNDUP(AN22/3,0)</f>
        <v>1</v>
      </c>
      <c r="AO27" s="377"/>
      <c r="AP27" s="377"/>
      <c r="AQ27" s="32">
        <f>AM27*I27*0.1+AL27</f>
        <v>7.8462750000000012E-2</v>
      </c>
      <c r="AR27" s="32">
        <f t="shared" si="27"/>
        <v>7.8462750000000015E-3</v>
      </c>
      <c r="AS27" s="33">
        <f t="shared" si="28"/>
        <v>0</v>
      </c>
      <c r="AT27" s="33">
        <f t="shared" si="29"/>
        <v>2.1577256250000003E-2</v>
      </c>
      <c r="AU27" s="32">
        <f>1333*J26*POWER(10,-6)</f>
        <v>2.5848736199999994E-5</v>
      </c>
      <c r="AV27" s="33">
        <f t="shared" si="30"/>
        <v>0.10791212998620001</v>
      </c>
      <c r="AW27" s="34">
        <f t="shared" si="31"/>
        <v>0</v>
      </c>
      <c r="AX27" s="34">
        <f t="shared" si="32"/>
        <v>0</v>
      </c>
      <c r="AY27" s="34">
        <f t="shared" si="33"/>
        <v>3.3182548322236561E-4</v>
      </c>
      <c r="AZ27" s="350">
        <f>AW27/[1]DB!$B$23</f>
        <v>0</v>
      </c>
      <c r="BA27" s="350">
        <f>AX27/[1]DB!$B$23</f>
        <v>0</v>
      </c>
    </row>
    <row r="28" spans="1:53" s="381" customForma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349" t="s">
        <v>467</v>
      </c>
      <c r="L28" s="153" t="s">
        <v>562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3" s="381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381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s="352" customFormat="1" ht="15" thickBot="1" x14ac:dyDescent="0.35">
      <c r="A32" s="8" t="s">
        <v>513</v>
      </c>
      <c r="B32" s="63" t="s">
        <v>612</v>
      </c>
      <c r="C32" s="375" t="s">
        <v>106</v>
      </c>
      <c r="D32" s="376" t="s">
        <v>25</v>
      </c>
      <c r="E32" s="66">
        <v>2.9999999999999999E-7</v>
      </c>
      <c r="F32" s="63">
        <v>2112</v>
      </c>
      <c r="G32" s="8">
        <v>0.2</v>
      </c>
      <c r="H32" s="10">
        <f t="shared" ref="H32:H37" si="35">E32*F32*G32</f>
        <v>1.2672000000000001E-4</v>
      </c>
      <c r="I32" s="64">
        <v>4.33</v>
      </c>
      <c r="J32" s="69">
        <f>I32</f>
        <v>4.33</v>
      </c>
      <c r="K32" s="72" t="s">
        <v>122</v>
      </c>
      <c r="L32" s="77">
        <f>I32*20</f>
        <v>86.6</v>
      </c>
      <c r="M32" s="377" t="str">
        <f t="shared" ref="M32:N37" si="36">A32</f>
        <v>C19</v>
      </c>
      <c r="N32" s="377" t="str">
        <f t="shared" si="36"/>
        <v>Нефтесборный трубопровод (куст скв. № 15 - т. 1), нефть</v>
      </c>
      <c r="O32" s="377" t="str">
        <f t="shared" ref="O32:O37" si="37">D32</f>
        <v>Полное-пожар</v>
      </c>
      <c r="P32" s="377">
        <v>7.6</v>
      </c>
      <c r="Q32" s="377">
        <v>10.7</v>
      </c>
      <c r="R32" s="377">
        <v>16</v>
      </c>
      <c r="S32" s="377">
        <v>31.5</v>
      </c>
      <c r="T32" s="377" t="s">
        <v>46</v>
      </c>
      <c r="U32" s="377" t="s">
        <v>46</v>
      </c>
      <c r="V32" s="377" t="s">
        <v>46</v>
      </c>
      <c r="W32" s="377" t="s">
        <v>46</v>
      </c>
      <c r="X32" s="377" t="s">
        <v>46</v>
      </c>
      <c r="Y32" s="377" t="s">
        <v>46</v>
      </c>
      <c r="Z32" s="377" t="s">
        <v>46</v>
      </c>
      <c r="AA32" s="377" t="s">
        <v>46</v>
      </c>
      <c r="AB32" s="377" t="s">
        <v>46</v>
      </c>
      <c r="AC32" s="377" t="s">
        <v>46</v>
      </c>
      <c r="AD32" s="377" t="s">
        <v>46</v>
      </c>
      <c r="AE32" s="377" t="s">
        <v>46</v>
      </c>
      <c r="AF32" s="377" t="s">
        <v>46</v>
      </c>
      <c r="AG32" s="377" t="s">
        <v>46</v>
      </c>
      <c r="AH32" s="377" t="s">
        <v>46</v>
      </c>
      <c r="AI32" s="377" t="s">
        <v>46</v>
      </c>
      <c r="AJ32" s="12">
        <v>0</v>
      </c>
      <c r="AK32" s="12">
        <v>1</v>
      </c>
      <c r="AL32" s="65">
        <v>0.75</v>
      </c>
      <c r="AM32" s="65">
        <v>2.7E-2</v>
      </c>
      <c r="AN32" s="65">
        <v>3</v>
      </c>
      <c r="AO32" s="377"/>
      <c r="AP32" s="377"/>
      <c r="AQ32" s="32">
        <f>AM32*I32+AL32</f>
        <v>0.86690999999999996</v>
      </c>
      <c r="AR32" s="32">
        <f t="shared" ref="AR32:AR37" si="38">0.1*AQ32</f>
        <v>8.6691000000000004E-2</v>
      </c>
      <c r="AS32" s="33">
        <f t="shared" ref="AS32:AS37" si="39">AJ32*3+0.25*AK32</f>
        <v>0.25</v>
      </c>
      <c r="AT32" s="33">
        <f t="shared" ref="AT32:AT37" si="40">SUM(AQ32:AS32)/4</f>
        <v>0.30090024999999998</v>
      </c>
      <c r="AU32" s="32">
        <f>10068.2*J32*POWER(10,-6)</f>
        <v>4.3595306E-2</v>
      </c>
      <c r="AV32" s="33">
        <f t="shared" ref="AV32:AV37" si="41">AU32+AT32+AS32+AR32+AQ32</f>
        <v>1.548096556</v>
      </c>
      <c r="AW32" s="34">
        <f t="shared" ref="AW32:AW37" si="42">AJ32*H32</f>
        <v>0</v>
      </c>
      <c r="AX32" s="34">
        <f t="shared" ref="AX32:AX37" si="43">H32*AK32</f>
        <v>1.2672000000000001E-4</v>
      </c>
      <c r="AY32" s="34">
        <f t="shared" ref="AY32:AY37" si="44">H32*AV32</f>
        <v>1.9617479557632002E-4</v>
      </c>
      <c r="AZ32" s="350">
        <f>AW32/[1]DB!$B$23</f>
        <v>0</v>
      </c>
      <c r="BA32" s="350">
        <f>AX32/[1]DB!$B$23</f>
        <v>1.5267469879518074E-7</v>
      </c>
    </row>
    <row r="33" spans="1:53" s="352" customFormat="1" ht="15" thickBot="1" x14ac:dyDescent="0.35">
      <c r="A33" s="8" t="s">
        <v>514</v>
      </c>
      <c r="B33" s="8" t="str">
        <f>B32</f>
        <v>Нефтесборный трубопровод (куст скв. № 15 - т. 1), нефть</v>
      </c>
      <c r="C33" s="375" t="s">
        <v>107</v>
      </c>
      <c r="D33" s="376" t="s">
        <v>28</v>
      </c>
      <c r="E33" s="67">
        <f>E32</f>
        <v>2.9999999999999999E-7</v>
      </c>
      <c r="F33" s="68">
        <f>F32</f>
        <v>2112</v>
      </c>
      <c r="G33" s="8">
        <v>0.04</v>
      </c>
      <c r="H33" s="10">
        <f t="shared" si="35"/>
        <v>2.5344E-5</v>
      </c>
      <c r="I33" s="62">
        <f>I32</f>
        <v>4.33</v>
      </c>
      <c r="J33" s="378">
        <f>POWER(10,-6)*35*SQRT(100)*3600*L32/1000*0.1</f>
        <v>1.0911599999999999E-2</v>
      </c>
      <c r="K33" s="72" t="s">
        <v>123</v>
      </c>
      <c r="L33" s="77">
        <v>0</v>
      </c>
      <c r="M33" s="377" t="str">
        <f t="shared" si="36"/>
        <v>C20</v>
      </c>
      <c r="N33" s="377" t="str">
        <f t="shared" si="36"/>
        <v>Нефтесборный трубопровод (куст скв. № 15 - т. 1), нефть</v>
      </c>
      <c r="O33" s="377" t="str">
        <f t="shared" si="37"/>
        <v>Полное-взрыв</v>
      </c>
      <c r="P33" s="377" t="s">
        <v>46</v>
      </c>
      <c r="Q33" s="377" t="s">
        <v>46</v>
      </c>
      <c r="R33" s="377" t="s">
        <v>46</v>
      </c>
      <c r="S33" s="377" t="s">
        <v>46</v>
      </c>
      <c r="T33" s="377">
        <v>0</v>
      </c>
      <c r="U33" s="377">
        <v>0</v>
      </c>
      <c r="V33" s="377">
        <v>16.600000000000001</v>
      </c>
      <c r="W33" s="377">
        <v>56.1</v>
      </c>
      <c r="X33" s="377">
        <v>81.599999999999994</v>
      </c>
      <c r="Y33" s="377" t="s">
        <v>46</v>
      </c>
      <c r="Z33" s="377" t="s">
        <v>46</v>
      </c>
      <c r="AA33" s="377" t="s">
        <v>46</v>
      </c>
      <c r="AB33" s="377" t="s">
        <v>46</v>
      </c>
      <c r="AC33" s="377" t="s">
        <v>46</v>
      </c>
      <c r="AD33" s="377" t="s">
        <v>46</v>
      </c>
      <c r="AE33" s="377" t="s">
        <v>46</v>
      </c>
      <c r="AF33" s="377" t="s">
        <v>46</v>
      </c>
      <c r="AG33" s="377" t="s">
        <v>46</v>
      </c>
      <c r="AH33" s="377" t="s">
        <v>46</v>
      </c>
      <c r="AI33" s="377" t="s">
        <v>46</v>
      </c>
      <c r="AJ33" s="12">
        <v>0</v>
      </c>
      <c r="AK33" s="12">
        <v>1</v>
      </c>
      <c r="AL33" s="377">
        <f>AL32</f>
        <v>0.75</v>
      </c>
      <c r="AM33" s="377">
        <f>AM32</f>
        <v>2.7E-2</v>
      </c>
      <c r="AN33" s="377">
        <f>AN32</f>
        <v>3</v>
      </c>
      <c r="AO33" s="377"/>
      <c r="AP33" s="377"/>
      <c r="AQ33" s="32">
        <f>AM33*I33+AL33</f>
        <v>0.86690999999999996</v>
      </c>
      <c r="AR33" s="32">
        <f t="shared" si="38"/>
        <v>8.6691000000000004E-2</v>
      </c>
      <c r="AS33" s="33">
        <f t="shared" si="39"/>
        <v>0.25</v>
      </c>
      <c r="AT33" s="33">
        <f t="shared" si="40"/>
        <v>0.30090024999999998</v>
      </c>
      <c r="AU33" s="32">
        <f>10068.2*J33*POWER(10,-6)*10</f>
        <v>1.0986017111999998E-3</v>
      </c>
      <c r="AV33" s="33">
        <f t="shared" si="41"/>
        <v>1.5055998517111999</v>
      </c>
      <c r="AW33" s="34">
        <f t="shared" si="42"/>
        <v>0</v>
      </c>
      <c r="AX33" s="34">
        <f t="shared" si="43"/>
        <v>2.5344E-5</v>
      </c>
      <c r="AY33" s="34">
        <f t="shared" si="44"/>
        <v>3.8157922641768651E-5</v>
      </c>
      <c r="AZ33" s="350">
        <f>AW33/[1]DB!$B$23</f>
        <v>0</v>
      </c>
      <c r="BA33" s="350">
        <f>AX33/[1]DB!$B$23</f>
        <v>3.0534939759036142E-8</v>
      </c>
    </row>
    <row r="34" spans="1:53" s="352" customFormat="1" x14ac:dyDescent="0.3">
      <c r="A34" s="8" t="s">
        <v>515</v>
      </c>
      <c r="B34" s="8" t="str">
        <f>B32</f>
        <v>Нефтесборный трубопровод (куст скв. № 15 - т. 1), нефть</v>
      </c>
      <c r="C34" s="375" t="s">
        <v>108</v>
      </c>
      <c r="D34" s="376" t="s">
        <v>26</v>
      </c>
      <c r="E34" s="67">
        <f>E32</f>
        <v>2.9999999999999999E-7</v>
      </c>
      <c r="F34" s="68">
        <f>F32</f>
        <v>2112</v>
      </c>
      <c r="G34" s="8">
        <v>0.76</v>
      </c>
      <c r="H34" s="10">
        <f t="shared" si="35"/>
        <v>4.8153600000000002E-4</v>
      </c>
      <c r="I34" s="62">
        <f>I32</f>
        <v>4.33</v>
      </c>
      <c r="J34" s="71">
        <v>0</v>
      </c>
      <c r="K34" s="72" t="s">
        <v>124</v>
      </c>
      <c r="L34" s="77">
        <v>0</v>
      </c>
      <c r="M34" s="377" t="str">
        <f t="shared" si="36"/>
        <v>C21</v>
      </c>
      <c r="N34" s="377" t="str">
        <f t="shared" si="36"/>
        <v>Нефтесборный трубопровод (куст скв. № 15 - т. 1), нефть</v>
      </c>
      <c r="O34" s="377" t="str">
        <f t="shared" si="37"/>
        <v>Полное-ликвидация</v>
      </c>
      <c r="P34" s="377" t="s">
        <v>46</v>
      </c>
      <c r="Q34" s="377" t="s">
        <v>46</v>
      </c>
      <c r="R34" s="377" t="s">
        <v>46</v>
      </c>
      <c r="S34" s="377" t="s">
        <v>46</v>
      </c>
      <c r="T34" s="377" t="s">
        <v>46</v>
      </c>
      <c r="U34" s="377" t="s">
        <v>46</v>
      </c>
      <c r="V34" s="377" t="s">
        <v>46</v>
      </c>
      <c r="W34" s="377" t="s">
        <v>46</v>
      </c>
      <c r="X34" s="377" t="s">
        <v>46</v>
      </c>
      <c r="Y34" s="377" t="s">
        <v>46</v>
      </c>
      <c r="Z34" s="377" t="s">
        <v>46</v>
      </c>
      <c r="AA34" s="377" t="s">
        <v>46</v>
      </c>
      <c r="AB34" s="377" t="s">
        <v>46</v>
      </c>
      <c r="AC34" s="377" t="s">
        <v>46</v>
      </c>
      <c r="AD34" s="377" t="s">
        <v>46</v>
      </c>
      <c r="AE34" s="377" t="s">
        <v>46</v>
      </c>
      <c r="AF34" s="377" t="s">
        <v>46</v>
      </c>
      <c r="AG34" s="377" t="s">
        <v>46</v>
      </c>
      <c r="AH34" s="377" t="s">
        <v>46</v>
      </c>
      <c r="AI34" s="377" t="s">
        <v>46</v>
      </c>
      <c r="AJ34" s="377">
        <v>0</v>
      </c>
      <c r="AK34" s="377">
        <v>0</v>
      </c>
      <c r="AL34" s="377">
        <f>AL32</f>
        <v>0.75</v>
      </c>
      <c r="AM34" s="377">
        <f>AM32</f>
        <v>2.7E-2</v>
      </c>
      <c r="AN34" s="377">
        <f>AN32</f>
        <v>3</v>
      </c>
      <c r="AO34" s="377"/>
      <c r="AP34" s="377"/>
      <c r="AQ34" s="32">
        <f>AM34*I34*0.1+AL34</f>
        <v>0.76169100000000001</v>
      </c>
      <c r="AR34" s="32">
        <f t="shared" si="38"/>
        <v>7.6169100000000003E-2</v>
      </c>
      <c r="AS34" s="33">
        <f t="shared" si="39"/>
        <v>0</v>
      </c>
      <c r="AT34" s="33">
        <f t="shared" si="40"/>
        <v>0.209465025</v>
      </c>
      <c r="AU34" s="32">
        <f>1333*J33*POWER(10,-6)</f>
        <v>1.4545162799999998E-5</v>
      </c>
      <c r="AV34" s="33">
        <f t="shared" si="41"/>
        <v>1.0473396701627999</v>
      </c>
      <c r="AW34" s="34">
        <f t="shared" si="42"/>
        <v>0</v>
      </c>
      <c r="AX34" s="34">
        <f t="shared" si="43"/>
        <v>0</v>
      </c>
      <c r="AY34" s="34">
        <f t="shared" si="44"/>
        <v>5.0433175541151406E-4</v>
      </c>
      <c r="AZ34" s="350">
        <f>AW34/[1]DB!$B$23</f>
        <v>0</v>
      </c>
      <c r="BA34" s="350">
        <f>AX34/[1]DB!$B$23</f>
        <v>0</v>
      </c>
    </row>
    <row r="35" spans="1:53" s="352" customFormat="1" x14ac:dyDescent="0.3">
      <c r="A35" s="8" t="s">
        <v>516</v>
      </c>
      <c r="B35" s="8" t="str">
        <f>B32</f>
        <v>Нефтесборный трубопровод (куст скв. № 15 - т. 1), нефть</v>
      </c>
      <c r="C35" s="375" t="s">
        <v>109</v>
      </c>
      <c r="D35" s="376" t="s">
        <v>47</v>
      </c>
      <c r="E35" s="66">
        <v>1.9999999999999999E-6</v>
      </c>
      <c r="F35" s="68">
        <f>F32</f>
        <v>2112</v>
      </c>
      <c r="G35" s="8">
        <v>0.2</v>
      </c>
      <c r="H35" s="10">
        <f t="shared" si="35"/>
        <v>8.4479999999999993E-4</v>
      </c>
      <c r="I35" s="62">
        <f>0.15*I32</f>
        <v>0.64949999999999997</v>
      </c>
      <c r="J35" s="69">
        <f>I35</f>
        <v>0.64949999999999997</v>
      </c>
      <c r="K35" s="74" t="s">
        <v>126</v>
      </c>
      <c r="L35" s="78">
        <v>45390</v>
      </c>
      <c r="M35" s="377" t="str">
        <f t="shared" si="36"/>
        <v>C22</v>
      </c>
      <c r="N35" s="377" t="str">
        <f t="shared" si="36"/>
        <v>Нефтесборный трубопровод (куст скв. № 15 - т. 1), нефть</v>
      </c>
      <c r="O35" s="377" t="str">
        <f t="shared" si="37"/>
        <v>Частичное-пожар</v>
      </c>
      <c r="P35" s="377">
        <v>3.5</v>
      </c>
      <c r="Q35" s="377">
        <v>5.2</v>
      </c>
      <c r="R35" s="377">
        <v>7.7</v>
      </c>
      <c r="S35" s="377">
        <v>14</v>
      </c>
      <c r="T35" s="377" t="s">
        <v>46</v>
      </c>
      <c r="U35" s="377" t="s">
        <v>46</v>
      </c>
      <c r="V35" s="377" t="s">
        <v>46</v>
      </c>
      <c r="W35" s="377" t="s">
        <v>46</v>
      </c>
      <c r="X35" s="377" t="s">
        <v>46</v>
      </c>
      <c r="Y35" s="377" t="s">
        <v>46</v>
      </c>
      <c r="Z35" s="377" t="s">
        <v>46</v>
      </c>
      <c r="AA35" s="377" t="s">
        <v>46</v>
      </c>
      <c r="AB35" s="377" t="s">
        <v>46</v>
      </c>
      <c r="AC35" s="377" t="s">
        <v>46</v>
      </c>
      <c r="AD35" s="377" t="s">
        <v>46</v>
      </c>
      <c r="AE35" s="377" t="s">
        <v>46</v>
      </c>
      <c r="AF35" s="377" t="s">
        <v>46</v>
      </c>
      <c r="AG35" s="377" t="s">
        <v>46</v>
      </c>
      <c r="AH35" s="377" t="s">
        <v>46</v>
      </c>
      <c r="AI35" s="377" t="s">
        <v>46</v>
      </c>
      <c r="AJ35" s="377">
        <v>0</v>
      </c>
      <c r="AK35" s="377">
        <v>1</v>
      </c>
      <c r="AL35" s="351">
        <f>0.1*AL32</f>
        <v>7.5000000000000011E-2</v>
      </c>
      <c r="AM35" s="377">
        <f>AM32</f>
        <v>2.7E-2</v>
      </c>
      <c r="AN35" s="377">
        <f>ROUNDUP(AN32/3,0)</f>
        <v>1</v>
      </c>
      <c r="AO35" s="377"/>
      <c r="AP35" s="377"/>
      <c r="AQ35" s="32">
        <f>AM35*I35+AL35</f>
        <v>9.2536500000000008E-2</v>
      </c>
      <c r="AR35" s="32">
        <f t="shared" si="38"/>
        <v>9.2536500000000004E-3</v>
      </c>
      <c r="AS35" s="33">
        <f t="shared" si="39"/>
        <v>0.25</v>
      </c>
      <c r="AT35" s="33">
        <f t="shared" si="40"/>
        <v>8.7947537500000006E-2</v>
      </c>
      <c r="AU35" s="32">
        <f>10068.2*J35*POWER(10,-6)</f>
        <v>6.5392958999999995E-3</v>
      </c>
      <c r="AV35" s="33">
        <f t="shared" si="41"/>
        <v>0.44627698340000005</v>
      </c>
      <c r="AW35" s="34">
        <f t="shared" si="42"/>
        <v>0</v>
      </c>
      <c r="AX35" s="34">
        <f t="shared" si="43"/>
        <v>8.4479999999999993E-4</v>
      </c>
      <c r="AY35" s="34">
        <f t="shared" si="44"/>
        <v>3.7701479557632E-4</v>
      </c>
      <c r="AZ35" s="350">
        <f>AW35/[1]DB!$B$23</f>
        <v>0</v>
      </c>
      <c r="BA35" s="350">
        <f>AX35/[1]DB!$B$23</f>
        <v>1.0178313253012047E-6</v>
      </c>
    </row>
    <row r="36" spans="1:53" s="352" customFormat="1" x14ac:dyDescent="0.3">
      <c r="A36" s="8" t="s">
        <v>517</v>
      </c>
      <c r="B36" s="8" t="str">
        <f>B32</f>
        <v>Нефтесборный трубопровод (куст скв. № 15 - т. 1), нефть</v>
      </c>
      <c r="C36" s="375" t="s">
        <v>110</v>
      </c>
      <c r="D36" s="376" t="s">
        <v>112</v>
      </c>
      <c r="E36" s="67">
        <f>E35</f>
        <v>1.9999999999999999E-6</v>
      </c>
      <c r="F36" s="68">
        <f>F32</f>
        <v>2112</v>
      </c>
      <c r="G36" s="8">
        <v>0.04</v>
      </c>
      <c r="H36" s="10">
        <f t="shared" si="35"/>
        <v>1.6895999999999998E-4</v>
      </c>
      <c r="I36" s="62">
        <f>0.15*I32</f>
        <v>0.64949999999999997</v>
      </c>
      <c r="J36" s="69">
        <f>0.9*J33</f>
        <v>9.8204399999999997E-3</v>
      </c>
      <c r="K36" s="74" t="s">
        <v>127</v>
      </c>
      <c r="L36" s="78">
        <v>3</v>
      </c>
      <c r="M36" s="377" t="str">
        <f t="shared" si="36"/>
        <v>C23</v>
      </c>
      <c r="N36" s="377" t="str">
        <f t="shared" si="36"/>
        <v>Нефтесборный трубопровод (куст скв. № 15 - т. 1), нефть</v>
      </c>
      <c r="O36" s="377" t="str">
        <f t="shared" si="37"/>
        <v>Частичное-пожар-вспышка</v>
      </c>
      <c r="P36" s="377" t="s">
        <v>46</v>
      </c>
      <c r="Q36" s="377" t="s">
        <v>46</v>
      </c>
      <c r="R36" s="377" t="s">
        <v>46</v>
      </c>
      <c r="S36" s="377" t="s">
        <v>46</v>
      </c>
      <c r="T36" s="377" t="s">
        <v>46</v>
      </c>
      <c r="U36" s="377" t="s">
        <v>46</v>
      </c>
      <c r="V36" s="377" t="s">
        <v>46</v>
      </c>
      <c r="W36" s="377" t="s">
        <v>46</v>
      </c>
      <c r="X36" s="377" t="s">
        <v>46</v>
      </c>
      <c r="Y36" s="377" t="s">
        <v>46</v>
      </c>
      <c r="Z36" s="377" t="s">
        <v>46</v>
      </c>
      <c r="AA36" s="377">
        <v>7.29</v>
      </c>
      <c r="AB36" s="377">
        <v>8.75</v>
      </c>
      <c r="AC36" s="377" t="s">
        <v>46</v>
      </c>
      <c r="AD36" s="377" t="s">
        <v>46</v>
      </c>
      <c r="AE36" s="377" t="s">
        <v>46</v>
      </c>
      <c r="AF36" s="377" t="s">
        <v>46</v>
      </c>
      <c r="AG36" s="377" t="s">
        <v>46</v>
      </c>
      <c r="AH36" s="377" t="s">
        <v>46</v>
      </c>
      <c r="AI36" s="377" t="s">
        <v>46</v>
      </c>
      <c r="AJ36" s="377">
        <v>0</v>
      </c>
      <c r="AK36" s="377">
        <v>1</v>
      </c>
      <c r="AL36" s="351">
        <f t="shared" ref="AL36:AL37" si="45">0.1*AL33</f>
        <v>7.5000000000000011E-2</v>
      </c>
      <c r="AM36" s="377">
        <f>AM32</f>
        <v>2.7E-2</v>
      </c>
      <c r="AN36" s="377">
        <f>ROUNDUP(AN32/3,0)</f>
        <v>1</v>
      </c>
      <c r="AO36" s="377"/>
      <c r="AP36" s="377"/>
      <c r="AQ36" s="32">
        <f>AM36*I36+AL36</f>
        <v>9.2536500000000008E-2</v>
      </c>
      <c r="AR36" s="32">
        <f t="shared" si="38"/>
        <v>9.2536500000000004E-3</v>
      </c>
      <c r="AS36" s="33">
        <f t="shared" si="39"/>
        <v>0.25</v>
      </c>
      <c r="AT36" s="33">
        <f t="shared" si="40"/>
        <v>8.7947537500000006E-2</v>
      </c>
      <c r="AU36" s="32">
        <f>10068.2*J36*POWER(10,-6)*10</f>
        <v>9.8874154008000005E-4</v>
      </c>
      <c r="AV36" s="33">
        <f t="shared" si="41"/>
        <v>0.44072642904008003</v>
      </c>
      <c r="AW36" s="34">
        <f t="shared" si="42"/>
        <v>0</v>
      </c>
      <c r="AX36" s="34">
        <f t="shared" si="43"/>
        <v>1.6895999999999998E-4</v>
      </c>
      <c r="AY36" s="34">
        <f t="shared" si="44"/>
        <v>7.4465137450611913E-5</v>
      </c>
      <c r="AZ36" s="350">
        <f>AW36/[1]DB!$B$23</f>
        <v>0</v>
      </c>
      <c r="BA36" s="350">
        <f>AX36/[1]DB!$B$23</f>
        <v>2.0356626506024095E-7</v>
      </c>
    </row>
    <row r="37" spans="1:53" s="352" customFormat="1" x14ac:dyDescent="0.3">
      <c r="A37" s="170" t="s">
        <v>518</v>
      </c>
      <c r="B37" s="170" t="str">
        <f>B32</f>
        <v>Нефтесборный трубопровод (куст скв. № 15 - т. 1), нефть</v>
      </c>
      <c r="C37" s="379" t="s">
        <v>111</v>
      </c>
      <c r="D37" s="380" t="s">
        <v>27</v>
      </c>
      <c r="E37" s="173">
        <f>E35</f>
        <v>1.9999999999999999E-6</v>
      </c>
      <c r="F37" s="174">
        <f>F32</f>
        <v>2112</v>
      </c>
      <c r="G37" s="170">
        <v>0.76</v>
      </c>
      <c r="H37" s="175">
        <f t="shared" si="35"/>
        <v>3.2102399999999996E-3</v>
      </c>
      <c r="I37" s="176">
        <f>0.15*I32</f>
        <v>0.64949999999999997</v>
      </c>
      <c r="J37" s="177">
        <v>0</v>
      </c>
      <c r="K37" s="178" t="s">
        <v>138</v>
      </c>
      <c r="L37" s="179">
        <v>1</v>
      </c>
      <c r="M37" s="377" t="str">
        <f t="shared" si="36"/>
        <v>C24</v>
      </c>
      <c r="N37" s="377" t="str">
        <f t="shared" si="36"/>
        <v>Нефтесборный трубопровод (куст скв. № 15 - т. 1), нефть</v>
      </c>
      <c r="O37" s="377" t="str">
        <f t="shared" si="37"/>
        <v>Частичное-ликвидация</v>
      </c>
      <c r="P37" s="377" t="s">
        <v>46</v>
      </c>
      <c r="Q37" s="377" t="s">
        <v>46</v>
      </c>
      <c r="R37" s="377" t="s">
        <v>46</v>
      </c>
      <c r="S37" s="377" t="s">
        <v>46</v>
      </c>
      <c r="T37" s="377" t="s">
        <v>46</v>
      </c>
      <c r="U37" s="377" t="s">
        <v>46</v>
      </c>
      <c r="V37" s="377" t="s">
        <v>46</v>
      </c>
      <c r="W37" s="377" t="s">
        <v>46</v>
      </c>
      <c r="X37" s="377" t="s">
        <v>46</v>
      </c>
      <c r="Y37" s="377" t="s">
        <v>46</v>
      </c>
      <c r="Z37" s="377" t="s">
        <v>46</v>
      </c>
      <c r="AA37" s="377" t="s">
        <v>46</v>
      </c>
      <c r="AB37" s="377" t="s">
        <v>46</v>
      </c>
      <c r="AC37" s="377" t="s">
        <v>46</v>
      </c>
      <c r="AD37" s="377" t="s">
        <v>46</v>
      </c>
      <c r="AE37" s="377" t="s">
        <v>46</v>
      </c>
      <c r="AF37" s="377" t="s">
        <v>46</v>
      </c>
      <c r="AG37" s="377" t="s">
        <v>46</v>
      </c>
      <c r="AH37" s="377" t="s">
        <v>46</v>
      </c>
      <c r="AI37" s="377" t="s">
        <v>46</v>
      </c>
      <c r="AJ37" s="377">
        <v>0</v>
      </c>
      <c r="AK37" s="377">
        <v>0</v>
      </c>
      <c r="AL37" s="351">
        <f t="shared" si="45"/>
        <v>7.5000000000000011E-2</v>
      </c>
      <c r="AM37" s="377">
        <f>AM32</f>
        <v>2.7E-2</v>
      </c>
      <c r="AN37" s="377">
        <f>ROUNDUP(AN32/3,0)</f>
        <v>1</v>
      </c>
      <c r="AO37" s="377"/>
      <c r="AP37" s="377"/>
      <c r="AQ37" s="32">
        <f>AM37*I37*0.1+AL37</f>
        <v>7.6753650000000007E-2</v>
      </c>
      <c r="AR37" s="32">
        <f t="shared" si="38"/>
        <v>7.6753650000000008E-3</v>
      </c>
      <c r="AS37" s="33">
        <f t="shared" si="39"/>
        <v>0</v>
      </c>
      <c r="AT37" s="33">
        <f t="shared" si="40"/>
        <v>2.1107253750000003E-2</v>
      </c>
      <c r="AU37" s="32">
        <f>1333*J36*POWER(10,-6)</f>
        <v>1.309064652E-5</v>
      </c>
      <c r="AV37" s="33">
        <f t="shared" si="41"/>
        <v>0.10554935939652001</v>
      </c>
      <c r="AW37" s="34">
        <f t="shared" si="42"/>
        <v>0</v>
      </c>
      <c r="AX37" s="34">
        <f t="shared" si="43"/>
        <v>0</v>
      </c>
      <c r="AY37" s="34">
        <f t="shared" si="44"/>
        <v>3.3883877550908436E-4</v>
      </c>
      <c r="AZ37" s="350">
        <f>AW37/[1]DB!$B$23</f>
        <v>0</v>
      </c>
      <c r="BA37" s="350">
        <f>AX37/[1]DB!$B$23</f>
        <v>0</v>
      </c>
    </row>
    <row r="38" spans="1:53" s="381" customForma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349" t="s">
        <v>467</v>
      </c>
      <c r="L38" s="153" t="s">
        <v>562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3" s="381" customForma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3" s="381" customForma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ht="15" thickBot="1" x14ac:dyDescent="0.35"/>
    <row r="42" spans="1:53" s="352" customFormat="1" ht="15" thickBot="1" x14ac:dyDescent="0.35">
      <c r="A42" s="8" t="s">
        <v>519</v>
      </c>
      <c r="B42" s="63" t="s">
        <v>613</v>
      </c>
      <c r="C42" s="375" t="s">
        <v>106</v>
      </c>
      <c r="D42" s="376" t="s">
        <v>25</v>
      </c>
      <c r="E42" s="66">
        <v>2.9999999999999999E-7</v>
      </c>
      <c r="F42" s="63">
        <v>4245</v>
      </c>
      <c r="G42" s="8">
        <v>0.2</v>
      </c>
      <c r="H42" s="10">
        <f t="shared" ref="H42:H47" si="46">E42*F42*G42</f>
        <v>2.5470000000000001E-4</v>
      </c>
      <c r="I42" s="64">
        <v>23.66</v>
      </c>
      <c r="J42" s="69">
        <f>I42</f>
        <v>23.66</v>
      </c>
      <c r="K42" s="72" t="s">
        <v>122</v>
      </c>
      <c r="L42" s="77">
        <f>I42*20</f>
        <v>473.2</v>
      </c>
      <c r="M42" s="377" t="str">
        <f t="shared" ref="M42:M47" si="47">A42</f>
        <v>C25</v>
      </c>
      <c r="N42" s="377" t="str">
        <f t="shared" ref="N42:N47" si="48">B42</f>
        <v>Нефтесборный трубопровод (Куст скв. 3 СК до т. вр. на кусте скв. 5 ЗХ) БД, нефть</v>
      </c>
      <c r="O42" s="377" t="str">
        <f t="shared" ref="O42:O47" si="49">D42</f>
        <v>Полное-пожар</v>
      </c>
      <c r="P42" s="377">
        <v>17.5</v>
      </c>
      <c r="Q42" s="377">
        <v>24.4</v>
      </c>
      <c r="R42" s="377">
        <v>35.1</v>
      </c>
      <c r="S42" s="377">
        <v>65.900000000000006</v>
      </c>
      <c r="T42" s="377" t="s">
        <v>46</v>
      </c>
      <c r="U42" s="377" t="s">
        <v>46</v>
      </c>
      <c r="V42" s="377" t="s">
        <v>46</v>
      </c>
      <c r="W42" s="377" t="s">
        <v>46</v>
      </c>
      <c r="X42" s="377" t="s">
        <v>46</v>
      </c>
      <c r="Y42" s="377" t="s">
        <v>46</v>
      </c>
      <c r="Z42" s="377" t="s">
        <v>46</v>
      </c>
      <c r="AA42" s="377" t="s">
        <v>46</v>
      </c>
      <c r="AB42" s="377" t="s">
        <v>46</v>
      </c>
      <c r="AC42" s="377" t="s">
        <v>46</v>
      </c>
      <c r="AD42" s="377" t="s">
        <v>46</v>
      </c>
      <c r="AE42" s="377" t="s">
        <v>46</v>
      </c>
      <c r="AF42" s="377" t="s">
        <v>46</v>
      </c>
      <c r="AG42" s="377" t="s">
        <v>46</v>
      </c>
      <c r="AH42" s="377" t="s">
        <v>46</v>
      </c>
      <c r="AI42" s="377" t="s">
        <v>46</v>
      </c>
      <c r="AJ42" s="12">
        <v>1</v>
      </c>
      <c r="AK42" s="12">
        <v>1</v>
      </c>
      <c r="AL42" s="65">
        <v>0.75</v>
      </c>
      <c r="AM42" s="65">
        <v>2.7E-2</v>
      </c>
      <c r="AN42" s="65">
        <v>3</v>
      </c>
      <c r="AO42" s="377"/>
      <c r="AP42" s="377"/>
      <c r="AQ42" s="32">
        <f>AM42*I42+AL42</f>
        <v>1.3888199999999999</v>
      </c>
      <c r="AR42" s="32">
        <f t="shared" ref="AR42:AR47" si="50">0.1*AQ42</f>
        <v>0.13888200000000001</v>
      </c>
      <c r="AS42" s="33">
        <f t="shared" ref="AS42:AS47" si="51">AJ42*3+0.25*AK42</f>
        <v>3.25</v>
      </c>
      <c r="AT42" s="33">
        <f t="shared" ref="AT42:AT47" si="52">SUM(AQ42:AS42)/4</f>
        <v>1.1944254999999999</v>
      </c>
      <c r="AU42" s="32">
        <f>10068.2*J42*POWER(10,-6)</f>
        <v>0.23821361200000002</v>
      </c>
      <c r="AV42" s="33">
        <f t="shared" ref="AV42:AV47" si="53">AU42+AT42+AS42+AR42+AQ42</f>
        <v>6.2103411120000001</v>
      </c>
      <c r="AW42" s="34">
        <f t="shared" ref="AW42:AW47" si="54">AJ42*H42</f>
        <v>2.5470000000000001E-4</v>
      </c>
      <c r="AX42" s="34">
        <f t="shared" ref="AX42:AX47" si="55">H42*AK42</f>
        <v>2.5470000000000001E-4</v>
      </c>
      <c r="AY42" s="34">
        <f t="shared" ref="AY42:AY47" si="56">H42*AV42</f>
        <v>1.5817738812264001E-3</v>
      </c>
      <c r="AZ42" s="350">
        <f>AW42/[1]DB!$B$23</f>
        <v>3.0686746987951806E-7</v>
      </c>
      <c r="BA42" s="350">
        <f>AX42/[1]DB!$B$23</f>
        <v>3.0686746987951806E-7</v>
      </c>
    </row>
    <row r="43" spans="1:53" s="352" customFormat="1" ht="15" thickBot="1" x14ac:dyDescent="0.35">
      <c r="A43" s="8" t="s">
        <v>520</v>
      </c>
      <c r="B43" s="8" t="str">
        <f>B42</f>
        <v>Нефтесборный трубопровод (Куст скв. 3 СК до т. вр. на кусте скв. 5 ЗХ) БД, нефть</v>
      </c>
      <c r="C43" s="375" t="s">
        <v>107</v>
      </c>
      <c r="D43" s="376" t="s">
        <v>28</v>
      </c>
      <c r="E43" s="67">
        <f>E42</f>
        <v>2.9999999999999999E-7</v>
      </c>
      <c r="F43" s="68">
        <f>F42</f>
        <v>4245</v>
      </c>
      <c r="G43" s="8">
        <v>0.04</v>
      </c>
      <c r="H43" s="10">
        <f t="shared" si="46"/>
        <v>5.0939999999999997E-5</v>
      </c>
      <c r="I43" s="62">
        <f>I42</f>
        <v>23.66</v>
      </c>
      <c r="J43" s="378">
        <f>POWER(10,-6)*35*SQRT(100)*3600*L42/1000*0.1</f>
        <v>5.9623199999999987E-2</v>
      </c>
      <c r="K43" s="72" t="s">
        <v>123</v>
      </c>
      <c r="L43" s="77">
        <v>0</v>
      </c>
      <c r="M43" s="377" t="str">
        <f t="shared" si="47"/>
        <v>C26</v>
      </c>
      <c r="N43" s="377" t="str">
        <f t="shared" si="48"/>
        <v>Нефтесборный трубопровод (Куст скв. 3 СК до т. вр. на кусте скв. 5 ЗХ) БД, нефть</v>
      </c>
      <c r="O43" s="377" t="str">
        <f t="shared" si="49"/>
        <v>Полное-взрыв</v>
      </c>
      <c r="P43" s="377" t="s">
        <v>46</v>
      </c>
      <c r="Q43" s="377" t="s">
        <v>46</v>
      </c>
      <c r="R43" s="377" t="s">
        <v>46</v>
      </c>
      <c r="S43" s="377" t="s">
        <v>46</v>
      </c>
      <c r="T43" s="377">
        <v>0</v>
      </c>
      <c r="U43" s="377">
        <v>0</v>
      </c>
      <c r="V43" s="377">
        <v>29.6</v>
      </c>
      <c r="W43" s="377">
        <v>98.6</v>
      </c>
      <c r="X43" s="377">
        <v>144.1</v>
      </c>
      <c r="Y43" s="377" t="s">
        <v>46</v>
      </c>
      <c r="Z43" s="377" t="s">
        <v>46</v>
      </c>
      <c r="AA43" s="377" t="s">
        <v>46</v>
      </c>
      <c r="AB43" s="377" t="s">
        <v>46</v>
      </c>
      <c r="AC43" s="377" t="s">
        <v>46</v>
      </c>
      <c r="AD43" s="377" t="s">
        <v>46</v>
      </c>
      <c r="AE43" s="377" t="s">
        <v>46</v>
      </c>
      <c r="AF43" s="377" t="s">
        <v>46</v>
      </c>
      <c r="AG43" s="377" t="s">
        <v>46</v>
      </c>
      <c r="AH43" s="377" t="s">
        <v>46</v>
      </c>
      <c r="AI43" s="377" t="s">
        <v>46</v>
      </c>
      <c r="AJ43" s="12">
        <v>1</v>
      </c>
      <c r="AK43" s="12">
        <v>1</v>
      </c>
      <c r="AL43" s="377">
        <f>AL42</f>
        <v>0.75</v>
      </c>
      <c r="AM43" s="377">
        <f>AM42</f>
        <v>2.7E-2</v>
      </c>
      <c r="AN43" s="377">
        <f>AN42</f>
        <v>3</v>
      </c>
      <c r="AO43" s="377"/>
      <c r="AP43" s="377"/>
      <c r="AQ43" s="32">
        <f>AM43*I43+AL43</f>
        <v>1.3888199999999999</v>
      </c>
      <c r="AR43" s="32">
        <f t="shared" si="50"/>
        <v>0.13888200000000001</v>
      </c>
      <c r="AS43" s="33">
        <f t="shared" si="51"/>
        <v>3.25</v>
      </c>
      <c r="AT43" s="33">
        <f t="shared" si="52"/>
        <v>1.1944254999999999</v>
      </c>
      <c r="AU43" s="32">
        <f>10068.2*J43*POWER(10,-6)*10</f>
        <v>6.0029830223999985E-3</v>
      </c>
      <c r="AV43" s="33">
        <f t="shared" si="53"/>
        <v>5.9781304830223991</v>
      </c>
      <c r="AW43" s="34">
        <f t="shared" si="54"/>
        <v>5.0939999999999997E-5</v>
      </c>
      <c r="AX43" s="34">
        <f t="shared" si="55"/>
        <v>5.0939999999999997E-5</v>
      </c>
      <c r="AY43" s="34">
        <f t="shared" si="56"/>
        <v>3.0452596680516098E-4</v>
      </c>
      <c r="AZ43" s="350">
        <f>AW43/[1]DB!$B$23</f>
        <v>6.1373493975903615E-8</v>
      </c>
      <c r="BA43" s="350">
        <f>AX43/[1]DB!$B$23</f>
        <v>6.1373493975903615E-8</v>
      </c>
    </row>
    <row r="44" spans="1:53" s="352" customFormat="1" x14ac:dyDescent="0.3">
      <c r="A44" s="8" t="s">
        <v>521</v>
      </c>
      <c r="B44" s="8" t="str">
        <f>B42</f>
        <v>Нефтесборный трубопровод (Куст скв. 3 СК до т. вр. на кусте скв. 5 ЗХ) БД, нефть</v>
      </c>
      <c r="C44" s="375" t="s">
        <v>108</v>
      </c>
      <c r="D44" s="376" t="s">
        <v>26</v>
      </c>
      <c r="E44" s="67">
        <f>E42</f>
        <v>2.9999999999999999E-7</v>
      </c>
      <c r="F44" s="68">
        <f>F42</f>
        <v>4245</v>
      </c>
      <c r="G44" s="8">
        <v>0.76</v>
      </c>
      <c r="H44" s="10">
        <f t="shared" si="46"/>
        <v>9.6785999999999997E-4</v>
      </c>
      <c r="I44" s="62">
        <f>I42</f>
        <v>23.66</v>
      </c>
      <c r="J44" s="71">
        <v>0</v>
      </c>
      <c r="K44" s="72" t="s">
        <v>124</v>
      </c>
      <c r="L44" s="77">
        <v>0</v>
      </c>
      <c r="M44" s="377" t="str">
        <f t="shared" si="47"/>
        <v>C27</v>
      </c>
      <c r="N44" s="377" t="str">
        <f t="shared" si="48"/>
        <v>Нефтесборный трубопровод (Куст скв. 3 СК до т. вр. на кусте скв. 5 ЗХ) БД, нефть</v>
      </c>
      <c r="O44" s="377" t="str">
        <f t="shared" si="49"/>
        <v>Полное-ликвидация</v>
      </c>
      <c r="P44" s="377" t="s">
        <v>46</v>
      </c>
      <c r="Q44" s="377" t="s">
        <v>46</v>
      </c>
      <c r="R44" s="377" t="s">
        <v>46</v>
      </c>
      <c r="S44" s="377" t="s">
        <v>46</v>
      </c>
      <c r="T44" s="377" t="s">
        <v>46</v>
      </c>
      <c r="U44" s="377" t="s">
        <v>46</v>
      </c>
      <c r="V44" s="377" t="s">
        <v>46</v>
      </c>
      <c r="W44" s="377" t="s">
        <v>46</v>
      </c>
      <c r="X44" s="377" t="s">
        <v>46</v>
      </c>
      <c r="Y44" s="377" t="s">
        <v>46</v>
      </c>
      <c r="Z44" s="377" t="s">
        <v>46</v>
      </c>
      <c r="AA44" s="377" t="s">
        <v>46</v>
      </c>
      <c r="AB44" s="377" t="s">
        <v>46</v>
      </c>
      <c r="AC44" s="377" t="s">
        <v>46</v>
      </c>
      <c r="AD44" s="377" t="s">
        <v>46</v>
      </c>
      <c r="AE44" s="377" t="s">
        <v>46</v>
      </c>
      <c r="AF44" s="377" t="s">
        <v>46</v>
      </c>
      <c r="AG44" s="377" t="s">
        <v>46</v>
      </c>
      <c r="AH44" s="377" t="s">
        <v>46</v>
      </c>
      <c r="AI44" s="377" t="s">
        <v>46</v>
      </c>
      <c r="AJ44" s="377">
        <v>0</v>
      </c>
      <c r="AK44" s="377">
        <v>0</v>
      </c>
      <c r="AL44" s="377">
        <f>AL42</f>
        <v>0.75</v>
      </c>
      <c r="AM44" s="377">
        <f>AM42</f>
        <v>2.7E-2</v>
      </c>
      <c r="AN44" s="377">
        <f>AN42</f>
        <v>3</v>
      </c>
      <c r="AO44" s="377"/>
      <c r="AP44" s="377"/>
      <c r="AQ44" s="32">
        <f>AM44*I44*0.1+AL44</f>
        <v>0.81388199999999999</v>
      </c>
      <c r="AR44" s="32">
        <f t="shared" si="50"/>
        <v>8.1388200000000008E-2</v>
      </c>
      <c r="AS44" s="33">
        <f t="shared" si="51"/>
        <v>0</v>
      </c>
      <c r="AT44" s="33">
        <f t="shared" si="52"/>
        <v>0.22381755</v>
      </c>
      <c r="AU44" s="32">
        <f>1333*J43*POWER(10,-6)</f>
        <v>7.9477725599999977E-5</v>
      </c>
      <c r="AV44" s="33">
        <f t="shared" si="53"/>
        <v>1.1191672277256</v>
      </c>
      <c r="AW44" s="34">
        <f t="shared" si="54"/>
        <v>0</v>
      </c>
      <c r="AX44" s="34">
        <f t="shared" si="55"/>
        <v>0</v>
      </c>
      <c r="AY44" s="34">
        <f t="shared" si="56"/>
        <v>1.0831971930264992E-3</v>
      </c>
      <c r="AZ44" s="350">
        <f>AW44/[1]DB!$B$23</f>
        <v>0</v>
      </c>
      <c r="BA44" s="350">
        <f>AX44/[1]DB!$B$23</f>
        <v>0</v>
      </c>
    </row>
    <row r="45" spans="1:53" s="352" customFormat="1" x14ac:dyDescent="0.3">
      <c r="A45" s="8" t="s">
        <v>522</v>
      </c>
      <c r="B45" s="8" t="str">
        <f>B42</f>
        <v>Нефтесборный трубопровод (Куст скв. 3 СК до т. вр. на кусте скв. 5 ЗХ) БД, нефть</v>
      </c>
      <c r="C45" s="375" t="s">
        <v>109</v>
      </c>
      <c r="D45" s="376" t="s">
        <v>47</v>
      </c>
      <c r="E45" s="66">
        <v>1.9999999999999999E-6</v>
      </c>
      <c r="F45" s="68">
        <f>F42</f>
        <v>4245</v>
      </c>
      <c r="G45" s="8">
        <v>0.2</v>
      </c>
      <c r="H45" s="10">
        <f t="shared" si="46"/>
        <v>1.6979999999999999E-3</v>
      </c>
      <c r="I45" s="62">
        <f>0.15*I42</f>
        <v>3.5489999999999999</v>
      </c>
      <c r="J45" s="69">
        <f>I45</f>
        <v>3.5489999999999999</v>
      </c>
      <c r="K45" s="74" t="s">
        <v>126</v>
      </c>
      <c r="L45" s="78">
        <v>45390</v>
      </c>
      <c r="M45" s="377" t="str">
        <f t="shared" si="47"/>
        <v>C28</v>
      </c>
      <c r="N45" s="377" t="str">
        <f t="shared" si="48"/>
        <v>Нефтесборный трубопровод (Куст скв. 3 СК до т. вр. на кусте скв. 5 ЗХ) БД, нефть</v>
      </c>
      <c r="O45" s="377" t="str">
        <f t="shared" si="49"/>
        <v>Частичное-пожар</v>
      </c>
      <c r="P45" s="377">
        <v>5.6</v>
      </c>
      <c r="Q45" s="377">
        <v>8</v>
      </c>
      <c r="R45" s="377">
        <v>12</v>
      </c>
      <c r="S45" s="377">
        <v>24.2</v>
      </c>
      <c r="T45" s="377" t="s">
        <v>46</v>
      </c>
      <c r="U45" s="377" t="s">
        <v>46</v>
      </c>
      <c r="V45" s="377" t="s">
        <v>46</v>
      </c>
      <c r="W45" s="377" t="s">
        <v>46</v>
      </c>
      <c r="X45" s="377" t="s">
        <v>46</v>
      </c>
      <c r="Y45" s="377" t="s">
        <v>46</v>
      </c>
      <c r="Z45" s="377" t="s">
        <v>46</v>
      </c>
      <c r="AA45" s="377" t="s">
        <v>46</v>
      </c>
      <c r="AB45" s="377" t="s">
        <v>46</v>
      </c>
      <c r="AC45" s="377" t="s">
        <v>46</v>
      </c>
      <c r="AD45" s="377" t="s">
        <v>46</v>
      </c>
      <c r="AE45" s="377" t="s">
        <v>46</v>
      </c>
      <c r="AF45" s="377" t="s">
        <v>46</v>
      </c>
      <c r="AG45" s="377" t="s">
        <v>46</v>
      </c>
      <c r="AH45" s="377" t="s">
        <v>46</v>
      </c>
      <c r="AI45" s="377" t="s">
        <v>46</v>
      </c>
      <c r="AJ45" s="377">
        <v>0</v>
      </c>
      <c r="AK45" s="377">
        <v>1</v>
      </c>
      <c r="AL45" s="351">
        <f>0.1*AL42</f>
        <v>7.5000000000000011E-2</v>
      </c>
      <c r="AM45" s="377">
        <f>AM42</f>
        <v>2.7E-2</v>
      </c>
      <c r="AN45" s="377">
        <f>ROUNDUP(AN42/3,0)</f>
        <v>1</v>
      </c>
      <c r="AO45" s="377"/>
      <c r="AP45" s="377"/>
      <c r="AQ45" s="32">
        <f>AM45*I45+AL45</f>
        <v>0.170823</v>
      </c>
      <c r="AR45" s="32">
        <f t="shared" si="50"/>
        <v>1.7082300000000002E-2</v>
      </c>
      <c r="AS45" s="33">
        <f t="shared" si="51"/>
        <v>0.25</v>
      </c>
      <c r="AT45" s="33">
        <f t="shared" si="52"/>
        <v>0.109476325</v>
      </c>
      <c r="AU45" s="32">
        <f>10068.2*J45*POWER(10,-6)</f>
        <v>3.5732041799999996E-2</v>
      </c>
      <c r="AV45" s="33">
        <f t="shared" si="53"/>
        <v>0.58311366679999999</v>
      </c>
      <c r="AW45" s="34">
        <f t="shared" si="54"/>
        <v>0</v>
      </c>
      <c r="AX45" s="34">
        <f t="shared" si="55"/>
        <v>1.6979999999999999E-3</v>
      </c>
      <c r="AY45" s="34">
        <f t="shared" si="56"/>
        <v>9.9012700622639997E-4</v>
      </c>
      <c r="AZ45" s="350">
        <f>AW45/[1]DB!$B$23</f>
        <v>0</v>
      </c>
      <c r="BA45" s="350">
        <f>AX45/[1]DB!$B$23</f>
        <v>2.0457831325301204E-6</v>
      </c>
    </row>
    <row r="46" spans="1:53" s="352" customFormat="1" x14ac:dyDescent="0.3">
      <c r="A46" s="8" t="s">
        <v>523</v>
      </c>
      <c r="B46" s="8" t="str">
        <f>B42</f>
        <v>Нефтесборный трубопровод (Куст скв. 3 СК до т. вр. на кусте скв. 5 ЗХ) БД, нефть</v>
      </c>
      <c r="C46" s="375" t="s">
        <v>110</v>
      </c>
      <c r="D46" s="376" t="s">
        <v>112</v>
      </c>
      <c r="E46" s="67">
        <f>E45</f>
        <v>1.9999999999999999E-6</v>
      </c>
      <c r="F46" s="68">
        <f>F42</f>
        <v>4245</v>
      </c>
      <c r="G46" s="8">
        <v>0.04</v>
      </c>
      <c r="H46" s="10">
        <f t="shared" si="46"/>
        <v>3.3959999999999996E-4</v>
      </c>
      <c r="I46" s="62">
        <f>0.15*I42</f>
        <v>3.5489999999999999</v>
      </c>
      <c r="J46" s="69">
        <f>0.9*J43</f>
        <v>5.3660879999999987E-2</v>
      </c>
      <c r="K46" s="74" t="s">
        <v>127</v>
      </c>
      <c r="L46" s="78">
        <v>3</v>
      </c>
      <c r="M46" s="377" t="str">
        <f t="shared" si="47"/>
        <v>C29</v>
      </c>
      <c r="N46" s="377" t="str">
        <f t="shared" si="48"/>
        <v>Нефтесборный трубопровод (Куст скв. 3 СК до т. вр. на кусте скв. 5 ЗХ) БД, нефть</v>
      </c>
      <c r="O46" s="377" t="str">
        <f t="shared" si="49"/>
        <v>Частичное-пожар-вспышка</v>
      </c>
      <c r="P46" s="377" t="s">
        <v>46</v>
      </c>
      <c r="Q46" s="377" t="s">
        <v>46</v>
      </c>
      <c r="R46" s="377" t="s">
        <v>46</v>
      </c>
      <c r="S46" s="377" t="s">
        <v>46</v>
      </c>
      <c r="T46" s="377" t="s">
        <v>46</v>
      </c>
      <c r="U46" s="377" t="s">
        <v>46</v>
      </c>
      <c r="V46" s="377" t="s">
        <v>46</v>
      </c>
      <c r="W46" s="377" t="s">
        <v>46</v>
      </c>
      <c r="X46" s="377" t="s">
        <v>46</v>
      </c>
      <c r="Y46" s="377" t="s">
        <v>46</v>
      </c>
      <c r="Z46" s="377" t="s">
        <v>46</v>
      </c>
      <c r="AA46" s="377">
        <v>12.77</v>
      </c>
      <c r="AB46" s="377">
        <v>15.32</v>
      </c>
      <c r="AC46" s="377" t="s">
        <v>46</v>
      </c>
      <c r="AD46" s="377" t="s">
        <v>46</v>
      </c>
      <c r="AE46" s="377" t="s">
        <v>46</v>
      </c>
      <c r="AF46" s="377" t="s">
        <v>46</v>
      </c>
      <c r="AG46" s="377" t="s">
        <v>46</v>
      </c>
      <c r="AH46" s="377" t="s">
        <v>46</v>
      </c>
      <c r="AI46" s="377" t="s">
        <v>46</v>
      </c>
      <c r="AJ46" s="377">
        <v>0</v>
      </c>
      <c r="AK46" s="377">
        <v>1</v>
      </c>
      <c r="AL46" s="351">
        <f t="shared" ref="AL46:AL47" si="57">0.1*AL43</f>
        <v>7.5000000000000011E-2</v>
      </c>
      <c r="AM46" s="377">
        <f>AM42</f>
        <v>2.7E-2</v>
      </c>
      <c r="AN46" s="377">
        <f>ROUNDUP(AN42/3,0)</f>
        <v>1</v>
      </c>
      <c r="AO46" s="377"/>
      <c r="AP46" s="377"/>
      <c r="AQ46" s="32">
        <f>AM46*I46+AL46</f>
        <v>0.170823</v>
      </c>
      <c r="AR46" s="32">
        <f t="shared" si="50"/>
        <v>1.7082300000000002E-2</v>
      </c>
      <c r="AS46" s="33">
        <f t="shared" si="51"/>
        <v>0.25</v>
      </c>
      <c r="AT46" s="33">
        <f t="shared" si="52"/>
        <v>0.109476325</v>
      </c>
      <c r="AU46" s="32">
        <f>10068.2*J46*POWER(10,-6)*10</f>
        <v>5.402684720159999E-3</v>
      </c>
      <c r="AV46" s="33">
        <f t="shared" si="53"/>
        <v>0.55278430972015991</v>
      </c>
      <c r="AW46" s="34">
        <f t="shared" si="54"/>
        <v>0</v>
      </c>
      <c r="AX46" s="34">
        <f t="shared" si="55"/>
        <v>3.3959999999999996E-4</v>
      </c>
      <c r="AY46" s="34">
        <f t="shared" si="56"/>
        <v>1.8772555158096628E-4</v>
      </c>
      <c r="AZ46" s="350">
        <f>AW46/[1]DB!$B$23</f>
        <v>0</v>
      </c>
      <c r="BA46" s="350">
        <f>AX46/[1]DB!$B$23</f>
        <v>4.0915662650602403E-7</v>
      </c>
    </row>
    <row r="47" spans="1:53" s="352" customFormat="1" x14ac:dyDescent="0.3">
      <c r="A47" s="170" t="s">
        <v>524</v>
      </c>
      <c r="B47" s="170" t="str">
        <f>B42</f>
        <v>Нефтесборный трубопровод (Куст скв. 3 СК до т. вр. на кусте скв. 5 ЗХ) БД, нефть</v>
      </c>
      <c r="C47" s="379" t="s">
        <v>111</v>
      </c>
      <c r="D47" s="380" t="s">
        <v>27</v>
      </c>
      <c r="E47" s="173">
        <f>E45</f>
        <v>1.9999999999999999E-6</v>
      </c>
      <c r="F47" s="174">
        <f>F42</f>
        <v>4245</v>
      </c>
      <c r="G47" s="170">
        <v>0.76</v>
      </c>
      <c r="H47" s="175">
        <f t="shared" si="46"/>
        <v>6.4523999999999996E-3</v>
      </c>
      <c r="I47" s="176">
        <f>0.15*I42</f>
        <v>3.5489999999999999</v>
      </c>
      <c r="J47" s="177">
        <v>0</v>
      </c>
      <c r="K47" s="178" t="s">
        <v>138</v>
      </c>
      <c r="L47" s="179">
        <v>1</v>
      </c>
      <c r="M47" s="377" t="str">
        <f t="shared" si="47"/>
        <v>C30</v>
      </c>
      <c r="N47" s="377" t="str">
        <f t="shared" si="48"/>
        <v>Нефтесборный трубопровод (Куст скв. 3 СК до т. вр. на кусте скв. 5 ЗХ) БД, нефть</v>
      </c>
      <c r="O47" s="377" t="str">
        <f t="shared" si="49"/>
        <v>Частичное-ликвидация</v>
      </c>
      <c r="P47" s="377" t="s">
        <v>46</v>
      </c>
      <c r="Q47" s="377" t="s">
        <v>46</v>
      </c>
      <c r="R47" s="377" t="s">
        <v>46</v>
      </c>
      <c r="S47" s="377" t="s">
        <v>46</v>
      </c>
      <c r="T47" s="377" t="s">
        <v>46</v>
      </c>
      <c r="U47" s="377" t="s">
        <v>46</v>
      </c>
      <c r="V47" s="377" t="s">
        <v>46</v>
      </c>
      <c r="W47" s="377" t="s">
        <v>46</v>
      </c>
      <c r="X47" s="377" t="s">
        <v>46</v>
      </c>
      <c r="Y47" s="377" t="s">
        <v>46</v>
      </c>
      <c r="Z47" s="377" t="s">
        <v>46</v>
      </c>
      <c r="AA47" s="377" t="s">
        <v>46</v>
      </c>
      <c r="AB47" s="377" t="s">
        <v>46</v>
      </c>
      <c r="AC47" s="377" t="s">
        <v>46</v>
      </c>
      <c r="AD47" s="377" t="s">
        <v>46</v>
      </c>
      <c r="AE47" s="377" t="s">
        <v>46</v>
      </c>
      <c r="AF47" s="377" t="s">
        <v>46</v>
      </c>
      <c r="AG47" s="377" t="s">
        <v>46</v>
      </c>
      <c r="AH47" s="377" t="s">
        <v>46</v>
      </c>
      <c r="AI47" s="377" t="s">
        <v>46</v>
      </c>
      <c r="AJ47" s="377">
        <v>0</v>
      </c>
      <c r="AK47" s="377">
        <v>0</v>
      </c>
      <c r="AL47" s="351">
        <f t="shared" si="57"/>
        <v>7.5000000000000011E-2</v>
      </c>
      <c r="AM47" s="377">
        <f>AM42</f>
        <v>2.7E-2</v>
      </c>
      <c r="AN47" s="377">
        <f>ROUNDUP(AN42/3,0)</f>
        <v>1</v>
      </c>
      <c r="AO47" s="377"/>
      <c r="AP47" s="377"/>
      <c r="AQ47" s="32">
        <f>AM47*I47*0.1+AL47</f>
        <v>8.4582300000000013E-2</v>
      </c>
      <c r="AR47" s="32">
        <f t="shared" si="50"/>
        <v>8.4582300000000023E-3</v>
      </c>
      <c r="AS47" s="33">
        <f t="shared" si="51"/>
        <v>0</v>
      </c>
      <c r="AT47" s="33">
        <f t="shared" si="52"/>
        <v>2.3260132500000003E-2</v>
      </c>
      <c r="AU47" s="32">
        <f>1333*J46*POWER(10,-6)</f>
        <v>7.1529953039999972E-5</v>
      </c>
      <c r="AV47" s="33">
        <f t="shared" si="53"/>
        <v>0.11637219245304001</v>
      </c>
      <c r="AW47" s="34">
        <f t="shared" si="54"/>
        <v>0</v>
      </c>
      <c r="AX47" s="34">
        <f t="shared" si="55"/>
        <v>0</v>
      </c>
      <c r="AY47" s="34">
        <f t="shared" si="56"/>
        <v>7.5087993458399535E-4</v>
      </c>
      <c r="AZ47" s="350">
        <f>AW47/[1]DB!$B$23</f>
        <v>0</v>
      </c>
      <c r="BA47" s="350">
        <f>AX47/[1]DB!$B$23</f>
        <v>0</v>
      </c>
    </row>
    <row r="48" spans="1:53" s="381" customForma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349" t="s">
        <v>467</v>
      </c>
      <c r="L48" s="153" t="s">
        <v>562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3" s="381" customForma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3" s="381" customForma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spans="1:53" ht="15" thickBot="1" x14ac:dyDescent="0.35"/>
    <row r="52" spans="1:53" s="352" customFormat="1" ht="15" thickBot="1" x14ac:dyDescent="0.35">
      <c r="A52" s="8" t="s">
        <v>525</v>
      </c>
      <c r="B52" s="63" t="s">
        <v>614</v>
      </c>
      <c r="C52" s="375" t="s">
        <v>106</v>
      </c>
      <c r="D52" s="376" t="s">
        <v>25</v>
      </c>
      <c r="E52" s="66">
        <v>2.9999999999999999E-7</v>
      </c>
      <c r="F52" s="63">
        <v>4245</v>
      </c>
      <c r="G52" s="8">
        <v>0.2</v>
      </c>
      <c r="H52" s="10">
        <f t="shared" ref="H52:H57" si="58">E52*F52*G52</f>
        <v>2.5470000000000001E-4</v>
      </c>
      <c r="I52" s="64">
        <v>59.63</v>
      </c>
      <c r="J52" s="69">
        <f>I52</f>
        <v>59.63</v>
      </c>
      <c r="K52" s="72" t="s">
        <v>122</v>
      </c>
      <c r="L52" s="77">
        <f>I52*20</f>
        <v>1192.6000000000001</v>
      </c>
      <c r="M52" s="377" t="str">
        <f t="shared" ref="M52:M57" si="59">A52</f>
        <v>C31</v>
      </c>
      <c r="N52" s="377" t="str">
        <f t="shared" ref="N52:N57" si="60">B52</f>
        <v>Подземный нефтепровод от ДНС до концевых сооружений, нефть</v>
      </c>
      <c r="O52" s="377" t="str">
        <f t="shared" ref="O52:O57" si="61">D52</f>
        <v>Полное-пожар</v>
      </c>
      <c r="P52" s="377">
        <v>27.7</v>
      </c>
      <c r="Q52" s="377">
        <v>38</v>
      </c>
      <c r="R52" s="377">
        <v>53.6</v>
      </c>
      <c r="S52" s="377">
        <v>98</v>
      </c>
      <c r="T52" s="377" t="s">
        <v>46</v>
      </c>
      <c r="U52" s="377" t="s">
        <v>46</v>
      </c>
      <c r="V52" s="377" t="s">
        <v>46</v>
      </c>
      <c r="W52" s="377" t="s">
        <v>46</v>
      </c>
      <c r="X52" s="377" t="s">
        <v>46</v>
      </c>
      <c r="Y52" s="377" t="s">
        <v>46</v>
      </c>
      <c r="Z52" s="377" t="s">
        <v>46</v>
      </c>
      <c r="AA52" s="377" t="s">
        <v>46</v>
      </c>
      <c r="AB52" s="377" t="s">
        <v>46</v>
      </c>
      <c r="AC52" s="377" t="s">
        <v>46</v>
      </c>
      <c r="AD52" s="377" t="s">
        <v>46</v>
      </c>
      <c r="AE52" s="377" t="s">
        <v>46</v>
      </c>
      <c r="AF52" s="377" t="s">
        <v>46</v>
      </c>
      <c r="AG52" s="377" t="s">
        <v>46</v>
      </c>
      <c r="AH52" s="377" t="s">
        <v>46</v>
      </c>
      <c r="AI52" s="377" t="s">
        <v>46</v>
      </c>
      <c r="AJ52" s="12">
        <v>1</v>
      </c>
      <c r="AK52" s="12">
        <v>1</v>
      </c>
      <c r="AL52" s="65">
        <v>0.75</v>
      </c>
      <c r="AM52" s="65">
        <v>2.7E-2</v>
      </c>
      <c r="AN52" s="65">
        <v>3</v>
      </c>
      <c r="AO52" s="377"/>
      <c r="AP52" s="377"/>
      <c r="AQ52" s="32">
        <f>AM52*I52+AL52</f>
        <v>2.3600099999999999</v>
      </c>
      <c r="AR52" s="32">
        <f t="shared" ref="AR52:AR57" si="62">0.1*AQ52</f>
        <v>0.23600100000000002</v>
      </c>
      <c r="AS52" s="33">
        <f t="shared" ref="AS52:AS57" si="63">AJ52*3+0.25*AK52</f>
        <v>3.25</v>
      </c>
      <c r="AT52" s="33">
        <f t="shared" ref="AT52:AT57" si="64">SUM(AQ52:AS52)/4</f>
        <v>1.46150275</v>
      </c>
      <c r="AU52" s="32">
        <f>10068.2*J52*POWER(10,-6)</f>
        <v>0.60036676600000005</v>
      </c>
      <c r="AV52" s="33">
        <f t="shared" ref="AV52:AV57" si="65">AU52+AT52+AS52+AR52+AQ52</f>
        <v>7.9078805159999996</v>
      </c>
      <c r="AW52" s="34">
        <f t="shared" ref="AW52:AW57" si="66">AJ52*H52</f>
        <v>2.5470000000000001E-4</v>
      </c>
      <c r="AX52" s="34">
        <f t="shared" ref="AX52:AX57" si="67">H52*AK52</f>
        <v>2.5470000000000001E-4</v>
      </c>
      <c r="AY52" s="34">
        <f t="shared" ref="AY52:AY57" si="68">H52*AV52</f>
        <v>2.0141371674252001E-3</v>
      </c>
      <c r="AZ52" s="350">
        <f>AW52/[1]DB!$B$23</f>
        <v>3.0686746987951806E-7</v>
      </c>
      <c r="BA52" s="350">
        <f>AX52/[1]DB!$B$23</f>
        <v>3.0686746987951806E-7</v>
      </c>
    </row>
    <row r="53" spans="1:53" s="352" customFormat="1" ht="15" thickBot="1" x14ac:dyDescent="0.35">
      <c r="A53" s="8" t="s">
        <v>526</v>
      </c>
      <c r="B53" s="8" t="str">
        <f>B52</f>
        <v>Подземный нефтепровод от ДНС до концевых сооружений, нефть</v>
      </c>
      <c r="C53" s="375" t="s">
        <v>107</v>
      </c>
      <c r="D53" s="376" t="s">
        <v>28</v>
      </c>
      <c r="E53" s="67">
        <f>E52</f>
        <v>2.9999999999999999E-7</v>
      </c>
      <c r="F53" s="68">
        <f>F52</f>
        <v>4245</v>
      </c>
      <c r="G53" s="8">
        <v>0.04</v>
      </c>
      <c r="H53" s="10">
        <f t="shared" si="58"/>
        <v>5.0939999999999997E-5</v>
      </c>
      <c r="I53" s="62">
        <f>I52</f>
        <v>59.63</v>
      </c>
      <c r="J53" s="378">
        <f>POWER(10,-6)*35*SQRT(100)*3600*L52/1000*0.1</f>
        <v>0.1502676</v>
      </c>
      <c r="K53" s="72" t="s">
        <v>123</v>
      </c>
      <c r="L53" s="77">
        <v>0</v>
      </c>
      <c r="M53" s="377" t="str">
        <f t="shared" si="59"/>
        <v>C32</v>
      </c>
      <c r="N53" s="377" t="str">
        <f t="shared" si="60"/>
        <v>Подземный нефтепровод от ДНС до концевых сооружений, нефть</v>
      </c>
      <c r="O53" s="377" t="str">
        <f t="shared" si="61"/>
        <v>Полное-взрыв</v>
      </c>
      <c r="P53" s="377" t="s">
        <v>46</v>
      </c>
      <c r="Q53" s="377" t="s">
        <v>46</v>
      </c>
      <c r="R53" s="377" t="s">
        <v>46</v>
      </c>
      <c r="S53" s="377" t="s">
        <v>46</v>
      </c>
      <c r="T53" s="377">
        <v>0</v>
      </c>
      <c r="U53" s="377">
        <v>0</v>
      </c>
      <c r="V53" s="377">
        <v>40.1</v>
      </c>
      <c r="W53" s="377">
        <v>134.6</v>
      </c>
      <c r="X53" s="377">
        <v>196.1</v>
      </c>
      <c r="Y53" s="377" t="s">
        <v>46</v>
      </c>
      <c r="Z53" s="377" t="s">
        <v>46</v>
      </c>
      <c r="AA53" s="377" t="s">
        <v>46</v>
      </c>
      <c r="AB53" s="377" t="s">
        <v>46</v>
      </c>
      <c r="AC53" s="377" t="s">
        <v>46</v>
      </c>
      <c r="AD53" s="377" t="s">
        <v>46</v>
      </c>
      <c r="AE53" s="377" t="s">
        <v>46</v>
      </c>
      <c r="AF53" s="377" t="s">
        <v>46</v>
      </c>
      <c r="AG53" s="377" t="s">
        <v>46</v>
      </c>
      <c r="AH53" s="377" t="s">
        <v>46</v>
      </c>
      <c r="AI53" s="377" t="s">
        <v>46</v>
      </c>
      <c r="AJ53" s="12">
        <v>2</v>
      </c>
      <c r="AK53" s="12">
        <v>1</v>
      </c>
      <c r="AL53" s="377">
        <f>AL52</f>
        <v>0.75</v>
      </c>
      <c r="AM53" s="377">
        <f>AM52</f>
        <v>2.7E-2</v>
      </c>
      <c r="AN53" s="377">
        <f>AN52</f>
        <v>3</v>
      </c>
      <c r="AO53" s="377"/>
      <c r="AP53" s="377"/>
      <c r="AQ53" s="32">
        <f>AM53*I53+AL53</f>
        <v>2.3600099999999999</v>
      </c>
      <c r="AR53" s="32">
        <f t="shared" si="62"/>
        <v>0.23600100000000002</v>
      </c>
      <c r="AS53" s="33">
        <f t="shared" si="63"/>
        <v>6.25</v>
      </c>
      <c r="AT53" s="33">
        <f t="shared" si="64"/>
        <v>2.2115027500000002</v>
      </c>
      <c r="AU53" s="32">
        <f>10068.2*J53*POWER(10,-6)*10</f>
        <v>1.5129242503199998E-2</v>
      </c>
      <c r="AV53" s="33">
        <f t="shared" si="65"/>
        <v>11.072642992503201</v>
      </c>
      <c r="AW53" s="34">
        <f t="shared" si="66"/>
        <v>1.0187999999999999E-4</v>
      </c>
      <c r="AX53" s="34">
        <f t="shared" si="67"/>
        <v>5.0939999999999997E-5</v>
      </c>
      <c r="AY53" s="34">
        <f t="shared" si="68"/>
        <v>5.640404340381131E-4</v>
      </c>
      <c r="AZ53" s="350">
        <f>AW53/[1]DB!$B$23</f>
        <v>1.2274698795180723E-7</v>
      </c>
      <c r="BA53" s="350">
        <f>AX53/[1]DB!$B$23</f>
        <v>6.1373493975903615E-8</v>
      </c>
    </row>
    <row r="54" spans="1:53" s="352" customFormat="1" x14ac:dyDescent="0.3">
      <c r="A54" s="8" t="s">
        <v>527</v>
      </c>
      <c r="B54" s="8" t="str">
        <f>B52</f>
        <v>Подземный нефтепровод от ДНС до концевых сооружений, нефть</v>
      </c>
      <c r="C54" s="375" t="s">
        <v>108</v>
      </c>
      <c r="D54" s="376" t="s">
        <v>26</v>
      </c>
      <c r="E54" s="67">
        <f>E52</f>
        <v>2.9999999999999999E-7</v>
      </c>
      <c r="F54" s="68">
        <f>F52</f>
        <v>4245</v>
      </c>
      <c r="G54" s="8">
        <v>0.76</v>
      </c>
      <c r="H54" s="10">
        <f t="shared" si="58"/>
        <v>9.6785999999999997E-4</v>
      </c>
      <c r="I54" s="62">
        <f>I52</f>
        <v>59.63</v>
      </c>
      <c r="J54" s="71">
        <v>0</v>
      </c>
      <c r="K54" s="72" t="s">
        <v>124</v>
      </c>
      <c r="L54" s="77">
        <v>0</v>
      </c>
      <c r="M54" s="377" t="str">
        <f t="shared" si="59"/>
        <v>C33</v>
      </c>
      <c r="N54" s="377" t="str">
        <f t="shared" si="60"/>
        <v>Подземный нефтепровод от ДНС до концевых сооружений, нефть</v>
      </c>
      <c r="O54" s="377" t="str">
        <f t="shared" si="61"/>
        <v>Полное-ликвидация</v>
      </c>
      <c r="P54" s="377" t="s">
        <v>46</v>
      </c>
      <c r="Q54" s="377" t="s">
        <v>46</v>
      </c>
      <c r="R54" s="377" t="s">
        <v>46</v>
      </c>
      <c r="S54" s="377" t="s">
        <v>46</v>
      </c>
      <c r="T54" s="377" t="s">
        <v>46</v>
      </c>
      <c r="U54" s="377" t="s">
        <v>46</v>
      </c>
      <c r="V54" s="377" t="s">
        <v>46</v>
      </c>
      <c r="W54" s="377" t="s">
        <v>46</v>
      </c>
      <c r="X54" s="377" t="s">
        <v>46</v>
      </c>
      <c r="Y54" s="377" t="s">
        <v>46</v>
      </c>
      <c r="Z54" s="377" t="s">
        <v>46</v>
      </c>
      <c r="AA54" s="377" t="s">
        <v>46</v>
      </c>
      <c r="AB54" s="377" t="s">
        <v>46</v>
      </c>
      <c r="AC54" s="377" t="s">
        <v>46</v>
      </c>
      <c r="AD54" s="377" t="s">
        <v>46</v>
      </c>
      <c r="AE54" s="377" t="s">
        <v>46</v>
      </c>
      <c r="AF54" s="377" t="s">
        <v>46</v>
      </c>
      <c r="AG54" s="377" t="s">
        <v>46</v>
      </c>
      <c r="AH54" s="377" t="s">
        <v>46</v>
      </c>
      <c r="AI54" s="377" t="s">
        <v>46</v>
      </c>
      <c r="AJ54" s="377">
        <v>0</v>
      </c>
      <c r="AK54" s="377">
        <v>0</v>
      </c>
      <c r="AL54" s="377">
        <f>AL52</f>
        <v>0.75</v>
      </c>
      <c r="AM54" s="377">
        <f>AM52</f>
        <v>2.7E-2</v>
      </c>
      <c r="AN54" s="377">
        <f>AN52</f>
        <v>3</v>
      </c>
      <c r="AO54" s="377"/>
      <c r="AP54" s="377"/>
      <c r="AQ54" s="32">
        <f>AM54*I54*0.1+AL54</f>
        <v>0.91100099999999995</v>
      </c>
      <c r="AR54" s="32">
        <f t="shared" si="62"/>
        <v>9.1100100000000003E-2</v>
      </c>
      <c r="AS54" s="33">
        <f t="shared" si="63"/>
        <v>0</v>
      </c>
      <c r="AT54" s="33">
        <f t="shared" si="64"/>
        <v>0.25052527499999999</v>
      </c>
      <c r="AU54" s="32">
        <f>1333*J53*POWER(10,-6)</f>
        <v>2.0030671079999997E-4</v>
      </c>
      <c r="AV54" s="33">
        <f t="shared" si="65"/>
        <v>1.2528266817108</v>
      </c>
      <c r="AW54" s="34">
        <f t="shared" si="66"/>
        <v>0</v>
      </c>
      <c r="AX54" s="34">
        <f t="shared" si="67"/>
        <v>0</v>
      </c>
      <c r="AY54" s="34">
        <f t="shared" si="68"/>
        <v>1.2125608321606148E-3</v>
      </c>
      <c r="AZ54" s="350">
        <f>AW54/[1]DB!$B$23</f>
        <v>0</v>
      </c>
      <c r="BA54" s="350">
        <f>AX54/[1]DB!$B$23</f>
        <v>0</v>
      </c>
    </row>
    <row r="55" spans="1:53" s="352" customFormat="1" x14ac:dyDescent="0.3">
      <c r="A55" s="8" t="s">
        <v>528</v>
      </c>
      <c r="B55" s="8" t="str">
        <f>B52</f>
        <v>Подземный нефтепровод от ДНС до концевых сооружений, нефть</v>
      </c>
      <c r="C55" s="375" t="s">
        <v>109</v>
      </c>
      <c r="D55" s="376" t="s">
        <v>47</v>
      </c>
      <c r="E55" s="66">
        <v>1.9999999999999999E-6</v>
      </c>
      <c r="F55" s="68">
        <f>F52</f>
        <v>4245</v>
      </c>
      <c r="G55" s="8">
        <v>0.2</v>
      </c>
      <c r="H55" s="10">
        <f t="shared" si="58"/>
        <v>1.6979999999999999E-3</v>
      </c>
      <c r="I55" s="62">
        <f>0.15*I52</f>
        <v>8.9444999999999997</v>
      </c>
      <c r="J55" s="69">
        <f>I55</f>
        <v>8.9444999999999997</v>
      </c>
      <c r="K55" s="74" t="s">
        <v>126</v>
      </c>
      <c r="L55" s="78">
        <v>45390</v>
      </c>
      <c r="M55" s="377" t="str">
        <f t="shared" si="59"/>
        <v>C34</v>
      </c>
      <c r="N55" s="377" t="str">
        <f t="shared" si="60"/>
        <v>Подземный нефтепровод от ДНС до концевых сооружений, нефть</v>
      </c>
      <c r="O55" s="377" t="str">
        <f t="shared" si="61"/>
        <v>Частичное-пожар</v>
      </c>
      <c r="P55" s="377">
        <v>8.9</v>
      </c>
      <c r="Q55" s="377">
        <v>12.5</v>
      </c>
      <c r="R55" s="377">
        <v>18.5</v>
      </c>
      <c r="S55" s="377">
        <v>36.200000000000003</v>
      </c>
      <c r="T55" s="377" t="s">
        <v>46</v>
      </c>
      <c r="U55" s="377" t="s">
        <v>46</v>
      </c>
      <c r="V55" s="377" t="s">
        <v>46</v>
      </c>
      <c r="W55" s="377" t="s">
        <v>46</v>
      </c>
      <c r="X55" s="377" t="s">
        <v>46</v>
      </c>
      <c r="Y55" s="377" t="s">
        <v>46</v>
      </c>
      <c r="Z55" s="377" t="s">
        <v>46</v>
      </c>
      <c r="AA55" s="377" t="s">
        <v>46</v>
      </c>
      <c r="AB55" s="377" t="s">
        <v>46</v>
      </c>
      <c r="AC55" s="377" t="s">
        <v>46</v>
      </c>
      <c r="AD55" s="377" t="s">
        <v>46</v>
      </c>
      <c r="AE55" s="377" t="s">
        <v>46</v>
      </c>
      <c r="AF55" s="377" t="s">
        <v>46</v>
      </c>
      <c r="AG55" s="377" t="s">
        <v>46</v>
      </c>
      <c r="AH55" s="377" t="s">
        <v>46</v>
      </c>
      <c r="AI55" s="377" t="s">
        <v>46</v>
      </c>
      <c r="AJ55" s="377">
        <v>0</v>
      </c>
      <c r="AK55" s="377">
        <v>1</v>
      </c>
      <c r="AL55" s="351">
        <f>0.1*AL52</f>
        <v>7.5000000000000011E-2</v>
      </c>
      <c r="AM55" s="377">
        <f>AM52</f>
        <v>2.7E-2</v>
      </c>
      <c r="AN55" s="377">
        <f>ROUNDUP(AN52/3,0)</f>
        <v>1</v>
      </c>
      <c r="AO55" s="377"/>
      <c r="AP55" s="377"/>
      <c r="AQ55" s="32">
        <f>AM55*I55+AL55</f>
        <v>0.31650149999999999</v>
      </c>
      <c r="AR55" s="32">
        <f t="shared" si="62"/>
        <v>3.1650150000000002E-2</v>
      </c>
      <c r="AS55" s="33">
        <f t="shared" si="63"/>
        <v>0.25</v>
      </c>
      <c r="AT55" s="33">
        <f t="shared" si="64"/>
        <v>0.14953791249999998</v>
      </c>
      <c r="AU55" s="32">
        <f>10068.2*J55*POWER(10,-6)</f>
        <v>9.0055014900000008E-2</v>
      </c>
      <c r="AV55" s="33">
        <f t="shared" si="65"/>
        <v>0.83774457739999997</v>
      </c>
      <c r="AW55" s="34">
        <f t="shared" si="66"/>
        <v>0</v>
      </c>
      <c r="AX55" s="34">
        <f t="shared" si="67"/>
        <v>1.6979999999999999E-3</v>
      </c>
      <c r="AY55" s="34">
        <f t="shared" si="68"/>
        <v>1.4224902924251997E-3</v>
      </c>
      <c r="AZ55" s="350">
        <f>AW55/[1]DB!$B$23</f>
        <v>0</v>
      </c>
      <c r="BA55" s="350">
        <f>AX55/[1]DB!$B$23</f>
        <v>2.0457831325301204E-6</v>
      </c>
    </row>
    <row r="56" spans="1:53" s="352" customFormat="1" x14ac:dyDescent="0.3">
      <c r="A56" s="8" t="s">
        <v>529</v>
      </c>
      <c r="B56" s="8" t="str">
        <f>B52</f>
        <v>Подземный нефтепровод от ДНС до концевых сооружений, нефть</v>
      </c>
      <c r="C56" s="375" t="s">
        <v>110</v>
      </c>
      <c r="D56" s="376" t="s">
        <v>112</v>
      </c>
      <c r="E56" s="67">
        <f>E55</f>
        <v>1.9999999999999999E-6</v>
      </c>
      <c r="F56" s="68">
        <f>F52</f>
        <v>4245</v>
      </c>
      <c r="G56" s="8">
        <v>0.04</v>
      </c>
      <c r="H56" s="10">
        <f t="shared" si="58"/>
        <v>3.3959999999999996E-4</v>
      </c>
      <c r="I56" s="62">
        <f>0.15*I52</f>
        <v>8.9444999999999997</v>
      </c>
      <c r="J56" s="69">
        <f>0.9*J53</f>
        <v>0.13524084</v>
      </c>
      <c r="K56" s="74" t="s">
        <v>127</v>
      </c>
      <c r="L56" s="78">
        <v>3</v>
      </c>
      <c r="M56" s="377" t="str">
        <f t="shared" si="59"/>
        <v>C35</v>
      </c>
      <c r="N56" s="377" t="str">
        <f t="shared" si="60"/>
        <v>Подземный нефтепровод от ДНС до концевых сооружений, нефть</v>
      </c>
      <c r="O56" s="377" t="str">
        <f t="shared" si="61"/>
        <v>Частичное-пожар-вспышка</v>
      </c>
      <c r="P56" s="377" t="s">
        <v>46</v>
      </c>
      <c r="Q56" s="377" t="s">
        <v>46</v>
      </c>
      <c r="R56" s="377" t="s">
        <v>46</v>
      </c>
      <c r="S56" s="377" t="s">
        <v>46</v>
      </c>
      <c r="T56" s="377" t="s">
        <v>46</v>
      </c>
      <c r="U56" s="377" t="s">
        <v>46</v>
      </c>
      <c r="V56" s="377" t="s">
        <v>46</v>
      </c>
      <c r="W56" s="377" t="s">
        <v>46</v>
      </c>
      <c r="X56" s="377" t="s">
        <v>46</v>
      </c>
      <c r="Y56" s="377" t="s">
        <v>46</v>
      </c>
      <c r="Z56" s="377" t="s">
        <v>46</v>
      </c>
      <c r="AA56" s="377">
        <v>17.32</v>
      </c>
      <c r="AB56" s="377">
        <v>20.78</v>
      </c>
      <c r="AC56" s="377" t="s">
        <v>46</v>
      </c>
      <c r="AD56" s="377" t="s">
        <v>46</v>
      </c>
      <c r="AE56" s="377" t="s">
        <v>46</v>
      </c>
      <c r="AF56" s="377" t="s">
        <v>46</v>
      </c>
      <c r="AG56" s="377" t="s">
        <v>46</v>
      </c>
      <c r="AH56" s="377" t="s">
        <v>46</v>
      </c>
      <c r="AI56" s="377" t="s">
        <v>46</v>
      </c>
      <c r="AJ56" s="377">
        <v>0</v>
      </c>
      <c r="AK56" s="377">
        <v>1</v>
      </c>
      <c r="AL56" s="351">
        <f t="shared" ref="AL56:AL57" si="69">0.1*AL53</f>
        <v>7.5000000000000011E-2</v>
      </c>
      <c r="AM56" s="377">
        <f>AM52</f>
        <v>2.7E-2</v>
      </c>
      <c r="AN56" s="377">
        <f>ROUNDUP(AN52/3,0)</f>
        <v>1</v>
      </c>
      <c r="AO56" s="377"/>
      <c r="AP56" s="377"/>
      <c r="AQ56" s="32">
        <f>AM56*I56+AL56</f>
        <v>0.31650149999999999</v>
      </c>
      <c r="AR56" s="32">
        <f t="shared" si="62"/>
        <v>3.1650150000000002E-2</v>
      </c>
      <c r="AS56" s="33">
        <f t="shared" si="63"/>
        <v>0.25</v>
      </c>
      <c r="AT56" s="33">
        <f t="shared" si="64"/>
        <v>0.14953791249999998</v>
      </c>
      <c r="AU56" s="32">
        <f>10068.2*J56*POWER(10,-6)*10</f>
        <v>1.3616318252879999E-2</v>
      </c>
      <c r="AV56" s="33">
        <f t="shared" si="65"/>
        <v>0.76130588075287997</v>
      </c>
      <c r="AW56" s="34">
        <f t="shared" si="66"/>
        <v>0</v>
      </c>
      <c r="AX56" s="34">
        <f t="shared" si="67"/>
        <v>3.3959999999999996E-4</v>
      </c>
      <c r="AY56" s="34">
        <f t="shared" si="68"/>
        <v>2.5853947710367803E-4</v>
      </c>
      <c r="AZ56" s="350">
        <f>AW56/[1]DB!$B$23</f>
        <v>0</v>
      </c>
      <c r="BA56" s="350">
        <f>AX56/[1]DB!$B$23</f>
        <v>4.0915662650602403E-7</v>
      </c>
    </row>
    <row r="57" spans="1:53" s="352" customFormat="1" x14ac:dyDescent="0.3">
      <c r="A57" s="170" t="s">
        <v>530</v>
      </c>
      <c r="B57" s="170" t="str">
        <f>B52</f>
        <v>Подземный нефтепровод от ДНС до концевых сооружений, нефть</v>
      </c>
      <c r="C57" s="379" t="s">
        <v>111</v>
      </c>
      <c r="D57" s="380" t="s">
        <v>27</v>
      </c>
      <c r="E57" s="173">
        <f>E55</f>
        <v>1.9999999999999999E-6</v>
      </c>
      <c r="F57" s="174">
        <f>F52</f>
        <v>4245</v>
      </c>
      <c r="G57" s="170">
        <v>0.76</v>
      </c>
      <c r="H57" s="175">
        <f t="shared" si="58"/>
        <v>6.4523999999999996E-3</v>
      </c>
      <c r="I57" s="176">
        <f>0.15*I52</f>
        <v>8.9444999999999997</v>
      </c>
      <c r="J57" s="177">
        <v>0</v>
      </c>
      <c r="K57" s="178" t="s">
        <v>138</v>
      </c>
      <c r="L57" s="179">
        <v>1</v>
      </c>
      <c r="M57" s="377" t="str">
        <f t="shared" si="59"/>
        <v>C36</v>
      </c>
      <c r="N57" s="377" t="str">
        <f t="shared" si="60"/>
        <v>Подземный нефтепровод от ДНС до концевых сооружений, нефть</v>
      </c>
      <c r="O57" s="377" t="str">
        <f t="shared" si="61"/>
        <v>Частичное-ликвидация</v>
      </c>
      <c r="P57" s="377" t="s">
        <v>46</v>
      </c>
      <c r="Q57" s="377" t="s">
        <v>46</v>
      </c>
      <c r="R57" s="377" t="s">
        <v>46</v>
      </c>
      <c r="S57" s="377" t="s">
        <v>46</v>
      </c>
      <c r="T57" s="377" t="s">
        <v>46</v>
      </c>
      <c r="U57" s="377" t="s">
        <v>46</v>
      </c>
      <c r="V57" s="377" t="s">
        <v>46</v>
      </c>
      <c r="W57" s="377" t="s">
        <v>46</v>
      </c>
      <c r="X57" s="377" t="s">
        <v>46</v>
      </c>
      <c r="Y57" s="377" t="s">
        <v>46</v>
      </c>
      <c r="Z57" s="377" t="s">
        <v>46</v>
      </c>
      <c r="AA57" s="377" t="s">
        <v>46</v>
      </c>
      <c r="AB57" s="377" t="s">
        <v>46</v>
      </c>
      <c r="AC57" s="377" t="s">
        <v>46</v>
      </c>
      <c r="AD57" s="377" t="s">
        <v>46</v>
      </c>
      <c r="AE57" s="377" t="s">
        <v>46</v>
      </c>
      <c r="AF57" s="377" t="s">
        <v>46</v>
      </c>
      <c r="AG57" s="377" t="s">
        <v>46</v>
      </c>
      <c r="AH57" s="377" t="s">
        <v>46</v>
      </c>
      <c r="AI57" s="377" t="s">
        <v>46</v>
      </c>
      <c r="AJ57" s="377">
        <v>0</v>
      </c>
      <c r="AK57" s="377">
        <v>0</v>
      </c>
      <c r="AL57" s="351">
        <f t="shared" si="69"/>
        <v>7.5000000000000011E-2</v>
      </c>
      <c r="AM57" s="377">
        <f>AM52</f>
        <v>2.7E-2</v>
      </c>
      <c r="AN57" s="377">
        <f>ROUNDUP(AN52/3,0)</f>
        <v>1</v>
      </c>
      <c r="AO57" s="377"/>
      <c r="AP57" s="377"/>
      <c r="AQ57" s="32">
        <f>AM57*I57*0.1+AL57</f>
        <v>9.9150150000000006E-2</v>
      </c>
      <c r="AR57" s="32">
        <f t="shared" si="62"/>
        <v>9.915015000000001E-3</v>
      </c>
      <c r="AS57" s="33">
        <f t="shared" si="63"/>
        <v>0</v>
      </c>
      <c r="AT57" s="33">
        <f t="shared" si="64"/>
        <v>2.7266291250000001E-2</v>
      </c>
      <c r="AU57" s="32">
        <f>1333*J56*POWER(10,-6)</f>
        <v>1.8027603971999999E-4</v>
      </c>
      <c r="AV57" s="33">
        <f t="shared" si="65"/>
        <v>0.13651173228972002</v>
      </c>
      <c r="AW57" s="34">
        <f t="shared" si="66"/>
        <v>0</v>
      </c>
      <c r="AX57" s="34">
        <f t="shared" si="67"/>
        <v>0</v>
      </c>
      <c r="AY57" s="34">
        <f t="shared" si="68"/>
        <v>8.8082830142618941E-4</v>
      </c>
      <c r="AZ57" s="350">
        <f>AW57/[1]DB!$B$23</f>
        <v>0</v>
      </c>
      <c r="BA57" s="350">
        <f>AX57/[1]DB!$B$23</f>
        <v>0</v>
      </c>
    </row>
    <row r="58" spans="1:53" s="381" customForma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349" t="s">
        <v>467</v>
      </c>
      <c r="L58" s="153" t="s">
        <v>562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</row>
    <row r="59" spans="1:53" s="381" customForma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</row>
    <row r="60" spans="1:53" s="381" customForma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</row>
    <row r="61" spans="1:53" ht="15" thickBot="1" x14ac:dyDescent="0.35"/>
    <row r="62" spans="1:53" s="92" customFormat="1" ht="15" thickBot="1" x14ac:dyDescent="0.35">
      <c r="A62" s="82" t="s">
        <v>531</v>
      </c>
      <c r="B62" s="83" t="s">
        <v>604</v>
      </c>
      <c r="C62" s="84" t="s">
        <v>143</v>
      </c>
      <c r="D62" s="85" t="s">
        <v>25</v>
      </c>
      <c r="E62" s="86">
        <v>1.0000000000000001E-5</v>
      </c>
      <c r="F62" s="83">
        <v>2</v>
      </c>
      <c r="G62" s="82">
        <v>0.1</v>
      </c>
      <c r="H62" s="87">
        <f t="shared" ref="H62:H67" si="70">E62*F62*G62</f>
        <v>2.0000000000000003E-6</v>
      </c>
      <c r="I62" s="88">
        <v>1.2</v>
      </c>
      <c r="J62" s="89">
        <f>I62</f>
        <v>1.2</v>
      </c>
      <c r="K62" s="90" t="s">
        <v>122</v>
      </c>
      <c r="L62" s="91">
        <v>150</v>
      </c>
      <c r="M62" s="92" t="str">
        <f t="shared" ref="M62:N67" si="71">A62</f>
        <v>C37</v>
      </c>
      <c r="N62" s="92" t="str">
        <f t="shared" si="71"/>
        <v>Печь ПП-1,6 АМ</v>
      </c>
      <c r="O62" s="92" t="str">
        <f t="shared" ref="O62:O67" si="72">D62</f>
        <v>Полное-пожар</v>
      </c>
      <c r="P62" s="92">
        <v>9.9</v>
      </c>
      <c r="Q62" s="92">
        <v>14</v>
      </c>
      <c r="R62" s="92">
        <v>20.6</v>
      </c>
      <c r="S62" s="92">
        <v>40</v>
      </c>
      <c r="T62" s="92" t="s">
        <v>46</v>
      </c>
      <c r="U62" s="92" t="s">
        <v>46</v>
      </c>
      <c r="V62" s="92" t="s">
        <v>46</v>
      </c>
      <c r="W62" s="92" t="s">
        <v>46</v>
      </c>
      <c r="X62" s="92" t="s">
        <v>46</v>
      </c>
      <c r="Y62" s="92" t="s">
        <v>46</v>
      </c>
      <c r="Z62" s="92" t="s">
        <v>46</v>
      </c>
      <c r="AA62" s="92" t="s">
        <v>46</v>
      </c>
      <c r="AB62" s="92" t="s">
        <v>46</v>
      </c>
      <c r="AC62" s="92" t="s">
        <v>46</v>
      </c>
      <c r="AD62" s="92" t="s">
        <v>46</v>
      </c>
      <c r="AE62" s="92" t="s">
        <v>46</v>
      </c>
      <c r="AF62" s="92" t="s">
        <v>46</v>
      </c>
      <c r="AG62" s="92" t="s">
        <v>46</v>
      </c>
      <c r="AH62" s="92" t="s">
        <v>46</v>
      </c>
      <c r="AI62" s="92" t="s">
        <v>46</v>
      </c>
      <c r="AJ62" s="93">
        <v>0</v>
      </c>
      <c r="AK62" s="93">
        <v>2</v>
      </c>
      <c r="AL62" s="94">
        <v>0.75</v>
      </c>
      <c r="AM62" s="94">
        <v>2.7E-2</v>
      </c>
      <c r="AN62" s="94">
        <v>3</v>
      </c>
      <c r="AQ62" s="95">
        <f>AM62*I62+AL62</f>
        <v>0.78239999999999998</v>
      </c>
      <c r="AR62" s="95">
        <f t="shared" ref="AR62:AR67" si="73">0.1*AQ62</f>
        <v>7.8240000000000004E-2</v>
      </c>
      <c r="AS62" s="96">
        <f t="shared" ref="AS62:AS67" si="74">AJ62*3+0.25*AK62</f>
        <v>0.5</v>
      </c>
      <c r="AT62" s="96">
        <f t="shared" ref="AT62:AT67" si="75">SUM(AQ62:AS62)/4</f>
        <v>0.34016000000000002</v>
      </c>
      <c r="AU62" s="95">
        <f>10068.2*J62*POWER(10,-6)</f>
        <v>1.208184E-2</v>
      </c>
      <c r="AV62" s="96">
        <f t="shared" ref="AV62:AV67" si="76">AU62+AT62+AS62+AR62+AQ62</f>
        <v>1.7128818400000001</v>
      </c>
      <c r="AW62" s="97">
        <f t="shared" ref="AW62:AW67" si="77">AJ62*H62</f>
        <v>0</v>
      </c>
      <c r="AX62" s="97">
        <f t="shared" ref="AX62:AX67" si="78">H62*AK62</f>
        <v>4.0000000000000007E-6</v>
      </c>
      <c r="AY62" s="97">
        <f t="shared" ref="AY62:AY67" si="79">H62*AV62</f>
        <v>3.4257636800000007E-6</v>
      </c>
      <c r="AZ62" s="283">
        <f>AW62/DB!$B$23</f>
        <v>0</v>
      </c>
      <c r="BA62" s="283">
        <f>AX62/DB!$B$23</f>
        <v>4.2553191489361712E-9</v>
      </c>
    </row>
    <row r="63" spans="1:53" s="92" customFormat="1" ht="15" thickBot="1" x14ac:dyDescent="0.35">
      <c r="A63" s="82" t="s">
        <v>532</v>
      </c>
      <c r="B63" s="82" t="str">
        <f>B62</f>
        <v>Печь ПП-1,6 АМ</v>
      </c>
      <c r="C63" s="84" t="s">
        <v>545</v>
      </c>
      <c r="D63" s="85" t="s">
        <v>28</v>
      </c>
      <c r="E63" s="98">
        <f>E62</f>
        <v>1.0000000000000001E-5</v>
      </c>
      <c r="F63" s="99">
        <f>F62</f>
        <v>2</v>
      </c>
      <c r="G63" s="82">
        <v>0.18000000000000002</v>
      </c>
      <c r="H63" s="87">
        <f t="shared" si="70"/>
        <v>3.6000000000000007E-6</v>
      </c>
      <c r="I63" s="100">
        <f>I62</f>
        <v>1.2</v>
      </c>
      <c r="J63" s="101">
        <v>0.05</v>
      </c>
      <c r="K63" s="90" t="s">
        <v>123</v>
      </c>
      <c r="L63" s="91">
        <v>0</v>
      </c>
      <c r="M63" s="92" t="str">
        <f t="shared" si="71"/>
        <v>C38</v>
      </c>
      <c r="N63" s="92" t="str">
        <f t="shared" si="71"/>
        <v>Печь ПП-1,6 АМ</v>
      </c>
      <c r="O63" s="92" t="str">
        <f t="shared" si="72"/>
        <v>Полное-взрыв</v>
      </c>
      <c r="P63" s="92" t="s">
        <v>46</v>
      </c>
      <c r="Q63" s="92" t="s">
        <v>46</v>
      </c>
      <c r="R63" s="92" t="s">
        <v>46</v>
      </c>
      <c r="S63" s="92" t="s">
        <v>46</v>
      </c>
      <c r="T63" s="92">
        <v>0</v>
      </c>
      <c r="U63" s="92">
        <v>0</v>
      </c>
      <c r="V63" s="92">
        <v>28.1</v>
      </c>
      <c r="W63" s="92">
        <v>93.1</v>
      </c>
      <c r="X63" s="92">
        <v>136.1</v>
      </c>
      <c r="Y63" s="92" t="s">
        <v>46</v>
      </c>
      <c r="Z63" s="92" t="s">
        <v>46</v>
      </c>
      <c r="AA63" s="92" t="s">
        <v>46</v>
      </c>
      <c r="AB63" s="92" t="s">
        <v>46</v>
      </c>
      <c r="AC63" s="92" t="s">
        <v>46</v>
      </c>
      <c r="AD63" s="92" t="s">
        <v>46</v>
      </c>
      <c r="AE63" s="92" t="s">
        <v>46</v>
      </c>
      <c r="AF63" s="92" t="s">
        <v>46</v>
      </c>
      <c r="AG63" s="92" t="s">
        <v>46</v>
      </c>
      <c r="AH63" s="92" t="s">
        <v>46</v>
      </c>
      <c r="AI63" s="92" t="s">
        <v>46</v>
      </c>
      <c r="AJ63" s="93">
        <v>0</v>
      </c>
      <c r="AK63" s="93">
        <v>2</v>
      </c>
      <c r="AL63" s="92">
        <f>AL62</f>
        <v>0.75</v>
      </c>
      <c r="AM63" s="92">
        <f>AM62</f>
        <v>2.7E-2</v>
      </c>
      <c r="AN63" s="92">
        <f>AN62</f>
        <v>3</v>
      </c>
      <c r="AQ63" s="95">
        <f>AM63*I63+AL63</f>
        <v>0.78239999999999998</v>
      </c>
      <c r="AR63" s="95">
        <f t="shared" si="73"/>
        <v>7.8240000000000004E-2</v>
      </c>
      <c r="AS63" s="96">
        <f t="shared" si="74"/>
        <v>0.5</v>
      </c>
      <c r="AT63" s="96">
        <f t="shared" si="75"/>
        <v>0.34016000000000002</v>
      </c>
      <c r="AU63" s="95">
        <f>AU62</f>
        <v>1.208184E-2</v>
      </c>
      <c r="AV63" s="96">
        <f t="shared" si="76"/>
        <v>1.7128818400000001</v>
      </c>
      <c r="AW63" s="97">
        <f t="shared" si="77"/>
        <v>0</v>
      </c>
      <c r="AX63" s="97">
        <f t="shared" si="78"/>
        <v>7.2000000000000014E-6</v>
      </c>
      <c r="AY63" s="97">
        <f t="shared" si="79"/>
        <v>6.1663746240000019E-6</v>
      </c>
      <c r="AZ63" s="283">
        <f>AW63/DB!$B$23</f>
        <v>0</v>
      </c>
      <c r="BA63" s="283">
        <f>AX63/DB!$B$23</f>
        <v>7.6595744680851076E-9</v>
      </c>
    </row>
    <row r="64" spans="1:53" s="92" customFormat="1" x14ac:dyDescent="0.3">
      <c r="A64" s="82" t="s">
        <v>533</v>
      </c>
      <c r="B64" s="82" t="str">
        <f>B62</f>
        <v>Печь ПП-1,6 АМ</v>
      </c>
      <c r="C64" s="84" t="s">
        <v>145</v>
      </c>
      <c r="D64" s="85" t="s">
        <v>26</v>
      </c>
      <c r="E64" s="98">
        <f>E62</f>
        <v>1.0000000000000001E-5</v>
      </c>
      <c r="F64" s="99">
        <f>F62</f>
        <v>2</v>
      </c>
      <c r="G64" s="82">
        <v>0.72000000000000008</v>
      </c>
      <c r="H64" s="87">
        <f t="shared" si="70"/>
        <v>1.4400000000000003E-5</v>
      </c>
      <c r="I64" s="100">
        <f>I62</f>
        <v>1.2</v>
      </c>
      <c r="J64" s="102">
        <v>0</v>
      </c>
      <c r="K64" s="90" t="s">
        <v>124</v>
      </c>
      <c r="L64" s="91">
        <v>0</v>
      </c>
      <c r="M64" s="92" t="str">
        <f t="shared" si="71"/>
        <v>C39</v>
      </c>
      <c r="N64" s="92" t="str">
        <f t="shared" si="71"/>
        <v>Печь ПП-1,6 АМ</v>
      </c>
      <c r="O64" s="92" t="str">
        <f t="shared" si="72"/>
        <v>Полное-ликвидация</v>
      </c>
      <c r="P64" s="92" t="s">
        <v>46</v>
      </c>
      <c r="Q64" s="92" t="s">
        <v>46</v>
      </c>
      <c r="R64" s="92" t="s">
        <v>46</v>
      </c>
      <c r="S64" s="92" t="s">
        <v>46</v>
      </c>
      <c r="T64" s="92" t="s">
        <v>46</v>
      </c>
      <c r="U64" s="92" t="s">
        <v>46</v>
      </c>
      <c r="V64" s="92" t="s">
        <v>46</v>
      </c>
      <c r="W64" s="92" t="s">
        <v>46</v>
      </c>
      <c r="X64" s="92" t="s">
        <v>46</v>
      </c>
      <c r="Y64" s="92" t="s">
        <v>46</v>
      </c>
      <c r="Z64" s="92" t="s">
        <v>46</v>
      </c>
      <c r="AA64" s="92" t="s">
        <v>46</v>
      </c>
      <c r="AB64" s="92" t="s">
        <v>46</v>
      </c>
      <c r="AC64" s="92" t="s">
        <v>46</v>
      </c>
      <c r="AD64" s="92" t="s">
        <v>46</v>
      </c>
      <c r="AE64" s="92" t="s">
        <v>46</v>
      </c>
      <c r="AF64" s="92" t="s">
        <v>46</v>
      </c>
      <c r="AG64" s="92" t="s">
        <v>46</v>
      </c>
      <c r="AH64" s="92" t="s">
        <v>46</v>
      </c>
      <c r="AI64" s="92" t="s">
        <v>46</v>
      </c>
      <c r="AJ64" s="92">
        <v>0</v>
      </c>
      <c r="AK64" s="92">
        <v>0</v>
      </c>
      <c r="AL64" s="92">
        <f>AL62</f>
        <v>0.75</v>
      </c>
      <c r="AM64" s="92">
        <f>AM62</f>
        <v>2.7E-2</v>
      </c>
      <c r="AN64" s="92">
        <f>AN62</f>
        <v>3</v>
      </c>
      <c r="AQ64" s="95">
        <f>AM64*I64*0.1+AL64</f>
        <v>0.75324000000000002</v>
      </c>
      <c r="AR64" s="95">
        <f t="shared" si="73"/>
        <v>7.5324000000000002E-2</v>
      </c>
      <c r="AS64" s="96">
        <f t="shared" si="74"/>
        <v>0</v>
      </c>
      <c r="AT64" s="96">
        <f t="shared" si="75"/>
        <v>0.20714100000000002</v>
      </c>
      <c r="AU64" s="95">
        <f>1333*J63*POWER(10,-6)</f>
        <v>6.6650000000000007E-5</v>
      </c>
      <c r="AV64" s="96">
        <f t="shared" si="76"/>
        <v>1.03577165</v>
      </c>
      <c r="AW64" s="97">
        <f t="shared" si="77"/>
        <v>0</v>
      </c>
      <c r="AX64" s="97">
        <f t="shared" si="78"/>
        <v>0</v>
      </c>
      <c r="AY64" s="97">
        <f t="shared" si="79"/>
        <v>1.4915111760000004E-5</v>
      </c>
      <c r="AZ64" s="283">
        <f>AW64/DB!$B$23</f>
        <v>0</v>
      </c>
      <c r="BA64" s="283">
        <f>AX64/DB!$B$23</f>
        <v>0</v>
      </c>
    </row>
    <row r="65" spans="1:53" s="92" customFormat="1" x14ac:dyDescent="0.3">
      <c r="A65" s="82" t="s">
        <v>534</v>
      </c>
      <c r="B65" s="82" t="str">
        <f>B62</f>
        <v>Печь ПП-1,6 АМ</v>
      </c>
      <c r="C65" s="84" t="s">
        <v>146</v>
      </c>
      <c r="D65" s="85" t="s">
        <v>47</v>
      </c>
      <c r="E65" s="86">
        <v>1E-4</v>
      </c>
      <c r="F65" s="99">
        <f>F62</f>
        <v>2</v>
      </c>
      <c r="G65" s="82">
        <v>0.1</v>
      </c>
      <c r="H65" s="87">
        <f t="shared" si="70"/>
        <v>2.0000000000000002E-5</v>
      </c>
      <c r="I65" s="100">
        <f>0.15*I62</f>
        <v>0.18</v>
      </c>
      <c r="J65" s="89">
        <f>I65</f>
        <v>0.18</v>
      </c>
      <c r="K65" s="103" t="s">
        <v>126</v>
      </c>
      <c r="L65" s="104">
        <v>45390</v>
      </c>
      <c r="M65" s="92" t="str">
        <f t="shared" si="71"/>
        <v>C40</v>
      </c>
      <c r="N65" s="92" t="str">
        <f t="shared" si="71"/>
        <v>Печь ПП-1,6 АМ</v>
      </c>
      <c r="O65" s="92" t="str">
        <f t="shared" si="72"/>
        <v>Частичное-пожар</v>
      </c>
      <c r="P65" s="92">
        <v>4.3</v>
      </c>
      <c r="Q65" s="92">
        <v>6.2</v>
      </c>
      <c r="R65" s="92">
        <v>9.1999999999999993</v>
      </c>
      <c r="S65" s="92">
        <v>17</v>
      </c>
      <c r="T65" s="92" t="s">
        <v>46</v>
      </c>
      <c r="U65" s="92" t="s">
        <v>46</v>
      </c>
      <c r="V65" s="92" t="s">
        <v>46</v>
      </c>
      <c r="W65" s="92" t="s">
        <v>46</v>
      </c>
      <c r="X65" s="92" t="s">
        <v>46</v>
      </c>
      <c r="Y65" s="92" t="s">
        <v>46</v>
      </c>
      <c r="Z65" s="92" t="s">
        <v>46</v>
      </c>
      <c r="AA65" s="92" t="s">
        <v>46</v>
      </c>
      <c r="AB65" s="92" t="s">
        <v>46</v>
      </c>
      <c r="AC65" s="92" t="s">
        <v>46</v>
      </c>
      <c r="AD65" s="92" t="s">
        <v>46</v>
      </c>
      <c r="AE65" s="92" t="s">
        <v>46</v>
      </c>
      <c r="AF65" s="92" t="s">
        <v>46</v>
      </c>
      <c r="AG65" s="92" t="s">
        <v>46</v>
      </c>
      <c r="AH65" s="92" t="s">
        <v>46</v>
      </c>
      <c r="AI65" s="92" t="s">
        <v>46</v>
      </c>
      <c r="AJ65" s="92">
        <v>0</v>
      </c>
      <c r="AK65" s="92">
        <v>2</v>
      </c>
      <c r="AL65" s="92">
        <f>0.1*$AL$2</f>
        <v>7.5000000000000011E-2</v>
      </c>
      <c r="AM65" s="92">
        <f>AM62</f>
        <v>2.7E-2</v>
      </c>
      <c r="AN65" s="92">
        <f>ROUNDUP(AN62/3,0)</f>
        <v>1</v>
      </c>
      <c r="AQ65" s="95">
        <f>AM65*I65+AL65</f>
        <v>7.9860000000000014E-2</v>
      </c>
      <c r="AR65" s="95">
        <f t="shared" si="73"/>
        <v>7.9860000000000018E-3</v>
      </c>
      <c r="AS65" s="96">
        <f t="shared" si="74"/>
        <v>0.5</v>
      </c>
      <c r="AT65" s="96">
        <f t="shared" si="75"/>
        <v>0.14696149999999999</v>
      </c>
      <c r="AU65" s="95">
        <f>10068.2*J65*POWER(10,-6)</f>
        <v>1.812276E-3</v>
      </c>
      <c r="AV65" s="96">
        <f t="shared" si="76"/>
        <v>0.73661977600000006</v>
      </c>
      <c r="AW65" s="97">
        <f t="shared" si="77"/>
        <v>0</v>
      </c>
      <c r="AX65" s="97">
        <f t="shared" si="78"/>
        <v>4.0000000000000003E-5</v>
      </c>
      <c r="AY65" s="97">
        <f t="shared" si="79"/>
        <v>1.4732395520000002E-5</v>
      </c>
      <c r="AZ65" s="283">
        <f>AW65/DB!$B$23</f>
        <v>0</v>
      </c>
      <c r="BA65" s="283">
        <f>AX65/DB!$B$23</f>
        <v>4.2553191489361707E-8</v>
      </c>
    </row>
    <row r="66" spans="1:53" s="92" customFormat="1" x14ac:dyDescent="0.3">
      <c r="A66" s="82" t="s">
        <v>535</v>
      </c>
      <c r="B66" s="82" t="str">
        <f>B62</f>
        <v>Печь ПП-1,6 АМ</v>
      </c>
      <c r="C66" s="84" t="s">
        <v>147</v>
      </c>
      <c r="D66" s="85" t="s">
        <v>112</v>
      </c>
      <c r="E66" s="98">
        <f>E65</f>
        <v>1E-4</v>
      </c>
      <c r="F66" s="99">
        <f>F62</f>
        <v>2</v>
      </c>
      <c r="G66" s="82">
        <v>4.5000000000000005E-2</v>
      </c>
      <c r="H66" s="87">
        <f t="shared" si="70"/>
        <v>9.0000000000000019E-6</v>
      </c>
      <c r="I66" s="100">
        <f>0.15*I62</f>
        <v>0.18</v>
      </c>
      <c r="J66" s="89">
        <f>0.15*J63</f>
        <v>7.4999999999999997E-3</v>
      </c>
      <c r="K66" s="103" t="s">
        <v>127</v>
      </c>
      <c r="L66" s="104">
        <v>3</v>
      </c>
      <c r="M66" s="92" t="str">
        <f t="shared" si="71"/>
        <v>C41</v>
      </c>
      <c r="N66" s="92" t="str">
        <f t="shared" si="71"/>
        <v>Печь ПП-1,6 АМ</v>
      </c>
      <c r="O66" s="92" t="str">
        <f t="shared" si="72"/>
        <v>Частичное-пожар-вспышка</v>
      </c>
      <c r="P66" s="92" t="s">
        <v>46</v>
      </c>
      <c r="Q66" s="92" t="s">
        <v>46</v>
      </c>
      <c r="R66" s="92" t="s">
        <v>46</v>
      </c>
      <c r="S66" s="92" t="s">
        <v>46</v>
      </c>
      <c r="T66" s="92" t="s">
        <v>46</v>
      </c>
      <c r="U66" s="92" t="s">
        <v>46</v>
      </c>
      <c r="V66" s="92" t="s">
        <v>46</v>
      </c>
      <c r="W66" s="92" t="s">
        <v>46</v>
      </c>
      <c r="X66" s="92" t="s">
        <v>46</v>
      </c>
      <c r="Y66" s="92" t="s">
        <v>46</v>
      </c>
      <c r="Z66" s="92" t="s">
        <v>46</v>
      </c>
      <c r="AA66" s="92">
        <v>6.67</v>
      </c>
      <c r="AB66" s="92">
        <v>8</v>
      </c>
      <c r="AC66" s="92" t="s">
        <v>46</v>
      </c>
      <c r="AD66" s="92" t="s">
        <v>46</v>
      </c>
      <c r="AE66" s="92" t="s">
        <v>46</v>
      </c>
      <c r="AF66" s="92" t="s">
        <v>46</v>
      </c>
      <c r="AG66" s="92" t="s">
        <v>46</v>
      </c>
      <c r="AH66" s="92" t="s">
        <v>46</v>
      </c>
      <c r="AI66" s="92" t="s">
        <v>46</v>
      </c>
      <c r="AJ66" s="92">
        <v>0</v>
      </c>
      <c r="AK66" s="92">
        <v>1</v>
      </c>
      <c r="AL66" s="92">
        <f>0.1*$AL$2</f>
        <v>7.5000000000000011E-2</v>
      </c>
      <c r="AM66" s="92">
        <f>AM62</f>
        <v>2.7E-2</v>
      </c>
      <c r="AN66" s="92">
        <f>ROUNDUP(AN62/3,0)</f>
        <v>1</v>
      </c>
      <c r="AQ66" s="95">
        <f>AM66*I66+AL66</f>
        <v>7.9860000000000014E-2</v>
      </c>
      <c r="AR66" s="95">
        <f t="shared" si="73"/>
        <v>7.9860000000000018E-3</v>
      </c>
      <c r="AS66" s="96">
        <f t="shared" si="74"/>
        <v>0.25</v>
      </c>
      <c r="AT66" s="96">
        <f t="shared" si="75"/>
        <v>8.4461500000000009E-2</v>
      </c>
      <c r="AU66" s="95">
        <f>10068.2*J66*POWER(10,-6)*10</f>
        <v>7.55115E-4</v>
      </c>
      <c r="AV66" s="96">
        <f t="shared" si="76"/>
        <v>0.42306261499999998</v>
      </c>
      <c r="AW66" s="97">
        <f t="shared" si="77"/>
        <v>0</v>
      </c>
      <c r="AX66" s="97">
        <f t="shared" si="78"/>
        <v>9.0000000000000019E-6</v>
      </c>
      <c r="AY66" s="97">
        <f t="shared" si="79"/>
        <v>3.8075635350000006E-6</v>
      </c>
      <c r="AZ66" s="283">
        <f>AW66/DB!$B$23</f>
        <v>0</v>
      </c>
      <c r="BA66" s="283">
        <f>AX66/DB!$B$23</f>
        <v>9.5744680851063853E-9</v>
      </c>
    </row>
    <row r="67" spans="1:53" s="92" customFormat="1" ht="15" thickBot="1" x14ac:dyDescent="0.35">
      <c r="A67" s="82" t="s">
        <v>536</v>
      </c>
      <c r="B67" s="82" t="str">
        <f>B62</f>
        <v>Печь ПП-1,6 АМ</v>
      </c>
      <c r="C67" s="84" t="s">
        <v>148</v>
      </c>
      <c r="D67" s="85" t="s">
        <v>27</v>
      </c>
      <c r="E67" s="98">
        <f>E65</f>
        <v>1E-4</v>
      </c>
      <c r="F67" s="99">
        <f>F62</f>
        <v>2</v>
      </c>
      <c r="G67" s="82">
        <v>0.85499999999999998</v>
      </c>
      <c r="H67" s="87">
        <f t="shared" si="70"/>
        <v>1.7100000000000001E-4</v>
      </c>
      <c r="I67" s="100">
        <f>0.15*I62</f>
        <v>0.18</v>
      </c>
      <c r="J67" s="102">
        <v>0</v>
      </c>
      <c r="K67" s="105" t="s">
        <v>138</v>
      </c>
      <c r="L67" s="105">
        <v>9</v>
      </c>
      <c r="M67" s="92" t="str">
        <f t="shared" si="71"/>
        <v>C42</v>
      </c>
      <c r="N67" s="92" t="str">
        <f t="shared" si="71"/>
        <v>Печь ПП-1,6 АМ</v>
      </c>
      <c r="O67" s="92" t="str">
        <f t="shared" si="72"/>
        <v>Частичное-ликвидация</v>
      </c>
      <c r="P67" s="92" t="s">
        <v>46</v>
      </c>
      <c r="Q67" s="92" t="s">
        <v>46</v>
      </c>
      <c r="R67" s="92" t="s">
        <v>46</v>
      </c>
      <c r="S67" s="92" t="s">
        <v>46</v>
      </c>
      <c r="T67" s="92" t="s">
        <v>46</v>
      </c>
      <c r="U67" s="92" t="s">
        <v>46</v>
      </c>
      <c r="V67" s="92" t="s">
        <v>46</v>
      </c>
      <c r="W67" s="92" t="s">
        <v>46</v>
      </c>
      <c r="X67" s="92" t="s">
        <v>46</v>
      </c>
      <c r="Y67" s="92" t="s">
        <v>46</v>
      </c>
      <c r="Z67" s="92" t="s">
        <v>46</v>
      </c>
      <c r="AA67" s="92" t="s">
        <v>46</v>
      </c>
      <c r="AB67" s="92" t="s">
        <v>46</v>
      </c>
      <c r="AC67" s="92" t="s">
        <v>46</v>
      </c>
      <c r="AD67" s="92" t="s">
        <v>46</v>
      </c>
      <c r="AE67" s="92" t="s">
        <v>46</v>
      </c>
      <c r="AF67" s="92" t="s">
        <v>46</v>
      </c>
      <c r="AG67" s="92" t="s">
        <v>46</v>
      </c>
      <c r="AH67" s="92" t="s">
        <v>46</v>
      </c>
      <c r="AI67" s="92" t="s">
        <v>46</v>
      </c>
      <c r="AJ67" s="92">
        <v>0</v>
      </c>
      <c r="AK67" s="92">
        <v>0</v>
      </c>
      <c r="AL67" s="92">
        <f>0.1*$AL$2</f>
        <v>7.5000000000000011E-2</v>
      </c>
      <c r="AM67" s="92">
        <f>AM62</f>
        <v>2.7E-2</v>
      </c>
      <c r="AN67" s="92">
        <f>ROUNDUP(AN62/3,0)</f>
        <v>1</v>
      </c>
      <c r="AQ67" s="95">
        <f>AM67*I67*0.1+AL67</f>
        <v>7.5486000000000011E-2</v>
      </c>
      <c r="AR67" s="95">
        <f t="shared" si="73"/>
        <v>7.5486000000000017E-3</v>
      </c>
      <c r="AS67" s="96">
        <f t="shared" si="74"/>
        <v>0</v>
      </c>
      <c r="AT67" s="96">
        <f t="shared" si="75"/>
        <v>2.0758650000000003E-2</v>
      </c>
      <c r="AU67" s="95">
        <f>1333*J66*POWER(10,-6)</f>
        <v>9.9975000000000004E-6</v>
      </c>
      <c r="AV67" s="96">
        <f t="shared" si="76"/>
        <v>0.10380324750000001</v>
      </c>
      <c r="AW67" s="97">
        <f t="shared" si="77"/>
        <v>0</v>
      </c>
      <c r="AX67" s="97">
        <f t="shared" si="78"/>
        <v>0</v>
      </c>
      <c r="AY67" s="97">
        <f t="shared" si="79"/>
        <v>1.7750355322500004E-5</v>
      </c>
      <c r="AZ67" s="283">
        <f>AW67/DB!$B$23</f>
        <v>0</v>
      </c>
      <c r="BA67" s="283">
        <f>AX67/DB!$B$23</f>
        <v>0</v>
      </c>
    </row>
    <row r="68" spans="1:53" s="92" customFormat="1" x14ac:dyDescent="0.3">
      <c r="A68" s="93"/>
      <c r="B68" s="93"/>
      <c r="D68" s="184"/>
      <c r="E68" s="185"/>
      <c r="F68" s="186"/>
      <c r="G68" s="93"/>
      <c r="H68" s="97"/>
      <c r="I68" s="96"/>
      <c r="J68" s="93"/>
      <c r="K68" s="349" t="s">
        <v>467</v>
      </c>
      <c r="L68" s="153" t="s">
        <v>562</v>
      </c>
      <c r="AQ68" s="95"/>
      <c r="AR68" s="95"/>
      <c r="AS68" s="96"/>
      <c r="AT68" s="96"/>
      <c r="AU68" s="95"/>
      <c r="AV68" s="96"/>
      <c r="AW68" s="97"/>
      <c r="AX68" s="97"/>
      <c r="AY68" s="97"/>
    </row>
    <row r="69" spans="1:53" s="92" customFormat="1" x14ac:dyDescent="0.3">
      <c r="A69" s="93"/>
      <c r="B69" s="93"/>
      <c r="D69" s="184"/>
      <c r="E69" s="185"/>
      <c r="F69" s="186"/>
      <c r="G69" s="93"/>
      <c r="H69" s="97"/>
      <c r="I69" s="96"/>
      <c r="J69" s="93"/>
      <c r="K69" s="93"/>
      <c r="L69" s="93"/>
      <c r="AQ69" s="95"/>
      <c r="AR69" s="95"/>
      <c r="AS69" s="96"/>
      <c r="AT69" s="96"/>
      <c r="AU69" s="95"/>
      <c r="AV69" s="96"/>
      <c r="AW69" s="97"/>
      <c r="AX69" s="97"/>
      <c r="AY69" s="97"/>
    </row>
    <row r="70" spans="1:53" s="92" customFormat="1" x14ac:dyDescent="0.3">
      <c r="A70" s="93"/>
      <c r="B70" s="93"/>
      <c r="D70" s="184"/>
      <c r="E70" s="185"/>
      <c r="F70" s="186"/>
      <c r="G70" s="93"/>
      <c r="H70" s="97"/>
      <c r="I70" s="96"/>
      <c r="J70" s="93"/>
      <c r="K70" s="93"/>
      <c r="L70" s="93"/>
      <c r="AQ70" s="95"/>
      <c r="AR70" s="95"/>
      <c r="AS70" s="96"/>
      <c r="AT70" s="96"/>
      <c r="AU70" s="95"/>
      <c r="AV70" s="96"/>
      <c r="AW70" s="97"/>
      <c r="AX70" s="97"/>
      <c r="AY70" s="97"/>
    </row>
    <row r="71" spans="1:53" ht="15" thickBot="1" x14ac:dyDescent="0.35"/>
    <row r="72" spans="1:53" ht="18" customHeight="1" x14ac:dyDescent="0.3">
      <c r="A72" s="8" t="s">
        <v>537</v>
      </c>
      <c r="B72" s="63" t="s">
        <v>595</v>
      </c>
      <c r="C72" s="79" t="s">
        <v>129</v>
      </c>
      <c r="D72" s="9" t="s">
        <v>130</v>
      </c>
      <c r="E72" s="66">
        <v>2.9999999999999999E-7</v>
      </c>
      <c r="F72" s="63">
        <v>263</v>
      </c>
      <c r="G72" s="8">
        <v>0.2</v>
      </c>
      <c r="H72" s="10">
        <f>E72*F72*G72</f>
        <v>1.5779999999999998E-5</v>
      </c>
      <c r="I72" s="64">
        <v>0.69</v>
      </c>
      <c r="J72" s="69">
        <f>I72</f>
        <v>0.69</v>
      </c>
      <c r="K72" s="72" t="s">
        <v>122</v>
      </c>
      <c r="L72" s="77">
        <v>0</v>
      </c>
      <c r="M72" s="31" t="str">
        <f t="shared" ref="M72:N79" si="80">A72</f>
        <v>C43</v>
      </c>
      <c r="N72" s="31" t="str">
        <f t="shared" si="80"/>
        <v>Подземный газопровод от ДНС до концевых сооружений(вновь)</v>
      </c>
      <c r="O72" s="31" t="str">
        <f t="shared" ref="O72:O79" si="81">D72</f>
        <v>Полное-факел</v>
      </c>
      <c r="P72" s="31" t="s">
        <v>46</v>
      </c>
      <c r="Q72" s="31" t="s">
        <v>46</v>
      </c>
      <c r="R72" s="31" t="s">
        <v>46</v>
      </c>
      <c r="S72" s="31" t="s">
        <v>46</v>
      </c>
      <c r="T72" s="31" t="s">
        <v>46</v>
      </c>
      <c r="U72" s="31" t="s">
        <v>46</v>
      </c>
      <c r="V72" s="31" t="s">
        <v>46</v>
      </c>
      <c r="W72" s="31" t="s">
        <v>46</v>
      </c>
      <c r="X72" s="31" t="s">
        <v>46</v>
      </c>
      <c r="Y72" s="31">
        <v>17</v>
      </c>
      <c r="Z72" s="31">
        <v>3</v>
      </c>
      <c r="AA72" s="31" t="s">
        <v>46</v>
      </c>
      <c r="AB72" s="31" t="s">
        <v>46</v>
      </c>
      <c r="AC72" s="31" t="s">
        <v>46</v>
      </c>
      <c r="AD72" s="31" t="s">
        <v>46</v>
      </c>
      <c r="AE72" s="31" t="s">
        <v>46</v>
      </c>
      <c r="AF72" s="31" t="s">
        <v>46</v>
      </c>
      <c r="AG72" s="31" t="s">
        <v>46</v>
      </c>
      <c r="AH72" s="31" t="s">
        <v>46</v>
      </c>
      <c r="AI72" s="31" t="s">
        <v>46</v>
      </c>
      <c r="AJ72" s="12">
        <v>0</v>
      </c>
      <c r="AK72" s="12">
        <v>2</v>
      </c>
      <c r="AL72" s="65">
        <v>0.75</v>
      </c>
      <c r="AM72" s="65">
        <v>2.7E-2</v>
      </c>
      <c r="AN72" s="65">
        <v>3</v>
      </c>
      <c r="AO72" s="31"/>
      <c r="AP72" s="31"/>
      <c r="AQ72" s="32">
        <f>AM72*I72+AL72</f>
        <v>0.76863000000000004</v>
      </c>
      <c r="AR72" s="32">
        <f>0.1*AQ72</f>
        <v>7.6863000000000015E-2</v>
      </c>
      <c r="AS72" s="33">
        <f>AJ72*3+0.25*AK72</f>
        <v>0.5</v>
      </c>
      <c r="AT72" s="33">
        <f>SUM(AQ72:AS72)/4</f>
        <v>0.33637325000000001</v>
      </c>
      <c r="AU72" s="32">
        <f>10068.2*J72*POWER(10,-6)</f>
        <v>6.9470579999999999E-3</v>
      </c>
      <c r="AV72" s="33">
        <f t="shared" ref="AV72:AV79" si="82">AU72+AT72+AS72+AR72+AQ72</f>
        <v>1.6888133080000001</v>
      </c>
      <c r="AW72" s="34">
        <f>AJ72*H72</f>
        <v>0</v>
      </c>
      <c r="AX72" s="34">
        <f>H72*AK72</f>
        <v>3.1559999999999996E-5</v>
      </c>
      <c r="AY72" s="34">
        <f>H72*AV72</f>
        <v>2.6649474000239997E-5</v>
      </c>
      <c r="AZ72" s="283">
        <f>AW72/DB!$B$23</f>
        <v>0</v>
      </c>
      <c r="BA72" s="283">
        <f>AX72/DB!$B$23</f>
        <v>3.357446808510638E-8</v>
      </c>
    </row>
    <row r="73" spans="1:53" x14ac:dyDescent="0.3">
      <c r="A73" s="8" t="s">
        <v>538</v>
      </c>
      <c r="B73" s="8" t="str">
        <f>B72</f>
        <v>Подземный газопровод от ДНС до концевых сооружений(вновь)</v>
      </c>
      <c r="C73" s="79" t="s">
        <v>107</v>
      </c>
      <c r="D73" s="9" t="s">
        <v>28</v>
      </c>
      <c r="E73" s="67">
        <f>E72</f>
        <v>2.9999999999999999E-7</v>
      </c>
      <c r="F73" s="68">
        <f>F72</f>
        <v>263</v>
      </c>
      <c r="G73" s="8">
        <v>0.1152</v>
      </c>
      <c r="H73" s="10">
        <f t="shared" ref="H73:H79" si="83">E73*F73*G73</f>
        <v>9.0892799999999998E-6</v>
      </c>
      <c r="I73" s="62">
        <f>I72</f>
        <v>0.69</v>
      </c>
      <c r="J73" s="80">
        <f>0.1*I72</f>
        <v>6.8999999999999992E-2</v>
      </c>
      <c r="K73" s="74" t="s">
        <v>123</v>
      </c>
      <c r="L73" s="78">
        <v>2</v>
      </c>
      <c r="M73" s="31" t="str">
        <f t="shared" si="80"/>
        <v>C44</v>
      </c>
      <c r="N73" s="31" t="str">
        <f t="shared" si="80"/>
        <v>Подземный газопровод от ДНС до концевых сооружений(вновь)</v>
      </c>
      <c r="O73" s="31" t="str">
        <f t="shared" si="81"/>
        <v>Полное-взрыв</v>
      </c>
      <c r="P73" s="31" t="s">
        <v>46</v>
      </c>
      <c r="Q73" s="31" t="s">
        <v>46</v>
      </c>
      <c r="R73" s="31" t="s">
        <v>46</v>
      </c>
      <c r="S73" s="31" t="s">
        <v>46</v>
      </c>
      <c r="T73" s="31">
        <v>0</v>
      </c>
      <c r="U73" s="31">
        <v>0</v>
      </c>
      <c r="V73" s="31">
        <v>31.1</v>
      </c>
      <c r="W73" s="31">
        <v>103.6</v>
      </c>
      <c r="X73" s="31">
        <v>151.6</v>
      </c>
      <c r="Y73" s="31" t="s">
        <v>46</v>
      </c>
      <c r="Z73" s="31" t="s">
        <v>46</v>
      </c>
      <c r="AA73" s="31" t="s">
        <v>46</v>
      </c>
      <c r="AB73" s="31" t="s">
        <v>46</v>
      </c>
      <c r="AC73" s="31" t="s">
        <v>46</v>
      </c>
      <c r="AD73" s="31" t="s">
        <v>46</v>
      </c>
      <c r="AE73" s="31" t="s">
        <v>46</v>
      </c>
      <c r="AF73" s="31" t="s">
        <v>46</v>
      </c>
      <c r="AG73" s="31" t="s">
        <v>46</v>
      </c>
      <c r="AH73" s="31" t="s">
        <v>46</v>
      </c>
      <c r="AI73" s="31" t="s">
        <v>46</v>
      </c>
      <c r="AJ73" s="12">
        <v>0</v>
      </c>
      <c r="AK73" s="12">
        <v>2</v>
      </c>
      <c r="AL73" s="31">
        <f>AL72</f>
        <v>0.75</v>
      </c>
      <c r="AM73" s="31">
        <f>AM72</f>
        <v>2.7E-2</v>
      </c>
      <c r="AN73" s="31">
        <f>AN72</f>
        <v>3</v>
      </c>
      <c r="AO73" s="31"/>
      <c r="AP73" s="31"/>
      <c r="AQ73" s="32">
        <f>AM73*I73+AL73</f>
        <v>0.76863000000000004</v>
      </c>
      <c r="AR73" s="32">
        <f t="shared" ref="AR73:AR79" si="84">0.1*AQ73</f>
        <v>7.6863000000000015E-2</v>
      </c>
      <c r="AS73" s="33">
        <f t="shared" ref="AS73:AS79" si="85">AJ73*3+0.25*AK73</f>
        <v>0.5</v>
      </c>
      <c r="AT73" s="33">
        <f t="shared" ref="AT73:AT79" si="86">SUM(AQ73:AS73)/4</f>
        <v>0.33637325000000001</v>
      </c>
      <c r="AU73" s="32">
        <f>10068.2*J73*POWER(10,-6)*10</f>
        <v>6.947057999999999E-3</v>
      </c>
      <c r="AV73" s="33">
        <f t="shared" si="82"/>
        <v>1.6888133080000001</v>
      </c>
      <c r="AW73" s="34">
        <f t="shared" ref="AW73:AW79" si="87">AJ73*H73</f>
        <v>0</v>
      </c>
      <c r="AX73" s="34">
        <f t="shared" ref="AX73:AX79" si="88">H73*AK73</f>
        <v>1.817856E-5</v>
      </c>
      <c r="AY73" s="34">
        <f t="shared" ref="AY73:AY79" si="89">H73*AV73</f>
        <v>1.5350097024138239E-5</v>
      </c>
      <c r="AZ73" s="283">
        <f>AW73/DB!$B$23</f>
        <v>0</v>
      </c>
      <c r="BA73" s="283">
        <f>AX73/DB!$B$23</f>
        <v>1.9338893617021277E-8</v>
      </c>
    </row>
    <row r="74" spans="1:53" x14ac:dyDescent="0.3">
      <c r="A74" s="8" t="s">
        <v>539</v>
      </c>
      <c r="B74" s="8" t="str">
        <f>B72</f>
        <v>Подземный газопровод от ДНС до концевых сооружений(вновь)</v>
      </c>
      <c r="C74" s="79" t="s">
        <v>131</v>
      </c>
      <c r="D74" s="9" t="s">
        <v>132</v>
      </c>
      <c r="E74" s="67">
        <f>E72</f>
        <v>2.9999999999999999E-7</v>
      </c>
      <c r="F74" s="68">
        <f>F72</f>
        <v>263</v>
      </c>
      <c r="G74" s="8">
        <v>7.6799999999999993E-2</v>
      </c>
      <c r="H74" s="10">
        <f>E74*F74*G74</f>
        <v>6.059519999999999E-6</v>
      </c>
      <c r="I74" s="62">
        <f>I72</f>
        <v>0.69</v>
      </c>
      <c r="J74" s="69">
        <f>I72</f>
        <v>0.69</v>
      </c>
      <c r="K74" s="74" t="s">
        <v>124</v>
      </c>
      <c r="L74" s="78">
        <v>0</v>
      </c>
      <c r="M74" s="31" t="str">
        <f>A74</f>
        <v>C45</v>
      </c>
      <c r="N74" s="31" t="str">
        <f>B74</f>
        <v>Подземный газопровод от ДНС до концевых сооружений(вновь)</v>
      </c>
      <c r="O74" s="31" t="str">
        <f>D74</f>
        <v>Полное-вспышка</v>
      </c>
      <c r="P74" s="31" t="s">
        <v>46</v>
      </c>
      <c r="Q74" s="31" t="s">
        <v>46</v>
      </c>
      <c r="R74" s="31" t="s">
        <v>46</v>
      </c>
      <c r="S74" s="31" t="s">
        <v>46</v>
      </c>
      <c r="T74" s="31" t="s">
        <v>46</v>
      </c>
      <c r="U74" s="31" t="s">
        <v>46</v>
      </c>
      <c r="V74" s="31" t="s">
        <v>46</v>
      </c>
      <c r="W74" s="31" t="s">
        <v>46</v>
      </c>
      <c r="X74" s="31" t="s">
        <v>46</v>
      </c>
      <c r="Y74" s="31" t="s">
        <v>46</v>
      </c>
      <c r="Z74" s="31" t="s">
        <v>46</v>
      </c>
      <c r="AA74" s="31">
        <v>29.66</v>
      </c>
      <c r="AB74" s="31">
        <v>35.590000000000003</v>
      </c>
      <c r="AC74" s="31" t="s">
        <v>46</v>
      </c>
      <c r="AD74" s="31" t="s">
        <v>46</v>
      </c>
      <c r="AE74" s="31" t="s">
        <v>46</v>
      </c>
      <c r="AF74" s="31" t="s">
        <v>46</v>
      </c>
      <c r="AG74" s="31" t="s">
        <v>46</v>
      </c>
      <c r="AH74" s="31" t="s">
        <v>46</v>
      </c>
      <c r="AI74" s="31" t="s">
        <v>46</v>
      </c>
      <c r="AJ74" s="31">
        <v>0</v>
      </c>
      <c r="AK74" s="31">
        <v>0</v>
      </c>
      <c r="AL74" s="31">
        <f>AL72</f>
        <v>0.75</v>
      </c>
      <c r="AM74" s="31">
        <f>AM72</f>
        <v>2.7E-2</v>
      </c>
      <c r="AN74" s="31">
        <f>AN72</f>
        <v>3</v>
      </c>
      <c r="AO74" s="31"/>
      <c r="AP74" s="31"/>
      <c r="AQ74" s="32">
        <f>AM74*I74*0.1+AL74</f>
        <v>0.75186299999999995</v>
      </c>
      <c r="AR74" s="32">
        <f>0.1*AQ74</f>
        <v>7.5186299999999998E-2</v>
      </c>
      <c r="AS74" s="33">
        <f>AJ74*3+0.25*AK74</f>
        <v>0</v>
      </c>
      <c r="AT74" s="33">
        <f>SUM(AQ74:AS74)/4</f>
        <v>0.206762325</v>
      </c>
      <c r="AU74" s="32">
        <f>1333*J72*POWER(10,-6)</f>
        <v>9.1976999999999998E-4</v>
      </c>
      <c r="AV74" s="33">
        <f>AU74+AT74+AS74+AR74+AQ74</f>
        <v>1.0347313949999999</v>
      </c>
      <c r="AW74" s="34">
        <f t="shared" si="87"/>
        <v>0</v>
      </c>
      <c r="AX74" s="34">
        <f t="shared" si="88"/>
        <v>0</v>
      </c>
      <c r="AY74" s="34">
        <f t="shared" si="89"/>
        <v>6.2699755826303982E-6</v>
      </c>
      <c r="AZ74" s="283">
        <f>AW74/DB!$B$23</f>
        <v>0</v>
      </c>
      <c r="BA74" s="283">
        <f>AX74/DB!$B$23</f>
        <v>0</v>
      </c>
    </row>
    <row r="75" spans="1:53" x14ac:dyDescent="0.3">
      <c r="A75" s="8" t="s">
        <v>540</v>
      </c>
      <c r="B75" s="8" t="str">
        <f>B72</f>
        <v>Подземный газопровод от ДНС до концевых сооружений(вновь)</v>
      </c>
      <c r="C75" s="79" t="s">
        <v>108</v>
      </c>
      <c r="D75" s="9" t="s">
        <v>26</v>
      </c>
      <c r="E75" s="67">
        <f>E72</f>
        <v>2.9999999999999999E-7</v>
      </c>
      <c r="F75" s="68">
        <f>F72</f>
        <v>263</v>
      </c>
      <c r="G75" s="8">
        <v>0.60799999999999998</v>
      </c>
      <c r="H75" s="10">
        <f t="shared" si="83"/>
        <v>4.7971199999999992E-5</v>
      </c>
      <c r="I75" s="62">
        <f>I72</f>
        <v>0.69</v>
      </c>
      <c r="J75" s="71">
        <v>0</v>
      </c>
      <c r="K75" s="74" t="s">
        <v>126</v>
      </c>
      <c r="L75" s="78">
        <v>45390</v>
      </c>
      <c r="M75" s="31" t="str">
        <f t="shared" si="80"/>
        <v>C46</v>
      </c>
      <c r="N75" s="31" t="str">
        <f t="shared" si="80"/>
        <v>Подземный газопровод от ДНС до концевых сооружений(вновь)</v>
      </c>
      <c r="O75" s="31" t="str">
        <f t="shared" si="81"/>
        <v>Полное-ликвидация</v>
      </c>
      <c r="P75" s="31" t="s">
        <v>46</v>
      </c>
      <c r="Q75" s="31" t="s">
        <v>46</v>
      </c>
      <c r="R75" s="31" t="s">
        <v>46</v>
      </c>
      <c r="S75" s="31" t="s">
        <v>46</v>
      </c>
      <c r="T75" s="31" t="s">
        <v>46</v>
      </c>
      <c r="U75" s="31" t="s">
        <v>46</v>
      </c>
      <c r="V75" s="31" t="s">
        <v>46</v>
      </c>
      <c r="W75" s="31" t="s">
        <v>46</v>
      </c>
      <c r="X75" s="31" t="s">
        <v>46</v>
      </c>
      <c r="Y75" s="31" t="s">
        <v>46</v>
      </c>
      <c r="Z75" s="31" t="s">
        <v>46</v>
      </c>
      <c r="AA75" s="31" t="s">
        <v>46</v>
      </c>
      <c r="AB75" s="31" t="s">
        <v>46</v>
      </c>
      <c r="AC75" s="31" t="s">
        <v>46</v>
      </c>
      <c r="AD75" s="31" t="s">
        <v>46</v>
      </c>
      <c r="AE75" s="31" t="s">
        <v>46</v>
      </c>
      <c r="AF75" s="31" t="s">
        <v>46</v>
      </c>
      <c r="AG75" s="31" t="s">
        <v>46</v>
      </c>
      <c r="AH75" s="31" t="s">
        <v>46</v>
      </c>
      <c r="AI75" s="31" t="s">
        <v>46</v>
      </c>
      <c r="AJ75" s="31">
        <v>0</v>
      </c>
      <c r="AK75" s="31">
        <v>0</v>
      </c>
      <c r="AL75" s="31">
        <f>AL72</f>
        <v>0.75</v>
      </c>
      <c r="AM75" s="31">
        <f>AM72</f>
        <v>2.7E-2</v>
      </c>
      <c r="AN75" s="31">
        <f>AN72</f>
        <v>3</v>
      </c>
      <c r="AO75" s="31"/>
      <c r="AP75" s="31"/>
      <c r="AQ75" s="32">
        <f>AM75*I75*0.1+AL75</f>
        <v>0.75186299999999995</v>
      </c>
      <c r="AR75" s="32">
        <f t="shared" si="84"/>
        <v>7.5186299999999998E-2</v>
      </c>
      <c r="AS75" s="33">
        <f t="shared" si="85"/>
        <v>0</v>
      </c>
      <c r="AT75" s="33">
        <f t="shared" si="86"/>
        <v>0.206762325</v>
      </c>
      <c r="AU75" s="32">
        <f>1333*J73*POWER(10,-6)</f>
        <v>9.197699999999999E-5</v>
      </c>
      <c r="AV75" s="33">
        <f t="shared" si="82"/>
        <v>1.0339036019999999</v>
      </c>
      <c r="AW75" s="34">
        <f t="shared" si="87"/>
        <v>0</v>
      </c>
      <c r="AX75" s="34">
        <f t="shared" si="88"/>
        <v>0</v>
      </c>
      <c r="AY75" s="34">
        <f t="shared" si="89"/>
        <v>4.9597596472262383E-5</v>
      </c>
      <c r="AZ75" s="283">
        <f>AW75/DB!$B$23</f>
        <v>0</v>
      </c>
      <c r="BA75" s="283">
        <f>AX75/DB!$B$23</f>
        <v>0</v>
      </c>
    </row>
    <row r="76" spans="1:53" x14ac:dyDescent="0.3">
      <c r="A76" s="8" t="s">
        <v>541</v>
      </c>
      <c r="B76" s="8" t="str">
        <f>B72</f>
        <v>Подземный газопровод от ДНС до концевых сооружений(вновь)</v>
      </c>
      <c r="C76" s="79" t="s">
        <v>133</v>
      </c>
      <c r="D76" s="9" t="s">
        <v>134</v>
      </c>
      <c r="E76" s="66">
        <v>1.9999999999999999E-6</v>
      </c>
      <c r="F76" s="68">
        <f>F72</f>
        <v>263</v>
      </c>
      <c r="G76" s="8">
        <v>3.5000000000000003E-2</v>
      </c>
      <c r="H76" s="10">
        <f t="shared" si="83"/>
        <v>1.8410000000000002E-5</v>
      </c>
      <c r="I76" s="62">
        <f>0.15*I72</f>
        <v>0.10349999999999999</v>
      </c>
      <c r="J76" s="69">
        <f>I76</f>
        <v>0.10349999999999999</v>
      </c>
      <c r="K76" s="74" t="s">
        <v>127</v>
      </c>
      <c r="L76" s="78">
        <v>3</v>
      </c>
      <c r="M76" s="31" t="str">
        <f t="shared" si="80"/>
        <v>C47</v>
      </c>
      <c r="N76" s="31" t="str">
        <f t="shared" si="80"/>
        <v>Подземный газопровод от ДНС до концевых сооружений(вновь)</v>
      </c>
      <c r="O76" s="31" t="str">
        <f t="shared" si="81"/>
        <v>Частичное-факел</v>
      </c>
      <c r="P76" s="31" t="s">
        <v>46</v>
      </c>
      <c r="Q76" s="31" t="s">
        <v>46</v>
      </c>
      <c r="R76" s="31" t="s">
        <v>46</v>
      </c>
      <c r="S76" s="31" t="s">
        <v>46</v>
      </c>
      <c r="T76" s="31" t="s">
        <v>46</v>
      </c>
      <c r="U76" s="31" t="s">
        <v>46</v>
      </c>
      <c r="V76" s="31" t="s">
        <v>46</v>
      </c>
      <c r="W76" s="31" t="s">
        <v>46</v>
      </c>
      <c r="X76" s="31" t="s">
        <v>46</v>
      </c>
      <c r="Y76" s="31">
        <v>11</v>
      </c>
      <c r="Z76" s="31">
        <v>2</v>
      </c>
      <c r="AA76" s="31" t="s">
        <v>46</v>
      </c>
      <c r="AB76" s="31" t="s">
        <v>46</v>
      </c>
      <c r="AC76" s="31" t="s">
        <v>46</v>
      </c>
      <c r="AD76" s="31" t="s">
        <v>46</v>
      </c>
      <c r="AE76" s="31" t="s">
        <v>46</v>
      </c>
      <c r="AF76" s="31" t="s">
        <v>46</v>
      </c>
      <c r="AG76" s="31" t="s">
        <v>46</v>
      </c>
      <c r="AH76" s="31" t="s">
        <v>46</v>
      </c>
      <c r="AI76" s="31" t="s">
        <v>46</v>
      </c>
      <c r="AJ76" s="31">
        <v>0</v>
      </c>
      <c r="AK76" s="31">
        <v>2</v>
      </c>
      <c r="AL76" s="31">
        <f>0.1*$AL$2</f>
        <v>7.5000000000000011E-2</v>
      </c>
      <c r="AM76" s="31">
        <f>AM72</f>
        <v>2.7E-2</v>
      </c>
      <c r="AN76" s="31">
        <f>ROUNDUP(AN72/3,0)</f>
        <v>1</v>
      </c>
      <c r="AO76" s="31"/>
      <c r="AP76" s="31"/>
      <c r="AQ76" s="32">
        <f>AM76*I76+AL76</f>
        <v>7.7794500000000016E-2</v>
      </c>
      <c r="AR76" s="32">
        <f t="shared" si="84"/>
        <v>7.779450000000002E-3</v>
      </c>
      <c r="AS76" s="33">
        <f t="shared" si="85"/>
        <v>0.5</v>
      </c>
      <c r="AT76" s="33">
        <f t="shared" si="86"/>
        <v>0.1463934875</v>
      </c>
      <c r="AU76" s="32">
        <f>10068.2*J76*POWER(10,-6)</f>
        <v>1.0420587E-3</v>
      </c>
      <c r="AV76" s="33">
        <f t="shared" si="82"/>
        <v>0.7330094962</v>
      </c>
      <c r="AW76" s="34">
        <f t="shared" si="87"/>
        <v>0</v>
      </c>
      <c r="AX76" s="34">
        <f t="shared" si="88"/>
        <v>3.6820000000000003E-5</v>
      </c>
      <c r="AY76" s="34">
        <f t="shared" si="89"/>
        <v>1.3494704825042001E-5</v>
      </c>
      <c r="AZ76" s="283">
        <f>AW76/DB!$B$23</f>
        <v>0</v>
      </c>
      <c r="BA76" s="283">
        <f>AX76/DB!$B$23</f>
        <v>3.9170212765957449E-8</v>
      </c>
    </row>
    <row r="77" spans="1:53" x14ac:dyDescent="0.3">
      <c r="A77" s="8" t="s">
        <v>542</v>
      </c>
      <c r="B77" s="8" t="str">
        <f>B72</f>
        <v>Подземный газопровод от ДНС до концевых сооружений(вновь)</v>
      </c>
      <c r="C77" s="79" t="s">
        <v>135</v>
      </c>
      <c r="D77" s="9" t="s">
        <v>136</v>
      </c>
      <c r="E77" s="67">
        <f>E76</f>
        <v>1.9999999999999999E-6</v>
      </c>
      <c r="F77" s="68">
        <v>253</v>
      </c>
      <c r="G77" s="8">
        <v>8.3000000000000001E-3</v>
      </c>
      <c r="H77" s="10">
        <f>E77*F77*G77</f>
        <v>4.1997999999999992E-6</v>
      </c>
      <c r="I77" s="62">
        <f>I76</f>
        <v>0.10349999999999999</v>
      </c>
      <c r="J77" s="69">
        <f>J73*0.15</f>
        <v>1.0349999999999998E-2</v>
      </c>
      <c r="K77" s="73" t="s">
        <v>138</v>
      </c>
      <c r="L77" s="130">
        <v>4</v>
      </c>
      <c r="M77" s="31" t="str">
        <f>A77</f>
        <v>C48</v>
      </c>
      <c r="N77" s="31" t="str">
        <f>B77</f>
        <v>Подземный газопровод от ДНС до концевых сооружений(вновь)</v>
      </c>
      <c r="O77" s="31" t="str">
        <f>D77</f>
        <v>Частичное-взрыв</v>
      </c>
      <c r="P77" s="31" t="s">
        <v>46</v>
      </c>
      <c r="Q77" s="31" t="s">
        <v>46</v>
      </c>
      <c r="R77" s="31" t="s">
        <v>46</v>
      </c>
      <c r="S77" s="31" t="s">
        <v>46</v>
      </c>
      <c r="T77" s="31">
        <v>0</v>
      </c>
      <c r="U77" s="31">
        <v>0</v>
      </c>
      <c r="V77" s="31">
        <v>16.600000000000001</v>
      </c>
      <c r="W77" s="31">
        <v>55.1</v>
      </c>
      <c r="X77" s="31">
        <v>80.099999999999994</v>
      </c>
      <c r="Y77" s="31" t="s">
        <v>46</v>
      </c>
      <c r="Z77" s="31" t="s">
        <v>46</v>
      </c>
      <c r="AA77" s="31" t="s">
        <v>46</v>
      </c>
      <c r="AB77" s="31" t="s">
        <v>46</v>
      </c>
      <c r="AC77" s="31" t="s">
        <v>46</v>
      </c>
      <c r="AD77" s="31" t="s">
        <v>46</v>
      </c>
      <c r="AE77" s="31" t="s">
        <v>46</v>
      </c>
      <c r="AF77" s="31" t="s">
        <v>46</v>
      </c>
      <c r="AG77" s="31" t="s">
        <v>46</v>
      </c>
      <c r="AH77" s="31" t="s">
        <v>46</v>
      </c>
      <c r="AI77" s="31" t="s">
        <v>46</v>
      </c>
      <c r="AJ77" s="31">
        <v>0</v>
      </c>
      <c r="AK77" s="31">
        <v>1</v>
      </c>
      <c r="AL77" s="31">
        <f>0.1*$AL$2</f>
        <v>7.5000000000000011E-2</v>
      </c>
      <c r="AM77" s="31">
        <f>AM72</f>
        <v>2.7E-2</v>
      </c>
      <c r="AN77" s="31">
        <f>AN76</f>
        <v>1</v>
      </c>
      <c r="AO77" s="31"/>
      <c r="AP77" s="31"/>
      <c r="AQ77" s="32">
        <f>AM77*I77+AL77</f>
        <v>7.7794500000000016E-2</v>
      </c>
      <c r="AR77" s="32">
        <f>0.1*AQ77</f>
        <v>7.779450000000002E-3</v>
      </c>
      <c r="AS77" s="33">
        <f>AJ77*3+0.25*AK77</f>
        <v>0.25</v>
      </c>
      <c r="AT77" s="33">
        <f>SUM(AQ77:AS77)/4</f>
        <v>8.3893487500000002E-2</v>
      </c>
      <c r="AU77" s="32">
        <f>10068.2*J77*POWER(10,-6)*10</f>
        <v>1.0420586999999998E-3</v>
      </c>
      <c r="AV77" s="33">
        <f>AU77+AT77+AS77+AR77+AQ77</f>
        <v>0.4205094962</v>
      </c>
      <c r="AW77" s="34">
        <f t="shared" si="87"/>
        <v>0</v>
      </c>
      <c r="AX77" s="34">
        <f t="shared" si="88"/>
        <v>4.1997999999999992E-6</v>
      </c>
      <c r="AY77" s="34">
        <f t="shared" si="89"/>
        <v>1.7660557821407597E-6</v>
      </c>
      <c r="AZ77" s="283">
        <f>AW77/DB!$B$23</f>
        <v>0</v>
      </c>
      <c r="BA77" s="283">
        <f>AX77/DB!$B$23</f>
        <v>4.4678723404255314E-9</v>
      </c>
    </row>
    <row r="78" spans="1:53" x14ac:dyDescent="0.3">
      <c r="A78" s="8" t="s">
        <v>543</v>
      </c>
      <c r="B78" s="8" t="str">
        <f>B72</f>
        <v>Подземный газопровод от ДНС до концевых сооружений(вновь)</v>
      </c>
      <c r="C78" s="79" t="s">
        <v>110</v>
      </c>
      <c r="D78" s="9" t="s">
        <v>112</v>
      </c>
      <c r="E78" s="67">
        <f>E76</f>
        <v>1.9999999999999999E-6</v>
      </c>
      <c r="F78" s="68">
        <f>F72</f>
        <v>263</v>
      </c>
      <c r="G78" s="8">
        <v>2.64E-2</v>
      </c>
      <c r="H78" s="10">
        <f t="shared" si="83"/>
        <v>1.38864E-5</v>
      </c>
      <c r="I78" s="62">
        <f>0.15*I72</f>
        <v>0.10349999999999999</v>
      </c>
      <c r="J78" s="69">
        <f>J74*0.15</f>
        <v>0.10349999999999999</v>
      </c>
      <c r="K78" s="349" t="s">
        <v>467</v>
      </c>
      <c r="L78" s="153" t="s">
        <v>562</v>
      </c>
      <c r="M78" s="31" t="str">
        <f t="shared" si="80"/>
        <v>C49</v>
      </c>
      <c r="N78" s="31" t="str">
        <f t="shared" si="80"/>
        <v>Подземный газопровод от ДНС до концевых сооружений(вновь)</v>
      </c>
      <c r="O78" s="31" t="str">
        <f t="shared" si="81"/>
        <v>Частичное-пожар-вспышка</v>
      </c>
      <c r="P78" s="31" t="s">
        <v>46</v>
      </c>
      <c r="Q78" s="31" t="s">
        <v>46</v>
      </c>
      <c r="R78" s="31" t="s">
        <v>46</v>
      </c>
      <c r="S78" s="31" t="s">
        <v>46</v>
      </c>
      <c r="T78" s="31" t="s">
        <v>46</v>
      </c>
      <c r="U78" s="31" t="s">
        <v>46</v>
      </c>
      <c r="V78" s="31" t="s">
        <v>46</v>
      </c>
      <c r="W78" s="31" t="s">
        <v>46</v>
      </c>
      <c r="X78" s="31" t="s">
        <v>46</v>
      </c>
      <c r="Y78" s="31" t="s">
        <v>46</v>
      </c>
      <c r="Z78" s="31" t="s">
        <v>46</v>
      </c>
      <c r="AA78" s="31">
        <v>15.86</v>
      </c>
      <c r="AB78" s="31">
        <v>19.03</v>
      </c>
      <c r="AC78" s="31" t="s">
        <v>46</v>
      </c>
      <c r="AD78" s="31" t="s">
        <v>46</v>
      </c>
      <c r="AE78" s="31" t="s">
        <v>46</v>
      </c>
      <c r="AF78" s="31" t="s">
        <v>46</v>
      </c>
      <c r="AG78" s="31" t="s">
        <v>46</v>
      </c>
      <c r="AH78" s="31" t="s">
        <v>46</v>
      </c>
      <c r="AI78" s="31" t="s">
        <v>46</v>
      </c>
      <c r="AJ78" s="31">
        <v>0</v>
      </c>
      <c r="AK78" s="31">
        <v>1</v>
      </c>
      <c r="AL78" s="31">
        <f>0.1*$AL$2</f>
        <v>7.5000000000000011E-2</v>
      </c>
      <c r="AM78" s="31">
        <f>AM72</f>
        <v>2.7E-2</v>
      </c>
      <c r="AN78" s="31">
        <f>ROUNDUP(AN72/3,0)</f>
        <v>1</v>
      </c>
      <c r="AO78" s="31"/>
      <c r="AP78" s="31"/>
      <c r="AQ78" s="32">
        <f>AM78*I78+AL78</f>
        <v>7.7794500000000016E-2</v>
      </c>
      <c r="AR78" s="32">
        <f t="shared" si="84"/>
        <v>7.779450000000002E-3</v>
      </c>
      <c r="AS78" s="33">
        <f t="shared" si="85"/>
        <v>0.25</v>
      </c>
      <c r="AT78" s="33">
        <f t="shared" si="86"/>
        <v>8.3893487500000002E-2</v>
      </c>
      <c r="AU78" s="32">
        <f>10068.2*J78*POWER(10,-6)*10</f>
        <v>1.0420587E-2</v>
      </c>
      <c r="AV78" s="33">
        <f t="shared" si="82"/>
        <v>0.42988802450000008</v>
      </c>
      <c r="AW78" s="34">
        <f t="shared" si="87"/>
        <v>0</v>
      </c>
      <c r="AX78" s="34">
        <f t="shared" si="88"/>
        <v>1.38864E-5</v>
      </c>
      <c r="AY78" s="34">
        <f t="shared" si="89"/>
        <v>5.9695970634168008E-6</v>
      </c>
      <c r="AZ78" s="283">
        <f>AW78/DB!$B$23</f>
        <v>0</v>
      </c>
      <c r="BA78" s="283">
        <f>AX78/DB!$B$23</f>
        <v>1.4772765957446808E-8</v>
      </c>
    </row>
    <row r="79" spans="1:53" ht="15" thickBot="1" x14ac:dyDescent="0.35">
      <c r="A79" s="8" t="s">
        <v>544</v>
      </c>
      <c r="B79" s="8" t="str">
        <f>B72</f>
        <v>Подземный газопровод от ДНС до концевых сооружений(вновь)</v>
      </c>
      <c r="C79" s="79" t="s">
        <v>111</v>
      </c>
      <c r="D79" s="9" t="s">
        <v>27</v>
      </c>
      <c r="E79" s="67">
        <f>E76</f>
        <v>1.9999999999999999E-6</v>
      </c>
      <c r="F79" s="68">
        <f>F72</f>
        <v>263</v>
      </c>
      <c r="G79" s="8">
        <v>0.93030000000000002</v>
      </c>
      <c r="H79" s="10">
        <f t="shared" si="83"/>
        <v>4.8933780000000001E-4</v>
      </c>
      <c r="I79" s="62">
        <f>0.15*I72</f>
        <v>0.10349999999999999</v>
      </c>
      <c r="J79" s="71">
        <v>0</v>
      </c>
      <c r="K79" s="75"/>
      <c r="L79" s="76"/>
      <c r="M79" s="31" t="str">
        <f t="shared" si="80"/>
        <v>C50</v>
      </c>
      <c r="N79" s="31" t="str">
        <f t="shared" si="80"/>
        <v>Подземный газопровод от ДНС до концевых сооружений(вновь)</v>
      </c>
      <c r="O79" s="31" t="str">
        <f t="shared" si="81"/>
        <v>Частичное-ликвидация</v>
      </c>
      <c r="P79" s="31" t="s">
        <v>46</v>
      </c>
      <c r="Q79" s="31" t="s">
        <v>46</v>
      </c>
      <c r="R79" s="31" t="s">
        <v>46</v>
      </c>
      <c r="S79" s="31" t="s">
        <v>46</v>
      </c>
      <c r="T79" s="31" t="s">
        <v>46</v>
      </c>
      <c r="U79" s="31" t="s">
        <v>46</v>
      </c>
      <c r="V79" s="31" t="s">
        <v>46</v>
      </c>
      <c r="W79" s="31" t="s">
        <v>46</v>
      </c>
      <c r="X79" s="31" t="s">
        <v>46</v>
      </c>
      <c r="Y79" s="31" t="s">
        <v>46</v>
      </c>
      <c r="Z79" s="31" t="s">
        <v>46</v>
      </c>
      <c r="AA79" s="31" t="s">
        <v>46</v>
      </c>
      <c r="AB79" s="31" t="s">
        <v>46</v>
      </c>
      <c r="AC79" s="31" t="s">
        <v>46</v>
      </c>
      <c r="AD79" s="31" t="s">
        <v>46</v>
      </c>
      <c r="AE79" s="31" t="s">
        <v>46</v>
      </c>
      <c r="AF79" s="31" t="s">
        <v>46</v>
      </c>
      <c r="AG79" s="31" t="s">
        <v>46</v>
      </c>
      <c r="AH79" s="31" t="s">
        <v>46</v>
      </c>
      <c r="AI79" s="31" t="s">
        <v>46</v>
      </c>
      <c r="AJ79" s="31">
        <v>0</v>
      </c>
      <c r="AK79" s="31">
        <v>0</v>
      </c>
      <c r="AL79" s="31">
        <f>0.1*$AL$2</f>
        <v>7.5000000000000011E-2</v>
      </c>
      <c r="AM79" s="31">
        <f>AM72</f>
        <v>2.7E-2</v>
      </c>
      <c r="AN79" s="31">
        <f>ROUNDUP(AN72/3,0)</f>
        <v>1</v>
      </c>
      <c r="AO79" s="31"/>
      <c r="AP79" s="31"/>
      <c r="AQ79" s="32">
        <f>AM79*I79*0.1+AL79</f>
        <v>7.5279450000000012E-2</v>
      </c>
      <c r="AR79" s="32">
        <f t="shared" si="84"/>
        <v>7.5279450000000012E-3</v>
      </c>
      <c r="AS79" s="33">
        <f t="shared" si="85"/>
        <v>0</v>
      </c>
      <c r="AT79" s="33">
        <f t="shared" si="86"/>
        <v>2.0701848750000001E-2</v>
      </c>
      <c r="AU79" s="32">
        <f>1333*J78*POWER(10,-6)</f>
        <v>1.3796549999999999E-4</v>
      </c>
      <c r="AV79" s="33">
        <f t="shared" si="82"/>
        <v>0.10364720925000001</v>
      </c>
      <c r="AW79" s="34">
        <f t="shared" si="87"/>
        <v>0</v>
      </c>
      <c r="AX79" s="34">
        <f t="shared" si="88"/>
        <v>0</v>
      </c>
      <c r="AY79" s="34">
        <f t="shared" si="89"/>
        <v>5.0718497350534655E-5</v>
      </c>
      <c r="AZ79" s="283">
        <f>AW79/DB!$B$23</f>
        <v>0</v>
      </c>
      <c r="BA79" s="283">
        <f>AX79/DB!$B$23</f>
        <v>0</v>
      </c>
    </row>
    <row r="80" spans="1:53" x14ac:dyDescent="0.3">
      <c r="A80" s="12"/>
      <c r="B80" s="12"/>
      <c r="C80" s="31"/>
      <c r="D80" s="167"/>
      <c r="E80" s="168"/>
      <c r="F80" s="169"/>
      <c r="G80" s="12"/>
      <c r="H80" s="34"/>
      <c r="I80" s="33"/>
      <c r="J80" s="12"/>
      <c r="K80" s="12"/>
      <c r="L80" s="12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2"/>
      <c r="AR80" s="32"/>
      <c r="AS80" s="33"/>
      <c r="AT80" s="33"/>
      <c r="AU80" s="32"/>
      <c r="AV80" s="33"/>
      <c r="AW80" s="34"/>
      <c r="AX80" s="34"/>
      <c r="AY80" s="34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4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4" name="Показать"/>
      </mc:Fallback>
    </mc:AlternateContent>
    <mc:AlternateContent xmlns:mc="http://schemas.openxmlformats.org/markup-compatibility/2006">
      <mc:Choice Requires="x14">
        <control shapeId="38913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4.0000000000000007E-6</v>
      </c>
      <c r="B2">
        <v>1</v>
      </c>
      <c r="D2" s="37">
        <v>4.0000000000000007E-6</v>
      </c>
      <c r="E2" s="3">
        <v>89.032600400000007</v>
      </c>
    </row>
    <row r="3" spans="1:32" x14ac:dyDescent="0.3">
      <c r="A3" s="37">
        <v>7.2000000000000014E-6</v>
      </c>
      <c r="B3">
        <v>3</v>
      </c>
      <c r="D3" s="37">
        <v>7.2000000000000014E-6</v>
      </c>
      <c r="E3" s="3">
        <v>95.334484599999996</v>
      </c>
    </row>
    <row r="4" spans="1:32" x14ac:dyDescent="0.3">
      <c r="A4" s="37">
        <v>2.8800000000000005E-5</v>
      </c>
      <c r="B4">
        <v>0</v>
      </c>
      <c r="D4" s="37">
        <v>2.8800000000000005E-5</v>
      </c>
      <c r="E4" s="3">
        <v>66.816812384400009</v>
      </c>
      <c r="AE4" s="37"/>
      <c r="AF4" s="3"/>
    </row>
    <row r="5" spans="1:32" x14ac:dyDescent="0.3">
      <c r="A5" s="37">
        <v>4.0000000000000003E-5</v>
      </c>
      <c r="B5">
        <v>0</v>
      </c>
      <c r="D5" s="37">
        <v>4.0000000000000003E-5</v>
      </c>
      <c r="E5" s="3">
        <v>13.272077560000001</v>
      </c>
      <c r="AE5" s="37"/>
      <c r="AF5" s="3"/>
    </row>
    <row r="6" spans="1:32" x14ac:dyDescent="0.3">
      <c r="A6" s="37">
        <v>1.8000000000000004E-5</v>
      </c>
      <c r="B6">
        <v>0</v>
      </c>
      <c r="D6" s="37">
        <v>1.8000000000000004E-5</v>
      </c>
      <c r="E6" s="3">
        <v>10.284156787640001</v>
      </c>
      <c r="AE6" s="37"/>
      <c r="AF6" s="3"/>
    </row>
    <row r="7" spans="1:32" x14ac:dyDescent="0.3">
      <c r="A7" s="37">
        <v>3.4200000000000002E-4</v>
      </c>
      <c r="B7">
        <v>0</v>
      </c>
      <c r="D7" s="37">
        <v>3.4200000000000002E-4</v>
      </c>
      <c r="E7" s="3">
        <v>9.97095935766</v>
      </c>
      <c r="AE7" s="37"/>
      <c r="AF7" s="3"/>
    </row>
    <row r="8" spans="1:32" x14ac:dyDescent="0.3">
      <c r="A8" s="37">
        <v>9.9999999999999995E-8</v>
      </c>
      <c r="B8">
        <v>1</v>
      </c>
      <c r="D8" s="37">
        <v>9.9999999999999995E-8</v>
      </c>
      <c r="E8" s="3">
        <v>5.7833236679999995</v>
      </c>
      <c r="AE8" s="37"/>
      <c r="AF8" s="3"/>
    </row>
    <row r="9" spans="1:32" x14ac:dyDescent="0.3">
      <c r="A9" s="37">
        <v>3.7999999999999996E-7</v>
      </c>
      <c r="B9">
        <v>2</v>
      </c>
      <c r="D9" s="37">
        <v>3.7999999999999996E-7</v>
      </c>
      <c r="E9" s="3">
        <v>9.4540204838800008</v>
      </c>
      <c r="AE9" s="37"/>
      <c r="AF9" s="3"/>
    </row>
    <row r="10" spans="1:32" x14ac:dyDescent="0.3">
      <c r="A10" s="37">
        <v>1.5199999999999998E-6</v>
      </c>
      <c r="B10">
        <v>0</v>
      </c>
      <c r="D10" s="37">
        <v>1.5199999999999998E-6</v>
      </c>
      <c r="E10" s="3">
        <v>1.0715635450000001</v>
      </c>
      <c r="AE10" s="37"/>
      <c r="AF10" s="3"/>
    </row>
    <row r="11" spans="1:32" x14ac:dyDescent="0.3">
      <c r="A11" s="37">
        <v>8.0000000000000018E-7</v>
      </c>
      <c r="B11">
        <v>0</v>
      </c>
      <c r="D11" s="37">
        <v>8.0000000000000018E-7</v>
      </c>
      <c r="E11" s="3">
        <v>0.43214116894999999</v>
      </c>
      <c r="AE11" s="37"/>
      <c r="AF11" s="3"/>
    </row>
    <row r="12" spans="1:32" x14ac:dyDescent="0.3">
      <c r="A12" s="37">
        <v>3.2000000000000007E-6</v>
      </c>
      <c r="B12">
        <v>0</v>
      </c>
      <c r="D12" s="37">
        <v>3.2000000000000007E-6</v>
      </c>
      <c r="E12" s="3">
        <v>0.46027047469999999</v>
      </c>
      <c r="AE12" s="37"/>
      <c r="AF12" s="3"/>
    </row>
    <row r="13" spans="1:32" x14ac:dyDescent="0.3">
      <c r="A13" s="37">
        <v>8.0000000000000018E-7</v>
      </c>
      <c r="B13">
        <v>0</v>
      </c>
      <c r="D13" s="37">
        <v>8.0000000000000018E-7</v>
      </c>
      <c r="E13" s="3">
        <v>0.42410915753</v>
      </c>
      <c r="AE13" s="37"/>
      <c r="AF13" s="3"/>
    </row>
    <row r="14" spans="1:32" x14ac:dyDescent="0.3">
      <c r="A14" s="37">
        <v>3.0400000000000005E-6</v>
      </c>
      <c r="B14">
        <v>0</v>
      </c>
      <c r="D14" s="37">
        <v>3.0400000000000005E-6</v>
      </c>
      <c r="E14" s="3">
        <v>0.42410915753</v>
      </c>
      <c r="AE14" s="37"/>
      <c r="AF14" s="3"/>
    </row>
    <row r="15" spans="1:32" x14ac:dyDescent="0.3">
      <c r="A15" s="37">
        <v>1.2160000000000002E-5</v>
      </c>
      <c r="B15">
        <v>0</v>
      </c>
      <c r="D15" s="37">
        <v>1.2160000000000002E-5</v>
      </c>
      <c r="E15" s="3">
        <v>0.10403205476250002</v>
      </c>
      <c r="AE15" s="37"/>
      <c r="AF15" s="3"/>
    </row>
    <row r="16" spans="1:32" x14ac:dyDescent="0.3">
      <c r="A16" s="37">
        <v>2.5000000000000001E-5</v>
      </c>
      <c r="B16">
        <v>0</v>
      </c>
      <c r="D16" s="37">
        <v>2.5000000000000001E-5</v>
      </c>
      <c r="E16" s="3">
        <v>1.9609232418</v>
      </c>
      <c r="AE16" s="37"/>
      <c r="AF16" s="3"/>
    </row>
    <row r="17" spans="1:32" x14ac:dyDescent="0.3">
      <c r="A17" s="37">
        <v>3.8999999999999999E-6</v>
      </c>
      <c r="B17">
        <v>1</v>
      </c>
      <c r="D17" s="37">
        <v>3.8999999999999999E-6</v>
      </c>
      <c r="E17" s="3">
        <v>5.1579327519999998</v>
      </c>
      <c r="AE17" s="37"/>
      <c r="AF17" s="3"/>
    </row>
    <row r="18" spans="1:32" x14ac:dyDescent="0.3">
      <c r="A18" s="37">
        <v>3.7050000000000001E-6</v>
      </c>
      <c r="B18">
        <v>0</v>
      </c>
      <c r="D18" s="37">
        <v>3.7050000000000001E-6</v>
      </c>
      <c r="E18" s="3">
        <v>1.3948611032307199</v>
      </c>
      <c r="AE18" s="37"/>
      <c r="AF18" s="3"/>
    </row>
    <row r="19" spans="1:32" x14ac:dyDescent="0.3">
      <c r="A19" s="37">
        <v>7.0395000000000006E-5</v>
      </c>
      <c r="B19">
        <v>0</v>
      </c>
      <c r="D19" s="37">
        <v>7.0395000000000006E-5</v>
      </c>
      <c r="E19" s="3">
        <v>1.0363072232236801</v>
      </c>
      <c r="AE19" s="37"/>
      <c r="AF19" s="3"/>
    </row>
    <row r="20" spans="1:32" x14ac:dyDescent="0.3">
      <c r="A20" s="37">
        <v>9.100000000000001E-6</v>
      </c>
      <c r="B20">
        <v>0</v>
      </c>
      <c r="D20" s="37">
        <v>9.100000000000001E-6</v>
      </c>
      <c r="E20" s="3">
        <v>0.42525241280000003</v>
      </c>
      <c r="AE20" s="37"/>
      <c r="AF20" s="3"/>
    </row>
    <row r="21" spans="1:32" x14ac:dyDescent="0.3">
      <c r="A21" s="37">
        <v>8.6449999999999994E-6</v>
      </c>
      <c r="B21">
        <v>0</v>
      </c>
      <c r="D21" s="37">
        <v>8.6449999999999994E-6</v>
      </c>
      <c r="E21" s="3">
        <v>0.42420532000000005</v>
      </c>
      <c r="AE21" s="37"/>
      <c r="AF21" s="3"/>
    </row>
    <row r="22" spans="1:32" x14ac:dyDescent="0.3">
      <c r="A22" s="37">
        <v>1.6425500000000001E-4</v>
      </c>
      <c r="B22">
        <v>0</v>
      </c>
      <c r="D22" s="37">
        <v>1.6425500000000001E-4</v>
      </c>
      <c r="E22" s="3">
        <v>0.10389568000000002</v>
      </c>
      <c r="AE22" s="37"/>
      <c r="AF22" s="3"/>
    </row>
    <row r="23" spans="1:32" x14ac:dyDescent="0.3">
      <c r="A23" s="37">
        <v>1.0000000000000002E-6</v>
      </c>
      <c r="B23">
        <v>1</v>
      </c>
      <c r="D23" s="37">
        <v>1.0000000000000002E-6</v>
      </c>
      <c r="E23" s="3">
        <v>5.4911977600000004</v>
      </c>
      <c r="AE23" s="37"/>
      <c r="AF23" s="3"/>
    </row>
    <row r="24" spans="1:32" x14ac:dyDescent="0.3">
      <c r="A24" s="37">
        <v>1.8000000000000003E-6</v>
      </c>
      <c r="B24">
        <v>0</v>
      </c>
      <c r="D24" s="37">
        <v>1.8000000000000003E-6</v>
      </c>
      <c r="E24" s="3">
        <v>18.365809600000002</v>
      </c>
      <c r="AE24" s="37"/>
      <c r="AF24" s="3"/>
    </row>
    <row r="25" spans="1:32" x14ac:dyDescent="0.3">
      <c r="A25" s="37">
        <v>7.2000000000000014E-6</v>
      </c>
      <c r="B25">
        <v>0</v>
      </c>
      <c r="D25" s="37">
        <v>7.2000000000000014E-6</v>
      </c>
      <c r="E25" s="3">
        <v>1.09807931892</v>
      </c>
      <c r="AE25" s="37"/>
      <c r="AF25" s="3"/>
    </row>
    <row r="26" spans="1:32" x14ac:dyDescent="0.3">
      <c r="A26" s="37">
        <v>1.0000000000000001E-5</v>
      </c>
      <c r="B26">
        <v>0</v>
      </c>
      <c r="D26" s="37">
        <v>1.0000000000000001E-5</v>
      </c>
      <c r="E26" s="3">
        <v>0.74086716399999997</v>
      </c>
      <c r="AE26" s="37"/>
      <c r="AF26" s="3"/>
    </row>
    <row r="27" spans="1:32" x14ac:dyDescent="0.3">
      <c r="A27" s="37">
        <v>4.500000000000001E-6</v>
      </c>
      <c r="B27">
        <v>0</v>
      </c>
      <c r="D27" s="37">
        <v>4.500000000000001E-6</v>
      </c>
      <c r="E27" s="3">
        <v>0.42665557000000004</v>
      </c>
      <c r="AE27" s="37"/>
      <c r="AF27" s="3"/>
    </row>
    <row r="28" spans="1:32" x14ac:dyDescent="0.3">
      <c r="A28" s="37">
        <v>8.5500000000000005E-5</v>
      </c>
      <c r="B28">
        <v>0</v>
      </c>
      <c r="D28" s="37">
        <v>8.5500000000000005E-5</v>
      </c>
      <c r="E28" s="3">
        <v>0.11316208000000003</v>
      </c>
      <c r="AE28" s="37"/>
      <c r="AF28" s="3"/>
    </row>
    <row r="29" spans="1:32" x14ac:dyDescent="0.3">
      <c r="A29" s="37">
        <v>9.9999999999999995E-8</v>
      </c>
      <c r="B29">
        <v>1</v>
      </c>
      <c r="D29" s="37">
        <v>9.9999999999999995E-8</v>
      </c>
      <c r="E29" s="3">
        <v>8.7513040159999989</v>
      </c>
      <c r="AE29" s="37"/>
      <c r="AF29" s="3"/>
    </row>
    <row r="30" spans="1:32" x14ac:dyDescent="0.3">
      <c r="A30" s="37">
        <v>3.7999999999999996E-7</v>
      </c>
      <c r="B30">
        <v>2</v>
      </c>
      <c r="D30" s="37">
        <v>3.7999999999999996E-7</v>
      </c>
      <c r="E30" s="3">
        <v>11.789572889800001</v>
      </c>
      <c r="AE30" s="37"/>
      <c r="AF30" s="3"/>
    </row>
    <row r="31" spans="1:32" x14ac:dyDescent="0.3">
      <c r="A31" s="37">
        <v>1.5199999999999998E-6</v>
      </c>
      <c r="B31">
        <v>0</v>
      </c>
      <c r="D31" s="37">
        <v>1.5199999999999998E-6</v>
      </c>
      <c r="E31" s="3">
        <v>1.3888750400000001</v>
      </c>
      <c r="AE31" s="37"/>
      <c r="AF31" s="3"/>
    </row>
    <row r="32" spans="1:32" x14ac:dyDescent="0.3">
      <c r="A32" s="37">
        <v>8.0000000000000018E-7</v>
      </c>
      <c r="B32">
        <v>0</v>
      </c>
      <c r="D32" s="37">
        <v>8.0000000000000018E-7</v>
      </c>
      <c r="E32" s="3">
        <v>0.56214140239999999</v>
      </c>
      <c r="AE32" s="37"/>
      <c r="AF32" s="3"/>
    </row>
    <row r="33" spans="1:32" x14ac:dyDescent="0.3">
      <c r="A33" s="37">
        <v>3.2000000000000007E-6</v>
      </c>
      <c r="B33">
        <v>0</v>
      </c>
      <c r="D33" s="37">
        <v>3.2000000000000007E-6</v>
      </c>
      <c r="E33" s="3">
        <v>0.81058993700000004</v>
      </c>
      <c r="AE33" s="37"/>
      <c r="AF33" s="3"/>
    </row>
    <row r="34" spans="1:32" x14ac:dyDescent="0.3">
      <c r="A34" s="37">
        <v>8.0000000000000018E-7</v>
      </c>
      <c r="B34">
        <v>0</v>
      </c>
      <c r="D34" s="37">
        <v>8.0000000000000018E-7</v>
      </c>
      <c r="E34" s="3">
        <v>0.49088871536000001</v>
      </c>
      <c r="AE34" s="37"/>
      <c r="AF34" s="3"/>
    </row>
    <row r="35" spans="1:32" x14ac:dyDescent="0.3">
      <c r="A35" s="37">
        <v>3.0400000000000005E-6</v>
      </c>
      <c r="B35">
        <v>0</v>
      </c>
      <c r="D35" s="37">
        <v>3.0400000000000005E-6</v>
      </c>
      <c r="E35" s="3">
        <v>0.49088871536000001</v>
      </c>
      <c r="AE35" s="37"/>
      <c r="AF35" s="3"/>
    </row>
    <row r="36" spans="1:32" x14ac:dyDescent="0.3">
      <c r="A36" s="37">
        <v>1.2160000000000002E-5</v>
      </c>
      <c r="B36">
        <v>0</v>
      </c>
      <c r="D36" s="37">
        <v>1.2160000000000002E-5</v>
      </c>
      <c r="E36" s="3">
        <v>0.11117156340000001</v>
      </c>
      <c r="AE36" s="37"/>
      <c r="AF36" s="3"/>
    </row>
    <row r="37" spans="1:32" x14ac:dyDescent="0.3">
      <c r="A37" s="37">
        <v>2.5000000000000001E-5</v>
      </c>
      <c r="B37">
        <v>0</v>
      </c>
      <c r="D37" s="37">
        <v>2.5000000000000001E-5</v>
      </c>
      <c r="E37" s="3">
        <v>4.3590334015999996</v>
      </c>
      <c r="AE37" s="37"/>
      <c r="AF37" s="3"/>
    </row>
    <row r="38" spans="1:32" x14ac:dyDescent="0.3">
      <c r="A38" s="37">
        <v>4.9999999999999998E-8</v>
      </c>
      <c r="B38">
        <v>0</v>
      </c>
      <c r="D38" s="37">
        <v>4.9999999999999998E-8</v>
      </c>
      <c r="E38" s="3">
        <v>2.600114</v>
      </c>
      <c r="AE38" s="37"/>
      <c r="AF38" s="3"/>
    </row>
    <row r="39" spans="1:32" x14ac:dyDescent="0.3">
      <c r="A39" s="37">
        <v>1.8999999999999998E-7</v>
      </c>
      <c r="B39">
        <v>1</v>
      </c>
      <c r="D39" s="37">
        <v>1.8999999999999998E-7</v>
      </c>
      <c r="E39" s="3">
        <v>6.14951115592</v>
      </c>
      <c r="AE39" s="37"/>
      <c r="AF39" s="3"/>
    </row>
    <row r="40" spans="1:32" x14ac:dyDescent="0.3">
      <c r="A40" s="37">
        <v>7.5999999999999992E-7</v>
      </c>
      <c r="B40">
        <v>0</v>
      </c>
      <c r="D40" s="37">
        <v>7.5999999999999992E-7</v>
      </c>
      <c r="E40" s="3">
        <v>1.1321600000000001</v>
      </c>
      <c r="AE40" s="37"/>
      <c r="AF40" s="3"/>
    </row>
    <row r="41" spans="1:32" x14ac:dyDescent="0.3">
      <c r="A41" s="37">
        <v>4.0000000000000009E-7</v>
      </c>
      <c r="B41">
        <v>0</v>
      </c>
      <c r="D41" s="37">
        <v>4.0000000000000009E-7</v>
      </c>
      <c r="E41" s="3">
        <v>0.45696709999999996</v>
      </c>
      <c r="AE41" s="37"/>
      <c r="AF41" s="3"/>
    </row>
    <row r="42" spans="1:32" x14ac:dyDescent="0.3">
      <c r="A42" s="37">
        <v>1.6000000000000004E-6</v>
      </c>
      <c r="B42">
        <v>0</v>
      </c>
      <c r="D42" s="37">
        <v>1.6000000000000004E-6</v>
      </c>
      <c r="E42" s="3">
        <v>0.52710077480000006</v>
      </c>
      <c r="AE42" s="37"/>
      <c r="AF42" s="3"/>
    </row>
    <row r="43" spans="1:32" x14ac:dyDescent="0.3">
      <c r="A43" s="37">
        <v>4.0000000000000009E-7</v>
      </c>
      <c r="B43">
        <v>0</v>
      </c>
      <c r="D43" s="37">
        <v>4.0000000000000009E-7</v>
      </c>
      <c r="E43" s="3">
        <v>0.43686194000000006</v>
      </c>
      <c r="AE43" s="37"/>
      <c r="AF43" s="3"/>
    </row>
    <row r="44" spans="1:32" x14ac:dyDescent="0.3">
      <c r="A44" s="37">
        <v>1.5200000000000003E-6</v>
      </c>
      <c r="B44">
        <v>0</v>
      </c>
      <c r="D44" s="37">
        <v>1.5200000000000003E-6</v>
      </c>
      <c r="E44" s="3">
        <v>0.43686194000000006</v>
      </c>
      <c r="AE44" s="37"/>
      <c r="AF44" s="3"/>
    </row>
    <row r="45" spans="1:32" x14ac:dyDescent="0.3">
      <c r="A45" s="37">
        <v>6.0800000000000011E-6</v>
      </c>
      <c r="B45">
        <v>0</v>
      </c>
      <c r="D45" s="37">
        <v>6.0800000000000011E-6</v>
      </c>
      <c r="E45" s="3">
        <v>0.105395475</v>
      </c>
      <c r="AE45" s="37"/>
      <c r="AF45" s="3"/>
    </row>
    <row r="46" spans="1:32" x14ac:dyDescent="0.3">
      <c r="A46" s="37">
        <v>2.5000000000000001E-5</v>
      </c>
      <c r="B46">
        <v>0</v>
      </c>
      <c r="D46" s="37">
        <v>2.5000000000000001E-5</v>
      </c>
      <c r="E46" s="3">
        <v>2.4188863999999999</v>
      </c>
      <c r="AE46" s="37"/>
      <c r="AF46" s="3"/>
    </row>
    <row r="47" spans="1:32" x14ac:dyDescent="0.3">
      <c r="A47" s="37">
        <v>3.0000000000000005E-6</v>
      </c>
      <c r="B47">
        <v>1</v>
      </c>
      <c r="D47" s="37">
        <v>3.0000000000000005E-6</v>
      </c>
      <c r="E47" s="3">
        <v>5.6908249960000008</v>
      </c>
      <c r="AE47" s="37"/>
      <c r="AF47" s="3"/>
    </row>
    <row r="48" spans="1:32" x14ac:dyDescent="0.3">
      <c r="A48" s="37">
        <v>2.8500000000000002E-6</v>
      </c>
      <c r="B48">
        <v>2</v>
      </c>
      <c r="D48" s="37">
        <v>2.8500000000000002E-6</v>
      </c>
      <c r="E48" s="3">
        <v>9.3811286245600005</v>
      </c>
      <c r="AE48" s="37"/>
      <c r="AF48" s="3"/>
    </row>
    <row r="49" spans="1:32" x14ac:dyDescent="0.3">
      <c r="A49" s="37">
        <v>5.4150000000000008E-5</v>
      </c>
      <c r="B49">
        <v>0</v>
      </c>
      <c r="D49" s="37">
        <v>5.4150000000000008E-5</v>
      </c>
      <c r="E49" s="3">
        <v>1.061674365</v>
      </c>
      <c r="AE49" s="37"/>
      <c r="AF49" s="3"/>
    </row>
    <row r="50" spans="1:32" x14ac:dyDescent="0.3">
      <c r="A50" s="37">
        <v>9.9999999999999995E-8</v>
      </c>
      <c r="B50">
        <v>0</v>
      </c>
      <c r="D50" s="37">
        <v>9.9999999999999995E-8</v>
      </c>
      <c r="E50" s="3">
        <v>1.8051917391999999</v>
      </c>
      <c r="AE50" s="37"/>
      <c r="AF50" s="3"/>
    </row>
    <row r="51" spans="1:32" x14ac:dyDescent="0.3">
      <c r="A51" s="37">
        <v>3.7999999999999996E-7</v>
      </c>
      <c r="B51">
        <v>1</v>
      </c>
      <c r="D51" s="37">
        <v>3.7999999999999996E-7</v>
      </c>
      <c r="E51" s="3">
        <v>5.52375479152</v>
      </c>
      <c r="AE51" s="37"/>
      <c r="AF51" s="3"/>
    </row>
    <row r="52" spans="1:32" x14ac:dyDescent="0.3">
      <c r="A52" s="37">
        <v>1.5199999999999998E-6</v>
      </c>
      <c r="B52">
        <v>0</v>
      </c>
      <c r="D52" s="37">
        <v>1.5199999999999998E-6</v>
      </c>
      <c r="E52" s="3">
        <v>1.0471735980000001</v>
      </c>
      <c r="AE52" s="37"/>
      <c r="AF52" s="3"/>
    </row>
    <row r="53" spans="1:32" x14ac:dyDescent="0.3">
      <c r="A53" s="37">
        <v>8.0000000000000018E-7</v>
      </c>
      <c r="B53">
        <v>0</v>
      </c>
      <c r="D53" s="37">
        <v>8.0000000000000018E-7</v>
      </c>
      <c r="E53" s="3">
        <v>0.42214878338</v>
      </c>
      <c r="AE53" s="37"/>
      <c r="AF53" s="3"/>
    </row>
    <row r="54" spans="1:32" x14ac:dyDescent="0.3">
      <c r="A54" s="37">
        <v>3.2000000000000007E-6</v>
      </c>
      <c r="B54">
        <v>0</v>
      </c>
      <c r="D54" s="37">
        <v>3.2000000000000007E-6</v>
      </c>
      <c r="E54" s="3">
        <v>0.43324476380000004</v>
      </c>
      <c r="AE54" s="37"/>
      <c r="AF54" s="3"/>
    </row>
    <row r="55" spans="1:32" x14ac:dyDescent="0.3">
      <c r="A55" s="37">
        <v>8.0000000000000018E-7</v>
      </c>
      <c r="B55">
        <v>0</v>
      </c>
      <c r="D55" s="37">
        <v>8.0000000000000018E-7</v>
      </c>
      <c r="E55" s="3">
        <v>0.41897618913199997</v>
      </c>
      <c r="AE55" s="37"/>
      <c r="AF55" s="3"/>
    </row>
    <row r="56" spans="1:32" x14ac:dyDescent="0.3">
      <c r="A56" s="37">
        <v>3.0400000000000005E-6</v>
      </c>
      <c r="B56">
        <v>0</v>
      </c>
      <c r="D56">
        <v>3.0400000000000005E-6</v>
      </c>
      <c r="E56">
        <v>0.41897618913199997</v>
      </c>
      <c r="AE56" s="37"/>
      <c r="AF56" s="3"/>
    </row>
    <row r="57" spans="1:32" x14ac:dyDescent="0.3">
      <c r="A57" s="37">
        <v>1.2160000000000002E-5</v>
      </c>
      <c r="B57">
        <v>0</v>
      </c>
      <c r="D57">
        <v>1.2160000000000002E-5</v>
      </c>
      <c r="E57">
        <v>0.10348328095500002</v>
      </c>
      <c r="AE57" s="37"/>
      <c r="AF57" s="3"/>
    </row>
    <row r="58" spans="1:32" x14ac:dyDescent="0.3">
      <c r="A58" s="37">
        <v>2.5000000000000001E-5</v>
      </c>
      <c r="B58">
        <v>0</v>
      </c>
      <c r="D58">
        <v>2.5000000000000001E-5</v>
      </c>
      <c r="E58">
        <v>1.77659402392</v>
      </c>
    </row>
    <row r="59" spans="1:32" x14ac:dyDescent="0.3">
      <c r="A59" s="37">
        <v>1.8E-5</v>
      </c>
      <c r="B59">
        <v>0</v>
      </c>
      <c r="D59">
        <v>1.8E-5</v>
      </c>
      <c r="E59">
        <v>1.7255429879999999</v>
      </c>
    </row>
    <row r="60" spans="1:32" x14ac:dyDescent="0.3">
      <c r="A60" s="37">
        <v>3.5999999999999998E-6</v>
      </c>
      <c r="B60">
        <v>0</v>
      </c>
      <c r="D60">
        <v>3.5999999999999998E-6</v>
      </c>
      <c r="E60">
        <v>1.6461438337976</v>
      </c>
    </row>
    <row r="61" spans="1:32" x14ac:dyDescent="0.3">
      <c r="A61" s="37">
        <v>6.8399999999999996E-5</v>
      </c>
      <c r="B61">
        <v>0</v>
      </c>
      <c r="D61">
        <v>6.8399999999999996E-5</v>
      </c>
      <c r="E61">
        <v>1.0613113006043999</v>
      </c>
    </row>
    <row r="62" spans="1:32" x14ac:dyDescent="0.3">
      <c r="A62" s="37">
        <v>1.1999999999999999E-4</v>
      </c>
      <c r="B62">
        <v>0</v>
      </c>
      <c r="D62">
        <v>1.1999999999999999E-4</v>
      </c>
      <c r="E62">
        <v>0.47289394819999997</v>
      </c>
    </row>
    <row r="63" spans="1:32" x14ac:dyDescent="0.3">
      <c r="A63" s="37">
        <v>2.3999999999999997E-5</v>
      </c>
      <c r="B63">
        <v>0</v>
      </c>
      <c r="D63">
        <v>2.3999999999999997E-5</v>
      </c>
      <c r="E63">
        <v>0.46252351291784</v>
      </c>
    </row>
    <row r="64" spans="1:32" x14ac:dyDescent="0.3">
      <c r="A64" s="37">
        <v>4.5599999999999997E-4</v>
      </c>
      <c r="B64">
        <v>0</v>
      </c>
      <c r="D64">
        <v>4.5599999999999997E-4</v>
      </c>
      <c r="E64">
        <v>0.10765457679396001</v>
      </c>
    </row>
    <row r="65" spans="1:5" x14ac:dyDescent="0.3">
      <c r="A65" s="37">
        <v>2.7539999999999997E-5</v>
      </c>
      <c r="B65">
        <v>0</v>
      </c>
      <c r="D65">
        <v>2.7539999999999997E-5</v>
      </c>
      <c r="E65">
        <v>1.988409112</v>
      </c>
    </row>
    <row r="66" spans="1:5" x14ac:dyDescent="0.3">
      <c r="A66" s="37">
        <v>5.5079999999999996E-6</v>
      </c>
      <c r="B66">
        <v>0</v>
      </c>
      <c r="D66">
        <v>5.5079999999999996E-6</v>
      </c>
      <c r="E66">
        <v>1.8543432966224001</v>
      </c>
    </row>
    <row r="67" spans="1:5" x14ac:dyDescent="0.3">
      <c r="A67" s="37">
        <v>1.0465199999999999E-4</v>
      </c>
      <c r="B67">
        <v>0</v>
      </c>
      <c r="D67">
        <v>1.0465199999999999E-4</v>
      </c>
      <c r="E67">
        <v>1.0820086361255998</v>
      </c>
    </row>
    <row r="68" spans="1:5" x14ac:dyDescent="0.3">
      <c r="A68" s="37">
        <v>1.8360000000000002E-4</v>
      </c>
      <c r="B68">
        <v>0</v>
      </c>
      <c r="D68">
        <v>1.8360000000000002E-4</v>
      </c>
      <c r="E68">
        <v>0.51232386680000008</v>
      </c>
    </row>
    <row r="69" spans="1:5" x14ac:dyDescent="0.3">
      <c r="A69" s="37">
        <v>3.6720000000000001E-5</v>
      </c>
      <c r="B69">
        <v>0</v>
      </c>
      <c r="D69">
        <v>3.6720000000000001E-5</v>
      </c>
      <c r="E69">
        <v>0.49481334196016002</v>
      </c>
    </row>
    <row r="70" spans="1:5" x14ac:dyDescent="0.3">
      <c r="A70" s="37">
        <v>6.9768E-4</v>
      </c>
      <c r="B70">
        <v>0</v>
      </c>
      <c r="D70">
        <v>6.9768E-4</v>
      </c>
      <c r="E70">
        <v>0.11077321001304002</v>
      </c>
    </row>
    <row r="71" spans="1:5" x14ac:dyDescent="0.3">
      <c r="A71" s="37">
        <v>1.98E-5</v>
      </c>
      <c r="B71">
        <v>0</v>
      </c>
      <c r="D71">
        <v>1.98E-5</v>
      </c>
      <c r="E71">
        <v>1.549512352</v>
      </c>
    </row>
    <row r="72" spans="1:5" x14ac:dyDescent="0.3">
      <c r="A72" s="37">
        <v>3.9600000000000002E-6</v>
      </c>
      <c r="B72">
        <v>0</v>
      </c>
      <c r="D72">
        <v>3.9600000000000002E-6</v>
      </c>
      <c r="E72">
        <v>1.5067212132704002</v>
      </c>
    </row>
    <row r="73" spans="1:5" x14ac:dyDescent="0.3">
      <c r="A73" s="37">
        <v>7.5239999999999991E-5</v>
      </c>
      <c r="B73">
        <v>0</v>
      </c>
      <c r="D73">
        <v>7.5239999999999991E-5</v>
      </c>
      <c r="E73">
        <v>1.0474511459375999</v>
      </c>
    </row>
    <row r="74" spans="1:5" x14ac:dyDescent="0.3">
      <c r="A74" s="37">
        <v>1.3200000000000001E-4</v>
      </c>
      <c r="B74">
        <v>0</v>
      </c>
      <c r="D74">
        <v>1.3200000000000001E-4</v>
      </c>
      <c r="E74">
        <v>0.44648935280000002</v>
      </c>
    </row>
    <row r="75" spans="1:5" x14ac:dyDescent="0.3">
      <c r="A75" s="37">
        <v>2.6400000000000001E-5</v>
      </c>
      <c r="B75">
        <v>0</v>
      </c>
      <c r="D75">
        <v>2.6400000000000001E-5</v>
      </c>
      <c r="E75">
        <v>0.44090034194336003</v>
      </c>
    </row>
    <row r="76" spans="1:5" x14ac:dyDescent="0.3">
      <c r="A76" s="37">
        <v>5.0160000000000005E-4</v>
      </c>
      <c r="B76">
        <v>0</v>
      </c>
      <c r="D76">
        <v>5.0160000000000005E-4</v>
      </c>
      <c r="E76">
        <v>0.10556615634384001</v>
      </c>
    </row>
    <row r="77" spans="1:5" x14ac:dyDescent="0.3">
      <c r="A77" s="37">
        <v>1.518E-5</v>
      </c>
      <c r="B77">
        <v>0</v>
      </c>
      <c r="D77">
        <v>1.518E-5</v>
      </c>
      <c r="E77">
        <v>1.548096556</v>
      </c>
    </row>
    <row r="78" spans="1:5" x14ac:dyDescent="0.3">
      <c r="A78" s="37">
        <v>3.0360000000000002E-6</v>
      </c>
      <c r="B78">
        <v>0</v>
      </c>
      <c r="D78">
        <v>3.0360000000000002E-6</v>
      </c>
      <c r="E78">
        <v>1.5055998517111999</v>
      </c>
    </row>
    <row r="79" spans="1:5" x14ac:dyDescent="0.3">
      <c r="A79" s="37">
        <v>5.7683999999999999E-5</v>
      </c>
      <c r="B79">
        <v>0</v>
      </c>
      <c r="D79">
        <v>5.7683999999999999E-5</v>
      </c>
      <c r="E79">
        <v>1.0473396701627999</v>
      </c>
    </row>
    <row r="80" spans="1:5" x14ac:dyDescent="0.3">
      <c r="A80" s="37">
        <v>1.0119999999999999E-4</v>
      </c>
      <c r="B80">
        <v>0</v>
      </c>
      <c r="D80">
        <v>1.0119999999999999E-4</v>
      </c>
      <c r="E80">
        <v>0.44627698340000005</v>
      </c>
    </row>
    <row r="81" spans="1:5" x14ac:dyDescent="0.3">
      <c r="A81" s="37">
        <v>2.0239999999999999E-5</v>
      </c>
      <c r="B81">
        <v>0</v>
      </c>
      <c r="D81">
        <v>2.0239999999999999E-5</v>
      </c>
      <c r="E81">
        <v>0.44072642904008003</v>
      </c>
    </row>
    <row r="82" spans="1:5" x14ac:dyDescent="0.3">
      <c r="A82" s="37">
        <v>3.8455999999999994E-4</v>
      </c>
      <c r="B82">
        <v>0</v>
      </c>
      <c r="D82">
        <v>3.8455999999999994E-4</v>
      </c>
      <c r="E82">
        <v>0.10554935939652001</v>
      </c>
    </row>
    <row r="83" spans="1:5" x14ac:dyDescent="0.3">
      <c r="A83" s="37">
        <v>2.4839999999999999E-5</v>
      </c>
      <c r="B83">
        <v>0</v>
      </c>
      <c r="D83">
        <v>2.4839999999999999E-5</v>
      </c>
      <c r="E83">
        <v>1.6160547639999998</v>
      </c>
    </row>
    <row r="84" spans="1:5" x14ac:dyDescent="0.3">
      <c r="A84" s="37">
        <v>4.9679999999999997E-6</v>
      </c>
      <c r="B84">
        <v>0</v>
      </c>
      <c r="D84">
        <v>4.9679999999999997E-6</v>
      </c>
      <c r="E84">
        <v>1.5594252065527998</v>
      </c>
    </row>
    <row r="85" spans="1:5" x14ac:dyDescent="0.3">
      <c r="A85" s="37">
        <v>9.4391999999999987E-5</v>
      </c>
      <c r="B85">
        <v>0</v>
      </c>
      <c r="D85">
        <v>9.4391999999999987E-5</v>
      </c>
      <c r="E85">
        <v>1.0526905073532</v>
      </c>
    </row>
    <row r="86" spans="1:5" x14ac:dyDescent="0.3">
      <c r="A86" s="37">
        <v>1.6560000000000001E-4</v>
      </c>
      <c r="B86">
        <v>0</v>
      </c>
      <c r="D86">
        <v>1.6560000000000001E-4</v>
      </c>
      <c r="E86">
        <v>0.45647071460000005</v>
      </c>
    </row>
    <row r="87" spans="1:5" x14ac:dyDescent="0.3">
      <c r="A87" s="37">
        <v>3.3120000000000001E-5</v>
      </c>
      <c r="B87">
        <v>0</v>
      </c>
      <c r="D87">
        <v>3.3120000000000001E-5</v>
      </c>
      <c r="E87">
        <v>0.44907424839752003</v>
      </c>
    </row>
    <row r="88" spans="1:5" x14ac:dyDescent="0.3">
      <c r="A88" s="37">
        <v>6.2927999999999997E-4</v>
      </c>
      <c r="B88">
        <v>0</v>
      </c>
      <c r="D88">
        <v>6.2927999999999997E-4</v>
      </c>
      <c r="E88">
        <v>0.10635561286788002</v>
      </c>
    </row>
    <row r="89" spans="1:5" x14ac:dyDescent="0.3">
      <c r="A89" s="37">
        <v>1.8539999999999999E-5</v>
      </c>
      <c r="B89">
        <v>1</v>
      </c>
      <c r="D89">
        <v>1.8539999999999999E-5</v>
      </c>
      <c r="E89">
        <v>5.4496677440000001</v>
      </c>
    </row>
    <row r="90" spans="1:5" x14ac:dyDescent="0.3">
      <c r="A90" s="37">
        <v>1.0679039999999998E-5</v>
      </c>
      <c r="B90">
        <v>1</v>
      </c>
      <c r="D90">
        <v>1.0679039999999998E-5</v>
      </c>
      <c r="E90">
        <v>5.4496677440000001</v>
      </c>
    </row>
    <row r="91" spans="1:5" x14ac:dyDescent="0.3">
      <c r="A91" s="37">
        <v>7.1193599999999989E-6</v>
      </c>
      <c r="B91">
        <v>0</v>
      </c>
      <c r="D91">
        <v>7.1193599999999989E-6</v>
      </c>
      <c r="E91">
        <v>1.03589186</v>
      </c>
    </row>
    <row r="92" spans="1:5" x14ac:dyDescent="0.3">
      <c r="A92" s="37">
        <v>5.6361599999999992E-5</v>
      </c>
      <c r="B92">
        <v>0</v>
      </c>
      <c r="D92">
        <v>5.6361599999999992E-5</v>
      </c>
      <c r="E92">
        <v>1.034788136</v>
      </c>
    </row>
    <row r="93" spans="1:5" x14ac:dyDescent="0.3">
      <c r="A93" s="37">
        <v>2.1630000000000001E-5</v>
      </c>
      <c r="B93">
        <v>0</v>
      </c>
      <c r="D93">
        <v>2.1630000000000001E-5</v>
      </c>
      <c r="E93">
        <v>0.7346376616000001</v>
      </c>
    </row>
    <row r="94" spans="1:5" x14ac:dyDescent="0.3">
      <c r="A94" s="37">
        <v>5.1293999999999995E-6</v>
      </c>
      <c r="B94">
        <v>0</v>
      </c>
      <c r="D94">
        <v>5.1293999999999995E-6</v>
      </c>
      <c r="E94">
        <v>0.434642366</v>
      </c>
    </row>
    <row r="95" spans="1:5" x14ac:dyDescent="0.3">
      <c r="A95" s="37">
        <v>1.6315199999999999E-5</v>
      </c>
      <c r="B95">
        <v>0</v>
      </c>
      <c r="D95">
        <v>1.6315199999999999E-5</v>
      </c>
      <c r="E95">
        <v>0.434642366</v>
      </c>
    </row>
    <row r="96" spans="1:5" x14ac:dyDescent="0.3">
      <c r="A96" s="37">
        <v>5.7492539999999992E-4</v>
      </c>
      <c r="B96">
        <v>0</v>
      </c>
      <c r="D96">
        <v>5.7492539999999992E-4</v>
      </c>
      <c r="E96">
        <v>0.10382127900000002</v>
      </c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19" activePane="bottomLeft" state="frozen"/>
      <selection pane="bottomLeft" activeCell="A40" sqref="A32:XFD4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478</v>
      </c>
      <c r="BA1" s="5" t="s">
        <v>479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83">
        <f>AW2/DB!$B$23</f>
        <v>2.1276595744680856E-9</v>
      </c>
      <c r="BA2" s="283">
        <f>AX2/DB!$B$23</f>
        <v>4.2553191489361712E-9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83">
        <f>AW3/DB!$B$23</f>
        <v>8.5106382978723411E-10</v>
      </c>
      <c r="BA3" s="283">
        <f>AX3/DB!$B$23</f>
        <v>8.5106382978723411E-10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83">
        <f>AW4/DB!$B$23</f>
        <v>0</v>
      </c>
      <c r="BA4" s="283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83">
        <f>AW5/DB!$B$23</f>
        <v>0</v>
      </c>
      <c r="BA5" s="283">
        <f>AX5/DB!$B$23</f>
        <v>4.2553191489361707E-8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83">
        <f>AW6/DB!$B$23</f>
        <v>0</v>
      </c>
      <c r="BA6" s="283">
        <f>AX6/DB!$B$23</f>
        <v>4.2553191489361712E-9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83">
        <f>AW7/DB!$B$23</f>
        <v>0</v>
      </c>
      <c r="BA7" s="283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83">
        <f>AW12/DB!$B$23</f>
        <v>4.340425531914893E-7</v>
      </c>
      <c r="BA12" s="283">
        <f>AX12/DB!$B$23</f>
        <v>8.6808510638297861E-7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83">
        <f>AW13/DB!$B$23</f>
        <v>1.7361702127659573E-7</v>
      </c>
      <c r="BA13" s="283">
        <f>AX13/DB!$B$23</f>
        <v>8.6808510638297866E-8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83">
        <f>AW14/DB!$B$23</f>
        <v>0</v>
      </c>
      <c r="BA14" s="283">
        <f>AX14/DB!$B$23</f>
        <v>1.6493617021276593E-6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83">
        <f>AW15/DB!$B$23</f>
        <v>0</v>
      </c>
      <c r="BA15" s="283">
        <f>AX15/DB!$B$23</f>
        <v>2.893617021276596E-6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83">
        <f>AW16/DB!$B$23</f>
        <v>0</v>
      </c>
      <c r="BA16" s="283">
        <f>AX16/DB!$B$23</f>
        <v>5.7872340425531918E-7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83">
        <f>AW17/DB!$B$23</f>
        <v>0</v>
      </c>
      <c r="BA17" s="283">
        <f>AX17/DB!$B$23</f>
        <v>1.0995744680851064E-5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83">
        <f>AW22/DB!$B$23</f>
        <v>2.1276595744680856E-9</v>
      </c>
      <c r="BA22" s="283">
        <f>AX22/DB!$B$23</f>
        <v>4.2553191489361712E-9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83">
        <f>AW23/DB!$B$23</f>
        <v>8.5106382978723411E-10</v>
      </c>
      <c r="BA23" s="283">
        <f>AX23/DB!$B$23</f>
        <v>8.5106382978723411E-10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83">
        <f>AW24/DB!$B$23</f>
        <v>0</v>
      </c>
      <c r="BA24" s="283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83">
        <f>AW25/DB!$B$23</f>
        <v>0</v>
      </c>
      <c r="BA25" s="283">
        <f>AX25/DB!$B$23</f>
        <v>4.2553191489361707E-8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83">
        <f>AW26/DB!$B$23</f>
        <v>0</v>
      </c>
      <c r="BA26" s="283">
        <f>AX26/DB!$B$23</f>
        <v>4.2553191489361712E-9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83">
        <f>AW27/DB!$B$23</f>
        <v>0</v>
      </c>
      <c r="BA27" s="283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83">
        <f>AW32/DB!$B$23</f>
        <v>2.1276595744680856E-9</v>
      </c>
      <c r="BA32" s="283">
        <f>AX32/DB!$B$23</f>
        <v>4.2553191489361712E-9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83">
        <f>AW33/DB!$B$23</f>
        <v>2.4510638297872342E-9</v>
      </c>
      <c r="BA33" s="283">
        <f>AX33/DB!$B$23</f>
        <v>2.4510638297872342E-9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83">
        <f>AW34/DB!$B$23</f>
        <v>0</v>
      </c>
      <c r="BA34" s="283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83">
        <f>AW35/DB!$B$23</f>
        <v>0</v>
      </c>
      <c r="BA35" s="283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83">
        <f>AW36/DB!$B$23</f>
        <v>0</v>
      </c>
      <c r="BA36" s="283">
        <f>AX36/DB!$B$23</f>
        <v>7.4468085106382985E-9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83">
        <f>AW37/DB!$B$23</f>
        <v>0</v>
      </c>
      <c r="BA37" s="283">
        <f>AX37/DB!$B$23</f>
        <v>8.8297872340425547E-10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83">
        <f>AW38/DB!$B$23</f>
        <v>0</v>
      </c>
      <c r="BA38" s="283">
        <f>AX38/DB!$B$23</f>
        <v>2.8085106382978726E-9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83">
        <f>AW39/DB!$B$23</f>
        <v>0</v>
      </c>
      <c r="BA39" s="283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83">
        <f>AW42/DB!$B$23</f>
        <v>2.1276595744680856E-9</v>
      </c>
      <c r="BA42" s="283">
        <f>AX42/DB!$B$23</f>
        <v>4.2553191489361712E-9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83">
        <f>AW43/DB!$B$23</f>
        <v>2.4510638297872342E-9</v>
      </c>
      <c r="BA43" s="283">
        <f>AX43/DB!$B$23</f>
        <v>2.4510638297872342E-9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83">
        <f>AW44/DB!$B$23</f>
        <v>0</v>
      </c>
      <c r="BA44" s="283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83">
        <f>AW45/DB!$B$23</f>
        <v>6.4680851063829791E-9</v>
      </c>
      <c r="BA45" s="283">
        <f>AX45/DB!$B$23</f>
        <v>6.4680851063829791E-9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83">
        <f>AW46/DB!$B$23</f>
        <v>0</v>
      </c>
      <c r="BA46" s="283">
        <f>AX46/DB!$B$23</f>
        <v>7.4468085106382985E-9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83">
        <f>AW47/DB!$B$23</f>
        <v>0</v>
      </c>
      <c r="BA47" s="283">
        <f>AX47/DB!$B$23</f>
        <v>1.7659574468085109E-9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83">
        <f>AW48/DB!$B$23</f>
        <v>0</v>
      </c>
      <c r="BA48" s="283">
        <f>AX48/DB!$B$23</f>
        <v>2.8085106382978726E-9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83">
        <f>AW49/DB!$B$23</f>
        <v>0</v>
      </c>
      <c r="BA49" s="283">
        <f>AX49/DB!$B$23</f>
        <v>9.8968085106382991E-8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83">
        <f>AW52/DB!$B$23</f>
        <v>1.8617021276595744E-9</v>
      </c>
      <c r="BA52" s="283">
        <f>AX52/DB!$B$23</f>
        <v>3.7234042553191488E-9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83">
        <f>AW53/DB!$B$23</f>
        <v>3.5372340425531914E-9</v>
      </c>
      <c r="BA53" s="283">
        <f>AX53/DB!$B$23</f>
        <v>3.5372340425531914E-9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83">
        <f>AW54/DB!$B$23</f>
        <v>0</v>
      </c>
      <c r="BA54" s="283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83">
        <f>AW55/DB!$B$23</f>
        <v>0</v>
      </c>
      <c r="BA55" s="283">
        <f>AX55/DB!$B$23</f>
        <v>2.3404255319148939E-8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83">
        <f>AW56/DB!$B$23</f>
        <v>0</v>
      </c>
      <c r="BA56" s="283">
        <f>AX56/DB!$B$23</f>
        <v>1.1117021276595745E-8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83">
        <f>AW57/DB!$B$23</f>
        <v>0</v>
      </c>
      <c r="BA57" s="283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83">
        <f>AW62/DB!$B$23</f>
        <v>1.8617021276595744E-9</v>
      </c>
      <c r="BA62" s="283">
        <f>AX62/DB!$B$23</f>
        <v>3.7234042553191488E-9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83">
        <f>AW63/DB!$B$23</f>
        <v>3.5372340425531914E-9</v>
      </c>
      <c r="BA63" s="283">
        <f>AX63/DB!$B$23</f>
        <v>3.5372340425531914E-9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83">
        <f>AW64/DB!$B$23</f>
        <v>0</v>
      </c>
      <c r="BA64" s="283">
        <f>AX64/DB!$B$23</f>
        <v>3.3603723404255317E-8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83">
        <f>AW65/DB!$B$23</f>
        <v>0</v>
      </c>
      <c r="BA65" s="283">
        <f>AX65/DB!$B$23</f>
        <v>2.3404255319148939E-8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83">
        <f>AW66/DB!$B$23</f>
        <v>0</v>
      </c>
      <c r="BA66" s="283">
        <f>AX66/DB!$B$23</f>
        <v>1.1117021276595745E-8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83">
        <f>AW67/DB!$B$23</f>
        <v>0</v>
      </c>
      <c r="BA67" s="283">
        <f>AX67/DB!$B$23</f>
        <v>2.1122340425531915E-7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83">
        <f>AW72/DB!$B$23</f>
        <v>1.8617021276595744E-9</v>
      </c>
      <c r="BA72" s="283">
        <f>AX72/DB!$B$23</f>
        <v>3.7234042553191488E-9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83">
        <f>AW73/DB!$B$23</f>
        <v>3.5372340425531914E-9</v>
      </c>
      <c r="BA73" s="283">
        <f>AX73/DB!$B$23</f>
        <v>3.5372340425531914E-9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83">
        <f>AW74/DB!$B$23</f>
        <v>0</v>
      </c>
      <c r="BA74" s="283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83">
        <f>AW75/DB!$B$23</f>
        <v>0</v>
      </c>
      <c r="BA75" s="283">
        <f>AX75/DB!$B$23</f>
        <v>2.3404255319148939E-8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83">
        <f>AW76/DB!$B$23</f>
        <v>0</v>
      </c>
      <c r="BA76" s="283">
        <f>AX76/DB!$B$23</f>
        <v>1.1117021276595745E-8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83">
        <f>AW77/DB!$B$23</f>
        <v>0</v>
      </c>
      <c r="BA77" s="283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83">
        <f>AW82/DB!$B$23</f>
        <v>1.0638297872340428E-9</v>
      </c>
      <c r="BA82" s="283">
        <f>AX82/DB!$B$23</f>
        <v>2.1276595744680856E-9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545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83">
        <f>AW83/DB!$B$23</f>
        <v>3.8297872340425538E-9</v>
      </c>
      <c r="BA83" s="283">
        <f>AX83/DB!$B$23</f>
        <v>3.8297872340425538E-9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83">
        <f>AW84/DB!$B$23</f>
        <v>0</v>
      </c>
      <c r="BA84" s="283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83">
        <f>AW85/DB!$B$23</f>
        <v>0</v>
      </c>
      <c r="BA85" s="283">
        <f>AX85/DB!$B$23</f>
        <v>2.1276595744680853E-8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83">
        <f>AW86/DB!$B$23</f>
        <v>0</v>
      </c>
      <c r="BA86" s="283">
        <f>AX86/DB!$B$23</f>
        <v>4.7872340425531927E-9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83">
        <f>AW87/DB!$B$23</f>
        <v>0</v>
      </c>
      <c r="BA87" s="283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83">
        <f>AW92/DB!$B$23</f>
        <v>1.0638297872340428E-9</v>
      </c>
      <c r="BA92" s="283">
        <f>AX92/DB!$B$23</f>
        <v>2.1276595744680856E-9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83">
        <f>AW93/DB!$B$23</f>
        <v>3.8297872340425538E-9</v>
      </c>
      <c r="BA93" s="283">
        <f>AX93/DB!$B$23</f>
        <v>3.8297872340425538E-9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83">
        <f>AW94/DB!$B$23</f>
        <v>0</v>
      </c>
      <c r="BA94" s="283">
        <f>AX94/DB!$B$23</f>
        <v>7.6595744680851076E-9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83">
        <f>AW95/DB!$B$23</f>
        <v>0</v>
      </c>
      <c r="BA95" s="283">
        <f>AX95/DB!$B$23</f>
        <v>2.1276595744680853E-8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83">
        <f>AW96/DB!$B$23</f>
        <v>0</v>
      </c>
      <c r="BA96" s="283">
        <f>AX96/DB!$B$23</f>
        <v>4.7872340425531927E-9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83">
        <f>AW97/DB!$B$23</f>
        <v>0</v>
      </c>
      <c r="BA97" s="283">
        <f>AX97/DB!$B$23</f>
        <v>9.0957446808510645E-8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83">
        <f>AW102/DB!$B$23</f>
        <v>1.0638297872340428E-9</v>
      </c>
      <c r="BA102" s="283">
        <f>AX102/DB!$B$23</f>
        <v>2.1276595744680856E-9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83">
        <f>AW103/DB!$B$23</f>
        <v>3.8297872340425538E-9</v>
      </c>
      <c r="BA103" s="283">
        <f>AX103/DB!$B$23</f>
        <v>3.8297872340425538E-9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83">
        <f>AW104/DB!$B$23</f>
        <v>0</v>
      </c>
      <c r="BA104" s="283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83">
        <f>AW105/DB!$B$23</f>
        <v>0</v>
      </c>
      <c r="BA105" s="283">
        <f>AX105/DB!$B$23</f>
        <v>2.1276595744680853E-8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83">
        <f>AW106/DB!$B$23</f>
        <v>0</v>
      </c>
      <c r="BA106" s="283">
        <f>AX106/DB!$B$23</f>
        <v>4.7872340425531927E-9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83">
        <f>AW107/DB!$B$23</f>
        <v>0</v>
      </c>
      <c r="BA107" s="283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83">
        <f>AW112/DB!$B$23</f>
        <v>5.3191489361702125E-11</v>
      </c>
      <c r="BA112" s="283">
        <f>AX112/DB!$B$23</f>
        <v>1.0638297872340425E-10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83">
        <f>AW113/DB!$B$23</f>
        <v>4.0425531914893614E-10</v>
      </c>
      <c r="BA113" s="283">
        <f>AX113/DB!$B$23</f>
        <v>4.0425531914893614E-10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83">
        <f>AW114/DB!$B$23</f>
        <v>0</v>
      </c>
      <c r="BA114" s="283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83">
        <f>AW115/DB!$B$23</f>
        <v>0</v>
      </c>
      <c r="BA115" s="283">
        <f>AX115/DB!$B$23</f>
        <v>4.2553191489361711E-10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83">
        <f>AW116/DB!$B$23</f>
        <v>0</v>
      </c>
      <c r="BA116" s="283">
        <f>AX116/DB!$B$23</f>
        <v>1.7021276595744684E-9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83">
        <f>AW117/DB!$B$23</f>
        <v>0</v>
      </c>
      <c r="BA117" s="283">
        <f>AX117/DB!$B$23</f>
        <v>4.2553191489361711E-10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83">
        <f>AW118/DB!$B$23</f>
        <v>0</v>
      </c>
      <c r="BA118" s="283">
        <f>AX118/DB!$B$23</f>
        <v>1.617021276595745E-9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83">
        <f>AW119/DB!$B$23</f>
        <v>0</v>
      </c>
      <c r="BA119" s="283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83">
        <f>AW120/DB!$B$23</f>
        <v>2.6595744680851065E-8</v>
      </c>
      <c r="BA120" s="283">
        <f>AX120/DB!$B$23</f>
        <v>5.319148936170213E-8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83">
        <f>AW122/DB!$B$23</f>
        <v>5.3191489361702125E-11</v>
      </c>
      <c r="BA122" s="283">
        <f>AX122/DB!$B$23</f>
        <v>1.0638297872340425E-10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83">
        <f>AW123/DB!$B$23</f>
        <v>6.0638297872340417E-10</v>
      </c>
      <c r="BA123" s="283">
        <f>AX123/DB!$B$23</f>
        <v>8.0851063829787229E-10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83">
        <f>AW124/DB!$B$23</f>
        <v>0</v>
      </c>
      <c r="BA124" s="283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83">
        <f>AW125/DB!$B$23</f>
        <v>0</v>
      </c>
      <c r="BA125" s="283">
        <f>AX125/DB!$B$23</f>
        <v>4.2553191489361711E-10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83">
        <f>AW126/DB!$B$23</f>
        <v>0</v>
      </c>
      <c r="BA126" s="283">
        <f>AX126/DB!$B$23</f>
        <v>1.7021276595744684E-9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83">
        <f>AW127/DB!$B$23</f>
        <v>0</v>
      </c>
      <c r="BA127" s="283">
        <f>AX127/DB!$B$23</f>
        <v>4.2553191489361711E-10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83">
        <f>AW128/DB!$B$23</f>
        <v>0</v>
      </c>
      <c r="BA128" s="283">
        <f>AX128/DB!$B$23</f>
        <v>1.617021276595745E-9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83">
        <f>AW129/DB!$B$23</f>
        <v>0</v>
      </c>
      <c r="BA129" s="283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83">
        <f>AW130/DB!$B$23</f>
        <v>2.6595744680851065E-8</v>
      </c>
      <c r="BA130" s="283">
        <f>AX130/DB!$B$23</f>
        <v>5.319148936170213E-8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83">
        <f>AW132/DB!$B$23</f>
        <v>5.319148936170214E-10</v>
      </c>
      <c r="BA132" s="283">
        <f>AX132/DB!$B$23</f>
        <v>1.0638297872340428E-9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83">
        <f>AW133/DB!$B$23</f>
        <v>1.0106382978723405E-9</v>
      </c>
      <c r="BA133" s="283">
        <f>AX133/DB!$B$23</f>
        <v>1.0106382978723405E-9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83">
        <f>AW134/DB!$B$23</f>
        <v>0</v>
      </c>
      <c r="BA134" s="283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83">
        <f>AW142/DB!$B$23</f>
        <v>5.319148936170214E-10</v>
      </c>
      <c r="BA142" s="283">
        <f>AX142/DB!$B$23</f>
        <v>1.0638297872340428E-9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83">
        <f>AW143/DB!$B$23</f>
        <v>1.0106382978723405E-9</v>
      </c>
      <c r="BA143" s="283">
        <f>AX143/DB!$B$23</f>
        <v>1.0106382978723405E-9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83">
        <f>AW144/DB!$B$23</f>
        <v>0</v>
      </c>
      <c r="BA144" s="283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83">
        <f>AW152/DB!$B$23</f>
        <v>1.5957446808510641E-10</v>
      </c>
      <c r="BA152" s="283">
        <f>AX152/DB!$B$23</f>
        <v>1.5957446808510641E-10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83">
        <f>AW153/DB!$B$23</f>
        <v>1.5159574468085107E-10</v>
      </c>
      <c r="BA153" s="283">
        <f>AX153/DB!$B$23</f>
        <v>1.5159574468085107E-10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83">
        <f>AW154/DB!$B$23</f>
        <v>0</v>
      </c>
      <c r="BA154" s="283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83">
        <f>AW155/DB!$B$23</f>
        <v>0</v>
      </c>
      <c r="BA155" s="283">
        <f>AX155/DB!$B$23</f>
        <v>3.7234042553191488E-10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83">
        <f>AW156/DB!$B$23</f>
        <v>0</v>
      </c>
      <c r="BA156" s="283">
        <f>AX156/DB!$B$23</f>
        <v>3.5372340425531914E-10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83">
        <f>AW157/DB!$B$23</f>
        <v>0</v>
      </c>
      <c r="BA157" s="283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83">
        <f>AW162/DB!$B$23</f>
        <v>1.5957446808510641E-10</v>
      </c>
      <c r="BA162" s="283">
        <f>AX162/DB!$B$23</f>
        <v>3.1914893617021282E-10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83">
        <f>AW163/DB!$B$23</f>
        <v>3.0319148936170213E-10</v>
      </c>
      <c r="BA163" s="283">
        <f>AX163/DB!$B$23</f>
        <v>3.0319148936170213E-10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83">
        <f>AW164/DB!$B$23</f>
        <v>0</v>
      </c>
      <c r="BA164" s="283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83">
        <f>AW165/DB!$B$23</f>
        <v>0</v>
      </c>
      <c r="BA165" s="283">
        <f>AX165/DB!$B$23</f>
        <v>7.4468085106382977E-10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83">
        <f>AW166/DB!$B$23</f>
        <v>0</v>
      </c>
      <c r="BA166" s="283">
        <f>AX166/DB!$B$23</f>
        <v>3.5372340425531914E-10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83">
        <f>AW167/DB!$B$23</f>
        <v>0</v>
      </c>
      <c r="BA167" s="283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83">
        <f>AW172/DB!$B$23</f>
        <v>1.5957446808510641E-10</v>
      </c>
      <c r="BA172" s="283">
        <f>AX172/DB!$B$23</f>
        <v>3.1914893617021282E-10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83">
        <f>AW173/DB!$B$23</f>
        <v>3.0319148936170213E-10</v>
      </c>
      <c r="BA173" s="283">
        <f>AX173/DB!$B$23</f>
        <v>3.0319148936170213E-10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83">
        <f>AW174/DB!$B$23</f>
        <v>0</v>
      </c>
      <c r="BA174" s="283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83">
        <f>AW175/DB!$B$23</f>
        <v>0</v>
      </c>
      <c r="BA175" s="283">
        <f>AX175/DB!$B$23</f>
        <v>7.4468085106382977E-10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83">
        <f>AW176/DB!$B$23</f>
        <v>0</v>
      </c>
      <c r="BA176" s="283">
        <f>AX176/DB!$B$23</f>
        <v>3.5372340425531914E-10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83">
        <f>AW177/DB!$B$23</f>
        <v>0</v>
      </c>
      <c r="BA177" s="283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83">
        <f>AW182/DB!$B$23</f>
        <v>2.1276595744680856E-9</v>
      </c>
      <c r="BA182" s="283">
        <f>AX182/DB!$B$23</f>
        <v>4.2553191489361712E-9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83">
        <f>AW183/DB!$B$23</f>
        <v>2.4510638297872342E-9</v>
      </c>
      <c r="BA183" s="283">
        <f>AX183/DB!$B$23</f>
        <v>2.4510638297872342E-9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83">
        <f>AW184/DB!$B$23</f>
        <v>0</v>
      </c>
      <c r="BA184" s="283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83">
        <f>AW185/DB!$B$23</f>
        <v>0</v>
      </c>
      <c r="BA185" s="283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83">
        <f>AW186/DB!$B$23</f>
        <v>0</v>
      </c>
      <c r="BA186" s="283">
        <f>AX186/DB!$B$23</f>
        <v>7.4468085106382985E-9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83">
        <f>AW187/DB!$B$23</f>
        <v>0</v>
      </c>
      <c r="BA187" s="283">
        <f>AX187/DB!$B$23</f>
        <v>8.8297872340425547E-10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83">
        <f>AW188/DB!$B$23</f>
        <v>0</v>
      </c>
      <c r="BA188" s="283">
        <f>AX188/DB!$B$23</f>
        <v>2.8085106382978726E-9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83">
        <f>AW189/DB!$B$23</f>
        <v>0</v>
      </c>
      <c r="BA189" s="283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83">
        <f>AW192/DB!$B$23</f>
        <v>2.1276595744680856E-9</v>
      </c>
      <c r="BA192" s="283">
        <f>AX192/DB!$B$23</f>
        <v>4.2553191489361712E-9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83">
        <f>AW193/DB!$B$23</f>
        <v>2.4510638297872342E-9</v>
      </c>
      <c r="BA193" s="283">
        <f>AX193/DB!$B$23</f>
        <v>2.4510638297872342E-9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83">
        <f>AW194/DB!$B$23</f>
        <v>0</v>
      </c>
      <c r="BA194" s="283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83">
        <f>AW195/DB!$B$23</f>
        <v>6.4680851063829791E-9</v>
      </c>
      <c r="BA195" s="283">
        <f>AX195/DB!$B$23</f>
        <v>6.4680851063829791E-9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83">
        <f>AW196/DB!$B$23</f>
        <v>0</v>
      </c>
      <c r="BA196" s="283">
        <f>AX196/DB!$B$23</f>
        <v>7.4468085106382985E-9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83">
        <f>AW197/DB!$B$23</f>
        <v>0</v>
      </c>
      <c r="BA197" s="283">
        <f>AX197/DB!$B$23</f>
        <v>1.7659574468085109E-9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83">
        <f>AW198/DB!$B$23</f>
        <v>0</v>
      </c>
      <c r="BA198" s="283">
        <f>AX198/DB!$B$23</f>
        <v>2.8085106382978726E-9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83">
        <f>AW199/DB!$B$23</f>
        <v>0</v>
      </c>
      <c r="BA199" s="283">
        <f>AX199/DB!$B$23</f>
        <v>9.8968085106382991E-8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83">
        <f>AW202/DB!$B$23</f>
        <v>1.0638297872340425E-10</v>
      </c>
      <c r="BA202" s="283">
        <f>AX202/DB!$B$23</f>
        <v>2.127659574468085E-10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83">
        <f>AW203/DB!$B$23</f>
        <v>8.0851063829787229E-10</v>
      </c>
      <c r="BA203" s="283">
        <f>AX203/DB!$B$23</f>
        <v>8.0851063829787229E-10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83">
        <f>AW204/DB!$B$23</f>
        <v>0</v>
      </c>
      <c r="BA204" s="283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83">
        <f>AW205/DB!$B$23</f>
        <v>0</v>
      </c>
      <c r="BA205" s="283">
        <f>AX205/DB!$B$23</f>
        <v>8.5106382978723421E-10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83">
        <f>AW206/DB!$B$23</f>
        <v>0</v>
      </c>
      <c r="BA206" s="283">
        <f>AX206/DB!$B$23</f>
        <v>3.4042553191489368E-9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83">
        <f>AW207/DB!$B$23</f>
        <v>0</v>
      </c>
      <c r="BA207" s="283">
        <f>AX207/DB!$B$23</f>
        <v>8.5106382978723421E-10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83">
        <f>AW208/DB!$B$23</f>
        <v>0</v>
      </c>
      <c r="BA208" s="283">
        <f>AX208/DB!$B$23</f>
        <v>3.23404255319149E-9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83">
        <f>AW209/DB!$B$23</f>
        <v>0</v>
      </c>
      <c r="BA209" s="283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83">
        <f>AW210/DB!$B$23</f>
        <v>5.319148936170213E-8</v>
      </c>
      <c r="BA210" s="283">
        <f>AX210/DB!$B$23</f>
        <v>1.0638297872340426E-7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83">
        <f>AW212/DB!$B$23</f>
        <v>1.0638297872340425E-10</v>
      </c>
      <c r="BA212" s="283">
        <f>AX212/DB!$B$23</f>
        <v>2.127659574468085E-10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83">
        <f>AW213/DB!$B$23</f>
        <v>8.0851063829787229E-10</v>
      </c>
      <c r="BA213" s="283">
        <f>AX213/DB!$B$23</f>
        <v>8.0851063829787229E-10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83">
        <f>AW214/DB!$B$23</f>
        <v>0</v>
      </c>
      <c r="BA214" s="283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83">
        <f>AW215/DB!$B$23</f>
        <v>0</v>
      </c>
      <c r="BA215" s="283">
        <f>AX215/DB!$B$23</f>
        <v>8.5106382978723421E-10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83">
        <f>AW216/DB!$B$23</f>
        <v>0</v>
      </c>
      <c r="BA216" s="283">
        <f>AX216/DB!$B$23</f>
        <v>3.4042553191489368E-9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83">
        <f>AW217/DB!$B$23</f>
        <v>0</v>
      </c>
      <c r="BA217" s="283">
        <f>AX217/DB!$B$23</f>
        <v>4.2553191489361711E-10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83">
        <f>AW218/DB!$B$23</f>
        <v>0</v>
      </c>
      <c r="BA218" s="283">
        <f>AX218/DB!$B$23</f>
        <v>3.23404255319149E-9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83">
        <f>AW219/DB!$B$23</f>
        <v>0</v>
      </c>
      <c r="BA219" s="283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83">
        <f>AW220/DB!$B$23</f>
        <v>5.319148936170213E-8</v>
      </c>
      <c r="BA220" s="283">
        <f>AX220/DB!$B$23</f>
        <v>1.0638297872340426E-7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83">
        <f>AW222/DB!$B$23</f>
        <v>2.1276595744680856E-9</v>
      </c>
      <c r="BA222" s="283">
        <f>AX222/DB!$B$23</f>
        <v>4.2553191489361712E-9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83">
        <f>AW223/DB!$B$23</f>
        <v>8.5106382978723411E-10</v>
      </c>
      <c r="BA223" s="283">
        <f>AX223/DB!$B$23</f>
        <v>8.5106382978723411E-10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83">
        <f>AW224/DB!$B$23</f>
        <v>0</v>
      </c>
      <c r="BA224" s="283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83">
        <f>AW225/DB!$B$23</f>
        <v>0</v>
      </c>
      <c r="BA225" s="283">
        <f>AX225/DB!$B$23</f>
        <v>4.2553191489361707E-8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83">
        <f>AW226/DB!$B$23</f>
        <v>0</v>
      </c>
      <c r="BA226" s="283">
        <f>AX226/DB!$B$23</f>
        <v>4.2553191489361712E-9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83">
        <f>AW227/DB!$B$23</f>
        <v>0</v>
      </c>
      <c r="BA227" s="283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83">
        <f>AW232/DB!$B$23</f>
        <v>2.1276595744680856E-9</v>
      </c>
      <c r="BA232" s="283">
        <f>AX232/DB!$B$23</f>
        <v>4.2553191489361712E-9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83">
        <f>AW233/DB!$B$23</f>
        <v>1.7021276595744685E-8</v>
      </c>
      <c r="BA233" s="283">
        <f>AX233/DB!$B$23</f>
        <v>1.7021276595744685E-8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495</v>
      </c>
      <c r="C242" s="79" t="s">
        <v>496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83">
        <f>AW242/DB!$B$23</f>
        <v>8.5106382978723413E-8</v>
      </c>
      <c r="BA242" s="283">
        <f>AX242/DB!$B$23</f>
        <v>1.7021276595744683E-7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497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83">
        <f>AW243/DB!$B$23</f>
        <v>9.8042553191489367E-8</v>
      </c>
      <c r="BA243" s="283">
        <f>AX243/DB!$B$23</f>
        <v>9.8042553191489367E-8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498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83">
        <f>AW244/DB!$B$23</f>
        <v>0</v>
      </c>
      <c r="BA244" s="283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499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83">
        <f>AW245/DB!$B$23</f>
        <v>0</v>
      </c>
      <c r="BA245" s="283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500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83">
        <f>AW246/DB!$B$23</f>
        <v>0</v>
      </c>
      <c r="BA246" s="283">
        <f>AX246/DB!$B$23</f>
        <v>1.3106382978723407E-6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501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83">
        <f>AW247/DB!$B$23</f>
        <v>0</v>
      </c>
      <c r="BA247" s="283">
        <f>AX247/DB!$B$23</f>
        <v>1.5540425531914894E-7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502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83">
        <f>AW248/DB!$B$23</f>
        <v>0</v>
      </c>
      <c r="BA248" s="283">
        <f>AX248/DB!$B$23</f>
        <v>4.9429787234042559E-7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503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83">
        <f>AW249/DB!$B$23</f>
        <v>0</v>
      </c>
      <c r="BA249" s="283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07" customFormat="1" ht="15" thickBot="1" x14ac:dyDescent="0.35">
      <c r="A252" s="297" t="s">
        <v>18</v>
      </c>
      <c r="B252" s="298" t="s">
        <v>546</v>
      </c>
      <c r="C252" s="299" t="s">
        <v>106</v>
      </c>
      <c r="D252" s="300" t="s">
        <v>25</v>
      </c>
      <c r="E252" s="301">
        <v>1.0000000000000001E-5</v>
      </c>
      <c r="F252" s="298">
        <v>1</v>
      </c>
      <c r="G252" s="297">
        <v>0.2</v>
      </c>
      <c r="H252" s="302">
        <f t="shared" ref="H252:H257" si="237">E252*F252*G252</f>
        <v>2.0000000000000003E-6</v>
      </c>
      <c r="I252" s="303">
        <v>8.75</v>
      </c>
      <c r="J252" s="304">
        <f>I252</f>
        <v>8.75</v>
      </c>
      <c r="K252" s="305" t="s">
        <v>122</v>
      </c>
      <c r="L252" s="306">
        <v>300</v>
      </c>
      <c r="M252" s="307" t="str">
        <f t="shared" ref="M252:N257" si="238">A252</f>
        <v>С1</v>
      </c>
      <c r="N252" s="307" t="str">
        <f t="shared" si="238"/>
        <v>Трубопровод ЛВЖ_откр</v>
      </c>
      <c r="O252" s="307" t="str">
        <f t="shared" ref="O252:O257" si="239">D252</f>
        <v>Полное-пожар</v>
      </c>
      <c r="P252" s="307">
        <v>14</v>
      </c>
      <c r="Q252" s="307">
        <v>19.600000000000001</v>
      </c>
      <c r="R252" s="307">
        <v>28.4</v>
      </c>
      <c r="S252" s="307">
        <v>54.1</v>
      </c>
      <c r="T252" s="307" t="s">
        <v>46</v>
      </c>
      <c r="U252" s="307" t="s">
        <v>46</v>
      </c>
      <c r="V252" s="307" t="s">
        <v>46</v>
      </c>
      <c r="W252" s="307" t="s">
        <v>46</v>
      </c>
      <c r="X252" s="307" t="s">
        <v>46</v>
      </c>
      <c r="Y252" s="307" t="s">
        <v>46</v>
      </c>
      <c r="Z252" s="307" t="s">
        <v>46</v>
      </c>
      <c r="AA252" s="307" t="s">
        <v>46</v>
      </c>
      <c r="AB252" s="307" t="s">
        <v>46</v>
      </c>
      <c r="AC252" s="307" t="s">
        <v>46</v>
      </c>
      <c r="AD252" s="307" t="s">
        <v>46</v>
      </c>
      <c r="AE252" s="307" t="s">
        <v>46</v>
      </c>
      <c r="AF252" s="307" t="s">
        <v>46</v>
      </c>
      <c r="AG252" s="307" t="s">
        <v>46</v>
      </c>
      <c r="AH252" s="307" t="s">
        <v>46</v>
      </c>
      <c r="AI252" s="307" t="s">
        <v>46</v>
      </c>
      <c r="AJ252" s="308">
        <v>1</v>
      </c>
      <c r="AK252" s="308">
        <v>2</v>
      </c>
      <c r="AL252" s="309">
        <v>0.75</v>
      </c>
      <c r="AM252" s="309">
        <v>2.7E-2</v>
      </c>
      <c r="AN252" s="309">
        <v>3</v>
      </c>
      <c r="AQ252" s="310">
        <f>AM252*I252+AL252</f>
        <v>0.98624999999999996</v>
      </c>
      <c r="AR252" s="310">
        <f t="shared" ref="AR252:AR257" si="240">0.1*AQ252</f>
        <v>9.8625000000000004E-2</v>
      </c>
      <c r="AS252" s="311">
        <f t="shared" ref="AS252:AS257" si="241">AJ252*3+0.25*AK252</f>
        <v>3.5</v>
      </c>
      <c r="AT252" s="311">
        <f t="shared" ref="AT252:AT257" si="242">SUM(AQ252:AS252)/4</f>
        <v>1.1462187500000001</v>
      </c>
      <c r="AU252" s="310">
        <f>10068.2*J252*POWER(10,-6)</f>
        <v>8.8096750000000001E-2</v>
      </c>
      <c r="AV252" s="311">
        <f t="shared" ref="AV252:AV257" si="243">AU252+AT252+AS252+AR252+AQ252</f>
        <v>5.8191905000000004</v>
      </c>
      <c r="AW252" s="312">
        <f t="shared" ref="AW252:AW257" si="244">AJ252*H252</f>
        <v>2.0000000000000003E-6</v>
      </c>
      <c r="AX252" s="312">
        <f t="shared" ref="AX252:AX257" si="245">H252*AK252</f>
        <v>4.0000000000000007E-6</v>
      </c>
      <c r="AY252" s="312">
        <f t="shared" ref="AY252:AY257" si="246">H252*AV252</f>
        <v>1.1638381000000003E-5</v>
      </c>
      <c r="AZ252" s="313">
        <f>AW252/[2]DB!$B$23</f>
        <v>2.4096385542168678E-9</v>
      </c>
      <c r="BA252" s="313">
        <f>AX252/[2]DB!$B$23</f>
        <v>4.8192771084337357E-9</v>
      </c>
    </row>
    <row r="253" spans="1:53" s="307" customFormat="1" ht="15" thickBot="1" x14ac:dyDescent="0.35">
      <c r="A253" s="297" t="s">
        <v>19</v>
      </c>
      <c r="B253" s="297" t="str">
        <f>B252</f>
        <v>Трубопровод ЛВЖ_откр</v>
      </c>
      <c r="C253" s="299" t="s">
        <v>547</v>
      </c>
      <c r="D253" s="300" t="s">
        <v>548</v>
      </c>
      <c r="E253" s="314">
        <f>E252</f>
        <v>1.0000000000000001E-5</v>
      </c>
      <c r="F253" s="315">
        <f>F252</f>
        <v>1</v>
      </c>
      <c r="G253" s="297">
        <v>0.04</v>
      </c>
      <c r="H253" s="302">
        <f t="shared" si="237"/>
        <v>4.0000000000000003E-7</v>
      </c>
      <c r="I253" s="316">
        <f>I252</f>
        <v>8.75</v>
      </c>
      <c r="J253" s="317">
        <f>POWER(10,-6)*35*SQRT(100)*3600*L252/1000*0.1</f>
        <v>3.78E-2</v>
      </c>
      <c r="K253" s="305" t="s">
        <v>123</v>
      </c>
      <c r="L253" s="306">
        <v>0</v>
      </c>
      <c r="M253" s="307" t="str">
        <f t="shared" si="238"/>
        <v>С2</v>
      </c>
      <c r="N253" s="307" t="str">
        <f t="shared" si="238"/>
        <v>Трубопровод ЛВЖ_откр</v>
      </c>
      <c r="O253" s="307" t="str">
        <f t="shared" si="239"/>
        <v>Полное-пожар-вспышка</v>
      </c>
      <c r="P253" s="307" t="s">
        <v>46</v>
      </c>
      <c r="Q253" s="307" t="s">
        <v>46</v>
      </c>
      <c r="R253" s="307" t="s">
        <v>46</v>
      </c>
      <c r="S253" s="307" t="s">
        <v>46</v>
      </c>
      <c r="T253" s="307" t="s">
        <v>46</v>
      </c>
      <c r="U253" s="307" t="s">
        <v>46</v>
      </c>
      <c r="V253" s="307" t="s">
        <v>46</v>
      </c>
      <c r="W253" s="307" t="s">
        <v>46</v>
      </c>
      <c r="X253" s="307" t="s">
        <v>46</v>
      </c>
      <c r="Y253" s="307" t="s">
        <v>46</v>
      </c>
      <c r="Z253" s="307" t="s">
        <v>46</v>
      </c>
      <c r="AA253" s="307">
        <v>11.37</v>
      </c>
      <c r="AB253" s="307">
        <v>13.64</v>
      </c>
      <c r="AC253" s="307" t="s">
        <v>46</v>
      </c>
      <c r="AD253" s="307" t="s">
        <v>46</v>
      </c>
      <c r="AE253" s="307" t="s">
        <v>46</v>
      </c>
      <c r="AF253" s="307" t="s">
        <v>46</v>
      </c>
      <c r="AG253" s="307" t="s">
        <v>46</v>
      </c>
      <c r="AH253" s="307" t="s">
        <v>46</v>
      </c>
      <c r="AI253" s="307" t="s">
        <v>46</v>
      </c>
      <c r="AJ253" s="308">
        <v>1</v>
      </c>
      <c r="AK253" s="308">
        <v>2</v>
      </c>
      <c r="AL253" s="307">
        <f>AL252</f>
        <v>0.75</v>
      </c>
      <c r="AM253" s="307">
        <f>AM252</f>
        <v>2.7E-2</v>
      </c>
      <c r="AN253" s="307">
        <f>AN252</f>
        <v>3</v>
      </c>
      <c r="AQ253" s="310">
        <f>AM253*I253+AL253</f>
        <v>0.98624999999999996</v>
      </c>
      <c r="AR253" s="310">
        <f t="shared" si="240"/>
        <v>9.8625000000000004E-2</v>
      </c>
      <c r="AS253" s="311">
        <f t="shared" si="241"/>
        <v>3.5</v>
      </c>
      <c r="AT253" s="311">
        <f t="shared" si="242"/>
        <v>1.1462187500000001</v>
      </c>
      <c r="AU253" s="310">
        <f>10068.2*J253*POWER(10,-6)*10</f>
        <v>3.8057796000000002E-3</v>
      </c>
      <c r="AV253" s="311">
        <f t="shared" si="243"/>
        <v>5.7348995295999998</v>
      </c>
      <c r="AW253" s="312">
        <f t="shared" si="244"/>
        <v>4.0000000000000003E-7</v>
      </c>
      <c r="AX253" s="312">
        <f t="shared" si="245"/>
        <v>8.0000000000000007E-7</v>
      </c>
      <c r="AY253" s="312">
        <f t="shared" si="246"/>
        <v>2.29395981184E-6</v>
      </c>
      <c r="AZ253" s="313">
        <f>AW253/[2]DB!$B$23</f>
        <v>4.8192771084337355E-10</v>
      </c>
      <c r="BA253" s="313">
        <f>AX253/[2]DB!$B$23</f>
        <v>9.6385542168674709E-10</v>
      </c>
    </row>
    <row r="254" spans="1:53" s="307" customFormat="1" x14ac:dyDescent="0.3">
      <c r="A254" s="297" t="s">
        <v>20</v>
      </c>
      <c r="B254" s="297" t="str">
        <f>B252</f>
        <v>Трубопровод ЛВЖ_откр</v>
      </c>
      <c r="C254" s="299" t="s">
        <v>108</v>
      </c>
      <c r="D254" s="300" t="s">
        <v>26</v>
      </c>
      <c r="E254" s="314">
        <f>E252</f>
        <v>1.0000000000000001E-5</v>
      </c>
      <c r="F254" s="315">
        <f>F252</f>
        <v>1</v>
      </c>
      <c r="G254" s="297">
        <v>0.76</v>
      </c>
      <c r="H254" s="302">
        <f t="shared" si="237"/>
        <v>7.6000000000000009E-6</v>
      </c>
      <c r="I254" s="316">
        <f>I252</f>
        <v>8.75</v>
      </c>
      <c r="J254" s="318">
        <v>0</v>
      </c>
      <c r="K254" s="305" t="s">
        <v>124</v>
      </c>
      <c r="L254" s="306">
        <v>0</v>
      </c>
      <c r="M254" s="307" t="str">
        <f t="shared" si="238"/>
        <v>С3</v>
      </c>
      <c r="N254" s="307" t="str">
        <f t="shared" si="238"/>
        <v>Трубопровод ЛВЖ_откр</v>
      </c>
      <c r="O254" s="307" t="str">
        <f t="shared" si="239"/>
        <v>Полное-ликвидация</v>
      </c>
      <c r="P254" s="307" t="s">
        <v>46</v>
      </c>
      <c r="Q254" s="307" t="s">
        <v>46</v>
      </c>
      <c r="R254" s="307" t="s">
        <v>46</v>
      </c>
      <c r="S254" s="307" t="s">
        <v>46</v>
      </c>
      <c r="T254" s="307" t="s">
        <v>46</v>
      </c>
      <c r="U254" s="307" t="s">
        <v>46</v>
      </c>
      <c r="V254" s="307" t="s">
        <v>46</v>
      </c>
      <c r="W254" s="307" t="s">
        <v>46</v>
      </c>
      <c r="X254" s="307" t="s">
        <v>46</v>
      </c>
      <c r="Y254" s="307" t="s">
        <v>46</v>
      </c>
      <c r="Z254" s="307" t="s">
        <v>46</v>
      </c>
      <c r="AA254" s="307" t="s">
        <v>46</v>
      </c>
      <c r="AB254" s="307" t="s">
        <v>46</v>
      </c>
      <c r="AC254" s="307" t="s">
        <v>46</v>
      </c>
      <c r="AD254" s="307" t="s">
        <v>46</v>
      </c>
      <c r="AE254" s="307" t="s">
        <v>46</v>
      </c>
      <c r="AF254" s="307" t="s">
        <v>46</v>
      </c>
      <c r="AG254" s="307" t="s">
        <v>46</v>
      </c>
      <c r="AH254" s="307" t="s">
        <v>46</v>
      </c>
      <c r="AI254" s="307" t="s">
        <v>46</v>
      </c>
      <c r="AJ254" s="307">
        <v>0</v>
      </c>
      <c r="AK254" s="307">
        <v>0</v>
      </c>
      <c r="AL254" s="307">
        <f>AL252</f>
        <v>0.75</v>
      </c>
      <c r="AM254" s="307">
        <f>AM252</f>
        <v>2.7E-2</v>
      </c>
      <c r="AN254" s="307">
        <f>AN252</f>
        <v>3</v>
      </c>
      <c r="AQ254" s="310">
        <f>AM254*I254*0.1+AL254</f>
        <v>0.77362500000000001</v>
      </c>
      <c r="AR254" s="310">
        <f t="shared" si="240"/>
        <v>7.7362500000000001E-2</v>
      </c>
      <c r="AS254" s="311">
        <f t="shared" si="241"/>
        <v>0</v>
      </c>
      <c r="AT254" s="311">
        <f t="shared" si="242"/>
        <v>0.212746875</v>
      </c>
      <c r="AU254" s="310">
        <f>1333*J253*POWER(10,-6)</f>
        <v>5.0387399999999998E-5</v>
      </c>
      <c r="AV254" s="311">
        <f t="shared" si="243"/>
        <v>1.0637847624000001</v>
      </c>
      <c r="AW254" s="312">
        <f t="shared" si="244"/>
        <v>0</v>
      </c>
      <c r="AX254" s="312">
        <f t="shared" si="245"/>
        <v>0</v>
      </c>
      <c r="AY254" s="312">
        <f t="shared" si="246"/>
        <v>8.0847641942400021E-6</v>
      </c>
      <c r="AZ254" s="313">
        <f>AW254/[2]DB!$B$23</f>
        <v>0</v>
      </c>
      <c r="BA254" s="313">
        <f>AX254/[2]DB!$B$23</f>
        <v>0</v>
      </c>
    </row>
    <row r="255" spans="1:53" s="307" customFormat="1" x14ac:dyDescent="0.3">
      <c r="A255" s="297" t="s">
        <v>21</v>
      </c>
      <c r="B255" s="297" t="str">
        <f>B252</f>
        <v>Трубопровод ЛВЖ_откр</v>
      </c>
      <c r="C255" s="299" t="s">
        <v>109</v>
      </c>
      <c r="D255" s="300" t="s">
        <v>47</v>
      </c>
      <c r="E255" s="301">
        <v>1E-4</v>
      </c>
      <c r="F255" s="315">
        <f>F252</f>
        <v>1</v>
      </c>
      <c r="G255" s="297">
        <v>0.2</v>
      </c>
      <c r="H255" s="302">
        <f t="shared" si="237"/>
        <v>2.0000000000000002E-5</v>
      </c>
      <c r="I255" s="316">
        <f>0.15*I252</f>
        <v>1.3125</v>
      </c>
      <c r="J255" s="304">
        <f>I255</f>
        <v>1.3125</v>
      </c>
      <c r="K255" s="319" t="s">
        <v>126</v>
      </c>
      <c r="L255" s="320">
        <v>45390</v>
      </c>
      <c r="M255" s="307" t="str">
        <f t="shared" si="238"/>
        <v>С4</v>
      </c>
      <c r="N255" s="307" t="str">
        <f t="shared" si="238"/>
        <v>Трубопровод ЛВЖ_откр</v>
      </c>
      <c r="O255" s="307" t="str">
        <f t="shared" si="239"/>
        <v>Частичное-пожар</v>
      </c>
      <c r="P255" s="307">
        <v>5.2</v>
      </c>
      <c r="Q255" s="307">
        <v>7.5</v>
      </c>
      <c r="R255" s="307">
        <v>11.1</v>
      </c>
      <c r="S255" s="307">
        <v>21.3</v>
      </c>
      <c r="T255" s="307" t="s">
        <v>46</v>
      </c>
      <c r="U255" s="307" t="s">
        <v>46</v>
      </c>
      <c r="V255" s="307" t="s">
        <v>46</v>
      </c>
      <c r="W255" s="307" t="s">
        <v>46</v>
      </c>
      <c r="X255" s="307" t="s">
        <v>46</v>
      </c>
      <c r="Y255" s="307" t="s">
        <v>46</v>
      </c>
      <c r="Z255" s="307" t="s">
        <v>46</v>
      </c>
      <c r="AA255" s="307" t="s">
        <v>46</v>
      </c>
      <c r="AB255" s="307" t="s">
        <v>46</v>
      </c>
      <c r="AC255" s="307" t="s">
        <v>46</v>
      </c>
      <c r="AD255" s="307" t="s">
        <v>46</v>
      </c>
      <c r="AE255" s="307" t="s">
        <v>46</v>
      </c>
      <c r="AF255" s="307" t="s">
        <v>46</v>
      </c>
      <c r="AG255" s="307" t="s">
        <v>46</v>
      </c>
      <c r="AH255" s="307" t="s">
        <v>46</v>
      </c>
      <c r="AI255" s="307" t="s">
        <v>46</v>
      </c>
      <c r="AJ255" s="307">
        <v>0</v>
      </c>
      <c r="AK255" s="307">
        <v>2</v>
      </c>
      <c r="AL255" s="307">
        <f>0.1*$AL$2</f>
        <v>7.5000000000000011E-2</v>
      </c>
      <c r="AM255" s="307">
        <f>AM252</f>
        <v>2.7E-2</v>
      </c>
      <c r="AN255" s="307">
        <f>ROUNDUP(AN252/3,0)</f>
        <v>1</v>
      </c>
      <c r="AQ255" s="310">
        <f>AM255*I255+AL255</f>
        <v>0.11043750000000001</v>
      </c>
      <c r="AR255" s="310">
        <f t="shared" si="240"/>
        <v>1.1043750000000001E-2</v>
      </c>
      <c r="AS255" s="311">
        <f t="shared" si="241"/>
        <v>0.5</v>
      </c>
      <c r="AT255" s="311">
        <f t="shared" si="242"/>
        <v>0.1553703125</v>
      </c>
      <c r="AU255" s="310">
        <f>10068.2*J255*POWER(10,-6)</f>
        <v>1.3214512500000001E-2</v>
      </c>
      <c r="AV255" s="311">
        <f t="shared" si="243"/>
        <v>0.79006607499999992</v>
      </c>
      <c r="AW255" s="312">
        <f t="shared" si="244"/>
        <v>0</v>
      </c>
      <c r="AX255" s="312">
        <f t="shared" si="245"/>
        <v>4.0000000000000003E-5</v>
      </c>
      <c r="AY255" s="312">
        <f t="shared" si="246"/>
        <v>1.5801321499999999E-5</v>
      </c>
      <c r="AZ255" s="313">
        <f>AW255/[2]DB!$B$23</f>
        <v>0</v>
      </c>
      <c r="BA255" s="313">
        <f>AX255/[2]DB!$B$23</f>
        <v>4.8192771084337353E-8</v>
      </c>
    </row>
    <row r="256" spans="1:53" s="307" customFormat="1" x14ac:dyDescent="0.3">
      <c r="A256" s="297" t="s">
        <v>22</v>
      </c>
      <c r="B256" s="297" t="str">
        <f>B252</f>
        <v>Трубопровод ЛВЖ_откр</v>
      </c>
      <c r="C256" s="299" t="s">
        <v>110</v>
      </c>
      <c r="D256" s="300" t="s">
        <v>112</v>
      </c>
      <c r="E256" s="314">
        <f>E255</f>
        <v>1E-4</v>
      </c>
      <c r="F256" s="315">
        <f>F252</f>
        <v>1</v>
      </c>
      <c r="G256" s="297">
        <v>0.04</v>
      </c>
      <c r="H256" s="302">
        <f t="shared" si="237"/>
        <v>4.0000000000000007E-6</v>
      </c>
      <c r="I256" s="316">
        <f>0.15*I252</f>
        <v>1.3125</v>
      </c>
      <c r="J256" s="304">
        <f>0.15*J253</f>
        <v>5.6699999999999997E-3</v>
      </c>
      <c r="K256" s="319" t="s">
        <v>127</v>
      </c>
      <c r="L256" s="320">
        <v>3</v>
      </c>
      <c r="M256" s="307" t="str">
        <f t="shared" si="238"/>
        <v>С5</v>
      </c>
      <c r="N256" s="307" t="str">
        <f t="shared" si="238"/>
        <v>Трубопровод ЛВЖ_откр</v>
      </c>
      <c r="O256" s="307" t="str">
        <f t="shared" si="239"/>
        <v>Частичное-пожар-вспышка</v>
      </c>
      <c r="P256" s="307" t="s">
        <v>46</v>
      </c>
      <c r="Q256" s="307" t="s">
        <v>46</v>
      </c>
      <c r="R256" s="307" t="s">
        <v>46</v>
      </c>
      <c r="S256" s="307" t="s">
        <v>46</v>
      </c>
      <c r="T256" s="307" t="s">
        <v>46</v>
      </c>
      <c r="U256" s="307" t="s">
        <v>46</v>
      </c>
      <c r="V256" s="307" t="s">
        <v>46</v>
      </c>
      <c r="W256" s="307" t="s">
        <v>46</v>
      </c>
      <c r="X256" s="307" t="s">
        <v>46</v>
      </c>
      <c r="Y256" s="307" t="s">
        <v>46</v>
      </c>
      <c r="Z256" s="307" t="s">
        <v>46</v>
      </c>
      <c r="AA256" s="307">
        <v>6.08</v>
      </c>
      <c r="AB256" s="307">
        <v>7.3</v>
      </c>
      <c r="AC256" s="307" t="s">
        <v>46</v>
      </c>
      <c r="AD256" s="307" t="s">
        <v>46</v>
      </c>
      <c r="AE256" s="307" t="s">
        <v>46</v>
      </c>
      <c r="AF256" s="307" t="s">
        <v>46</v>
      </c>
      <c r="AG256" s="307" t="s">
        <v>46</v>
      </c>
      <c r="AH256" s="307" t="s">
        <v>46</v>
      </c>
      <c r="AI256" s="307" t="s">
        <v>46</v>
      </c>
      <c r="AJ256" s="307">
        <v>0</v>
      </c>
      <c r="AK256" s="307">
        <v>1</v>
      </c>
      <c r="AL256" s="307">
        <f>0.1*$AL$2</f>
        <v>7.5000000000000011E-2</v>
      </c>
      <c r="AM256" s="307">
        <f>AM252</f>
        <v>2.7E-2</v>
      </c>
      <c r="AN256" s="307">
        <f>ROUNDUP(AN252/3,0)</f>
        <v>1</v>
      </c>
      <c r="AQ256" s="310">
        <f>AM256*I256+AL256</f>
        <v>0.11043750000000001</v>
      </c>
      <c r="AR256" s="310">
        <f t="shared" si="240"/>
        <v>1.1043750000000001E-2</v>
      </c>
      <c r="AS256" s="311">
        <f t="shared" si="241"/>
        <v>0.25</v>
      </c>
      <c r="AT256" s="311">
        <f t="shared" si="242"/>
        <v>9.2870312499999996E-2</v>
      </c>
      <c r="AU256" s="310">
        <f>10068.2*J256*POWER(10,-6)*10</f>
        <v>5.7086693999999999E-4</v>
      </c>
      <c r="AV256" s="311">
        <f t="shared" si="243"/>
        <v>0.46492242944000001</v>
      </c>
      <c r="AW256" s="312">
        <f t="shared" si="244"/>
        <v>0</v>
      </c>
      <c r="AX256" s="312">
        <f t="shared" si="245"/>
        <v>4.0000000000000007E-6</v>
      </c>
      <c r="AY256" s="312">
        <f t="shared" si="246"/>
        <v>1.8596897177600003E-6</v>
      </c>
      <c r="AZ256" s="313">
        <f>AW256/[2]DB!$B$23</f>
        <v>0</v>
      </c>
      <c r="BA256" s="313">
        <f>AX256/[2]DB!$B$23</f>
        <v>4.8192771084337357E-9</v>
      </c>
    </row>
    <row r="257" spans="1:53" s="307" customFormat="1" x14ac:dyDescent="0.3">
      <c r="A257" s="321" t="s">
        <v>23</v>
      </c>
      <c r="B257" s="321" t="str">
        <f>B252</f>
        <v>Трубопровод ЛВЖ_откр</v>
      </c>
      <c r="C257" s="322" t="s">
        <v>111</v>
      </c>
      <c r="D257" s="323" t="s">
        <v>27</v>
      </c>
      <c r="E257" s="324">
        <f>E255</f>
        <v>1E-4</v>
      </c>
      <c r="F257" s="325">
        <f>F252</f>
        <v>1</v>
      </c>
      <c r="G257" s="321">
        <v>0.76</v>
      </c>
      <c r="H257" s="326">
        <f t="shared" si="237"/>
        <v>7.6000000000000004E-5</v>
      </c>
      <c r="I257" s="327">
        <f>0.15*I252</f>
        <v>1.3125</v>
      </c>
      <c r="J257" s="328">
        <v>0</v>
      </c>
      <c r="K257" s="329" t="s">
        <v>138</v>
      </c>
      <c r="L257" s="330">
        <v>25</v>
      </c>
      <c r="M257" s="307" t="str">
        <f t="shared" si="238"/>
        <v>С6</v>
      </c>
      <c r="N257" s="307" t="str">
        <f t="shared" si="238"/>
        <v>Трубопровод ЛВЖ_откр</v>
      </c>
      <c r="O257" s="307" t="str">
        <f t="shared" si="239"/>
        <v>Частичное-ликвидация</v>
      </c>
      <c r="P257" s="307" t="s">
        <v>46</v>
      </c>
      <c r="Q257" s="307" t="s">
        <v>46</v>
      </c>
      <c r="R257" s="307" t="s">
        <v>46</v>
      </c>
      <c r="S257" s="307" t="s">
        <v>46</v>
      </c>
      <c r="T257" s="307" t="s">
        <v>46</v>
      </c>
      <c r="U257" s="307" t="s">
        <v>46</v>
      </c>
      <c r="V257" s="307" t="s">
        <v>46</v>
      </c>
      <c r="W257" s="307" t="s">
        <v>46</v>
      </c>
      <c r="X257" s="307" t="s">
        <v>46</v>
      </c>
      <c r="Y257" s="307" t="s">
        <v>46</v>
      </c>
      <c r="Z257" s="307" t="s">
        <v>46</v>
      </c>
      <c r="AA257" s="307" t="s">
        <v>46</v>
      </c>
      <c r="AB257" s="307" t="s">
        <v>46</v>
      </c>
      <c r="AC257" s="307" t="s">
        <v>46</v>
      </c>
      <c r="AD257" s="307" t="s">
        <v>46</v>
      </c>
      <c r="AE257" s="307" t="s">
        <v>46</v>
      </c>
      <c r="AF257" s="307" t="s">
        <v>46</v>
      </c>
      <c r="AG257" s="307" t="s">
        <v>46</v>
      </c>
      <c r="AH257" s="307" t="s">
        <v>46</v>
      </c>
      <c r="AI257" s="307" t="s">
        <v>46</v>
      </c>
      <c r="AJ257" s="307">
        <v>0</v>
      </c>
      <c r="AK257" s="307">
        <v>0</v>
      </c>
      <c r="AL257" s="307">
        <f>0.1*$AL$2</f>
        <v>7.5000000000000011E-2</v>
      </c>
      <c r="AM257" s="307">
        <f>AM252</f>
        <v>2.7E-2</v>
      </c>
      <c r="AN257" s="307">
        <f>ROUNDUP(AN252/3,0)</f>
        <v>1</v>
      </c>
      <c r="AQ257" s="310">
        <f>AM257*I257*0.1+AL257</f>
        <v>7.8543750000000009E-2</v>
      </c>
      <c r="AR257" s="310">
        <f t="shared" si="240"/>
        <v>7.854375000000002E-3</v>
      </c>
      <c r="AS257" s="311">
        <f t="shared" si="241"/>
        <v>0</v>
      </c>
      <c r="AT257" s="311">
        <f t="shared" si="242"/>
        <v>2.1599531250000002E-2</v>
      </c>
      <c r="AU257" s="310">
        <f>1333*J256*POWER(10,-6)</f>
        <v>7.5581099999999987E-6</v>
      </c>
      <c r="AV257" s="311">
        <f t="shared" si="243"/>
        <v>0.10800521436000002</v>
      </c>
      <c r="AW257" s="312">
        <f t="shared" si="244"/>
        <v>0</v>
      </c>
      <c r="AX257" s="312">
        <f t="shared" si="245"/>
        <v>0</v>
      </c>
      <c r="AY257" s="312">
        <f t="shared" si="246"/>
        <v>8.2083962913600011E-6</v>
      </c>
      <c r="AZ257" s="313">
        <f>AW257/[2]DB!$B$23</f>
        <v>0</v>
      </c>
      <c r="BA257" s="313">
        <f>AX257/[2]DB!$B$23</f>
        <v>0</v>
      </c>
    </row>
    <row r="258" spans="1:53" s="299" customFormat="1" x14ac:dyDescent="0.3">
      <c r="A258" s="297"/>
      <c r="B258" s="297"/>
      <c r="C258" s="297"/>
      <c r="D258" s="297"/>
      <c r="E258" s="297"/>
      <c r="F258" s="297"/>
      <c r="G258" s="297"/>
      <c r="H258" s="297"/>
      <c r="I258" s="297"/>
      <c r="J258" s="297"/>
      <c r="K258" s="207" t="s">
        <v>467</v>
      </c>
      <c r="L258" s="282" t="s">
        <v>549</v>
      </c>
      <c r="M258" s="297"/>
      <c r="N258" s="297"/>
      <c r="O258" s="297"/>
      <c r="P258" s="297"/>
      <c r="Q258" s="297"/>
      <c r="R258" s="297"/>
      <c r="S258" s="297"/>
      <c r="T258" s="297"/>
      <c r="U258" s="297"/>
      <c r="V258" s="297"/>
      <c r="W258" s="297"/>
      <c r="X258" s="297"/>
      <c r="Y258" s="297"/>
      <c r="Z258" s="297"/>
      <c r="AA258" s="297"/>
      <c r="AB258" s="297"/>
      <c r="AC258" s="297"/>
      <c r="AD258" s="297"/>
      <c r="AE258" s="297"/>
      <c r="AF258" s="297"/>
      <c r="AG258" s="297"/>
      <c r="AH258" s="297"/>
      <c r="AI258" s="297"/>
      <c r="AJ258" s="297"/>
      <c r="AK258" s="297"/>
      <c r="AL258" s="297"/>
      <c r="AM258" s="297"/>
      <c r="AN258" s="297"/>
      <c r="AO258" s="297"/>
      <c r="AP258" s="297"/>
      <c r="AQ258" s="297"/>
      <c r="AR258" s="297"/>
      <c r="AS258" s="297"/>
      <c r="AT258" s="297"/>
      <c r="AU258" s="297"/>
      <c r="AV258" s="297"/>
      <c r="AW258" s="297"/>
      <c r="AX258" s="297"/>
      <c r="AY258" s="297"/>
    </row>
    <row r="259" spans="1:53" s="299" customFormat="1" x14ac:dyDescent="0.3">
      <c r="A259" s="297"/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  <c r="L259" s="297"/>
      <c r="M259" s="297"/>
      <c r="N259" s="297"/>
      <c r="O259" s="297"/>
      <c r="P259" s="297"/>
      <c r="Q259" s="297"/>
      <c r="R259" s="297"/>
      <c r="S259" s="297"/>
      <c r="T259" s="297"/>
      <c r="U259" s="297"/>
      <c r="V259" s="297"/>
      <c r="W259" s="297"/>
      <c r="X259" s="297"/>
      <c r="Y259" s="297"/>
      <c r="Z259" s="297"/>
      <c r="AA259" s="297"/>
      <c r="AB259" s="297"/>
      <c r="AC259" s="297"/>
      <c r="AD259" s="297"/>
      <c r="AE259" s="297"/>
      <c r="AF259" s="297"/>
      <c r="AG259" s="297"/>
      <c r="AH259" s="297"/>
      <c r="AI259" s="297"/>
      <c r="AJ259" s="297"/>
      <c r="AK259" s="297"/>
      <c r="AL259" s="297"/>
      <c r="AM259" s="297"/>
      <c r="AN259" s="297"/>
      <c r="AO259" s="297"/>
      <c r="AP259" s="297"/>
      <c r="AQ259" s="297"/>
      <c r="AR259" s="297"/>
      <c r="AS259" s="297"/>
      <c r="AT259" s="297"/>
      <c r="AU259" s="297"/>
      <c r="AV259" s="297"/>
      <c r="AW259" s="297"/>
      <c r="AX259" s="297"/>
      <c r="AY259" s="297"/>
    </row>
    <row r="260" spans="1:53" s="299" customFormat="1" x14ac:dyDescent="0.3">
      <c r="A260" s="297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7"/>
      <c r="P260" s="297"/>
      <c r="Q260" s="297"/>
      <c r="R260" s="297"/>
      <c r="S260" s="297"/>
      <c r="T260" s="297"/>
      <c r="U260" s="297"/>
      <c r="V260" s="297"/>
      <c r="W260" s="297"/>
      <c r="X260" s="297"/>
      <c r="Y260" s="297"/>
      <c r="Z260" s="297"/>
      <c r="AA260" s="297"/>
      <c r="AB260" s="297"/>
      <c r="AC260" s="297"/>
      <c r="AD260" s="297"/>
      <c r="AE260" s="297"/>
      <c r="AF260" s="297"/>
      <c r="AG260" s="297"/>
      <c r="AH260" s="297"/>
      <c r="AI260" s="297"/>
      <c r="AJ260" s="297"/>
      <c r="AK260" s="297"/>
      <c r="AL260" s="297"/>
      <c r="AM260" s="297"/>
      <c r="AN260" s="297"/>
      <c r="AO260" s="297"/>
      <c r="AP260" s="297"/>
      <c r="AQ260" s="297"/>
      <c r="AR260" s="297"/>
      <c r="AS260" s="297"/>
      <c r="AT260" s="297"/>
      <c r="AU260" s="297"/>
      <c r="AV260" s="297"/>
      <c r="AW260" s="297"/>
      <c r="AX260" s="297"/>
      <c r="AY260" s="29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67" t="s">
        <v>59</v>
      </c>
      <c r="B1" s="368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69" t="s">
        <v>72</v>
      </c>
      <c r="F11" s="370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71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73" t="s">
        <v>327</v>
      </c>
      <c r="H1" s="216" t="s">
        <v>328</v>
      </c>
    </row>
    <row r="2" spans="1:8" ht="15" thickBot="1" x14ac:dyDescent="0.35">
      <c r="A2" s="372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74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2025-06-27T09:11:37Z</dcterms:modified>
</cp:coreProperties>
</file>