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A98469A1-26A7-40AC-86A4-F602778BD2FC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07" i="40" l="1"/>
  <c r="AN207" i="40"/>
  <c r="AM207" i="40"/>
  <c r="AL207" i="40"/>
  <c r="O207" i="40"/>
  <c r="M207" i="40"/>
  <c r="I207" i="40"/>
  <c r="AQ207" i="40" s="1"/>
  <c r="AR207" i="40" s="1"/>
  <c r="AT207" i="40" s="1"/>
  <c r="F207" i="40"/>
  <c r="H207" i="40" s="1"/>
  <c r="E207" i="40"/>
  <c r="B207" i="40"/>
  <c r="N207" i="40" s="1"/>
  <c r="AS206" i="40"/>
  <c r="AN206" i="40"/>
  <c r="AM206" i="40"/>
  <c r="AL206" i="40"/>
  <c r="O206" i="40"/>
  <c r="M206" i="40"/>
  <c r="I206" i="40"/>
  <c r="F206" i="40"/>
  <c r="E206" i="40"/>
  <c r="H206" i="40" s="1"/>
  <c r="B206" i="40"/>
  <c r="N206" i="40" s="1"/>
  <c r="AS205" i="40"/>
  <c r="AN205" i="40"/>
  <c r="AM205" i="40"/>
  <c r="AL205" i="40"/>
  <c r="O205" i="40"/>
  <c r="M205" i="40"/>
  <c r="I205" i="40"/>
  <c r="AQ205" i="40" s="1"/>
  <c r="F205" i="40"/>
  <c r="H205" i="40" s="1"/>
  <c r="B205" i="40"/>
  <c r="N205" i="40" s="1"/>
  <c r="AS204" i="40"/>
  <c r="AN204" i="40"/>
  <c r="AM204" i="40"/>
  <c r="AL204" i="40"/>
  <c r="O204" i="40"/>
  <c r="M204" i="40"/>
  <c r="I204" i="40"/>
  <c r="F204" i="40"/>
  <c r="E204" i="40"/>
  <c r="H204" i="40" s="1"/>
  <c r="B204" i="40"/>
  <c r="N204" i="40" s="1"/>
  <c r="AS203" i="40"/>
  <c r="AN203" i="40"/>
  <c r="AM203" i="40"/>
  <c r="AL203" i="40"/>
  <c r="O203" i="40"/>
  <c r="M203" i="40"/>
  <c r="I203" i="40"/>
  <c r="AQ203" i="40" s="1"/>
  <c r="F203" i="40"/>
  <c r="E203" i="40"/>
  <c r="B203" i="40"/>
  <c r="N203" i="40" s="1"/>
  <c r="AS202" i="40"/>
  <c r="AQ202" i="40"/>
  <c r="AR202" i="40" s="1"/>
  <c r="AT202" i="40" s="1"/>
  <c r="O202" i="40"/>
  <c r="N202" i="40"/>
  <c r="M202" i="40"/>
  <c r="L202" i="40"/>
  <c r="J203" i="40" s="1"/>
  <c r="J202" i="40"/>
  <c r="AU202" i="40" s="1"/>
  <c r="H202" i="40"/>
  <c r="AW202" i="40" s="1"/>
  <c r="AZ202" i="40" s="1"/>
  <c r="AS197" i="40"/>
  <c r="AN197" i="40"/>
  <c r="AM197" i="40"/>
  <c r="AL197" i="40"/>
  <c r="O197" i="40"/>
  <c r="M197" i="40"/>
  <c r="I197" i="40"/>
  <c r="F197" i="40"/>
  <c r="H197" i="40" s="1"/>
  <c r="E197" i="40"/>
  <c r="B197" i="40"/>
  <c r="N197" i="40" s="1"/>
  <c r="AS196" i="40"/>
  <c r="AN196" i="40"/>
  <c r="AM196" i="40"/>
  <c r="AL196" i="40"/>
  <c r="O196" i="40"/>
  <c r="M196" i="40"/>
  <c r="I196" i="40"/>
  <c r="F196" i="40"/>
  <c r="E196" i="40"/>
  <c r="H196" i="40" s="1"/>
  <c r="B196" i="40"/>
  <c r="N196" i="40" s="1"/>
  <c r="AS195" i="40"/>
  <c r="AN195" i="40"/>
  <c r="AM195" i="40"/>
  <c r="AL195" i="40"/>
  <c r="O195" i="40"/>
  <c r="M195" i="40"/>
  <c r="I195" i="40"/>
  <c r="J195" i="40" s="1"/>
  <c r="AU195" i="40" s="1"/>
  <c r="F195" i="40"/>
  <c r="H195" i="40" s="1"/>
  <c r="B195" i="40"/>
  <c r="N195" i="40" s="1"/>
  <c r="AS194" i="40"/>
  <c r="AN194" i="40"/>
  <c r="AM194" i="40"/>
  <c r="AL194" i="40"/>
  <c r="O194" i="40"/>
  <c r="M194" i="40"/>
  <c r="I194" i="40"/>
  <c r="F194" i="40"/>
  <c r="E194" i="40"/>
  <c r="H194" i="40" s="1"/>
  <c r="B194" i="40"/>
  <c r="N194" i="40" s="1"/>
  <c r="AS193" i="40"/>
  <c r="AN193" i="40"/>
  <c r="AM193" i="40"/>
  <c r="AL193" i="40"/>
  <c r="O193" i="40"/>
  <c r="M193" i="40"/>
  <c r="I193" i="40"/>
  <c r="AQ193" i="40" s="1"/>
  <c r="F193" i="40"/>
  <c r="H193" i="40" s="1"/>
  <c r="E193" i="40"/>
  <c r="B193" i="40"/>
  <c r="N193" i="40" s="1"/>
  <c r="AT192" i="40"/>
  <c r="AS192" i="40"/>
  <c r="AR192" i="40"/>
  <c r="AQ192" i="40"/>
  <c r="O192" i="40"/>
  <c r="N192" i="40"/>
  <c r="M192" i="40"/>
  <c r="L192" i="40"/>
  <c r="J193" i="40" s="1"/>
  <c r="J192" i="40"/>
  <c r="AU192" i="40" s="1"/>
  <c r="H192" i="40"/>
  <c r="AW192" i="40" s="1"/>
  <c r="AZ192" i="40" s="1"/>
  <c r="AS187" i="40"/>
  <c r="AN187" i="40"/>
  <c r="AM187" i="40"/>
  <c r="AL187" i="40"/>
  <c r="O187" i="40"/>
  <c r="M187" i="40"/>
  <c r="I187" i="40"/>
  <c r="AQ187" i="40" s="1"/>
  <c r="F187" i="40"/>
  <c r="H187" i="40" s="1"/>
  <c r="E187" i="40"/>
  <c r="B187" i="40"/>
  <c r="N187" i="40" s="1"/>
  <c r="AS186" i="40"/>
  <c r="AN186" i="40"/>
  <c r="AM186" i="40"/>
  <c r="AL186" i="40"/>
  <c r="O186" i="40"/>
  <c r="N186" i="40"/>
  <c r="M186" i="40"/>
  <c r="I186" i="40"/>
  <c r="F186" i="40"/>
  <c r="E186" i="40"/>
  <c r="H186" i="40" s="1"/>
  <c r="B186" i="40"/>
  <c r="AS185" i="40"/>
  <c r="AN185" i="40"/>
  <c r="AM185" i="40"/>
  <c r="AL185" i="40"/>
  <c r="O185" i="40"/>
  <c r="M185" i="40"/>
  <c r="I185" i="40"/>
  <c r="AQ185" i="40" s="1"/>
  <c r="F185" i="40"/>
  <c r="H185" i="40" s="1"/>
  <c r="B185" i="40"/>
  <c r="N185" i="40" s="1"/>
  <c r="AS184" i="40"/>
  <c r="AN184" i="40"/>
  <c r="AM184" i="40"/>
  <c r="AL184" i="40"/>
  <c r="O184" i="40"/>
  <c r="M184" i="40"/>
  <c r="I184" i="40"/>
  <c r="F184" i="40"/>
  <c r="E184" i="40"/>
  <c r="H184" i="40" s="1"/>
  <c r="B184" i="40"/>
  <c r="N184" i="40" s="1"/>
  <c r="AS183" i="40"/>
  <c r="AN183" i="40"/>
  <c r="AM183" i="40"/>
  <c r="AL183" i="40"/>
  <c r="O183" i="40"/>
  <c r="M183" i="40"/>
  <c r="I183" i="40"/>
  <c r="AQ183" i="40" s="1"/>
  <c r="F183" i="40"/>
  <c r="E183" i="40"/>
  <c r="B183" i="40"/>
  <c r="N183" i="40" s="1"/>
  <c r="AX182" i="40"/>
  <c r="BA182" i="40" s="1"/>
  <c r="AS182" i="40"/>
  <c r="AQ182" i="40"/>
  <c r="AR182" i="40" s="1"/>
  <c r="AT182" i="40" s="1"/>
  <c r="O182" i="40"/>
  <c r="N182" i="40"/>
  <c r="M182" i="40"/>
  <c r="L182" i="40"/>
  <c r="J183" i="40" s="1"/>
  <c r="J182" i="40"/>
  <c r="AU182" i="40" s="1"/>
  <c r="H182" i="40"/>
  <c r="AW182" i="40" s="1"/>
  <c r="AZ182" i="40" s="1"/>
  <c r="AS177" i="40"/>
  <c r="AN177" i="40"/>
  <c r="AM177" i="40"/>
  <c r="AL177" i="40"/>
  <c r="O177" i="40"/>
  <c r="M177" i="40"/>
  <c r="I177" i="40"/>
  <c r="AQ177" i="40" s="1"/>
  <c r="AR177" i="40" s="1"/>
  <c r="AT177" i="40" s="1"/>
  <c r="F177" i="40"/>
  <c r="H177" i="40" s="1"/>
  <c r="E177" i="40"/>
  <c r="B177" i="40"/>
  <c r="N177" i="40" s="1"/>
  <c r="AS176" i="40"/>
  <c r="AN176" i="40"/>
  <c r="AM176" i="40"/>
  <c r="AL176" i="40"/>
  <c r="O176" i="40"/>
  <c r="M176" i="40"/>
  <c r="I176" i="40"/>
  <c r="F176" i="40"/>
  <c r="E176" i="40"/>
  <c r="H176" i="40" s="1"/>
  <c r="B176" i="40"/>
  <c r="N176" i="40" s="1"/>
  <c r="AS175" i="40"/>
  <c r="AN175" i="40"/>
  <c r="AM175" i="40"/>
  <c r="AL175" i="40"/>
  <c r="O175" i="40"/>
  <c r="M175" i="40"/>
  <c r="I175" i="40"/>
  <c r="AQ175" i="40" s="1"/>
  <c r="F175" i="40"/>
  <c r="H175" i="40" s="1"/>
  <c r="AX175" i="40" s="1"/>
  <c r="BA175" i="40" s="1"/>
  <c r="B175" i="40"/>
  <c r="N175" i="40" s="1"/>
  <c r="AS174" i="40"/>
  <c r="AN174" i="40"/>
  <c r="AM174" i="40"/>
  <c r="AL174" i="40"/>
  <c r="O174" i="40"/>
  <c r="N174" i="40"/>
  <c r="M174" i="40"/>
  <c r="I174" i="40"/>
  <c r="F174" i="40"/>
  <c r="E174" i="40"/>
  <c r="B174" i="40"/>
  <c r="AS173" i="40"/>
  <c r="AN173" i="40"/>
  <c r="AM173" i="40"/>
  <c r="AL173" i="40"/>
  <c r="O173" i="40"/>
  <c r="M173" i="40"/>
  <c r="I173" i="40"/>
  <c r="AQ173" i="40" s="1"/>
  <c r="F173" i="40"/>
  <c r="E173" i="40"/>
  <c r="H173" i="40" s="1"/>
  <c r="B173" i="40"/>
  <c r="N173" i="40" s="1"/>
  <c r="AS172" i="40"/>
  <c r="AQ172" i="40"/>
  <c r="AR172" i="40" s="1"/>
  <c r="AT172" i="40" s="1"/>
  <c r="O172" i="40"/>
  <c r="N172" i="40"/>
  <c r="M172" i="40"/>
  <c r="L172" i="40"/>
  <c r="J173" i="40" s="1"/>
  <c r="J172" i="40"/>
  <c r="AU172" i="40" s="1"/>
  <c r="H172" i="40"/>
  <c r="AW172" i="40" s="1"/>
  <c r="AZ172" i="40" s="1"/>
  <c r="E167" i="40"/>
  <c r="E166" i="40"/>
  <c r="E164" i="40"/>
  <c r="H164" i="40" s="1"/>
  <c r="E163" i="40"/>
  <c r="E157" i="40"/>
  <c r="E156" i="40"/>
  <c r="E154" i="40"/>
  <c r="E153" i="40"/>
  <c r="E137" i="40"/>
  <c r="E136" i="40"/>
  <c r="E134" i="40"/>
  <c r="E133" i="40"/>
  <c r="E127" i="40"/>
  <c r="E126" i="40"/>
  <c r="E124" i="40"/>
  <c r="E123" i="40"/>
  <c r="E117" i="40"/>
  <c r="E116" i="40"/>
  <c r="E114" i="40"/>
  <c r="E113" i="40"/>
  <c r="E107" i="40"/>
  <c r="E106" i="40"/>
  <c r="E104" i="40"/>
  <c r="E103" i="40"/>
  <c r="E97" i="40"/>
  <c r="E96" i="40"/>
  <c r="E94" i="40"/>
  <c r="E93" i="40"/>
  <c r="E77" i="40"/>
  <c r="E76" i="40"/>
  <c r="E74" i="40"/>
  <c r="E73" i="40"/>
  <c r="E67" i="40"/>
  <c r="E66" i="40"/>
  <c r="E64" i="40"/>
  <c r="E63" i="40"/>
  <c r="F12" i="40"/>
  <c r="E7" i="40"/>
  <c r="E6" i="40"/>
  <c r="E4" i="40"/>
  <c r="E3" i="40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B46" i="24"/>
  <c r="B47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AS167" i="40"/>
  <c r="AN167" i="40"/>
  <c r="AM167" i="40"/>
  <c r="AL167" i="40"/>
  <c r="O167" i="40"/>
  <c r="M167" i="40"/>
  <c r="I167" i="40"/>
  <c r="AQ167" i="40" s="1"/>
  <c r="AR167" i="40" s="1"/>
  <c r="AT167" i="40" s="1"/>
  <c r="F167" i="40"/>
  <c r="H167" i="40" s="1"/>
  <c r="B167" i="40"/>
  <c r="N167" i="40" s="1"/>
  <c r="AS166" i="40"/>
  <c r="AN166" i="40"/>
  <c r="AM166" i="40"/>
  <c r="AL166" i="40"/>
  <c r="O166" i="40"/>
  <c r="M166" i="40"/>
  <c r="I166" i="40"/>
  <c r="F166" i="40"/>
  <c r="H166" i="40"/>
  <c r="B166" i="40"/>
  <c r="N166" i="40" s="1"/>
  <c r="AS165" i="40"/>
  <c r="AN165" i="40"/>
  <c r="AM165" i="40"/>
  <c r="AL165" i="40"/>
  <c r="O165" i="40"/>
  <c r="M165" i="40"/>
  <c r="I165" i="40"/>
  <c r="J165" i="40" s="1"/>
  <c r="AU165" i="40" s="1"/>
  <c r="F165" i="40"/>
  <c r="H165" i="40" s="1"/>
  <c r="B165" i="40"/>
  <c r="N165" i="40" s="1"/>
  <c r="AS164" i="40"/>
  <c r="AN164" i="40"/>
  <c r="AM164" i="40"/>
  <c r="AL164" i="40"/>
  <c r="O164" i="40"/>
  <c r="M164" i="40"/>
  <c r="I164" i="40"/>
  <c r="F164" i="40"/>
  <c r="B164" i="40"/>
  <c r="N164" i="40" s="1"/>
  <c r="AS163" i="40"/>
  <c r="AN163" i="40"/>
  <c r="AM163" i="40"/>
  <c r="AL163" i="40"/>
  <c r="O163" i="40"/>
  <c r="M163" i="40"/>
  <c r="I163" i="40"/>
  <c r="F163" i="40"/>
  <c r="B163" i="40"/>
  <c r="N163" i="40" s="1"/>
  <c r="AS162" i="40"/>
  <c r="AQ162" i="40"/>
  <c r="AR162" i="40" s="1"/>
  <c r="O162" i="40"/>
  <c r="N162" i="40"/>
  <c r="M162" i="40"/>
  <c r="L162" i="40"/>
  <c r="J163" i="40" s="1"/>
  <c r="J166" i="40" s="1"/>
  <c r="J162" i="40"/>
  <c r="AU162" i="40" s="1"/>
  <c r="H162" i="40"/>
  <c r="AW162" i="40" s="1"/>
  <c r="AZ162" i="40" s="1"/>
  <c r="AS157" i="40"/>
  <c r="AN157" i="40"/>
  <c r="AM157" i="40"/>
  <c r="AL157" i="40"/>
  <c r="O157" i="40"/>
  <c r="M157" i="40"/>
  <c r="I157" i="40"/>
  <c r="F157" i="40"/>
  <c r="H157" i="40" s="1"/>
  <c r="B157" i="40"/>
  <c r="N157" i="40" s="1"/>
  <c r="AS156" i="40"/>
  <c r="AN156" i="40"/>
  <c r="AM156" i="40"/>
  <c r="AL156" i="40"/>
  <c r="O156" i="40"/>
  <c r="M156" i="40"/>
  <c r="I156" i="40"/>
  <c r="F156" i="40"/>
  <c r="H156" i="40" s="1"/>
  <c r="B156" i="40"/>
  <c r="N156" i="40" s="1"/>
  <c r="AS155" i="40"/>
  <c r="AN155" i="40"/>
  <c r="AM155" i="40"/>
  <c r="AL155" i="40"/>
  <c r="O155" i="40"/>
  <c r="M155" i="40"/>
  <c r="I155" i="40"/>
  <c r="AQ155" i="40" s="1"/>
  <c r="F155" i="40"/>
  <c r="H155" i="40" s="1"/>
  <c r="B155" i="40"/>
  <c r="N155" i="40" s="1"/>
  <c r="AS154" i="40"/>
  <c r="AN154" i="40"/>
  <c r="AM154" i="40"/>
  <c r="AL154" i="40"/>
  <c r="O154" i="40"/>
  <c r="M154" i="40"/>
  <c r="I154" i="40"/>
  <c r="F154" i="40"/>
  <c r="H154" i="40"/>
  <c r="B154" i="40"/>
  <c r="N154" i="40" s="1"/>
  <c r="AS153" i="40"/>
  <c r="AN153" i="40"/>
  <c r="AM153" i="40"/>
  <c r="AL153" i="40"/>
  <c r="O153" i="40"/>
  <c r="M153" i="40"/>
  <c r="I153" i="40"/>
  <c r="AQ153" i="40" s="1"/>
  <c r="F153" i="40"/>
  <c r="B153" i="40"/>
  <c r="N153" i="40" s="1"/>
  <c r="AS152" i="40"/>
  <c r="AQ152" i="40"/>
  <c r="AR152" i="40" s="1"/>
  <c r="AT152" i="40" s="1"/>
  <c r="O152" i="40"/>
  <c r="N152" i="40"/>
  <c r="M152" i="40"/>
  <c r="L152" i="40"/>
  <c r="J153" i="40" s="1"/>
  <c r="J152" i="40"/>
  <c r="AU152" i="40" s="1"/>
  <c r="H152" i="40"/>
  <c r="AW152" i="40" s="1"/>
  <c r="AZ152" i="40" s="1"/>
  <c r="E147" i="40"/>
  <c r="E146" i="40"/>
  <c r="E144" i="40"/>
  <c r="E143" i="40"/>
  <c r="AS147" i="40"/>
  <c r="AN147" i="40"/>
  <c r="AM147" i="40"/>
  <c r="AL147" i="40"/>
  <c r="O147" i="40"/>
  <c r="M147" i="40"/>
  <c r="I147" i="40"/>
  <c r="AQ147" i="40" s="1"/>
  <c r="AR147" i="40" s="1"/>
  <c r="AT147" i="40" s="1"/>
  <c r="F147" i="40"/>
  <c r="H147" i="40" s="1"/>
  <c r="B147" i="40"/>
  <c r="N147" i="40" s="1"/>
  <c r="AS146" i="40"/>
  <c r="AN146" i="40"/>
  <c r="AM146" i="40"/>
  <c r="AL146" i="40"/>
  <c r="O146" i="40"/>
  <c r="M146" i="40"/>
  <c r="I146" i="40"/>
  <c r="F146" i="40"/>
  <c r="B146" i="40"/>
  <c r="N146" i="40" s="1"/>
  <c r="AS145" i="40"/>
  <c r="AN145" i="40"/>
  <c r="AM145" i="40"/>
  <c r="AL145" i="40"/>
  <c r="O145" i="40"/>
  <c r="M145" i="40"/>
  <c r="I145" i="40"/>
  <c r="J145" i="40" s="1"/>
  <c r="AU145" i="40" s="1"/>
  <c r="F145" i="40"/>
  <c r="H145" i="40" s="1"/>
  <c r="B145" i="40"/>
  <c r="N145" i="40" s="1"/>
  <c r="AS144" i="40"/>
  <c r="AN144" i="40"/>
  <c r="AM144" i="40"/>
  <c r="AL144" i="40"/>
  <c r="O144" i="40"/>
  <c r="M144" i="40"/>
  <c r="I144" i="40"/>
  <c r="F144" i="40"/>
  <c r="B144" i="40"/>
  <c r="N144" i="40" s="1"/>
  <c r="AS143" i="40"/>
  <c r="AN143" i="40"/>
  <c r="AM143" i="40"/>
  <c r="AL143" i="40"/>
  <c r="O143" i="40"/>
  <c r="M143" i="40"/>
  <c r="I143" i="40"/>
  <c r="F143" i="40"/>
  <c r="B143" i="40"/>
  <c r="N143" i="40" s="1"/>
  <c r="AS142" i="40"/>
  <c r="AQ142" i="40"/>
  <c r="AR142" i="40" s="1"/>
  <c r="AT142" i="40" s="1"/>
  <c r="O142" i="40"/>
  <c r="N142" i="40"/>
  <c r="M142" i="40"/>
  <c r="L142" i="40"/>
  <c r="J143" i="40" s="1"/>
  <c r="J142" i="40"/>
  <c r="AU142" i="40" s="1"/>
  <c r="H142" i="40"/>
  <c r="AW142" i="40" s="1"/>
  <c r="AZ142" i="40" s="1"/>
  <c r="AS137" i="40"/>
  <c r="AQ137" i="40"/>
  <c r="AR137" i="40" s="1"/>
  <c r="AT137" i="40" s="1"/>
  <c r="AN137" i="40"/>
  <c r="AM137" i="40"/>
  <c r="AL137" i="40"/>
  <c r="O137" i="40"/>
  <c r="M137" i="40"/>
  <c r="I137" i="40"/>
  <c r="F137" i="40"/>
  <c r="H137" i="40" s="1"/>
  <c r="B137" i="40"/>
  <c r="N137" i="40" s="1"/>
  <c r="AS136" i="40"/>
  <c r="AN136" i="40"/>
  <c r="AM136" i="40"/>
  <c r="AL136" i="40"/>
  <c r="O136" i="40"/>
  <c r="M136" i="40"/>
  <c r="I136" i="40"/>
  <c r="F136" i="40"/>
  <c r="H136" i="40" s="1"/>
  <c r="B136" i="40"/>
  <c r="N136" i="40" s="1"/>
  <c r="AS135" i="40"/>
  <c r="AN135" i="40"/>
  <c r="AM135" i="40"/>
  <c r="AL135" i="40"/>
  <c r="O135" i="40"/>
  <c r="M135" i="40"/>
  <c r="I135" i="40"/>
  <c r="J135" i="40" s="1"/>
  <c r="AU135" i="40" s="1"/>
  <c r="F135" i="40"/>
  <c r="H135" i="40" s="1"/>
  <c r="B135" i="40"/>
  <c r="N135" i="40" s="1"/>
  <c r="AS134" i="40"/>
  <c r="AN134" i="40"/>
  <c r="AM134" i="40"/>
  <c r="AL134" i="40"/>
  <c r="O134" i="40"/>
  <c r="M134" i="40"/>
  <c r="I134" i="40"/>
  <c r="F134" i="40"/>
  <c r="H134" i="40" s="1"/>
  <c r="B134" i="40"/>
  <c r="N134" i="40" s="1"/>
  <c r="AS133" i="40"/>
  <c r="AN133" i="40"/>
  <c r="AM133" i="40"/>
  <c r="AL133" i="40"/>
  <c r="O133" i="40"/>
  <c r="M133" i="40"/>
  <c r="I133" i="40"/>
  <c r="F133" i="40"/>
  <c r="B133" i="40"/>
  <c r="N133" i="40" s="1"/>
  <c r="AS132" i="40"/>
  <c r="AQ132" i="40"/>
  <c r="AR132" i="40" s="1"/>
  <c r="AT132" i="40" s="1"/>
  <c r="O132" i="40"/>
  <c r="N132" i="40"/>
  <c r="M132" i="40"/>
  <c r="L132" i="40"/>
  <c r="J133" i="40" s="1"/>
  <c r="J132" i="40"/>
  <c r="AU132" i="40" s="1"/>
  <c r="H132" i="40"/>
  <c r="AW132" i="40" s="1"/>
  <c r="AZ132" i="40" s="1"/>
  <c r="AS127" i="40"/>
  <c r="AN127" i="40"/>
  <c r="AM127" i="40"/>
  <c r="AL127" i="40"/>
  <c r="O127" i="40"/>
  <c r="M127" i="40"/>
  <c r="I127" i="40"/>
  <c r="F127" i="40"/>
  <c r="B127" i="40"/>
  <c r="N127" i="40" s="1"/>
  <c r="AS126" i="40"/>
  <c r="AN126" i="40"/>
  <c r="AM126" i="40"/>
  <c r="AL126" i="40"/>
  <c r="O126" i="40"/>
  <c r="M126" i="40"/>
  <c r="I126" i="40"/>
  <c r="F126" i="40"/>
  <c r="B126" i="40"/>
  <c r="N126" i="40" s="1"/>
  <c r="AS125" i="40"/>
  <c r="AN125" i="40"/>
  <c r="AM125" i="40"/>
  <c r="AL125" i="40"/>
  <c r="O125" i="40"/>
  <c r="M125" i="40"/>
  <c r="I125" i="40"/>
  <c r="J125" i="40" s="1"/>
  <c r="AU125" i="40" s="1"/>
  <c r="F125" i="40"/>
  <c r="H125" i="40" s="1"/>
  <c r="B125" i="40"/>
  <c r="N125" i="40" s="1"/>
  <c r="AS124" i="40"/>
  <c r="AN124" i="40"/>
  <c r="AM124" i="40"/>
  <c r="AL124" i="40"/>
  <c r="O124" i="40"/>
  <c r="M124" i="40"/>
  <c r="I124" i="40"/>
  <c r="F124" i="40"/>
  <c r="B124" i="40"/>
  <c r="N124" i="40" s="1"/>
  <c r="AS123" i="40"/>
  <c r="AN123" i="40"/>
  <c r="AM123" i="40"/>
  <c r="AL123" i="40"/>
  <c r="O123" i="40"/>
  <c r="M123" i="40"/>
  <c r="I123" i="40"/>
  <c r="AQ123" i="40" s="1"/>
  <c r="F123" i="40"/>
  <c r="B123" i="40"/>
  <c r="N123" i="40" s="1"/>
  <c r="AS122" i="40"/>
  <c r="AQ122" i="40"/>
  <c r="AR122" i="40" s="1"/>
  <c r="AT122" i="40" s="1"/>
  <c r="O122" i="40"/>
  <c r="N122" i="40"/>
  <c r="M122" i="40"/>
  <c r="L122" i="40"/>
  <c r="J123" i="40" s="1"/>
  <c r="J122" i="40"/>
  <c r="AU122" i="40" s="1"/>
  <c r="H122" i="40"/>
  <c r="AW122" i="40" s="1"/>
  <c r="AZ122" i="40" s="1"/>
  <c r="AS117" i="40"/>
  <c r="AN117" i="40"/>
  <c r="AM117" i="40"/>
  <c r="AL117" i="40"/>
  <c r="O117" i="40"/>
  <c r="N117" i="40"/>
  <c r="M117" i="40"/>
  <c r="I117" i="40"/>
  <c r="F117" i="40"/>
  <c r="B117" i="40"/>
  <c r="AS116" i="40"/>
  <c r="AN116" i="40"/>
  <c r="AM116" i="40"/>
  <c r="AL116" i="40"/>
  <c r="O116" i="40"/>
  <c r="M116" i="40"/>
  <c r="I116" i="40"/>
  <c r="F116" i="40"/>
  <c r="B116" i="40"/>
  <c r="N116" i="40" s="1"/>
  <c r="AS115" i="40"/>
  <c r="AN115" i="40"/>
  <c r="AM115" i="40"/>
  <c r="AL115" i="40"/>
  <c r="O115" i="40"/>
  <c r="M115" i="40"/>
  <c r="I115" i="40"/>
  <c r="F115" i="40"/>
  <c r="H115" i="40" s="1"/>
  <c r="B115" i="40"/>
  <c r="N115" i="40" s="1"/>
  <c r="AS114" i="40"/>
  <c r="AN114" i="40"/>
  <c r="AM114" i="40"/>
  <c r="AL114" i="40"/>
  <c r="O114" i="40"/>
  <c r="M114" i="40"/>
  <c r="I114" i="40"/>
  <c r="F114" i="40"/>
  <c r="B114" i="40"/>
  <c r="N114" i="40" s="1"/>
  <c r="AS113" i="40"/>
  <c r="AN113" i="40"/>
  <c r="AM113" i="40"/>
  <c r="AL113" i="40"/>
  <c r="O113" i="40"/>
  <c r="M113" i="40"/>
  <c r="I113" i="40"/>
  <c r="F113" i="40"/>
  <c r="B113" i="40"/>
  <c r="N113" i="40" s="1"/>
  <c r="AS112" i="40"/>
  <c r="AQ112" i="40"/>
  <c r="AR112" i="40" s="1"/>
  <c r="AT112" i="40" s="1"/>
  <c r="O112" i="40"/>
  <c r="N112" i="40"/>
  <c r="M112" i="40"/>
  <c r="L112" i="40"/>
  <c r="J113" i="40" s="1"/>
  <c r="J112" i="40"/>
  <c r="AU112" i="40" s="1"/>
  <c r="H112" i="40"/>
  <c r="AW112" i="40" s="1"/>
  <c r="AZ112" i="40" s="1"/>
  <c r="AS107" i="40"/>
  <c r="AN107" i="40"/>
  <c r="AM107" i="40"/>
  <c r="AL107" i="40"/>
  <c r="O107" i="40"/>
  <c r="M107" i="40"/>
  <c r="I107" i="40"/>
  <c r="AQ107" i="40" s="1"/>
  <c r="AR107" i="40" s="1"/>
  <c r="AT107" i="40" s="1"/>
  <c r="F107" i="40"/>
  <c r="B107" i="40"/>
  <c r="N107" i="40" s="1"/>
  <c r="AS106" i="40"/>
  <c r="AN106" i="40"/>
  <c r="AM106" i="40"/>
  <c r="AL106" i="40"/>
  <c r="O106" i="40"/>
  <c r="M106" i="40"/>
  <c r="I106" i="40"/>
  <c r="F106" i="40"/>
  <c r="B106" i="40"/>
  <c r="N106" i="40" s="1"/>
  <c r="AS105" i="40"/>
  <c r="AN105" i="40"/>
  <c r="AM105" i="40"/>
  <c r="AL105" i="40"/>
  <c r="O105" i="40"/>
  <c r="M105" i="40"/>
  <c r="I105" i="40"/>
  <c r="J105" i="40" s="1"/>
  <c r="AU105" i="40" s="1"/>
  <c r="F105" i="40"/>
  <c r="H105" i="40" s="1"/>
  <c r="B105" i="40"/>
  <c r="N105" i="40" s="1"/>
  <c r="AS104" i="40"/>
  <c r="AN104" i="40"/>
  <c r="AM104" i="40"/>
  <c r="AL104" i="40"/>
  <c r="O104" i="40"/>
  <c r="M104" i="40"/>
  <c r="I104" i="40"/>
  <c r="F104" i="40"/>
  <c r="H104" i="40" s="1"/>
  <c r="B104" i="40"/>
  <c r="N104" i="40" s="1"/>
  <c r="AS103" i="40"/>
  <c r="AN103" i="40"/>
  <c r="AM103" i="40"/>
  <c r="AL103" i="40"/>
  <c r="O103" i="40"/>
  <c r="M103" i="40"/>
  <c r="I103" i="40"/>
  <c r="AQ103" i="40" s="1"/>
  <c r="F103" i="40"/>
  <c r="B103" i="40"/>
  <c r="N103" i="40" s="1"/>
  <c r="AS102" i="40"/>
  <c r="AQ102" i="40"/>
  <c r="AR102" i="40" s="1"/>
  <c r="O102" i="40"/>
  <c r="N102" i="40"/>
  <c r="M102" i="40"/>
  <c r="L102" i="40"/>
  <c r="J103" i="40" s="1"/>
  <c r="J102" i="40"/>
  <c r="AU102" i="40" s="1"/>
  <c r="H102" i="40"/>
  <c r="AW102" i="40" s="1"/>
  <c r="AZ102" i="40" s="1"/>
  <c r="AS97" i="40"/>
  <c r="AN97" i="40"/>
  <c r="AM97" i="40"/>
  <c r="AL97" i="40"/>
  <c r="O97" i="40"/>
  <c r="M97" i="40"/>
  <c r="I97" i="40"/>
  <c r="F97" i="40"/>
  <c r="B97" i="40"/>
  <c r="N97" i="40" s="1"/>
  <c r="AS96" i="40"/>
  <c r="AN96" i="40"/>
  <c r="AM96" i="40"/>
  <c r="AL96" i="40"/>
  <c r="O96" i="40"/>
  <c r="M96" i="40"/>
  <c r="I96" i="40"/>
  <c r="F96" i="40"/>
  <c r="H96" i="40" s="1"/>
  <c r="B96" i="40"/>
  <c r="N96" i="40" s="1"/>
  <c r="AS95" i="40"/>
  <c r="AN95" i="40"/>
  <c r="AM95" i="40"/>
  <c r="AL95" i="40"/>
  <c r="O95" i="40"/>
  <c r="M95" i="40"/>
  <c r="I95" i="40"/>
  <c r="AQ95" i="40" s="1"/>
  <c r="F95" i="40"/>
  <c r="H95" i="40" s="1"/>
  <c r="B95" i="40"/>
  <c r="N95" i="40" s="1"/>
  <c r="AS94" i="40"/>
  <c r="AN94" i="40"/>
  <c r="AM94" i="40"/>
  <c r="AL94" i="40"/>
  <c r="O94" i="40"/>
  <c r="M94" i="40"/>
  <c r="I94" i="40"/>
  <c r="F94" i="40"/>
  <c r="B94" i="40"/>
  <c r="N94" i="40" s="1"/>
  <c r="AS93" i="40"/>
  <c r="AN93" i="40"/>
  <c r="AM93" i="40"/>
  <c r="AL93" i="40"/>
  <c r="O93" i="40"/>
  <c r="M93" i="40"/>
  <c r="I93" i="40"/>
  <c r="F93" i="40"/>
  <c r="B93" i="40"/>
  <c r="N93" i="40" s="1"/>
  <c r="AS92" i="40"/>
  <c r="AQ92" i="40"/>
  <c r="AR92" i="40" s="1"/>
  <c r="AT92" i="40" s="1"/>
  <c r="O92" i="40"/>
  <c r="N92" i="40"/>
  <c r="M92" i="40"/>
  <c r="L92" i="40"/>
  <c r="J93" i="40" s="1"/>
  <c r="J92" i="40"/>
  <c r="AU92" i="40" s="1"/>
  <c r="H92" i="40"/>
  <c r="AW92" i="40" s="1"/>
  <c r="AZ92" i="40" s="1"/>
  <c r="AS87" i="40"/>
  <c r="AN87" i="40"/>
  <c r="AM87" i="40"/>
  <c r="AL87" i="40"/>
  <c r="O87" i="40"/>
  <c r="M87" i="40"/>
  <c r="I87" i="40"/>
  <c r="AQ87" i="40" s="1"/>
  <c r="F87" i="40"/>
  <c r="E87" i="40"/>
  <c r="B87" i="40"/>
  <c r="N87" i="40" s="1"/>
  <c r="AS86" i="40"/>
  <c r="AN86" i="40"/>
  <c r="AM86" i="40"/>
  <c r="AL86" i="40"/>
  <c r="O86" i="40"/>
  <c r="M86" i="40"/>
  <c r="I86" i="40"/>
  <c r="F86" i="40"/>
  <c r="E86" i="40"/>
  <c r="B86" i="40"/>
  <c r="N86" i="40" s="1"/>
  <c r="AS85" i="40"/>
  <c r="AN85" i="40"/>
  <c r="AM85" i="40"/>
  <c r="AL85" i="40"/>
  <c r="O85" i="40"/>
  <c r="M85" i="40"/>
  <c r="I85" i="40"/>
  <c r="J85" i="40" s="1"/>
  <c r="AU85" i="40" s="1"/>
  <c r="F85" i="40"/>
  <c r="H85" i="40" s="1"/>
  <c r="B85" i="40"/>
  <c r="N85" i="40" s="1"/>
  <c r="AS84" i="40"/>
  <c r="AN84" i="40"/>
  <c r="AM84" i="40"/>
  <c r="AL84" i="40"/>
  <c r="O84" i="40"/>
  <c r="M84" i="40"/>
  <c r="I84" i="40"/>
  <c r="F84" i="40"/>
  <c r="E84" i="40"/>
  <c r="H84" i="40" s="1"/>
  <c r="B84" i="40"/>
  <c r="N84" i="40" s="1"/>
  <c r="AS83" i="40"/>
  <c r="AN83" i="40"/>
  <c r="AM83" i="40"/>
  <c r="AL83" i="40"/>
  <c r="O83" i="40"/>
  <c r="M83" i="40"/>
  <c r="I83" i="40"/>
  <c r="AQ83" i="40" s="1"/>
  <c r="F83" i="40"/>
  <c r="E83" i="40"/>
  <c r="B83" i="40"/>
  <c r="N83" i="40" s="1"/>
  <c r="AS82" i="40"/>
  <c r="AQ82" i="40"/>
  <c r="AR82" i="40" s="1"/>
  <c r="O82" i="40"/>
  <c r="N82" i="40"/>
  <c r="M82" i="40"/>
  <c r="L82" i="40"/>
  <c r="J83" i="40" s="1"/>
  <c r="J82" i="40"/>
  <c r="AU82" i="40" s="1"/>
  <c r="H82" i="40"/>
  <c r="AW82" i="40" s="1"/>
  <c r="AZ82" i="40" s="1"/>
  <c r="AS77" i="40"/>
  <c r="AN77" i="40"/>
  <c r="AM77" i="40"/>
  <c r="AL77" i="40"/>
  <c r="O77" i="40"/>
  <c r="M77" i="40"/>
  <c r="I77" i="40"/>
  <c r="AQ77" i="40" s="1"/>
  <c r="AR77" i="40" s="1"/>
  <c r="AT77" i="40" s="1"/>
  <c r="F77" i="40"/>
  <c r="H77" i="40" s="1"/>
  <c r="B77" i="40"/>
  <c r="N77" i="40" s="1"/>
  <c r="AS76" i="40"/>
  <c r="AN76" i="40"/>
  <c r="AM76" i="40"/>
  <c r="AL76" i="40"/>
  <c r="O76" i="40"/>
  <c r="M76" i="40"/>
  <c r="I76" i="40"/>
  <c r="F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B74" i="40"/>
  <c r="N74" i="40" s="1"/>
  <c r="AS73" i="40"/>
  <c r="AN73" i="40"/>
  <c r="AM73" i="40"/>
  <c r="AL73" i="40"/>
  <c r="O73" i="40"/>
  <c r="M73" i="40"/>
  <c r="I73" i="40"/>
  <c r="AQ73" i="40" s="1"/>
  <c r="F73" i="40"/>
  <c r="H73" i="40" s="1"/>
  <c r="B73" i="40"/>
  <c r="N73" i="40" s="1"/>
  <c r="AS72" i="40"/>
  <c r="AQ72" i="40"/>
  <c r="AR72" i="40" s="1"/>
  <c r="O72" i="40"/>
  <c r="N72" i="40"/>
  <c r="M72" i="40"/>
  <c r="L72" i="40"/>
  <c r="J73" i="40" s="1"/>
  <c r="J72" i="40"/>
  <c r="AU72" i="40" s="1"/>
  <c r="H72" i="40"/>
  <c r="AW72" i="40" s="1"/>
  <c r="AZ72" i="40" s="1"/>
  <c r="AS67" i="40"/>
  <c r="AN67" i="40"/>
  <c r="AM67" i="40"/>
  <c r="AL67" i="40"/>
  <c r="O67" i="40"/>
  <c r="N67" i="40"/>
  <c r="M67" i="40"/>
  <c r="I67" i="40"/>
  <c r="AQ67" i="40" s="1"/>
  <c r="AR67" i="40" s="1"/>
  <c r="AT67" i="40" s="1"/>
  <c r="F67" i="40"/>
  <c r="H67" i="40" s="1"/>
  <c r="B67" i="40"/>
  <c r="AS66" i="40"/>
  <c r="AN66" i="40"/>
  <c r="AM66" i="40"/>
  <c r="AL66" i="40"/>
  <c r="O66" i="40"/>
  <c r="M66" i="40"/>
  <c r="I66" i="40"/>
  <c r="F66" i="40"/>
  <c r="B66" i="40"/>
  <c r="N66" i="40" s="1"/>
  <c r="AS65" i="40"/>
  <c r="AN65" i="40"/>
  <c r="AM65" i="40"/>
  <c r="AL65" i="40"/>
  <c r="O65" i="40"/>
  <c r="M65" i="40"/>
  <c r="I65" i="40"/>
  <c r="J65" i="40" s="1"/>
  <c r="AU65" i="40" s="1"/>
  <c r="F65" i="40"/>
  <c r="H65" i="40" s="1"/>
  <c r="B65" i="40"/>
  <c r="N65" i="40" s="1"/>
  <c r="AS64" i="40"/>
  <c r="AN64" i="40"/>
  <c r="AM64" i="40"/>
  <c r="AL64" i="40"/>
  <c r="O64" i="40"/>
  <c r="M64" i="40"/>
  <c r="I64" i="40"/>
  <c r="F64" i="40"/>
  <c r="B64" i="40"/>
  <c r="N64" i="40" s="1"/>
  <c r="AS63" i="40"/>
  <c r="AN63" i="40"/>
  <c r="AM63" i="40"/>
  <c r="AL63" i="40"/>
  <c r="O63" i="40"/>
  <c r="M63" i="40"/>
  <c r="I63" i="40"/>
  <c r="AQ63" i="40" s="1"/>
  <c r="F63" i="40"/>
  <c r="B63" i="40"/>
  <c r="N63" i="40" s="1"/>
  <c r="AS62" i="40"/>
  <c r="AQ62" i="40"/>
  <c r="AR62" i="40" s="1"/>
  <c r="O62" i="40"/>
  <c r="N62" i="40"/>
  <c r="M62" i="40"/>
  <c r="L62" i="40"/>
  <c r="J63" i="40" s="1"/>
  <c r="J62" i="40"/>
  <c r="AU62" i="40" s="1"/>
  <c r="H62" i="40"/>
  <c r="AW62" i="40" s="1"/>
  <c r="AZ62" i="40" s="1"/>
  <c r="AS57" i="40"/>
  <c r="AN57" i="40"/>
  <c r="AM57" i="40"/>
  <c r="AL57" i="40"/>
  <c r="O57" i="40"/>
  <c r="N57" i="40"/>
  <c r="M57" i="40"/>
  <c r="I57" i="40"/>
  <c r="F57" i="40"/>
  <c r="H57" i="40" s="1"/>
  <c r="E57" i="40"/>
  <c r="B57" i="40"/>
  <c r="AS56" i="40"/>
  <c r="AN56" i="40"/>
  <c r="AM56" i="40"/>
  <c r="AL56" i="40"/>
  <c r="O56" i="40"/>
  <c r="M56" i="40"/>
  <c r="I56" i="40"/>
  <c r="F56" i="40"/>
  <c r="E56" i="40"/>
  <c r="B56" i="40"/>
  <c r="N56" i="40" s="1"/>
  <c r="AS55" i="40"/>
  <c r="AN55" i="40"/>
  <c r="AM55" i="40"/>
  <c r="AL55" i="40"/>
  <c r="O55" i="40"/>
  <c r="M55" i="40"/>
  <c r="I55" i="40"/>
  <c r="AQ55" i="40" s="1"/>
  <c r="F55" i="40"/>
  <c r="H55" i="40" s="1"/>
  <c r="B55" i="40"/>
  <c r="N55" i="40" s="1"/>
  <c r="AS54" i="40"/>
  <c r="AN54" i="40"/>
  <c r="AM54" i="40"/>
  <c r="AL54" i="40"/>
  <c r="O54" i="40"/>
  <c r="M54" i="40"/>
  <c r="I54" i="40"/>
  <c r="F54" i="40"/>
  <c r="E54" i="40"/>
  <c r="B54" i="40"/>
  <c r="N54" i="40" s="1"/>
  <c r="AS53" i="40"/>
  <c r="AN53" i="40"/>
  <c r="AM53" i="40"/>
  <c r="AL53" i="40"/>
  <c r="O53" i="40"/>
  <c r="M53" i="40"/>
  <c r="I53" i="40"/>
  <c r="AQ53" i="40" s="1"/>
  <c r="F53" i="40"/>
  <c r="E53" i="40"/>
  <c r="B53" i="40"/>
  <c r="N53" i="40" s="1"/>
  <c r="AS52" i="40"/>
  <c r="AQ52" i="40"/>
  <c r="AR52" i="40" s="1"/>
  <c r="O52" i="40"/>
  <c r="N52" i="40"/>
  <c r="M52" i="40"/>
  <c r="L52" i="40"/>
  <c r="J53" i="40" s="1"/>
  <c r="J52" i="40"/>
  <c r="AU52" i="40" s="1"/>
  <c r="H52" i="40"/>
  <c r="AW52" i="40" s="1"/>
  <c r="AZ52" i="40" s="1"/>
  <c r="AS47" i="40"/>
  <c r="AN47" i="40"/>
  <c r="AM47" i="40"/>
  <c r="AL47" i="40"/>
  <c r="O47" i="40"/>
  <c r="M47" i="40"/>
  <c r="I47" i="40"/>
  <c r="F47" i="40"/>
  <c r="H47" i="40" s="1"/>
  <c r="E47" i="40"/>
  <c r="B47" i="40"/>
  <c r="N47" i="40" s="1"/>
  <c r="AS46" i="40"/>
  <c r="AN46" i="40"/>
  <c r="AM46" i="40"/>
  <c r="AL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J45" i="40" s="1"/>
  <c r="AU45" i="40" s="1"/>
  <c r="F45" i="40"/>
  <c r="H45" i="40" s="1"/>
  <c r="AX45" i="40" s="1"/>
  <c r="BA45" i="40" s="1"/>
  <c r="B45" i="40"/>
  <c r="N45" i="40" s="1"/>
  <c r="AS44" i="40"/>
  <c r="AN44" i="40"/>
  <c r="AM44" i="40"/>
  <c r="AL44" i="40"/>
  <c r="O44" i="40"/>
  <c r="M44" i="40"/>
  <c r="I44" i="40"/>
  <c r="F44" i="40"/>
  <c r="E44" i="40"/>
  <c r="B44" i="40"/>
  <c r="N44" i="40" s="1"/>
  <c r="AS43" i="40"/>
  <c r="AN43" i="40"/>
  <c r="AM43" i="40"/>
  <c r="AL43" i="40"/>
  <c r="O43" i="40"/>
  <c r="M43" i="40"/>
  <c r="I43" i="40"/>
  <c r="AQ43" i="40" s="1"/>
  <c r="F43" i="40"/>
  <c r="E43" i="40"/>
  <c r="B43" i="40"/>
  <c r="N43" i="40" s="1"/>
  <c r="AS42" i="40"/>
  <c r="AQ42" i="40"/>
  <c r="AR42" i="40" s="1"/>
  <c r="O42" i="40"/>
  <c r="N42" i="40"/>
  <c r="M42" i="40"/>
  <c r="L42" i="40"/>
  <c r="J43" i="40" s="1"/>
  <c r="J42" i="40"/>
  <c r="AU42" i="40" s="1"/>
  <c r="H42" i="40"/>
  <c r="AW42" i="40" s="1"/>
  <c r="AZ42" i="40" s="1"/>
  <c r="AS37" i="40"/>
  <c r="AN37" i="40"/>
  <c r="AM37" i="40"/>
  <c r="AL37" i="40"/>
  <c r="O37" i="40"/>
  <c r="M37" i="40"/>
  <c r="I37" i="40"/>
  <c r="F37" i="40"/>
  <c r="E37" i="40"/>
  <c r="B37" i="40"/>
  <c r="N37" i="40" s="1"/>
  <c r="AS36" i="40"/>
  <c r="AN36" i="40"/>
  <c r="AM36" i="40"/>
  <c r="AL36" i="40"/>
  <c r="O36" i="40"/>
  <c r="M36" i="40"/>
  <c r="I36" i="40"/>
  <c r="AQ36" i="40" s="1"/>
  <c r="F36" i="40"/>
  <c r="E36" i="40"/>
  <c r="B36" i="40"/>
  <c r="N36" i="40" s="1"/>
  <c r="AS35" i="40"/>
  <c r="AN35" i="40"/>
  <c r="AM35" i="40"/>
  <c r="AL35" i="40"/>
  <c r="O35" i="40"/>
  <c r="M35" i="40"/>
  <c r="I35" i="40"/>
  <c r="J35" i="40" s="1"/>
  <c r="AU35" i="40" s="1"/>
  <c r="F35" i="40"/>
  <c r="H35" i="40" s="1"/>
  <c r="AX35" i="40" s="1"/>
  <c r="BA35" i="40" s="1"/>
  <c r="B35" i="40"/>
  <c r="N35" i="40" s="1"/>
  <c r="AS34" i="40"/>
  <c r="AN34" i="40"/>
  <c r="AM34" i="40"/>
  <c r="AL34" i="40"/>
  <c r="O34" i="40"/>
  <c r="M34" i="40"/>
  <c r="I34" i="40"/>
  <c r="F34" i="40"/>
  <c r="E34" i="40"/>
  <c r="B34" i="40"/>
  <c r="N34" i="40" s="1"/>
  <c r="AS33" i="40"/>
  <c r="AN33" i="40"/>
  <c r="AM33" i="40"/>
  <c r="AL33" i="40"/>
  <c r="O33" i="40"/>
  <c r="M33" i="40"/>
  <c r="I33" i="40"/>
  <c r="AQ33" i="40" s="1"/>
  <c r="F33" i="40"/>
  <c r="H33" i="40" s="1"/>
  <c r="AX33" i="40" s="1"/>
  <c r="BA33" i="40" s="1"/>
  <c r="E33" i="40"/>
  <c r="B33" i="40"/>
  <c r="N33" i="40" s="1"/>
  <c r="AS32" i="40"/>
  <c r="AQ32" i="40"/>
  <c r="AR32" i="40" s="1"/>
  <c r="O32" i="40"/>
  <c r="N32" i="40"/>
  <c r="M32" i="40"/>
  <c r="L32" i="40"/>
  <c r="J33" i="40" s="1"/>
  <c r="J32" i="40"/>
  <c r="AU32" i="40" s="1"/>
  <c r="H32" i="40"/>
  <c r="AW32" i="40" s="1"/>
  <c r="AZ32" i="40" s="1"/>
  <c r="AS27" i="40"/>
  <c r="AN27" i="40"/>
  <c r="AM27" i="40"/>
  <c r="AL27" i="40"/>
  <c r="O27" i="40"/>
  <c r="N27" i="40"/>
  <c r="M27" i="40"/>
  <c r="I27" i="40"/>
  <c r="F27" i="40"/>
  <c r="E27" i="40"/>
  <c r="B27" i="40"/>
  <c r="AS26" i="40"/>
  <c r="AN26" i="40"/>
  <c r="AM26" i="40"/>
  <c r="AL26" i="40"/>
  <c r="O26" i="40"/>
  <c r="M26" i="40"/>
  <c r="I26" i="40"/>
  <c r="AQ26" i="40" s="1"/>
  <c r="F26" i="40"/>
  <c r="E26" i="40"/>
  <c r="B26" i="40"/>
  <c r="N26" i="40" s="1"/>
  <c r="AS25" i="40"/>
  <c r="AN25" i="40"/>
  <c r="AM25" i="40"/>
  <c r="AL25" i="40"/>
  <c r="O25" i="40"/>
  <c r="M25" i="40"/>
  <c r="I25" i="40"/>
  <c r="J25" i="40" s="1"/>
  <c r="AU25" i="40" s="1"/>
  <c r="F25" i="40"/>
  <c r="H25" i="40" s="1"/>
  <c r="AX25" i="40" s="1"/>
  <c r="BA25" i="40" s="1"/>
  <c r="B25" i="40"/>
  <c r="N25" i="40" s="1"/>
  <c r="AS24" i="40"/>
  <c r="AN24" i="40"/>
  <c r="AM24" i="40"/>
  <c r="AL24" i="40"/>
  <c r="O24" i="40"/>
  <c r="M24" i="40"/>
  <c r="I24" i="40"/>
  <c r="F24" i="40"/>
  <c r="E24" i="40"/>
  <c r="B24" i="40"/>
  <c r="N24" i="40" s="1"/>
  <c r="AS23" i="40"/>
  <c r="AN23" i="40"/>
  <c r="AM23" i="40"/>
  <c r="AL23" i="40"/>
  <c r="O23" i="40"/>
  <c r="M23" i="40"/>
  <c r="I23" i="40"/>
  <c r="F23" i="40"/>
  <c r="H23" i="40" s="1"/>
  <c r="AX23" i="40" s="1"/>
  <c r="BA23" i="40" s="1"/>
  <c r="E23" i="40"/>
  <c r="B23" i="40"/>
  <c r="N23" i="40" s="1"/>
  <c r="AS22" i="40"/>
  <c r="AR22" i="40"/>
  <c r="AQ22" i="40"/>
  <c r="O22" i="40"/>
  <c r="N22" i="40"/>
  <c r="M22" i="40"/>
  <c r="L22" i="40"/>
  <c r="J23" i="40" s="1"/>
  <c r="J22" i="40"/>
  <c r="AU22" i="40" s="1"/>
  <c r="H22" i="40"/>
  <c r="AW22" i="40" s="1"/>
  <c r="AZ22" i="40" s="1"/>
  <c r="E17" i="40"/>
  <c r="E16" i="40"/>
  <c r="E14" i="40"/>
  <c r="E13" i="40"/>
  <c r="AS17" i="40"/>
  <c r="AN17" i="40"/>
  <c r="AM17" i="40"/>
  <c r="AL17" i="40"/>
  <c r="O17" i="40"/>
  <c r="M17" i="40"/>
  <c r="I17" i="40"/>
  <c r="F17" i="40"/>
  <c r="B17" i="40"/>
  <c r="N17" i="40" s="1"/>
  <c r="AS16" i="40"/>
  <c r="AN16" i="40"/>
  <c r="AM16" i="40"/>
  <c r="AL16" i="40"/>
  <c r="O16" i="40"/>
  <c r="M16" i="40"/>
  <c r="I16" i="40"/>
  <c r="F16" i="40"/>
  <c r="H16" i="40" s="1"/>
  <c r="B16" i="40"/>
  <c r="N16" i="40" s="1"/>
  <c r="AS15" i="40"/>
  <c r="AN15" i="40"/>
  <c r="AM15" i="40"/>
  <c r="AL15" i="40"/>
  <c r="O15" i="40"/>
  <c r="M15" i="40"/>
  <c r="I15" i="40"/>
  <c r="J15" i="40" s="1"/>
  <c r="AU15" i="40" s="1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H14" i="40" s="1"/>
  <c r="B14" i="40"/>
  <c r="N14" i="40" s="1"/>
  <c r="AS13" i="40"/>
  <c r="AN13" i="40"/>
  <c r="AM13" i="40"/>
  <c r="AL13" i="40"/>
  <c r="O13" i="40"/>
  <c r="M13" i="40"/>
  <c r="I13" i="40"/>
  <c r="AQ13" i="40" s="1"/>
  <c r="F13" i="40"/>
  <c r="B13" i="40"/>
  <c r="N13" i="40" s="1"/>
  <c r="AS12" i="40"/>
  <c r="AQ12" i="40"/>
  <c r="AR12" i="40" s="1"/>
  <c r="O12" i="40"/>
  <c r="N12" i="40"/>
  <c r="M12" i="40"/>
  <c r="L12" i="40"/>
  <c r="J13" i="40" s="1"/>
  <c r="J12" i="40"/>
  <c r="AU12" i="40" s="1"/>
  <c r="H12" i="40"/>
  <c r="AW12" i="40" s="1"/>
  <c r="AZ12" i="40" s="1"/>
  <c r="L2" i="40"/>
  <c r="J3" i="40" s="1"/>
  <c r="AS7" i="40"/>
  <c r="AN7" i="40"/>
  <c r="AM7" i="40"/>
  <c r="AL7" i="40"/>
  <c r="O7" i="40"/>
  <c r="M7" i="40"/>
  <c r="I7" i="40"/>
  <c r="F7" i="40"/>
  <c r="H7" i="40" s="1"/>
  <c r="B7" i="40"/>
  <c r="N7" i="40" s="1"/>
  <c r="AS6" i="40"/>
  <c r="AN6" i="40"/>
  <c r="AM6" i="40"/>
  <c r="AL6" i="40"/>
  <c r="O6" i="40"/>
  <c r="M6" i="40"/>
  <c r="I6" i="40"/>
  <c r="F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AX5" i="40" s="1"/>
  <c r="BA5" i="40" s="1"/>
  <c r="B5" i="40"/>
  <c r="N5" i="40" s="1"/>
  <c r="AS4" i="40"/>
  <c r="AN4" i="40"/>
  <c r="AM4" i="40"/>
  <c r="AL4" i="40"/>
  <c r="O4" i="40"/>
  <c r="M4" i="40"/>
  <c r="I4" i="40"/>
  <c r="F4" i="40"/>
  <c r="B4" i="40"/>
  <c r="N4" i="40" s="1"/>
  <c r="AS3" i="40"/>
  <c r="AN3" i="40"/>
  <c r="AM3" i="40"/>
  <c r="AL3" i="40"/>
  <c r="O3" i="40"/>
  <c r="M3" i="40"/>
  <c r="I3" i="40"/>
  <c r="F3" i="40"/>
  <c r="B3" i="40"/>
  <c r="N3" i="40" s="1"/>
  <c r="AS2" i="40"/>
  <c r="AQ2" i="40"/>
  <c r="AR2" i="40" s="1"/>
  <c r="O2" i="40"/>
  <c r="N2" i="40"/>
  <c r="M2" i="40"/>
  <c r="J2" i="40"/>
  <c r="AU2" i="40" s="1"/>
  <c r="H2" i="40"/>
  <c r="AW2" i="40" s="1"/>
  <c r="AZ2" i="40" s="1"/>
  <c r="H3" i="24"/>
  <c r="B3" i="24"/>
  <c r="X15" i="24"/>
  <c r="AU97" i="2"/>
  <c r="AU96" i="2"/>
  <c r="AU95" i="2"/>
  <c r="AU94" i="2"/>
  <c r="AU93" i="2"/>
  <c r="AU92" i="2"/>
  <c r="AU83" i="2"/>
  <c r="AS249" i="2"/>
  <c r="AQ249" i="2"/>
  <c r="AR249" i="2" s="1"/>
  <c r="AT249" i="2" s="1"/>
  <c r="AN249" i="2"/>
  <c r="AM249" i="2"/>
  <c r="AL249" i="2"/>
  <c r="O249" i="2"/>
  <c r="N249" i="2"/>
  <c r="M249" i="2"/>
  <c r="I249" i="2"/>
  <c r="F249" i="2"/>
  <c r="H249" i="2" s="1"/>
  <c r="E249" i="2"/>
  <c r="B249" i="2"/>
  <c r="AS248" i="2"/>
  <c r="AN248" i="2"/>
  <c r="AM248" i="2"/>
  <c r="AQ248" i="2" s="1"/>
  <c r="AL248" i="2"/>
  <c r="O248" i="2"/>
  <c r="N248" i="2"/>
  <c r="M248" i="2"/>
  <c r="J248" i="2"/>
  <c r="AU248" i="2" s="1"/>
  <c r="I248" i="2"/>
  <c r="F248" i="2"/>
  <c r="E248" i="2"/>
  <c r="H248" i="2" s="1"/>
  <c r="B248" i="2"/>
  <c r="AU247" i="2"/>
  <c r="AS247" i="2"/>
  <c r="AM247" i="2"/>
  <c r="AL247" i="2"/>
  <c r="O247" i="2"/>
  <c r="M247" i="2"/>
  <c r="J247" i="2"/>
  <c r="I247" i="2"/>
  <c r="AQ247" i="2" s="1"/>
  <c r="F247" i="2"/>
  <c r="E247" i="2"/>
  <c r="H247" i="2" s="1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Q245" i="2" s="1"/>
  <c r="AL245" i="2"/>
  <c r="O245" i="2"/>
  <c r="M245" i="2"/>
  <c r="I245" i="2"/>
  <c r="F245" i="2"/>
  <c r="E245" i="2"/>
  <c r="H245" i="2" s="1"/>
  <c r="B245" i="2"/>
  <c r="N245" i="2" s="1"/>
  <c r="AU244" i="2"/>
  <c r="AV244" i="2" s="1"/>
  <c r="AS244" i="2"/>
  <c r="AQ244" i="2"/>
  <c r="AR244" i="2" s="1"/>
  <c r="AT244" i="2" s="1"/>
  <c r="AN244" i="2"/>
  <c r="AM244" i="2"/>
  <c r="AL244" i="2"/>
  <c r="O244" i="2"/>
  <c r="N244" i="2"/>
  <c r="M244" i="2"/>
  <c r="J244" i="2"/>
  <c r="I244" i="2"/>
  <c r="H244" i="2"/>
  <c r="AW244" i="2" s="1"/>
  <c r="AZ244" i="2" s="1"/>
  <c r="F244" i="2"/>
  <c r="E244" i="2"/>
  <c r="B244" i="2"/>
  <c r="AU243" i="2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Z242" i="2"/>
  <c r="AW242" i="2"/>
  <c r="AS242" i="2"/>
  <c r="AR242" i="2"/>
  <c r="AT242" i="2" s="1"/>
  <c r="AQ242" i="2"/>
  <c r="O242" i="2"/>
  <c r="N242" i="2"/>
  <c r="M242" i="2"/>
  <c r="J242" i="2"/>
  <c r="AU242" i="2" s="1"/>
  <c r="AV242" i="2" s="1"/>
  <c r="H242" i="2"/>
  <c r="AY242" i="2" s="1"/>
  <c r="U5" i="24"/>
  <c r="U6" i="24"/>
  <c r="U7" i="24"/>
  <c r="U8" i="24"/>
  <c r="U9" i="24"/>
  <c r="BA233" i="2"/>
  <c r="AZ233" i="2"/>
  <c r="BA232" i="2"/>
  <c r="AZ232" i="2"/>
  <c r="AZ223" i="2"/>
  <c r="BA223" i="2"/>
  <c r="AZ224" i="2"/>
  <c r="BA224" i="2"/>
  <c r="AZ225" i="2"/>
  <c r="BA225" i="2"/>
  <c r="AZ226" i="2"/>
  <c r="BA226" i="2"/>
  <c r="AZ227" i="2"/>
  <c r="BA227" i="2"/>
  <c r="BA222" i="2"/>
  <c r="AZ222" i="2"/>
  <c r="AZ214" i="2"/>
  <c r="BA214" i="2"/>
  <c r="AZ215" i="2"/>
  <c r="BA215" i="2"/>
  <c r="AZ216" i="2"/>
  <c r="BA216" i="2"/>
  <c r="AZ217" i="2"/>
  <c r="BA217" i="2"/>
  <c r="AZ218" i="2"/>
  <c r="BA218" i="2"/>
  <c r="AZ219" i="2"/>
  <c r="BA219" i="2"/>
  <c r="AZ220" i="2"/>
  <c r="BA220" i="2"/>
  <c r="BA213" i="2"/>
  <c r="AZ213" i="2"/>
  <c r="BA212" i="2"/>
  <c r="AZ212" i="2"/>
  <c r="AZ210" i="2"/>
  <c r="BA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AZ173" i="2"/>
  <c r="BA173" i="2"/>
  <c r="AZ174" i="2"/>
  <c r="BA174" i="2"/>
  <c r="AZ175" i="2"/>
  <c r="BA175" i="2"/>
  <c r="AZ176" i="2"/>
  <c r="BA176" i="2"/>
  <c r="AZ177" i="2"/>
  <c r="BA177" i="2"/>
  <c r="AZ163" i="2"/>
  <c r="BA163" i="2"/>
  <c r="AZ164" i="2"/>
  <c r="BA164" i="2"/>
  <c r="AZ165" i="2"/>
  <c r="BA165" i="2"/>
  <c r="AZ166" i="2"/>
  <c r="BA166" i="2"/>
  <c r="AZ167" i="2"/>
  <c r="BA167" i="2"/>
  <c r="BA182" i="2"/>
  <c r="AZ182" i="2"/>
  <c r="BA172" i="2"/>
  <c r="AZ172" i="2"/>
  <c r="BA162" i="2"/>
  <c r="AZ162" i="2"/>
  <c r="AZ153" i="2"/>
  <c r="BA153" i="2"/>
  <c r="AZ154" i="2"/>
  <c r="BA154" i="2"/>
  <c r="AZ155" i="2"/>
  <c r="BA155" i="2"/>
  <c r="AZ156" i="2"/>
  <c r="BA156" i="2"/>
  <c r="AZ157" i="2"/>
  <c r="BA157" i="2"/>
  <c r="BA152" i="2"/>
  <c r="AZ152" i="2"/>
  <c r="AZ143" i="2"/>
  <c r="BA143" i="2"/>
  <c r="AZ144" i="2"/>
  <c r="BA144" i="2"/>
  <c r="AZ133" i="2"/>
  <c r="BA133" i="2"/>
  <c r="AZ134" i="2"/>
  <c r="BA134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BA142" i="2"/>
  <c r="AZ142" i="2"/>
  <c r="BA132" i="2"/>
  <c r="AZ132" i="2"/>
  <c r="BA122" i="2"/>
  <c r="AZ12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03" i="2"/>
  <c r="BA103" i="2"/>
  <c r="AZ104" i="2"/>
  <c r="BA104" i="2"/>
  <c r="AZ105" i="2"/>
  <c r="BA105" i="2"/>
  <c r="AZ106" i="2"/>
  <c r="BA106" i="2"/>
  <c r="AZ107" i="2"/>
  <c r="BA107" i="2"/>
  <c r="AZ93" i="2"/>
  <c r="BA93" i="2"/>
  <c r="AZ94" i="2"/>
  <c r="BA94" i="2"/>
  <c r="AZ95" i="2"/>
  <c r="BA95" i="2"/>
  <c r="AZ96" i="2"/>
  <c r="BA96" i="2"/>
  <c r="AZ97" i="2"/>
  <c r="BA97" i="2"/>
  <c r="AZ83" i="2"/>
  <c r="BA83" i="2"/>
  <c r="AZ84" i="2"/>
  <c r="BA84" i="2"/>
  <c r="AZ85" i="2"/>
  <c r="BA85" i="2"/>
  <c r="AZ86" i="2"/>
  <c r="BA86" i="2"/>
  <c r="AZ87" i="2"/>
  <c r="BA87" i="2"/>
  <c r="AZ73" i="2"/>
  <c r="BA73" i="2"/>
  <c r="AZ74" i="2"/>
  <c r="BA74" i="2"/>
  <c r="AZ75" i="2"/>
  <c r="BA75" i="2"/>
  <c r="AZ76" i="2"/>
  <c r="BA76" i="2"/>
  <c r="AZ77" i="2"/>
  <c r="BA77" i="2"/>
  <c r="AZ63" i="2"/>
  <c r="BA63" i="2"/>
  <c r="AZ64" i="2"/>
  <c r="BA64" i="2"/>
  <c r="AZ65" i="2"/>
  <c r="BA65" i="2"/>
  <c r="AZ66" i="2"/>
  <c r="BA66" i="2"/>
  <c r="AZ67" i="2"/>
  <c r="BA67" i="2"/>
  <c r="AZ53" i="2"/>
  <c r="BA53" i="2"/>
  <c r="AZ54" i="2"/>
  <c r="BA54" i="2"/>
  <c r="AZ55" i="2"/>
  <c r="BA55" i="2"/>
  <c r="AZ56" i="2"/>
  <c r="BA56" i="2"/>
  <c r="AZ57" i="2"/>
  <c r="BA57" i="2"/>
  <c r="AZ43" i="2"/>
  <c r="BA43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BA112" i="2"/>
  <c r="AZ112" i="2"/>
  <c r="BA102" i="2"/>
  <c r="AZ102" i="2"/>
  <c r="BA92" i="2"/>
  <c r="AZ92" i="2"/>
  <c r="BA82" i="2"/>
  <c r="AZ82" i="2"/>
  <c r="BA72" i="2"/>
  <c r="AZ72" i="2"/>
  <c r="BA62" i="2"/>
  <c r="AZ62" i="2"/>
  <c r="BA52" i="2"/>
  <c r="AZ52" i="2"/>
  <c r="BA42" i="2"/>
  <c r="AZ42" i="2"/>
  <c r="AZ33" i="2"/>
  <c r="BA33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BA32" i="2"/>
  <c r="AZ32" i="2"/>
  <c r="AZ23" i="2"/>
  <c r="BA23" i="2"/>
  <c r="AZ24" i="2"/>
  <c r="BA24" i="2"/>
  <c r="AZ25" i="2"/>
  <c r="BA25" i="2"/>
  <c r="AZ26" i="2"/>
  <c r="BA26" i="2"/>
  <c r="AZ27" i="2"/>
  <c r="BA27" i="2"/>
  <c r="BA22" i="2"/>
  <c r="AZ22" i="2"/>
  <c r="AZ13" i="2"/>
  <c r="BA13" i="2"/>
  <c r="AZ14" i="2"/>
  <c r="BA14" i="2"/>
  <c r="AZ15" i="2"/>
  <c r="BA15" i="2"/>
  <c r="AZ16" i="2"/>
  <c r="BA16" i="2"/>
  <c r="AZ17" i="2"/>
  <c r="BA17" i="2"/>
  <c r="BA12" i="2"/>
  <c r="AZ12" i="2"/>
  <c r="AZ3" i="2"/>
  <c r="BA3" i="2"/>
  <c r="AZ4" i="2"/>
  <c r="BA4" i="2"/>
  <c r="AZ5" i="2"/>
  <c r="BA5" i="2"/>
  <c r="AZ6" i="2"/>
  <c r="BA6" i="2"/>
  <c r="AZ7" i="2"/>
  <c r="BA7" i="2"/>
  <c r="BA2" i="2"/>
  <c r="AZ2" i="2"/>
  <c r="AQ206" i="40" l="1"/>
  <c r="AQ204" i="40"/>
  <c r="AX202" i="40"/>
  <c r="BA202" i="40" s="1"/>
  <c r="H203" i="40"/>
  <c r="J206" i="40"/>
  <c r="AU203" i="40"/>
  <c r="AU204" i="40"/>
  <c r="AR204" i="40"/>
  <c r="AT204" i="40" s="1"/>
  <c r="AX205" i="40"/>
  <c r="BA205" i="40" s="1"/>
  <c r="AW205" i="40"/>
  <c r="AZ205" i="40" s="1"/>
  <c r="AR206" i="40"/>
  <c r="AT206" i="40" s="1"/>
  <c r="AX203" i="40"/>
  <c r="BA203" i="40" s="1"/>
  <c r="AW203" i="40"/>
  <c r="AZ203" i="40" s="1"/>
  <c r="AR203" i="40"/>
  <c r="AT203" i="40" s="1"/>
  <c r="AW204" i="40"/>
  <c r="AZ204" i="40" s="1"/>
  <c r="AX204" i="40"/>
  <c r="BA204" i="40" s="1"/>
  <c r="AR205" i="40"/>
  <c r="AT205" i="40" s="1"/>
  <c r="AX206" i="40"/>
  <c r="BA206" i="40" s="1"/>
  <c r="AW206" i="40"/>
  <c r="AZ206" i="40" s="1"/>
  <c r="AW207" i="40"/>
  <c r="AZ207" i="40" s="1"/>
  <c r="AX207" i="40"/>
  <c r="BA207" i="40" s="1"/>
  <c r="AV202" i="40"/>
  <c r="AY202" i="40" s="1"/>
  <c r="J205" i="40"/>
  <c r="AU205" i="40" s="1"/>
  <c r="AX192" i="40"/>
  <c r="BA192" i="40" s="1"/>
  <c r="AQ194" i="40"/>
  <c r="AV192" i="40"/>
  <c r="AQ197" i="40"/>
  <c r="AR197" i="40" s="1"/>
  <c r="AT197" i="40" s="1"/>
  <c r="AQ196" i="40"/>
  <c r="AR196" i="40" s="1"/>
  <c r="AR194" i="40"/>
  <c r="AT194" i="40"/>
  <c r="AX195" i="40"/>
  <c r="BA195" i="40" s="1"/>
  <c r="AW195" i="40"/>
  <c r="AZ195" i="40" s="1"/>
  <c r="AX193" i="40"/>
  <c r="BA193" i="40" s="1"/>
  <c r="AW193" i="40"/>
  <c r="AZ193" i="40" s="1"/>
  <c r="AU194" i="40"/>
  <c r="AV194" i="40" s="1"/>
  <c r="AY194" i="40" s="1"/>
  <c r="J196" i="40"/>
  <c r="AU193" i="40"/>
  <c r="AR193" i="40"/>
  <c r="AT193" i="40" s="1"/>
  <c r="AW194" i="40"/>
  <c r="AZ194" i="40" s="1"/>
  <c r="AX194" i="40"/>
  <c r="BA194" i="40" s="1"/>
  <c r="AX196" i="40"/>
  <c r="BA196" i="40" s="1"/>
  <c r="AW196" i="40"/>
  <c r="AZ196" i="40" s="1"/>
  <c r="AW197" i="40"/>
  <c r="AZ197" i="40" s="1"/>
  <c r="AX197" i="40"/>
  <c r="BA197" i="40" s="1"/>
  <c r="AQ195" i="40"/>
  <c r="AY192" i="40"/>
  <c r="AV182" i="40"/>
  <c r="AQ184" i="40"/>
  <c r="AQ186" i="40"/>
  <c r="AR186" i="40" s="1"/>
  <c r="AT186" i="40" s="1"/>
  <c r="H183" i="40"/>
  <c r="AX183" i="40"/>
  <c r="BA183" i="40" s="1"/>
  <c r="AW183" i="40"/>
  <c r="AZ183" i="40" s="1"/>
  <c r="AR184" i="40"/>
  <c r="AT184" i="40" s="1"/>
  <c r="AX185" i="40"/>
  <c r="BA185" i="40" s="1"/>
  <c r="AW185" i="40"/>
  <c r="AZ185" i="40" s="1"/>
  <c r="AT185" i="40"/>
  <c r="AR185" i="40"/>
  <c r="AR187" i="40"/>
  <c r="AT187" i="40" s="1"/>
  <c r="AU184" i="40"/>
  <c r="J186" i="40"/>
  <c r="AU183" i="40"/>
  <c r="AR183" i="40"/>
  <c r="AT183" i="40" s="1"/>
  <c r="AW184" i="40"/>
  <c r="AZ184" i="40" s="1"/>
  <c r="AX184" i="40"/>
  <c r="BA184" i="40" s="1"/>
  <c r="AX186" i="40"/>
  <c r="BA186" i="40" s="1"/>
  <c r="AW186" i="40"/>
  <c r="AZ186" i="40" s="1"/>
  <c r="AW187" i="40"/>
  <c r="AZ187" i="40" s="1"/>
  <c r="AX187" i="40"/>
  <c r="BA187" i="40" s="1"/>
  <c r="AY182" i="40"/>
  <c r="J185" i="40"/>
  <c r="AU185" i="40" s="1"/>
  <c r="AQ176" i="40"/>
  <c r="AQ174" i="40"/>
  <c r="AT174" i="40" s="1"/>
  <c r="AX172" i="40"/>
  <c r="BA172" i="40" s="1"/>
  <c r="H174" i="40"/>
  <c r="AX174" i="40" s="1"/>
  <c r="BA174" i="40" s="1"/>
  <c r="AU174" i="40"/>
  <c r="J176" i="40"/>
  <c r="AU173" i="40"/>
  <c r="AR173" i="40"/>
  <c r="AT173" i="40" s="1"/>
  <c r="AW174" i="40"/>
  <c r="AZ174" i="40" s="1"/>
  <c r="AW177" i="40"/>
  <c r="AZ177" i="40" s="1"/>
  <c r="AX177" i="40"/>
  <c r="BA177" i="40" s="1"/>
  <c r="AX173" i="40"/>
  <c r="BA173" i="40" s="1"/>
  <c r="AW173" i="40"/>
  <c r="AZ173" i="40" s="1"/>
  <c r="AR174" i="40"/>
  <c r="AR176" i="40"/>
  <c r="AT176" i="40" s="1"/>
  <c r="AV172" i="40"/>
  <c r="AY172" i="40" s="1"/>
  <c r="AT175" i="40"/>
  <c r="AR175" i="40"/>
  <c r="AX176" i="40"/>
  <c r="BA176" i="40" s="1"/>
  <c r="AW176" i="40"/>
  <c r="AZ176" i="40" s="1"/>
  <c r="J175" i="40"/>
  <c r="AU175" i="40" s="1"/>
  <c r="AW175" i="40"/>
  <c r="AZ175" i="40" s="1"/>
  <c r="H146" i="40"/>
  <c r="AX122" i="40"/>
  <c r="BA122" i="40" s="1"/>
  <c r="AQ47" i="40"/>
  <c r="AR47" i="40" s="1"/>
  <c r="AT47" i="40" s="1"/>
  <c r="H36" i="40"/>
  <c r="AT2" i="40"/>
  <c r="AQ3" i="40"/>
  <c r="AQ7" i="40"/>
  <c r="AR7" i="40" s="1"/>
  <c r="AT7" i="40" s="1"/>
  <c r="H3" i="40"/>
  <c r="AX3" i="40" s="1"/>
  <c r="BA3" i="40" s="1"/>
  <c r="AU4" i="40"/>
  <c r="J6" i="40"/>
  <c r="AU6" i="40" s="1"/>
  <c r="AU3" i="40"/>
  <c r="J16" i="40"/>
  <c r="AU17" i="40" s="1"/>
  <c r="AU14" i="40"/>
  <c r="AU13" i="40"/>
  <c r="AQ6" i="40"/>
  <c r="AQ16" i="40"/>
  <c r="AR16" i="40" s="1"/>
  <c r="AT16" i="40" s="1"/>
  <c r="H17" i="40"/>
  <c r="H13" i="40"/>
  <c r="AX13" i="40" s="1"/>
  <c r="BA13" i="40" s="1"/>
  <c r="AT22" i="40"/>
  <c r="AV22" i="40" s="1"/>
  <c r="AY22" i="40" s="1"/>
  <c r="AQ23" i="40"/>
  <c r="AR23" i="40" s="1"/>
  <c r="AT23" i="40" s="1"/>
  <c r="H26" i="40"/>
  <c r="H43" i="40"/>
  <c r="AX43" i="40" s="1"/>
  <c r="BA43" i="40" s="1"/>
  <c r="H53" i="40"/>
  <c r="H63" i="40"/>
  <c r="AW63" i="40" s="1"/>
  <c r="AZ63" i="40" s="1"/>
  <c r="AQ93" i="40"/>
  <c r="H97" i="40"/>
  <c r="AW97" i="40" s="1"/>
  <c r="AZ97" i="40" s="1"/>
  <c r="AQ113" i="40"/>
  <c r="AQ115" i="40"/>
  <c r="AR115" i="40" s="1"/>
  <c r="AT115" i="40" s="1"/>
  <c r="H117" i="40"/>
  <c r="AW117" i="40" s="1"/>
  <c r="AZ117" i="40" s="1"/>
  <c r="AQ143" i="40"/>
  <c r="AQ146" i="40"/>
  <c r="AR146" i="40" s="1"/>
  <c r="AT146" i="40" s="1"/>
  <c r="H4" i="40"/>
  <c r="AW4" i="40" s="1"/>
  <c r="AZ4" i="40" s="1"/>
  <c r="H37" i="40"/>
  <c r="AT42" i="40"/>
  <c r="AV42" i="40" s="1"/>
  <c r="AY42" i="40" s="1"/>
  <c r="AT52" i="40"/>
  <c r="AV52" i="40" s="1"/>
  <c r="AY52" i="40" s="1"/>
  <c r="AT62" i="40"/>
  <c r="AV62" i="40" s="1"/>
  <c r="AY62" i="40" s="1"/>
  <c r="AT72" i="40"/>
  <c r="AV72" i="40" s="1"/>
  <c r="AY72" i="40" s="1"/>
  <c r="AQ97" i="40"/>
  <c r="AR97" i="40" s="1"/>
  <c r="AT97" i="40" s="1"/>
  <c r="H94" i="40"/>
  <c r="H107" i="40"/>
  <c r="AQ117" i="40"/>
  <c r="H123" i="40"/>
  <c r="AX123" i="40" s="1"/>
  <c r="BA123" i="40" s="1"/>
  <c r="AQ133" i="40"/>
  <c r="AR133" i="40" s="1"/>
  <c r="AT133" i="40" s="1"/>
  <c r="AQ144" i="40"/>
  <c r="AR144" i="40" s="1"/>
  <c r="AT144" i="40" s="1"/>
  <c r="H133" i="40"/>
  <c r="AW133" i="40" s="1"/>
  <c r="AZ133" i="40" s="1"/>
  <c r="AQ157" i="40"/>
  <c r="AR157" i="40" s="1"/>
  <c r="AT157" i="40" s="1"/>
  <c r="AQ4" i="40"/>
  <c r="AR4" i="40" s="1"/>
  <c r="AT4" i="40" s="1"/>
  <c r="AV4" i="40" s="1"/>
  <c r="AY4" i="40" s="1"/>
  <c r="H6" i="40"/>
  <c r="H27" i="40"/>
  <c r="AW27" i="40" s="1"/>
  <c r="AZ27" i="40" s="1"/>
  <c r="H44" i="40"/>
  <c r="AX44" i="40" s="1"/>
  <c r="BA44" i="40" s="1"/>
  <c r="H64" i="40"/>
  <c r="H74" i="40"/>
  <c r="H76" i="40"/>
  <c r="AT82" i="40"/>
  <c r="AV82" i="40" s="1"/>
  <c r="AY82" i="40" s="1"/>
  <c r="H86" i="40"/>
  <c r="AT102" i="40"/>
  <c r="H106" i="40"/>
  <c r="AW106" i="40" s="1"/>
  <c r="AZ106" i="40" s="1"/>
  <c r="AV112" i="40"/>
  <c r="AY112" i="40" s="1"/>
  <c r="H113" i="40"/>
  <c r="H127" i="40"/>
  <c r="AW127" i="40" s="1"/>
  <c r="AZ127" i="40" s="1"/>
  <c r="AT162" i="40"/>
  <c r="AV162" i="40" s="1"/>
  <c r="AY162" i="40" s="1"/>
  <c r="AQ163" i="40"/>
  <c r="AR163" i="40" s="1"/>
  <c r="AT163" i="40" s="1"/>
  <c r="H153" i="40"/>
  <c r="AW153" i="40" s="1"/>
  <c r="AZ153" i="40" s="1"/>
  <c r="H163" i="40"/>
  <c r="AW163" i="40" s="1"/>
  <c r="AZ163" i="40" s="1"/>
  <c r="AQ164" i="40"/>
  <c r="AQ166" i="40"/>
  <c r="AX162" i="40"/>
  <c r="BA162" i="40" s="1"/>
  <c r="AR164" i="40"/>
  <c r="AT164" i="40" s="1"/>
  <c r="AX164" i="40"/>
  <c r="BA164" i="40" s="1"/>
  <c r="AW164" i="40"/>
  <c r="AZ164" i="40" s="1"/>
  <c r="AW166" i="40"/>
  <c r="AZ166" i="40" s="1"/>
  <c r="AX166" i="40"/>
  <c r="BA166" i="40" s="1"/>
  <c r="AW167" i="40"/>
  <c r="AZ167" i="40" s="1"/>
  <c r="AX167" i="40"/>
  <c r="BA167" i="40" s="1"/>
  <c r="AU164" i="40"/>
  <c r="AU163" i="40"/>
  <c r="AX165" i="40"/>
  <c r="BA165" i="40" s="1"/>
  <c r="AW165" i="40"/>
  <c r="AZ165" i="40" s="1"/>
  <c r="AQ165" i="40"/>
  <c r="AX152" i="40"/>
  <c r="BA152" i="40" s="1"/>
  <c r="AQ156" i="40"/>
  <c r="AR156" i="40" s="1"/>
  <c r="AT156" i="40" s="1"/>
  <c r="AQ154" i="40"/>
  <c r="AU154" i="40"/>
  <c r="J156" i="40"/>
  <c r="AU153" i="40"/>
  <c r="AR153" i="40"/>
  <c r="AT153" i="40" s="1"/>
  <c r="AX154" i="40"/>
  <c r="BA154" i="40" s="1"/>
  <c r="AW154" i="40"/>
  <c r="AZ154" i="40" s="1"/>
  <c r="AR155" i="40"/>
  <c r="AT155" i="40" s="1"/>
  <c r="AW156" i="40"/>
  <c r="AZ156" i="40" s="1"/>
  <c r="AX156" i="40"/>
  <c r="BA156" i="40" s="1"/>
  <c r="AW157" i="40"/>
  <c r="AZ157" i="40" s="1"/>
  <c r="AX157" i="40"/>
  <c r="BA157" i="40" s="1"/>
  <c r="AR154" i="40"/>
  <c r="AT154" i="40" s="1"/>
  <c r="AX155" i="40"/>
  <c r="BA155" i="40" s="1"/>
  <c r="AW155" i="40"/>
  <c r="AZ155" i="40" s="1"/>
  <c r="AV152" i="40"/>
  <c r="AY152" i="40" s="1"/>
  <c r="J155" i="40"/>
  <c r="AU155" i="40" s="1"/>
  <c r="AX142" i="40"/>
  <c r="BA142" i="40" s="1"/>
  <c r="H144" i="40"/>
  <c r="AX144" i="40" s="1"/>
  <c r="BA144" i="40" s="1"/>
  <c r="H143" i="40"/>
  <c r="AX143" i="40" s="1"/>
  <c r="BA143" i="40" s="1"/>
  <c r="AU144" i="40"/>
  <c r="J146" i="40"/>
  <c r="AU143" i="40"/>
  <c r="AR143" i="40"/>
  <c r="AT143" i="40" s="1"/>
  <c r="AW146" i="40"/>
  <c r="AZ146" i="40" s="1"/>
  <c r="AX146" i="40"/>
  <c r="BA146" i="40" s="1"/>
  <c r="AW147" i="40"/>
  <c r="AZ147" i="40" s="1"/>
  <c r="AX147" i="40"/>
  <c r="BA147" i="40" s="1"/>
  <c r="AX145" i="40"/>
  <c r="BA145" i="40" s="1"/>
  <c r="AW145" i="40"/>
  <c r="AZ145" i="40" s="1"/>
  <c r="AV142" i="40"/>
  <c r="AY142" i="40" s="1"/>
  <c r="AQ145" i="40"/>
  <c r="AQ134" i="40"/>
  <c r="AR134" i="40" s="1"/>
  <c r="AT134" i="40" s="1"/>
  <c r="AQ136" i="40"/>
  <c r="AR136" i="40" s="1"/>
  <c r="AT136" i="40" s="1"/>
  <c r="AX132" i="40"/>
  <c r="BA132" i="40" s="1"/>
  <c r="J136" i="40"/>
  <c r="AU133" i="40"/>
  <c r="AU134" i="40"/>
  <c r="AW134" i="40"/>
  <c r="AZ134" i="40" s="1"/>
  <c r="AX134" i="40"/>
  <c r="BA134" i="40" s="1"/>
  <c r="AW136" i="40"/>
  <c r="AZ136" i="40" s="1"/>
  <c r="AX136" i="40"/>
  <c r="BA136" i="40" s="1"/>
  <c r="AW137" i="40"/>
  <c r="AZ137" i="40" s="1"/>
  <c r="AX137" i="40"/>
  <c r="BA137" i="40" s="1"/>
  <c r="AX133" i="40"/>
  <c r="BA133" i="40" s="1"/>
  <c r="AX135" i="40"/>
  <c r="BA135" i="40" s="1"/>
  <c r="AW135" i="40"/>
  <c r="AZ135" i="40" s="1"/>
  <c r="AV132" i="40"/>
  <c r="AY132" i="40" s="1"/>
  <c r="AQ135" i="40"/>
  <c r="H124" i="40"/>
  <c r="H126" i="40"/>
  <c r="AX126" i="40" s="1"/>
  <c r="BA126" i="40" s="1"/>
  <c r="AV122" i="40"/>
  <c r="AY122" i="40" s="1"/>
  <c r="AQ126" i="40"/>
  <c r="AQ124" i="40"/>
  <c r="AR124" i="40" s="1"/>
  <c r="AQ127" i="40"/>
  <c r="AR127" i="40" s="1"/>
  <c r="AX125" i="40"/>
  <c r="BA125" i="40" s="1"/>
  <c r="AW125" i="40"/>
  <c r="AZ125" i="40" s="1"/>
  <c r="AU124" i="40"/>
  <c r="J126" i="40"/>
  <c r="AU123" i="40"/>
  <c r="AR123" i="40"/>
  <c r="AT123" i="40" s="1"/>
  <c r="AX124" i="40"/>
  <c r="BA124" i="40" s="1"/>
  <c r="AW124" i="40"/>
  <c r="AZ124" i="40" s="1"/>
  <c r="AX127" i="40"/>
  <c r="BA127" i="40" s="1"/>
  <c r="AQ125" i="40"/>
  <c r="AQ114" i="40"/>
  <c r="AR114" i="40" s="1"/>
  <c r="AT114" i="40" s="1"/>
  <c r="AQ116" i="40"/>
  <c r="AX112" i="40"/>
  <c r="BA112" i="40" s="1"/>
  <c r="H114" i="40"/>
  <c r="AW114" i="40" s="1"/>
  <c r="AZ114" i="40" s="1"/>
  <c r="H116" i="40"/>
  <c r="AW116" i="40" s="1"/>
  <c r="AZ116" i="40" s="1"/>
  <c r="AU113" i="40"/>
  <c r="AU114" i="40"/>
  <c r="J116" i="40"/>
  <c r="AX113" i="40"/>
  <c r="BA113" i="40" s="1"/>
  <c r="AW113" i="40"/>
  <c r="AZ113" i="40" s="1"/>
  <c r="AR117" i="40"/>
  <c r="AT117" i="40" s="1"/>
  <c r="AX115" i="40"/>
  <c r="BA115" i="40" s="1"/>
  <c r="AW115" i="40"/>
  <c r="AZ115" i="40" s="1"/>
  <c r="AR116" i="40"/>
  <c r="AT116" i="40" s="1"/>
  <c r="AR113" i="40"/>
  <c r="AT113" i="40" s="1"/>
  <c r="AX114" i="40"/>
  <c r="BA114" i="40" s="1"/>
  <c r="AX117" i="40"/>
  <c r="BA117" i="40" s="1"/>
  <c r="J115" i="40"/>
  <c r="AU115" i="40" s="1"/>
  <c r="AQ106" i="40"/>
  <c r="AQ104" i="40"/>
  <c r="AX102" i="40"/>
  <c r="BA102" i="40" s="1"/>
  <c r="H103" i="40"/>
  <c r="AW103" i="40" s="1"/>
  <c r="AZ103" i="40" s="1"/>
  <c r="AU104" i="40"/>
  <c r="J106" i="40"/>
  <c r="AU103" i="40"/>
  <c r="AR104" i="40"/>
  <c r="AT104" i="40" s="1"/>
  <c r="AX105" i="40"/>
  <c r="BA105" i="40" s="1"/>
  <c r="AW105" i="40"/>
  <c r="AZ105" i="40" s="1"/>
  <c r="AR106" i="40"/>
  <c r="AT106" i="40" s="1"/>
  <c r="AR103" i="40"/>
  <c r="AT103" i="40" s="1"/>
  <c r="AX104" i="40"/>
  <c r="BA104" i="40" s="1"/>
  <c r="AW104" i="40"/>
  <c r="AZ104" i="40" s="1"/>
  <c r="AW107" i="40"/>
  <c r="AZ107" i="40" s="1"/>
  <c r="AX107" i="40"/>
  <c r="BA107" i="40" s="1"/>
  <c r="AV102" i="40"/>
  <c r="AY102" i="40" s="1"/>
  <c r="AQ105" i="40"/>
  <c r="AQ94" i="40"/>
  <c r="AQ96" i="40"/>
  <c r="AR96" i="40" s="1"/>
  <c r="AT96" i="40" s="1"/>
  <c r="AX92" i="40"/>
  <c r="BA92" i="40" s="1"/>
  <c r="H93" i="40"/>
  <c r="AW93" i="40" s="1"/>
  <c r="AZ93" i="40" s="1"/>
  <c r="AX95" i="40"/>
  <c r="BA95" i="40" s="1"/>
  <c r="AW95" i="40"/>
  <c r="AZ95" i="40" s="1"/>
  <c r="AR93" i="40"/>
  <c r="AT93" i="40" s="1"/>
  <c r="AW94" i="40"/>
  <c r="AZ94" i="40" s="1"/>
  <c r="AX94" i="40"/>
  <c r="BA94" i="40" s="1"/>
  <c r="AR95" i="40"/>
  <c r="AT95" i="40" s="1"/>
  <c r="AX96" i="40"/>
  <c r="BA96" i="40" s="1"/>
  <c r="AW96" i="40"/>
  <c r="AZ96" i="40" s="1"/>
  <c r="J96" i="40"/>
  <c r="AU94" i="40"/>
  <c r="AU93" i="40"/>
  <c r="AV92" i="40"/>
  <c r="AY92" i="40" s="1"/>
  <c r="J95" i="40"/>
  <c r="AU95" i="40" s="1"/>
  <c r="H87" i="40"/>
  <c r="AW87" i="40" s="1"/>
  <c r="AZ87" i="40" s="1"/>
  <c r="AX82" i="40"/>
  <c r="BA82" i="40" s="1"/>
  <c r="H83" i="40"/>
  <c r="AQ86" i="40"/>
  <c r="AR86" i="40" s="1"/>
  <c r="AT86" i="40" s="1"/>
  <c r="AQ84" i="40"/>
  <c r="AX83" i="40"/>
  <c r="BA83" i="40" s="1"/>
  <c r="AW83" i="40"/>
  <c r="AZ83" i="40" s="1"/>
  <c r="AR87" i="40"/>
  <c r="AT87" i="40" s="1"/>
  <c r="AR84" i="40"/>
  <c r="AX85" i="40"/>
  <c r="BA85" i="40" s="1"/>
  <c r="AW85" i="40"/>
  <c r="AZ85" i="40" s="1"/>
  <c r="AU84" i="40"/>
  <c r="J86" i="40"/>
  <c r="AU83" i="40"/>
  <c r="AR83" i="40"/>
  <c r="AT83" i="40" s="1"/>
  <c r="AX84" i="40"/>
  <c r="BA84" i="40" s="1"/>
  <c r="AW84" i="40"/>
  <c r="AZ84" i="40" s="1"/>
  <c r="AX86" i="40"/>
  <c r="BA86" i="40" s="1"/>
  <c r="AW86" i="40"/>
  <c r="AZ86" i="40" s="1"/>
  <c r="AQ85" i="40"/>
  <c r="AQ74" i="40"/>
  <c r="AR74" i="40" s="1"/>
  <c r="AT74" i="40" s="1"/>
  <c r="AQ76" i="40"/>
  <c r="AX72" i="40"/>
  <c r="BA72" i="40" s="1"/>
  <c r="AU74" i="40"/>
  <c r="J76" i="40"/>
  <c r="AU73" i="40"/>
  <c r="AR73" i="40"/>
  <c r="AT73" i="40" s="1"/>
  <c r="AW74" i="40"/>
  <c r="AZ74" i="40" s="1"/>
  <c r="AX74" i="40"/>
  <c r="BA74" i="40" s="1"/>
  <c r="AX76" i="40"/>
  <c r="BA76" i="40" s="1"/>
  <c r="AW76" i="40"/>
  <c r="AZ76" i="40" s="1"/>
  <c r="AW77" i="40"/>
  <c r="AZ77" i="40" s="1"/>
  <c r="AX77" i="40"/>
  <c r="BA77" i="40" s="1"/>
  <c r="AX73" i="40"/>
  <c r="BA73" i="40" s="1"/>
  <c r="AW73" i="40"/>
  <c r="AZ73" i="40" s="1"/>
  <c r="AX75" i="40"/>
  <c r="BA75" i="40" s="1"/>
  <c r="AW75" i="40"/>
  <c r="AZ75" i="40" s="1"/>
  <c r="AR76" i="40"/>
  <c r="AQ75" i="40"/>
  <c r="AQ64" i="40"/>
  <c r="AR64" i="40" s="1"/>
  <c r="AQ66" i="40"/>
  <c r="AR66" i="40" s="1"/>
  <c r="AT66" i="40" s="1"/>
  <c r="AX62" i="40"/>
  <c r="BA62" i="40" s="1"/>
  <c r="H66" i="40"/>
  <c r="AW66" i="40" s="1"/>
  <c r="AZ66" i="40" s="1"/>
  <c r="AX63" i="40"/>
  <c r="BA63" i="40" s="1"/>
  <c r="AR63" i="40"/>
  <c r="AT63" i="40" s="1"/>
  <c r="AW64" i="40"/>
  <c r="AZ64" i="40" s="1"/>
  <c r="AX64" i="40"/>
  <c r="BA64" i="40" s="1"/>
  <c r="AW67" i="40"/>
  <c r="AZ67" i="40" s="1"/>
  <c r="AX67" i="40"/>
  <c r="BA67" i="40" s="1"/>
  <c r="AU64" i="40"/>
  <c r="J66" i="40"/>
  <c r="AU63" i="40"/>
  <c r="AX65" i="40"/>
  <c r="BA65" i="40" s="1"/>
  <c r="AW65" i="40"/>
  <c r="AZ65" i="40" s="1"/>
  <c r="AQ65" i="40"/>
  <c r="AX52" i="40"/>
  <c r="BA52" i="40" s="1"/>
  <c r="H54" i="40"/>
  <c r="H56" i="40"/>
  <c r="AX56" i="40" s="1"/>
  <c r="BA56" i="40" s="1"/>
  <c r="AQ57" i="40"/>
  <c r="AQ54" i="40"/>
  <c r="AQ56" i="40"/>
  <c r="AR56" i="40" s="1"/>
  <c r="AT56" i="40" s="1"/>
  <c r="AU54" i="40"/>
  <c r="J56" i="40"/>
  <c r="AU53" i="40"/>
  <c r="AX53" i="40"/>
  <c r="BA53" i="40" s="1"/>
  <c r="AW53" i="40"/>
  <c r="AZ53" i="40" s="1"/>
  <c r="AR57" i="40"/>
  <c r="AT57" i="40" s="1"/>
  <c r="AR54" i="40"/>
  <c r="AT54" i="40"/>
  <c r="AX55" i="40"/>
  <c r="BA55" i="40" s="1"/>
  <c r="AW55" i="40"/>
  <c r="AZ55" i="40" s="1"/>
  <c r="AR53" i="40"/>
  <c r="AT53" i="40" s="1"/>
  <c r="AW54" i="40"/>
  <c r="AZ54" i="40" s="1"/>
  <c r="AX54" i="40"/>
  <c r="BA54" i="40" s="1"/>
  <c r="AR55" i="40"/>
  <c r="AT55" i="40" s="1"/>
  <c r="AW57" i="40"/>
  <c r="AZ57" i="40" s="1"/>
  <c r="AX57" i="40"/>
  <c r="BA57" i="40" s="1"/>
  <c r="J55" i="40"/>
  <c r="AU55" i="40" s="1"/>
  <c r="AT32" i="40"/>
  <c r="AV32" i="40" s="1"/>
  <c r="AY32" i="40" s="1"/>
  <c r="AX42" i="40"/>
  <c r="BA42" i="40" s="1"/>
  <c r="H46" i="40"/>
  <c r="AW46" i="40" s="1"/>
  <c r="AZ46" i="40" s="1"/>
  <c r="AQ44" i="40"/>
  <c r="AQ46" i="40"/>
  <c r="AW43" i="40"/>
  <c r="AZ43" i="40" s="1"/>
  <c r="AR43" i="40"/>
  <c r="AT43" i="40" s="1"/>
  <c r="AW47" i="40"/>
  <c r="AZ47" i="40" s="1"/>
  <c r="AX47" i="40"/>
  <c r="BA47" i="40" s="1"/>
  <c r="AU44" i="40"/>
  <c r="J46" i="40"/>
  <c r="AU43" i="40"/>
  <c r="AR44" i="40"/>
  <c r="AR46" i="40"/>
  <c r="AT46" i="40" s="1"/>
  <c r="AX46" i="40"/>
  <c r="BA46" i="40" s="1"/>
  <c r="AQ45" i="40"/>
  <c r="AW45" i="40"/>
  <c r="AZ45" i="40" s="1"/>
  <c r="AQ34" i="40"/>
  <c r="AQ37" i="40"/>
  <c r="AR37" i="40" s="1"/>
  <c r="AX32" i="40"/>
  <c r="BA32" i="40" s="1"/>
  <c r="H34" i="40"/>
  <c r="AR34" i="40"/>
  <c r="AT34" i="40"/>
  <c r="AU34" i="40"/>
  <c r="J36" i="40"/>
  <c r="AU33" i="40"/>
  <c r="AR36" i="40"/>
  <c r="AT36" i="40" s="1"/>
  <c r="AW37" i="40"/>
  <c r="AZ37" i="40" s="1"/>
  <c r="AX37" i="40"/>
  <c r="BA37" i="40" s="1"/>
  <c r="AX36" i="40"/>
  <c r="BA36" i="40" s="1"/>
  <c r="AW36" i="40"/>
  <c r="AZ36" i="40" s="1"/>
  <c r="AR33" i="40"/>
  <c r="AT33" i="40" s="1"/>
  <c r="AX34" i="40"/>
  <c r="BA34" i="40" s="1"/>
  <c r="AW34" i="40"/>
  <c r="AZ34" i="40" s="1"/>
  <c r="AQ35" i="40"/>
  <c r="AW33" i="40"/>
  <c r="AZ33" i="40" s="1"/>
  <c r="AW35" i="40"/>
  <c r="AZ35" i="40" s="1"/>
  <c r="AX22" i="40"/>
  <c r="BA22" i="40" s="1"/>
  <c r="H24" i="40"/>
  <c r="AX24" i="40" s="1"/>
  <c r="BA24" i="40" s="1"/>
  <c r="AQ24" i="40"/>
  <c r="AR24" i="40" s="1"/>
  <c r="AT24" i="40" s="1"/>
  <c r="AQ27" i="40"/>
  <c r="AR27" i="40" s="1"/>
  <c r="AT27" i="40" s="1"/>
  <c r="AX26" i="40"/>
  <c r="BA26" i="40" s="1"/>
  <c r="AW26" i="40"/>
  <c r="AZ26" i="40" s="1"/>
  <c r="AU24" i="40"/>
  <c r="J26" i="40"/>
  <c r="AU23" i="40"/>
  <c r="AR26" i="40"/>
  <c r="AT26" i="40" s="1"/>
  <c r="AX27" i="40"/>
  <c r="BA27" i="40" s="1"/>
  <c r="AQ25" i="40"/>
  <c r="AW23" i="40"/>
  <c r="AZ23" i="40" s="1"/>
  <c r="AW25" i="40"/>
  <c r="AZ25" i="40" s="1"/>
  <c r="AQ17" i="40"/>
  <c r="AR17" i="40" s="1"/>
  <c r="AT17" i="40" s="1"/>
  <c r="AQ14" i="40"/>
  <c r="AX14" i="40"/>
  <c r="BA14" i="40" s="1"/>
  <c r="AW14" i="40"/>
  <c r="AZ14" i="40" s="1"/>
  <c r="AX16" i="40"/>
  <c r="BA16" i="40" s="1"/>
  <c r="AW16" i="40"/>
  <c r="AZ16" i="40" s="1"/>
  <c r="AX15" i="40"/>
  <c r="BA15" i="40" s="1"/>
  <c r="AW15" i="40"/>
  <c r="AZ15" i="40" s="1"/>
  <c r="AR14" i="40"/>
  <c r="AT14" i="40" s="1"/>
  <c r="AV14" i="40" s="1"/>
  <c r="AY14" i="40" s="1"/>
  <c r="AW17" i="40"/>
  <c r="AZ17" i="40" s="1"/>
  <c r="AX17" i="40"/>
  <c r="BA17" i="40" s="1"/>
  <c r="AQ15" i="40"/>
  <c r="AT12" i="40"/>
  <c r="AV12" i="40" s="1"/>
  <c r="AY12" i="40" s="1"/>
  <c r="AX12" i="40"/>
  <c r="BA12" i="40" s="1"/>
  <c r="AR13" i="40"/>
  <c r="AT13" i="40" s="1"/>
  <c r="AV13" i="40" s="1"/>
  <c r="AY13" i="40" s="1"/>
  <c r="AW13" i="40"/>
  <c r="AZ13" i="40" s="1"/>
  <c r="AX4" i="40"/>
  <c r="BA4" i="40" s="1"/>
  <c r="AV2" i="40"/>
  <c r="AY2" i="40" s="1"/>
  <c r="AX6" i="40"/>
  <c r="BA6" i="40" s="1"/>
  <c r="AW6" i="40"/>
  <c r="AZ6" i="40" s="1"/>
  <c r="AW7" i="40"/>
  <c r="AZ7" i="40" s="1"/>
  <c r="AX7" i="40"/>
  <c r="BA7" i="40" s="1"/>
  <c r="AQ5" i="40"/>
  <c r="AX2" i="40"/>
  <c r="BA2" i="40" s="1"/>
  <c r="AR3" i="40"/>
  <c r="AT3" i="40" s="1"/>
  <c r="AV3" i="40" s="1"/>
  <c r="AY3" i="40" s="1"/>
  <c r="AU7" i="40"/>
  <c r="AW3" i="40"/>
  <c r="AZ3" i="40" s="1"/>
  <c r="AW5" i="40"/>
  <c r="AZ5" i="40" s="1"/>
  <c r="AX247" i="2"/>
  <c r="BA247" i="2" s="1"/>
  <c r="AW247" i="2"/>
  <c r="AZ247" i="2" s="1"/>
  <c r="AW249" i="2"/>
  <c r="AZ249" i="2" s="1"/>
  <c r="AY249" i="2"/>
  <c r="AX249" i="2"/>
  <c r="BA249" i="2" s="1"/>
  <c r="AW246" i="2"/>
  <c r="AZ246" i="2" s="1"/>
  <c r="AX246" i="2"/>
  <c r="BA246" i="2" s="1"/>
  <c r="AT247" i="2"/>
  <c r="AR247" i="2"/>
  <c r="AR245" i="2"/>
  <c r="AT245" i="2" s="1"/>
  <c r="AV245" i="2" s="1"/>
  <c r="AY245" i="2" s="1"/>
  <c r="AR246" i="2"/>
  <c r="AT246" i="2" s="1"/>
  <c r="AW248" i="2"/>
  <c r="AZ248" i="2" s="1"/>
  <c r="AX248" i="2"/>
  <c r="BA248" i="2" s="1"/>
  <c r="AR248" i="2"/>
  <c r="AT248" i="2" s="1"/>
  <c r="AV248" i="2" s="1"/>
  <c r="AY248" i="2" s="1"/>
  <c r="AR243" i="2"/>
  <c r="AT243" i="2" s="1"/>
  <c r="AV243" i="2" s="1"/>
  <c r="AW245" i="2"/>
  <c r="AZ245" i="2" s="1"/>
  <c r="AX245" i="2"/>
  <c r="BA245" i="2" s="1"/>
  <c r="AV247" i="2"/>
  <c r="AY247" i="2" s="1"/>
  <c r="AX244" i="2"/>
  <c r="BA244" i="2" s="1"/>
  <c r="AX242" i="2"/>
  <c r="BA242" i="2" s="1"/>
  <c r="J246" i="2"/>
  <c r="AU246" i="2" s="1"/>
  <c r="H243" i="2"/>
  <c r="AY244" i="2"/>
  <c r="AU249" i="2"/>
  <c r="AV249" i="2" s="1"/>
  <c r="AV205" i="40" l="1"/>
  <c r="AY205" i="40" s="1"/>
  <c r="AV204" i="40"/>
  <c r="AY204" i="40" s="1"/>
  <c r="AV203" i="40"/>
  <c r="AY203" i="40" s="1"/>
  <c r="AU206" i="40"/>
  <c r="AV206" i="40" s="1"/>
  <c r="AY206" i="40" s="1"/>
  <c r="AU207" i="40"/>
  <c r="AV207" i="40" s="1"/>
  <c r="AY207" i="40" s="1"/>
  <c r="AT196" i="40"/>
  <c r="AR195" i="40"/>
  <c r="AT195" i="40" s="1"/>
  <c r="AV195" i="40" s="1"/>
  <c r="AY195" i="40" s="1"/>
  <c r="AV193" i="40"/>
  <c r="AY193" i="40" s="1"/>
  <c r="AU196" i="40"/>
  <c r="AV196" i="40" s="1"/>
  <c r="AY196" i="40" s="1"/>
  <c r="AU197" i="40"/>
  <c r="AV197" i="40" s="1"/>
  <c r="AY197" i="40" s="1"/>
  <c r="AV185" i="40"/>
  <c r="AY185" i="40" s="1"/>
  <c r="AV184" i="40"/>
  <c r="AY184" i="40" s="1"/>
  <c r="AU186" i="40"/>
  <c r="AV186" i="40" s="1"/>
  <c r="AY186" i="40" s="1"/>
  <c r="AU187" i="40"/>
  <c r="AV187" i="40" s="1"/>
  <c r="AY187" i="40" s="1"/>
  <c r="AV183" i="40"/>
  <c r="AY183" i="40" s="1"/>
  <c r="AV173" i="40"/>
  <c r="AY173" i="40" s="1"/>
  <c r="AU176" i="40"/>
  <c r="AV176" i="40" s="1"/>
  <c r="AY176" i="40" s="1"/>
  <c r="AU177" i="40"/>
  <c r="AV177" i="40" s="1"/>
  <c r="AY177" i="40" s="1"/>
  <c r="AV175" i="40"/>
  <c r="AY175" i="40" s="1"/>
  <c r="AV174" i="40"/>
  <c r="AY174" i="40" s="1"/>
  <c r="AX163" i="40"/>
  <c r="BA163" i="40" s="1"/>
  <c r="AX153" i="40"/>
  <c r="BA153" i="40" s="1"/>
  <c r="AW126" i="40"/>
  <c r="AZ126" i="40" s="1"/>
  <c r="AX103" i="40"/>
  <c r="BA103" i="40" s="1"/>
  <c r="AX106" i="40"/>
  <c r="BA106" i="40" s="1"/>
  <c r="AR94" i="40"/>
  <c r="AT94" i="40" s="1"/>
  <c r="AV94" i="40" s="1"/>
  <c r="AY94" i="40" s="1"/>
  <c r="AT64" i="40"/>
  <c r="AX66" i="40"/>
  <c r="BA66" i="40" s="1"/>
  <c r="AT44" i="40"/>
  <c r="AU16" i="40"/>
  <c r="AV16" i="40" s="1"/>
  <c r="AY16" i="40" s="1"/>
  <c r="AV7" i="40"/>
  <c r="AY7" i="40" s="1"/>
  <c r="AR126" i="40"/>
  <c r="AT126" i="40" s="1"/>
  <c r="AR6" i="40"/>
  <c r="AT6" i="40" s="1"/>
  <c r="AV6" i="40" s="1"/>
  <c r="AY6" i="40" s="1"/>
  <c r="AW44" i="40"/>
  <c r="AZ44" i="40" s="1"/>
  <c r="AX87" i="40"/>
  <c r="BA87" i="40" s="1"/>
  <c r="AX97" i="40"/>
  <c r="BA97" i="40" s="1"/>
  <c r="AX116" i="40"/>
  <c r="BA116" i="40" s="1"/>
  <c r="AW123" i="40"/>
  <c r="AZ123" i="40" s="1"/>
  <c r="AT76" i="40"/>
  <c r="AT84" i="40"/>
  <c r="AV84" i="40" s="1"/>
  <c r="AY84" i="40" s="1"/>
  <c r="AX93" i="40"/>
  <c r="BA93" i="40" s="1"/>
  <c r="AR166" i="40"/>
  <c r="AT166" i="40" s="1"/>
  <c r="AV164" i="40"/>
  <c r="AY164" i="40" s="1"/>
  <c r="AR165" i="40"/>
  <c r="AT165" i="40" s="1"/>
  <c r="AV165" i="40" s="1"/>
  <c r="AY165" i="40" s="1"/>
  <c r="AV163" i="40"/>
  <c r="AY163" i="40" s="1"/>
  <c r="AU166" i="40"/>
  <c r="AU167" i="40"/>
  <c r="AV167" i="40" s="1"/>
  <c r="AY167" i="40" s="1"/>
  <c r="AV155" i="40"/>
  <c r="AY155" i="40" s="1"/>
  <c r="AV153" i="40"/>
  <c r="AY153" i="40" s="1"/>
  <c r="AU156" i="40"/>
  <c r="AV156" i="40" s="1"/>
  <c r="AY156" i="40" s="1"/>
  <c r="AU157" i="40"/>
  <c r="AV157" i="40" s="1"/>
  <c r="AY157" i="40" s="1"/>
  <c r="AV154" i="40"/>
  <c r="AY154" i="40" s="1"/>
  <c r="AW143" i="40"/>
  <c r="AZ143" i="40" s="1"/>
  <c r="AW144" i="40"/>
  <c r="AZ144" i="40" s="1"/>
  <c r="AU146" i="40"/>
  <c r="AV146" i="40" s="1"/>
  <c r="AY146" i="40" s="1"/>
  <c r="AU147" i="40"/>
  <c r="AV147" i="40" s="1"/>
  <c r="AY147" i="40" s="1"/>
  <c r="AR145" i="40"/>
  <c r="AT145" i="40" s="1"/>
  <c r="AV145" i="40" s="1"/>
  <c r="AY145" i="40" s="1"/>
  <c r="AV143" i="40"/>
  <c r="AY143" i="40" s="1"/>
  <c r="AV144" i="40"/>
  <c r="AY144" i="40" s="1"/>
  <c r="AR135" i="40"/>
  <c r="AT135" i="40" s="1"/>
  <c r="AV135" i="40" s="1"/>
  <c r="AY135" i="40" s="1"/>
  <c r="AV133" i="40"/>
  <c r="AY133" i="40" s="1"/>
  <c r="AV134" i="40"/>
  <c r="AY134" i="40" s="1"/>
  <c r="AU136" i="40"/>
  <c r="AV136" i="40" s="1"/>
  <c r="AY136" i="40" s="1"/>
  <c r="AU137" i="40"/>
  <c r="AV137" i="40" s="1"/>
  <c r="AY137" i="40" s="1"/>
  <c r="AT127" i="40"/>
  <c r="AT124" i="40"/>
  <c r="AV124" i="40" s="1"/>
  <c r="AY124" i="40" s="1"/>
  <c r="AU126" i="40"/>
  <c r="AU127" i="40"/>
  <c r="AR125" i="40"/>
  <c r="AT125" i="40" s="1"/>
  <c r="AV125" i="40" s="1"/>
  <c r="AY125" i="40" s="1"/>
  <c r="AV123" i="40"/>
  <c r="AY123" i="40" s="1"/>
  <c r="AU116" i="40"/>
  <c r="AV116" i="40" s="1"/>
  <c r="AY116" i="40" s="1"/>
  <c r="AU117" i="40"/>
  <c r="AV117" i="40" s="1"/>
  <c r="AY117" i="40" s="1"/>
  <c r="AV114" i="40"/>
  <c r="AY114" i="40" s="1"/>
  <c r="AV115" i="40"/>
  <c r="AY115" i="40" s="1"/>
  <c r="AV113" i="40"/>
  <c r="AY113" i="40" s="1"/>
  <c r="AR105" i="40"/>
  <c r="AT105" i="40" s="1"/>
  <c r="AV105" i="40" s="1"/>
  <c r="AY105" i="40" s="1"/>
  <c r="AV103" i="40"/>
  <c r="AY103" i="40" s="1"/>
  <c r="AU106" i="40"/>
  <c r="AV106" i="40" s="1"/>
  <c r="AY106" i="40" s="1"/>
  <c r="AU107" i="40"/>
  <c r="AV107" i="40" s="1"/>
  <c r="AY107" i="40" s="1"/>
  <c r="AV104" i="40"/>
  <c r="AY104" i="40" s="1"/>
  <c r="AV95" i="40"/>
  <c r="AY95" i="40" s="1"/>
  <c r="AU96" i="40"/>
  <c r="AV96" i="40" s="1"/>
  <c r="AY96" i="40" s="1"/>
  <c r="AU97" i="40"/>
  <c r="AV97" i="40" s="1"/>
  <c r="AY97" i="40" s="1"/>
  <c r="AV93" i="40"/>
  <c r="AY93" i="40" s="1"/>
  <c r="AR85" i="40"/>
  <c r="AT85" i="40" s="1"/>
  <c r="AV85" i="40" s="1"/>
  <c r="AY85" i="40" s="1"/>
  <c r="AU86" i="40"/>
  <c r="AV86" i="40" s="1"/>
  <c r="AY86" i="40" s="1"/>
  <c r="AU87" i="40"/>
  <c r="AV87" i="40" s="1"/>
  <c r="AY87" i="40" s="1"/>
  <c r="AV83" i="40"/>
  <c r="AY83" i="40" s="1"/>
  <c r="AR75" i="40"/>
  <c r="AT75" i="40" s="1"/>
  <c r="AV75" i="40" s="1"/>
  <c r="AY75" i="40" s="1"/>
  <c r="AU76" i="40"/>
  <c r="AU77" i="40"/>
  <c r="AV77" i="40" s="1"/>
  <c r="AY77" i="40" s="1"/>
  <c r="AV73" i="40"/>
  <c r="AY73" i="40" s="1"/>
  <c r="AV74" i="40"/>
  <c r="AY74" i="40" s="1"/>
  <c r="AV64" i="40"/>
  <c r="AY64" i="40" s="1"/>
  <c r="AR65" i="40"/>
  <c r="AT65" i="40" s="1"/>
  <c r="AV65" i="40" s="1"/>
  <c r="AY65" i="40" s="1"/>
  <c r="AV63" i="40"/>
  <c r="AY63" i="40" s="1"/>
  <c r="AU66" i="40"/>
  <c r="AV66" i="40" s="1"/>
  <c r="AY66" i="40" s="1"/>
  <c r="AU67" i="40"/>
  <c r="AV67" i="40" s="1"/>
  <c r="AY67" i="40" s="1"/>
  <c r="AW56" i="40"/>
  <c r="AZ56" i="40" s="1"/>
  <c r="AU56" i="40"/>
  <c r="AV56" i="40" s="1"/>
  <c r="AY56" i="40" s="1"/>
  <c r="AU57" i="40"/>
  <c r="AV57" i="40" s="1"/>
  <c r="AY57" i="40" s="1"/>
  <c r="AV53" i="40"/>
  <c r="AY53" i="40" s="1"/>
  <c r="AV55" i="40"/>
  <c r="AY55" i="40" s="1"/>
  <c r="AV54" i="40"/>
  <c r="AY54" i="40" s="1"/>
  <c r="AV44" i="40"/>
  <c r="AY44" i="40" s="1"/>
  <c r="AV43" i="40"/>
  <c r="AY43" i="40" s="1"/>
  <c r="AR45" i="40"/>
  <c r="AT45" i="40" s="1"/>
  <c r="AV45" i="40" s="1"/>
  <c r="AY45" i="40" s="1"/>
  <c r="AU46" i="40"/>
  <c r="AV46" i="40" s="1"/>
  <c r="AY46" i="40" s="1"/>
  <c r="AU47" i="40"/>
  <c r="AV47" i="40" s="1"/>
  <c r="AY47" i="40" s="1"/>
  <c r="AT37" i="40"/>
  <c r="AV33" i="40"/>
  <c r="AY33" i="40" s="1"/>
  <c r="AR35" i="40"/>
  <c r="AT35" i="40" s="1"/>
  <c r="AV35" i="40" s="1"/>
  <c r="AY35" i="40" s="1"/>
  <c r="AU36" i="40"/>
  <c r="AV36" i="40" s="1"/>
  <c r="AY36" i="40" s="1"/>
  <c r="AU37" i="40"/>
  <c r="AV37" i="40" s="1"/>
  <c r="AY37" i="40" s="1"/>
  <c r="AV34" i="40"/>
  <c r="AY34" i="40" s="1"/>
  <c r="AW24" i="40"/>
  <c r="AZ24" i="40" s="1"/>
  <c r="AU26" i="40"/>
  <c r="AV26" i="40" s="1"/>
  <c r="AY26" i="40" s="1"/>
  <c r="AU27" i="40"/>
  <c r="AV27" i="40" s="1"/>
  <c r="AY27" i="40" s="1"/>
  <c r="AV23" i="40"/>
  <c r="AY23" i="40" s="1"/>
  <c r="AR25" i="40"/>
  <c r="AT25" i="40" s="1"/>
  <c r="AV25" i="40" s="1"/>
  <c r="AY25" i="40" s="1"/>
  <c r="AV24" i="40"/>
  <c r="AY24" i="40" s="1"/>
  <c r="AV17" i="40"/>
  <c r="AY17" i="40" s="1"/>
  <c r="AR15" i="40"/>
  <c r="AT15" i="40" s="1"/>
  <c r="AV15" i="40" s="1"/>
  <c r="AY15" i="40" s="1"/>
  <c r="AR5" i="40"/>
  <c r="AT5" i="40" s="1"/>
  <c r="AV5" i="40" s="1"/>
  <c r="AY5" i="40" s="1"/>
  <c r="AV246" i="2"/>
  <c r="AY246" i="2" s="1"/>
  <c r="AX243" i="2"/>
  <c r="BA243" i="2" s="1"/>
  <c r="AW243" i="2"/>
  <c r="AZ243" i="2" s="1"/>
  <c r="AY243" i="2"/>
  <c r="U4" i="24"/>
  <c r="I3" i="24"/>
  <c r="E3" i="24" s="1"/>
  <c r="AV76" i="40" l="1"/>
  <c r="AY76" i="40" s="1"/>
  <c r="AV126" i="40"/>
  <c r="AY126" i="40" s="1"/>
  <c r="AV166" i="40"/>
  <c r="AY166" i="40" s="1"/>
  <c r="AV127" i="40"/>
  <c r="AY127" i="40" s="1"/>
  <c r="U3" i="24"/>
  <c r="J166" i="2" l="1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R155" i="2" l="1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V157" i="2" l="1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W124" i="2" l="1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<sst xmlns="http://schemas.openxmlformats.org/spreadsheetml/2006/main" count="7412" uniqueCount="695">
  <si>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</si>
  <si>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</si>
  <si>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</si>
  <si>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</si>
  <si>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</si>
  <si>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</si>
  <si>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</si>
  <si>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</si>
  <si>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</si>
  <si>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</si>
  <si>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</si>
  <si>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</si>
  <si>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</si>
  <si>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</si>
  <si>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</si>
  <si>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</si>
  <si>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</si>
  <si>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</si>
  <si>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</si>
  <si>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</si>
  <si>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</si>
  <si>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</si>
  <si>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</si>
  <si>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</si>
  <si>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</si>
  <si>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</si>
  <si>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</si>
  <si>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</si>
  <si>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</si>
  <si>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</si>
  <si>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</si>
  <si>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</si>
  <si>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</si>
  <si>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</si>
  <si>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</si>
  <si>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</si>
  <si>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</si>
  <si>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</si>
  <si>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</si>
  <si>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</si>
  <si>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</si>
  <si>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</si>
  <si>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</si>
  <si>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</si>
  <si>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</si>
  <si>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</si>
  <si>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</si>
  <si>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</si>
  <si>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</si>
  <si>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</si>
  <si>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</si>
  <si>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</si>
  <si>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</si>
  <si>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</si>
  <si>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</si>
  <si>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</si>
  <si>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</si>
  <si>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</si>
  <si>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</si>
  <si>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</si>
  <si>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</si>
  <si>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</si>
  <si>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</si>
  <si>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</si>
  <si>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</si>
  <si>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</si>
  <si>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</si>
  <si>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</si>
  <si>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</si>
  <si>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</si>
  <si>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</si>
  <si>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</si>
  <si>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</si>
  <si>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</si>
  <si>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</si>
  <si>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</si>
  <si>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</si>
  <si>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</si>
  <si>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</si>
  <si>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</si>
  <si>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</si>
  <si>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</si>
  <si>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</si>
  <si>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</si>
  <si>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</si>
  <si>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</si>
  <si>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</si>
  <si>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</si>
  <si>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</si>
  <si>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</si>
  <si>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</si>
  <si>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</si>
  <si>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</si>
  <si>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</si>
  <si>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</si>
  <si>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</si>
  <si>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</si>
  <si>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</si>
  <si>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</si>
  <si>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</si>
  <si>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</si>
  <si>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</si>
  <si>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</si>
  <si>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</si>
  <si>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</si>
  <si>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</si>
  <si>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</si>
  <si>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</si>
  <si>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</si>
  <si>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</si>
  <si>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</si>
  <si>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</si>
  <si>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</si>
  <si>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</si>
  <si>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</si>
  <si>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</si>
  <si>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</si>
  <si>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</si>
  <si>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</si>
  <si>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</si>
  <si>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</si>
  <si>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</si>
  <si>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</si>
  <si>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</si>
  <si>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</si>
  <si>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</si>
  <si>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</si>
  <si>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</si>
  <si>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</si>
  <si>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</si>
  <si>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</si>
  <si>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</si>
  <si>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</si>
  <si>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</si>
  <si>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</si>
  <si>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</si>
  <si>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</si>
  <si>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</si>
  <si>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</si>
  <si>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</si>
  <si>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</si>
  <si>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</si>
  <si>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</si>
  <si>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</si>
  <si>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</si>
  <si>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</si>
  <si>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</si>
  <si>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</si>
  <si>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</si>
  <si>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</si>
  <si>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</si>
  <si>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</si>
  <si>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</si>
  <si>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</si>
  <si>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</si>
  <si>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</si>
  <si>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</si>
  <si>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</si>
  <si>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</si>
  <si>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</si>
  <si>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</si>
  <si>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</si>
  <si>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</si>
  <si>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</si>
  <si>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</si>
  <si>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</si>
  <si>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</si>
  <si>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</si>
  <si>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</si>
  <si>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</si>
  <si>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</si>
  <si>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</si>
  <si>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</si>
  <si>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</si>
  <si>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</si>
  <si>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</si>
  <si>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</si>
  <si>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</si>
  <si>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</si>
  <si>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</si>
  <si>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</si>
  <si>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</si>
  <si>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</si>
  <si>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</si>
  <si>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</si>
  <si>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</si>
  <si>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</si>
  <si>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</si>
  <si>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</si>
  <si>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</si>
  <si>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</si>
  <si>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</si>
  <si>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</si>
  <si>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</si>
  <si>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</si>
  <si>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</si>
  <si>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</si>
  <si>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</si>
  <si>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</si>
  <si>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</si>
  <si>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</si>
  <si>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</si>
  <si>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</si>
  <si>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</si>
  <si>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</si>
  <si>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</si>
  <si>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</si>
  <si>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</si>
  <si>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</si>
  <si>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</si>
  <si>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</si>
  <si>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</si>
  <si>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</si>
  <si>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</si>
  <si>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</si>
  <si>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</si>
  <si>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</si>
  <si>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</si>
  <si>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</si>
  <si>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</si>
  <si>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</si>
  <si>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</si>
  <si>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</si>
  <si>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</si>
  <si>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</si>
  <si>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</si>
  <si>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</si>
  <si>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</si>
  <si>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</si>
  <si>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</si>
  <si>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</si>
  <si>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</si>
  <si>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</si>
  <si>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</si>
  <si>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</si>
  <si>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</si>
  <si>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</si>
  <si>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</si>
  <si>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</si>
  <si>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</si>
  <si>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</si>
  <si>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</si>
  <si>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</si>
  <si>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</si>
  <si>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</si>
  <si>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</si>
  <si>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</si>
  <si>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</si>
  <si>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</si>
  <si>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</si>
  <si>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</si>
  <si>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</si>
  <si>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</si>
  <si>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</si>
  <si>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</si>
  <si>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</si>
  <si>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</si>
  <si>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</si>
  <si>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</si>
  <si>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</si>
  <si>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</si>
  <si>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</si>
  <si>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</si>
  <si>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</si>
  <si>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</si>
  <si>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</si>
  <si>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</si>
  <si>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</si>
  <si>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</si>
  <si>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</si>
  <si>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</si>
  <si>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</si>
  <si>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</si>
  <si>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</si>
  <si>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</si>
  <si>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</si>
  <si>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</si>
  <si>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</si>
  <si>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</si>
  <si>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</si>
  <si>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</si>
  <si>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</si>
  <si>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</si>
  <si>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</si>
  <si>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</si>
  <si>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</si>
  <si>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</si>
  <si>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</si>
  <si>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</si>
  <si>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</si>
  <si>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</si>
  <si>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</si>
  <si>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</si>
  <si>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</si>
  <si>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</si>
  <si>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</si>
  <si>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</si>
  <si>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</si>
  <si>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</si>
  <si>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</si>
  <si>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</si>
  <si>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</si>
  <si>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</si>
  <si>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</si>
  <si>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</si>
  <si>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</si>
  <si>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</si>
  <si>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</si>
  <si>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</si>
  <si>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</si>
  <si>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</si>
  <si>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</si>
  <si>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</si>
  <si>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</si>
  <si>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</si>
  <si>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</si>
  <si>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</si>
  <si>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</si>
  <si>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</si>
  <si>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</si>
  <si>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</si>
  <si>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</si>
  <si>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</si>
  <si>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</si>
  <si>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</si>
  <si>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</si>
  <si>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</si>
  <si>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</si>
  <si>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</si>
  <si>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</si>
  <si>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</si>
  <si>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</si>
  <si>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</si>
  <si>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</si>
  <si>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</si>
  <si>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</si>
  <si>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</si>
  <si>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</si>
  <si>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</si>
  <si>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</si>
  <si>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</si>
  <si>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</si>
  <si>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</si>
  <si>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</si>
  <si>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</si>
  <si>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</si>
  <si>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</si>
  <si>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</si>
  <si>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</si>
  <si>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</si>
  <si>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</si>
  <si>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</si>
  <si>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</si>
  <si>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</si>
  <si>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</si>
  <si>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</si>
  <si>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</si>
  <si>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</si>
  <si>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</si>
  <si>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</si>
  <si>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</si>
  <si>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</si>
  <si>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</si>
  <si>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</si>
  <si>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</si>
  <si>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</si>
  <si>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</si>
  <si>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</si>
  <si>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</si>
  <si>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</si>
  <si>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</si>
  <si>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</si>
  <si>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</si>
  <si>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</si>
  <si>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</si>
  <si>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</si>
  <si>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</si>
  <si>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</si>
  <si>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</si>
  <si>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</si>
  <si>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</si>
  <si>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</si>
  <si>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</si>
  <si>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</si>
  <si>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</si>
  <si>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</si>
  <si>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</si>
  <si>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</si>
  <si>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</si>
  <si>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</si>
  <si>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</si>
  <si>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</si>
  <si>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</si>
  <si>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</si>
  <si>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</si>
  <si>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</si>
  <si>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</si>
  <si>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</si>
  <si>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</si>
  <si>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</si>
  <si>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</si>
  <si>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</si>
  <si>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</si>
  <si>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</si>
  <si>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</si>
  <si>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</si>
  <si>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</si>
  <si>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</si>
  <si>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</si>
  <si>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</si>
  <si>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</si>
  <si>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</si>
  <si>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</si>
  <si>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</si>
  <si>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</si>
  <si>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</si>
  <si>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</si>
  <si>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</si>
  <si>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</si>
  <si>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</si>
  <si>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</si>
  <si>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</si>
  <si>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</si>
  <si>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</si>
  <si>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</si>
  <si>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</si>
  <si>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</si>
  <si>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</si>
  <si>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</si>
  <si>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</si>
  <si>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</si>
  <si>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</si>
  <si>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</si>
  <si>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</si>
  <si>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</si>
  <si>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</si>
  <si>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</si>
  <si>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</si>
  <si>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</si>
  <si>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</si>
  <si>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</si>
  <si>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</si>
  <si>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</si>
  <si>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</si>
  <si>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</si>
  <si>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</si>
  <si>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</si>
  <si>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</si>
  <si>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</si>
  <si>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</si>
  <si>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</si>
  <si>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</si>
  <si>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</si>
  <si>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</si>
  <si>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</si>
  <si>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</si>
  <si>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</si>
  <si>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</si>
  <si>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</si>
  <si>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</si>
  <si>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</si>
  <si>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</si>
  <si>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</si>
  <si>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</si>
  <si>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</si>
  <si>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</si>
  <si>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</si>
  <si>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</si>
  <si>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</si>
  <si>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</si>
  <si>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</si>
  <si>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</si>
  <si>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</si>
  <si>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</si>
  <si>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</si>
  <si>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</si>
  <si>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</si>
  <si>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</si>
  <si>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</si>
  <si>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</si>
  <si>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</si>
  <si>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</si>
  <si>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</si>
  <si>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</si>
  <si>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</si>
  <si>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</si>
  <si>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</si>
  <si>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</si>
  <si>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</si>
  <si>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попутный нефтяной газ</t>
  </si>
  <si>
    <t>химреагент</t>
  </si>
  <si>
    <t>бактерицид</t>
  </si>
  <si>
    <t>деэмульгатор</t>
  </si>
  <si>
    <t>нефтешлам</t>
  </si>
  <si>
    <t>пенообразователь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</si>
  <si>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</si>
  <si>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</si>
  <si>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</si>
  <si>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</si>
  <si>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</si>
  <si>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</si>
  <si>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</si>
  <si>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</si>
  <si>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</si>
  <si>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</si>
  <si>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</si>
  <si>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</si>
  <si>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</si>
  <si>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</si>
  <si>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</si>
  <si>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</si>
  <si>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</si>
  <si>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</si>
  <si>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</si>
  <si>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</si>
  <si>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</si>
  <si>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</si>
  <si>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</si>
  <si>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</si>
  <si>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</si>
  <si>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</si>
  <si>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</si>
  <si>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</si>
  <si>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</si>
  <si>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</si>
  <si>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</si>
  <si>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</si>
  <si>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</si>
  <si>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</si>
  <si>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</si>
  <si>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</si>
  <si>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</si>
  <si>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</si>
  <si>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</si>
  <si>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</si>
  <si>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</si>
  <si>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</si>
  <si>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</si>
  <si>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</si>
  <si>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</si>
  <si>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</si>
  <si>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</si>
  <si>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</si>
  <si>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</si>
  <si>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</si>
  <si>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</si>
  <si>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</si>
  <si>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</si>
  <si>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</si>
  <si>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</si>
  <si>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</si>
  <si>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</si>
  <si>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</si>
  <si>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</si>
  <si>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</si>
  <si>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</si>
  <si>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</si>
  <si>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</si>
  <si>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</si>
  <si>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</si>
  <si>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</si>
  <si>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</si>
  <si>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</si>
  <si>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</si>
  <si>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</si>
  <si>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</si>
  <si>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</si>
  <si>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</si>
  <si>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</si>
  <si>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</si>
  <si>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</si>
  <si>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</si>
  <si>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</si>
  <si>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</si>
  <si>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</si>
  <si>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</si>
  <si>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</si>
  <si>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</si>
  <si>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</si>
  <si>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</si>
  <si>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</si>
  <si>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</si>
  <si>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</si>
  <si>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</si>
  <si>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</si>
  <si>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</si>
  <si>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</si>
  <si>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</si>
  <si>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</si>
  <si>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</si>
  <si>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</si>
  <si>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</si>
  <si>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Н.У. Маганов</t>
  </si>
  <si>
    <t>ПАО «Татнефть» им В. Д. Шашина</t>
  </si>
  <si>
    <t>Публичное акционерное общество</t>
  </si>
  <si>
    <t>423450, Республика Татарстан, г. Альметьевск, ул. Ленина, д.75.</t>
  </si>
  <si>
    <t>(8553) 30-70-01</t>
  </si>
  <si>
    <t>8553) 30-78-00</t>
  </si>
  <si>
    <t>tnr@tatneft.ru</t>
  </si>
  <si>
    <t>ВХ-00-017006</t>
  </si>
  <si>
    <t>26.02.2018 г.</t>
  </si>
  <si>
    <t>Система промысловых (межпромысловых) трубопроводов Комаровского месторождения нефти (НГДУ "Прикамнефть")</t>
  </si>
  <si>
    <t>Республика Татарстан (Татарстан), Менделеевский р-н; Республика Татарстан (Татарстан), Менделеевский р-н, земли ПСК "Бондюжский"</t>
  </si>
  <si>
    <t>А43-01519-0918</t>
  </si>
  <si>
    <t>Сборный нефтепровод ГЗУ 27 – ГЗУ 28</t>
  </si>
  <si>
    <t>водогазонефтяная эмульсия</t>
  </si>
  <si>
    <t>Сборный нефтепровод ГЗУ 28 – ПТП</t>
  </si>
  <si>
    <t>Сборный нефтепровод БГ 29 – (ГЗУ 30 – ГЗУ 28)</t>
  </si>
  <si>
    <t>Сборный нефтепровод ГЗУ 30 – ГЗУ 28</t>
  </si>
  <si>
    <t>Сборный нефтепровод ГЗУ 31 – (ГЗУ 30 – ГЗУ 28)</t>
  </si>
  <si>
    <t>Выкидной нефтепровод НК (нефтяной колодец) – ГЗУ 31</t>
  </si>
  <si>
    <t>Выкидной нефтепровод Скв 290К– ГЗУ 31</t>
  </si>
  <si>
    <t>Выкидной нефтепровод Скв 364К – (Скв 868 – (ГЗУ 30 - ГЗУ 28))</t>
  </si>
  <si>
    <t>Выкидной нефтепровод Скв 501 – (НК (нефтяной колодец) – ГЗУ 31)</t>
  </si>
  <si>
    <t>Выкидной нефтепровод Скв 527Т– ГЗУ 27</t>
  </si>
  <si>
    <t>Выкидной нефтепровод Скв 530К – (Скв 527Т– ГЗУ 27)</t>
  </si>
  <si>
    <t>Выкидной нефтепровод Скв 570 – (Скв 886 – ГЗУ 30)</t>
  </si>
  <si>
    <t>Выкидной нефтепровод Скв 851 – ГЗУ Д-851 (блок гребенка)</t>
  </si>
  <si>
    <t>Выкидной нефтепровод ГЗУ Д-851 (блок гребенка) – (Скв 857 – ГЗУ 27)</t>
  </si>
  <si>
    <t>Выкидной нефтепровод Скв 852 – ГЗУ 28</t>
  </si>
  <si>
    <t>Выкидной нефтепровод Скв 857 – ГЗУ 27</t>
  </si>
  <si>
    <t>Выкидной нефтепровод Скв 858 – ГЗУ 28</t>
  </si>
  <si>
    <t>Выкидной нефтепровод Скв 859 – ГЗУ 30</t>
  </si>
  <si>
    <t>Выкидной нефтепровод Скв 862 – ГЗУ 30</t>
  </si>
  <si>
    <t>Выкидной нефтепровод Скв 863 – ГЗУ 31</t>
  </si>
  <si>
    <t>Выкидной нефтепровод Скв 864 – ГЗУ 30</t>
  </si>
  <si>
    <t>Выкидной нефтепровод Скв 865–  (Скв 901 - ГЗУ 30)</t>
  </si>
  <si>
    <t>Выкидной нефтепровод Скв 866– БГ 29</t>
  </si>
  <si>
    <t>Выкидной нефтепровод Скв 868 – (ГЗУ 30 - ГЗУ 28)</t>
  </si>
  <si>
    <t>Выкидной нефтепровод Скв 869 – ГЗУ 28</t>
  </si>
  <si>
    <t>Выкидной нефтепровод Скв 871 – (Скв 879 - ГЗУ 27)</t>
  </si>
  <si>
    <t>Выкидной нефтепровод Скв 873 – (Скв 880 – ГЗУ 27)</t>
  </si>
  <si>
    <t>Выкидной нефтепровод Скв 875 - ГЗУ 31</t>
  </si>
  <si>
    <t>Выкидной нефтепровод Скв 878 – (Скв 875 - ГЗУ 31)</t>
  </si>
  <si>
    <t>Выкидной нефтепровод Скв 879 - ГЗУ 27</t>
  </si>
  <si>
    <t>Выкидной нефтепровод Скв 886 – ГЗУ 30</t>
  </si>
  <si>
    <t>Выкидной нефтепровод Скв 887 – ГЗУ 30</t>
  </si>
  <si>
    <t>Выкидной нефтепровод Скв 890 – БГ 29</t>
  </si>
  <si>
    <t>Выкидной нефтепровод Скв 892 – (НК (нефтяной колодец)– ГЗУ 31)</t>
  </si>
  <si>
    <t>Выкидной нефтепровод Скв 893– ГЗУ 27</t>
  </si>
  <si>
    <t>Выкидной нефтепровод Скв 894– ГЗУ 28</t>
  </si>
  <si>
    <t>Выкидной нефтепровод Скв 895 – (Скв 896– ГЗУ 31)</t>
  </si>
  <si>
    <t>Выкидной нефтепровод Скв 896– ГЗУ 31</t>
  </si>
  <si>
    <t>Выкидной нефтепровод Скв 897 – (Скв 893– ГЗУ 28)</t>
  </si>
  <si>
    <t>Выкидной нефтепровод Скв 899К – (Скв 879 - ГЗУ 27)</t>
  </si>
  <si>
    <t>Выкидной нефтепровод Скв 900 – (Скв 869 – ГЗУ 28)</t>
  </si>
  <si>
    <t>Выкидной нефтепровод Скв 901 - ГЗУ 30</t>
  </si>
  <si>
    <t>Выкидной нефтепровод Скв 6043 – (Скв 851 – ГЗУ Д-851 (блок гребенка))</t>
  </si>
  <si>
    <t>Выкидной нефтепровод Скв 6044 – (Скв 851 – ГЗУ Д-851 (блок гребенка))</t>
  </si>
  <si>
    <t>Выкидной нефтепровод (Скв 6045 - Скв 6044 – (Скв 851 – ГЗУ Д-851 (блок гребенка)))</t>
  </si>
  <si>
    <t>Сборный нефтепровод ГЗУ 27 – ГЗУ 28, водогазонефтяная эмульсия</t>
  </si>
  <si>
    <t>Сборный нефтепровод ГЗУ 28 – ПТП, водонефтяная эмульсия</t>
  </si>
  <si>
    <t>Сборный нефтепровод БГ 29 – (ГЗУ 30 – ГЗУ 28), водонефтяная эмульсия</t>
  </si>
  <si>
    <t>Сборный нефтепровод ГЗУ 30 – ГЗУ 28, водонефтяная эмульсия</t>
  </si>
  <si>
    <t>Сборный нефтепровод ГЗУ 31 – (ГЗУ 30 – ГЗУ 28), водонефтяная эмульсия</t>
  </si>
  <si>
    <t>Выкидной нефтепровод НК (нефтяной колодец) – ГЗУ 31, водонефтяная эмульсия</t>
  </si>
  <si>
    <t>Выкидной нефтепровод Скв 527Т– ГЗУ 27, водонефтяная эмульсия</t>
  </si>
  <si>
    <t>Выкидной нефтепровод Скв 530К – (Скв 527Т– ГЗУ 27), водонефтяная эмульсия</t>
  </si>
  <si>
    <t>Выкидной нефтепровод Скв 857 – ГЗУ 27, водонефтяная эмульсия</t>
  </si>
  <si>
    <t>Выкидной нефтепровод Скв 859 – ГЗУ 30, водонефтяная эмульсия</t>
  </si>
  <si>
    <t>Выкидной нефтепровод Скв 862 – ГЗУ 30, водонефтяная эмульсия</t>
  </si>
  <si>
    <t>Выкидной нефтепровод Скв 863 – ГЗУ 31, водонефтяная эмульсия</t>
  </si>
  <si>
    <t>Выкидной нефтепровод Скв 864 – ГЗУ 30, водонефтяная эмульсия</t>
  </si>
  <si>
    <t>Выкидной нефтепровод Скв 869 – ГЗУ 28, водонефтяная эмульсия</t>
  </si>
  <si>
    <t>Выкидной нефтепровод Скв 878 – (Скв 875 - ГЗУ 31), водонефтяная эмульсия</t>
  </si>
  <si>
    <t>Выкидной нефтепровод Скв 879 - ГЗУ 27, водонефтяная эмульсия</t>
  </si>
  <si>
    <t>Выкидной нефтепровод Скв 880 – ГЗУ 27, водонефтяная эмульсия</t>
  </si>
  <si>
    <t>Выкидной нефтепровод Скв 887 – ГЗУ 30, водонефтяная эмульсия</t>
  </si>
  <si>
    <t>Выкидной нефтепровод Скв 890 – БГ 29, водонефтяная эмульсия</t>
  </si>
  <si>
    <t>Выкидной нефтепровод Скв 894– ГЗУ 28, водонефтяная эмульсия</t>
  </si>
  <si>
    <t>Выкидной нефтепровод Скв 896– ГЗУ 31, водонефтяная эмульсия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</si>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</sst>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19" fillId="2" borderId="18" xfId="1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25" fillId="0" borderId="3" xfId="0" applyFont="1" applyBorder="1" applyAlignment="1">
      <alignment horizontal="center" vertical="center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164" fontId="14" fillId="5" borderId="9" xfId="0" applyNumberFormat="1" applyFont="1" applyFill="1" applyBorder="1"/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19" fillId="2" borderId="21" xfId="1" applyFill="1" applyBorder="1" applyAlignment="1"/>
    <xf numFmtId="0" fontId="14" fillId="5" borderId="1" xfId="0" applyFont="1" applyFill="1" applyBorder="1" applyAlignment="1">
      <alignment wrapText="1"/>
    </xf>
    <xf numFmtId="0" fontId="5" fillId="15" borderId="1" xfId="0" applyFont="1" applyFill="1" applyBorder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nr@tat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B12" sqref="B12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295" t="s">
        <v>593</v>
      </c>
      <c r="C2" t="s">
        <v>217</v>
      </c>
      <c r="F2" s="7" t="s">
        <v>350</v>
      </c>
      <c r="G2" s="7" t="s">
        <v>382</v>
      </c>
      <c r="H2" s="7" t="s">
        <v>408</v>
      </c>
      <c r="I2" s="7" t="s">
        <v>409</v>
      </c>
      <c r="J2" s="7" t="s">
        <v>350</v>
      </c>
      <c r="K2" s="7" t="s">
        <v>427</v>
      </c>
      <c r="L2" s="7" t="s">
        <v>408</v>
      </c>
      <c r="M2" s="7" t="s">
        <v>446</v>
      </c>
    </row>
    <row r="3" spans="1:13" ht="57.6" x14ac:dyDescent="0.3">
      <c r="A3" s="140" t="s">
        <v>198</v>
      </c>
      <c r="B3" s="295" t="s">
        <v>594</v>
      </c>
      <c r="C3" t="s">
        <v>218</v>
      </c>
      <c r="F3" s="7" t="s">
        <v>351</v>
      </c>
      <c r="G3" s="7" t="s">
        <v>383</v>
      </c>
      <c r="H3" s="7" t="s">
        <v>393</v>
      </c>
      <c r="I3" s="7" t="s">
        <v>410</v>
      </c>
      <c r="J3" s="7" t="s">
        <v>351</v>
      </c>
      <c r="K3" s="7" t="s">
        <v>426</v>
      </c>
      <c r="L3" s="7" t="s">
        <v>393</v>
      </c>
      <c r="M3" s="7" t="s">
        <v>447</v>
      </c>
    </row>
    <row r="4" spans="1:13" ht="57.6" x14ac:dyDescent="0.3">
      <c r="A4" s="140" t="s">
        <v>197</v>
      </c>
      <c r="B4" s="295" t="s">
        <v>384</v>
      </c>
      <c r="C4" t="s">
        <v>220</v>
      </c>
      <c r="F4" s="7" t="s">
        <v>352</v>
      </c>
      <c r="G4" s="7" t="s">
        <v>384</v>
      </c>
      <c r="H4" s="7" t="s">
        <v>384</v>
      </c>
      <c r="I4" s="7" t="s">
        <v>384</v>
      </c>
      <c r="J4" s="7" t="s">
        <v>352</v>
      </c>
      <c r="K4" s="7" t="s">
        <v>352</v>
      </c>
      <c r="L4" s="7" t="s">
        <v>384</v>
      </c>
      <c r="M4" s="7" t="s">
        <v>448</v>
      </c>
    </row>
    <row r="5" spans="1:13" ht="28.8" x14ac:dyDescent="0.3">
      <c r="A5" s="140" t="s">
        <v>196</v>
      </c>
      <c r="B5" s="295" t="s">
        <v>592</v>
      </c>
      <c r="C5" t="s">
        <v>219</v>
      </c>
      <c r="F5" s="7" t="s">
        <v>353</v>
      </c>
      <c r="G5" s="7" t="s">
        <v>385</v>
      </c>
      <c r="H5" s="7" t="s">
        <v>443</v>
      </c>
      <c r="I5" s="7" t="s">
        <v>411</v>
      </c>
      <c r="J5" s="7" t="s">
        <v>353</v>
      </c>
      <c r="K5" s="7" t="s">
        <v>353</v>
      </c>
      <c r="L5" s="7" t="s">
        <v>443</v>
      </c>
      <c r="M5" s="7" t="s">
        <v>449</v>
      </c>
    </row>
    <row r="6" spans="1:13" ht="115.2" x14ac:dyDescent="0.3">
      <c r="A6" s="140" t="s">
        <v>199</v>
      </c>
      <c r="B6" s="295" t="s">
        <v>595</v>
      </c>
      <c r="C6" t="s">
        <v>224</v>
      </c>
      <c r="F6" s="7" t="s">
        <v>354</v>
      </c>
      <c r="G6" s="7" t="s">
        <v>386</v>
      </c>
      <c r="H6" s="7" t="s">
        <v>394</v>
      </c>
      <c r="I6" s="7" t="s">
        <v>445</v>
      </c>
      <c r="J6" s="7" t="s">
        <v>354</v>
      </c>
      <c r="K6" s="7" t="s">
        <v>428</v>
      </c>
      <c r="L6" s="7" t="s">
        <v>444</v>
      </c>
      <c r="M6" s="7" t="s">
        <v>450</v>
      </c>
    </row>
    <row r="7" spans="1:13" x14ac:dyDescent="0.3">
      <c r="A7" s="140" t="s">
        <v>200</v>
      </c>
      <c r="B7" s="295" t="s">
        <v>596</v>
      </c>
      <c r="C7" t="s">
        <v>225</v>
      </c>
      <c r="F7" s="7" t="s">
        <v>355</v>
      </c>
      <c r="G7" s="7" t="s">
        <v>387</v>
      </c>
      <c r="H7" s="7" t="s">
        <v>395</v>
      </c>
      <c r="I7" s="7" t="s">
        <v>413</v>
      </c>
      <c r="J7" s="7" t="s">
        <v>355</v>
      </c>
      <c r="K7" s="7" t="s">
        <v>355</v>
      </c>
      <c r="L7" s="7" t="s">
        <v>395</v>
      </c>
      <c r="M7" s="7" t="s">
        <v>451</v>
      </c>
    </row>
    <row r="8" spans="1:13" ht="28.8" x14ac:dyDescent="0.3">
      <c r="A8" s="140" t="s">
        <v>201</v>
      </c>
      <c r="B8" s="295" t="s">
        <v>597</v>
      </c>
      <c r="C8" t="s">
        <v>221</v>
      </c>
      <c r="F8" s="7" t="s">
        <v>356</v>
      </c>
      <c r="G8" s="7" t="s">
        <v>387</v>
      </c>
      <c r="H8" s="7" t="s">
        <v>396</v>
      </c>
      <c r="I8" s="7" t="s">
        <v>413</v>
      </c>
      <c r="J8" s="7" t="s">
        <v>356</v>
      </c>
      <c r="K8" s="7" t="s">
        <v>356</v>
      </c>
      <c r="L8" s="7" t="s">
        <v>396</v>
      </c>
      <c r="M8" s="7" t="s">
        <v>451</v>
      </c>
    </row>
    <row r="9" spans="1:13" ht="28.8" x14ac:dyDescent="0.3">
      <c r="A9" s="140" t="s">
        <v>202</v>
      </c>
      <c r="B9" s="296" t="s">
        <v>598</v>
      </c>
      <c r="C9" t="s">
        <v>202</v>
      </c>
      <c r="F9" s="272" t="s">
        <v>357</v>
      </c>
      <c r="G9" s="272" t="s">
        <v>391</v>
      </c>
      <c r="H9" s="7" t="s">
        <v>397</v>
      </c>
      <c r="I9" s="7" t="s">
        <v>412</v>
      </c>
      <c r="J9" s="272" t="s">
        <v>357</v>
      </c>
      <c r="K9" s="272" t="s">
        <v>357</v>
      </c>
      <c r="L9" s="7" t="s">
        <v>397</v>
      </c>
      <c r="M9" s="272" t="s">
        <v>452</v>
      </c>
    </row>
    <row r="10" spans="1:13" x14ac:dyDescent="0.3">
      <c r="A10" s="140" t="s">
        <v>203</v>
      </c>
      <c r="B10" s="295" t="s">
        <v>599</v>
      </c>
      <c r="C10" t="s">
        <v>222</v>
      </c>
      <c r="F10" s="7" t="s">
        <v>358</v>
      </c>
      <c r="G10" s="7" t="s">
        <v>388</v>
      </c>
      <c r="H10" s="7" t="s">
        <v>398</v>
      </c>
      <c r="I10" s="7" t="s">
        <v>414</v>
      </c>
      <c r="J10" s="7" t="s">
        <v>358</v>
      </c>
      <c r="K10" s="7" t="s">
        <v>429</v>
      </c>
      <c r="L10" s="7" t="s">
        <v>398</v>
      </c>
      <c r="M10" s="7" t="s">
        <v>453</v>
      </c>
    </row>
    <row r="11" spans="1:13" x14ac:dyDescent="0.3">
      <c r="A11" s="140" t="s">
        <v>204</v>
      </c>
      <c r="B11" s="295" t="s">
        <v>600</v>
      </c>
      <c r="C11" t="s">
        <v>223</v>
      </c>
      <c r="F11" s="273">
        <v>42545</v>
      </c>
      <c r="G11" s="273">
        <v>43854</v>
      </c>
      <c r="H11" s="203">
        <v>42242</v>
      </c>
      <c r="I11" s="7">
        <v>43083</v>
      </c>
      <c r="J11" s="273">
        <v>42545</v>
      </c>
      <c r="K11" s="273">
        <v>43367</v>
      </c>
      <c r="L11" s="203">
        <v>42242</v>
      </c>
      <c r="M11" s="7" t="s">
        <v>454</v>
      </c>
    </row>
    <row r="12" spans="1:13" ht="86.4" x14ac:dyDescent="0.3">
      <c r="A12" s="202" t="s">
        <v>205</v>
      </c>
      <c r="B12" s="295" t="s">
        <v>601</v>
      </c>
      <c r="C12" t="s">
        <v>229</v>
      </c>
      <c r="F12" s="7" t="s">
        <v>366</v>
      </c>
      <c r="G12" s="7" t="s">
        <v>373</v>
      </c>
      <c r="H12" s="7" t="s">
        <v>392</v>
      </c>
      <c r="I12" s="7" t="s">
        <v>415</v>
      </c>
      <c r="J12" s="7" t="s">
        <v>423</v>
      </c>
      <c r="K12" s="7" t="s">
        <v>430</v>
      </c>
      <c r="L12" s="7" t="s">
        <v>433</v>
      </c>
      <c r="M12" s="7" t="s">
        <v>455</v>
      </c>
    </row>
    <row r="13" spans="1:13" ht="100.8" x14ac:dyDescent="0.3">
      <c r="A13" s="202" t="s">
        <v>206</v>
      </c>
      <c r="B13" s="295" t="s">
        <v>602</v>
      </c>
      <c r="C13" t="s">
        <v>226</v>
      </c>
      <c r="F13" s="7" t="s">
        <v>367</v>
      </c>
      <c r="G13" s="7" t="s">
        <v>389</v>
      </c>
      <c r="H13" s="7" t="s">
        <v>399</v>
      </c>
      <c r="I13" s="7" t="s">
        <v>416</v>
      </c>
      <c r="J13" s="7" t="s">
        <v>424</v>
      </c>
      <c r="K13" s="7" t="s">
        <v>431</v>
      </c>
      <c r="L13" s="7" t="s">
        <v>435</v>
      </c>
      <c r="M13" s="7" t="s">
        <v>456</v>
      </c>
    </row>
    <row r="14" spans="1:13" x14ac:dyDescent="0.3">
      <c r="A14" s="202" t="s">
        <v>207</v>
      </c>
      <c r="B14" s="295" t="s">
        <v>603</v>
      </c>
      <c r="C14" t="s">
        <v>228</v>
      </c>
      <c r="F14" s="7" t="s">
        <v>368</v>
      </c>
      <c r="G14" s="7" t="s">
        <v>390</v>
      </c>
      <c r="H14" s="7" t="s">
        <v>400</v>
      </c>
      <c r="I14" s="7" t="s">
        <v>417</v>
      </c>
      <c r="J14" t="s">
        <v>425</v>
      </c>
      <c r="K14" t="s">
        <v>432</v>
      </c>
      <c r="L14" s="7" t="s">
        <v>434</v>
      </c>
      <c r="M14" s="7" t="s">
        <v>457</v>
      </c>
    </row>
    <row r="15" spans="1:13" x14ac:dyDescent="0.3">
      <c r="A15" s="202" t="s">
        <v>208</v>
      </c>
      <c r="B15" s="295" t="s">
        <v>216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418</v>
      </c>
      <c r="J15" t="s">
        <v>418</v>
      </c>
      <c r="K15" t="s">
        <v>216</v>
      </c>
      <c r="L15" s="7" t="s">
        <v>216</v>
      </c>
      <c r="M15" s="7" t="s">
        <v>418</v>
      </c>
    </row>
    <row r="16" spans="1:13" x14ac:dyDescent="0.3">
      <c r="A16" s="115" t="s">
        <v>209</v>
      </c>
      <c r="B16" s="297">
        <v>0</v>
      </c>
      <c r="C16" t="s">
        <v>235</v>
      </c>
      <c r="F16" s="7" t="s">
        <v>360</v>
      </c>
      <c r="G16" s="7">
        <v>0</v>
      </c>
      <c r="H16" t="s">
        <v>401</v>
      </c>
      <c r="I16" s="7">
        <v>0</v>
      </c>
      <c r="J16">
        <v>0</v>
      </c>
      <c r="K16">
        <v>0</v>
      </c>
      <c r="L16" t="s">
        <v>436</v>
      </c>
      <c r="M16">
        <v>0</v>
      </c>
    </row>
    <row r="17" spans="1:13" x14ac:dyDescent="0.3">
      <c r="A17" s="115" t="s">
        <v>210</v>
      </c>
      <c r="B17" s="297">
        <v>0</v>
      </c>
      <c r="C17" t="s">
        <v>230</v>
      </c>
      <c r="F17" s="7" t="s">
        <v>361</v>
      </c>
      <c r="G17" s="7">
        <v>0</v>
      </c>
      <c r="H17" t="s">
        <v>402</v>
      </c>
      <c r="I17" s="7">
        <v>0</v>
      </c>
      <c r="J17">
        <v>0</v>
      </c>
      <c r="K17">
        <v>0</v>
      </c>
      <c r="L17" t="s">
        <v>437</v>
      </c>
      <c r="M17">
        <v>0</v>
      </c>
    </row>
    <row r="18" spans="1:13" x14ac:dyDescent="0.3">
      <c r="A18" s="115" t="s">
        <v>211</v>
      </c>
      <c r="B18" s="297">
        <v>0</v>
      </c>
      <c r="C18" t="s">
        <v>231</v>
      </c>
      <c r="F18" s="7" t="s">
        <v>362</v>
      </c>
      <c r="G18" s="7">
        <v>0</v>
      </c>
      <c r="H18" t="s">
        <v>403</v>
      </c>
      <c r="I18" s="7">
        <v>0</v>
      </c>
      <c r="J18">
        <v>0</v>
      </c>
      <c r="K18">
        <v>0</v>
      </c>
      <c r="L18" t="s">
        <v>438</v>
      </c>
      <c r="M18">
        <v>0</v>
      </c>
    </row>
    <row r="19" spans="1:13" x14ac:dyDescent="0.3">
      <c r="A19" s="115" t="s">
        <v>212</v>
      </c>
      <c r="B19" s="297">
        <v>0</v>
      </c>
      <c r="C19" t="s">
        <v>234</v>
      </c>
      <c r="F19" s="7" t="s">
        <v>363</v>
      </c>
      <c r="G19" s="7">
        <v>0</v>
      </c>
      <c r="H19" t="s">
        <v>404</v>
      </c>
      <c r="I19" s="7">
        <v>0</v>
      </c>
      <c r="J19">
        <v>0</v>
      </c>
      <c r="K19">
        <v>0</v>
      </c>
      <c r="L19" t="s">
        <v>439</v>
      </c>
      <c r="M19">
        <v>0</v>
      </c>
    </row>
    <row r="20" spans="1:13" x14ac:dyDescent="0.3">
      <c r="A20" s="115" t="s">
        <v>213</v>
      </c>
      <c r="B20" s="297">
        <v>0</v>
      </c>
      <c r="C20" t="s">
        <v>233</v>
      </c>
      <c r="F20" s="7" t="s">
        <v>364</v>
      </c>
      <c r="G20" s="7">
        <v>0</v>
      </c>
      <c r="H20" t="s">
        <v>405</v>
      </c>
      <c r="I20" s="7">
        <v>0</v>
      </c>
      <c r="J20">
        <v>0</v>
      </c>
      <c r="K20">
        <v>0</v>
      </c>
      <c r="L20" t="s">
        <v>440</v>
      </c>
      <c r="M20">
        <v>0</v>
      </c>
    </row>
    <row r="21" spans="1:13" x14ac:dyDescent="0.3">
      <c r="A21" s="115" t="s">
        <v>214</v>
      </c>
      <c r="B21" s="297">
        <v>0</v>
      </c>
      <c r="C21" t="s">
        <v>232</v>
      </c>
      <c r="F21" s="7" t="s">
        <v>365</v>
      </c>
      <c r="G21" s="7">
        <v>0</v>
      </c>
      <c r="H21" t="s">
        <v>406</v>
      </c>
      <c r="I21" s="7">
        <v>0</v>
      </c>
      <c r="J21">
        <v>0</v>
      </c>
      <c r="K21">
        <v>0</v>
      </c>
      <c r="L21" t="s">
        <v>441</v>
      </c>
      <c r="M21">
        <v>0</v>
      </c>
    </row>
    <row r="22" spans="1:13" ht="86.4" x14ac:dyDescent="0.3">
      <c r="A22" s="115" t="s">
        <v>215</v>
      </c>
      <c r="B22" s="297">
        <v>0</v>
      </c>
      <c r="C22" t="s">
        <v>236</v>
      </c>
      <c r="F22" s="7" t="s">
        <v>359</v>
      </c>
      <c r="G22" s="7">
        <v>0</v>
      </c>
      <c r="H22" s="7" t="s">
        <v>407</v>
      </c>
      <c r="I22" s="7">
        <v>0</v>
      </c>
      <c r="J22">
        <v>0</v>
      </c>
      <c r="K22">
        <v>0</v>
      </c>
      <c r="L22" s="7" t="s">
        <v>442</v>
      </c>
      <c r="M22">
        <v>0</v>
      </c>
    </row>
    <row r="23" spans="1:13" x14ac:dyDescent="0.3">
      <c r="A23" s="115" t="s">
        <v>348</v>
      </c>
      <c r="B23" s="297">
        <v>1950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463</v>
      </c>
      <c r="C9" s="213" t="s">
        <v>464</v>
      </c>
      <c r="D9" s="214" t="s">
        <v>465</v>
      </c>
      <c r="E9" s="213" t="s">
        <v>461</v>
      </c>
      <c r="F9" s="213" t="s">
        <v>462</v>
      </c>
      <c r="H9" s="211">
        <v>8</v>
      </c>
      <c r="I9" s="212" t="s">
        <v>458</v>
      </c>
      <c r="J9" s="213" t="s">
        <v>282</v>
      </c>
      <c r="K9" s="214" t="s">
        <v>459</v>
      </c>
      <c r="L9" s="213" t="s">
        <v>460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65"/>
  <sheetViews>
    <sheetView zoomScale="85" zoomScaleNormal="85" workbookViewId="0">
      <pane ySplit="1" topLeftCell="A17" activePane="bottomLeft" state="frozen"/>
      <selection pane="bottomLeft" activeCell="G55" sqref="G55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01" t="s">
        <v>79</v>
      </c>
      <c r="B1" s="302"/>
      <c r="C1" s="303" t="s">
        <v>80</v>
      </c>
      <c r="D1" s="304"/>
      <c r="E1" s="305"/>
      <c r="F1" s="301" t="s">
        <v>81</v>
      </c>
      <c r="G1" s="306"/>
      <c r="H1" s="302"/>
      <c r="I1" s="299" t="s">
        <v>91</v>
      </c>
      <c r="J1" s="299" t="s">
        <v>92</v>
      </c>
      <c r="K1" s="299" t="s">
        <v>93</v>
      </c>
      <c r="L1" s="311" t="s">
        <v>237</v>
      </c>
      <c r="M1" s="299" t="s">
        <v>95</v>
      </c>
      <c r="N1" s="299" t="s">
        <v>94</v>
      </c>
      <c r="O1" s="307" t="s">
        <v>78</v>
      </c>
      <c r="P1" s="299" t="s">
        <v>82</v>
      </c>
      <c r="Q1" s="309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00"/>
      <c r="J2" s="300"/>
      <c r="K2" s="300"/>
      <c r="L2" s="312"/>
      <c r="M2" s="300"/>
      <c r="N2" s="300"/>
      <c r="O2" s="308"/>
      <c r="P2" s="300"/>
      <c r="Q2" s="310"/>
    </row>
    <row r="3" spans="1:45" ht="15" thickBot="1" x14ac:dyDescent="0.35">
      <c r="A3" s="40" t="s">
        <v>601</v>
      </c>
      <c r="B3" s="321" t="str">
        <f>CONCATENATE(Y3,", ",Z3)</f>
        <v>Сборный нефтепровод ГЗУ 27 – ГЗУ 28, водогазонефтяная эмульсия</v>
      </c>
      <c r="C3" s="279">
        <v>1</v>
      </c>
      <c r="D3" s="3">
        <v>9.52</v>
      </c>
      <c r="E3" s="43">
        <f t="shared" ref="E3:E47" si="0">D3*C3</f>
        <v>9.52</v>
      </c>
      <c r="F3" s="280" t="s">
        <v>374</v>
      </c>
      <c r="G3" s="280">
        <v>1.5</v>
      </c>
      <c r="H3" s="280" t="str">
        <f>"+12"</f>
        <v>+12</v>
      </c>
      <c r="I3" s="50">
        <f>PI()*(POWER(K3/1000,2)/4)*J3</f>
        <v>1.4137166941154067E-2</v>
      </c>
      <c r="J3" s="51">
        <v>20</v>
      </c>
      <c r="K3" s="49">
        <v>30</v>
      </c>
      <c r="L3" s="204">
        <v>0</v>
      </c>
      <c r="M3" s="281">
        <v>5.1999999999999998E-2</v>
      </c>
      <c r="N3" s="282">
        <v>0.86099999999999999</v>
      </c>
      <c r="O3" s="283">
        <v>25</v>
      </c>
      <c r="P3" s="284">
        <v>0.1</v>
      </c>
      <c r="Q3" s="54">
        <v>0</v>
      </c>
      <c r="R3" t="s">
        <v>98</v>
      </c>
      <c r="T3" s="57" t="s">
        <v>98</v>
      </c>
      <c r="U3" s="275">
        <f>SUMIF($R$3:$R$110,T3,$E$3:$E$110)</f>
        <v>463.98599999999999</v>
      </c>
      <c r="Y3" t="s">
        <v>604</v>
      </c>
      <c r="Z3" t="s">
        <v>605</v>
      </c>
      <c r="AE3" s="268" t="s">
        <v>369</v>
      </c>
      <c r="AF3" s="269"/>
      <c r="AG3" s="270"/>
    </row>
    <row r="4" spans="1:45" ht="15" thickBot="1" x14ac:dyDescent="0.35">
      <c r="A4" s="40" t="s">
        <v>601</v>
      </c>
      <c r="B4" s="321" t="str">
        <f t="shared" ref="B4:B45" si="1">CONCATENATE(Y4,", ",Z4)</f>
        <v>Сборный нефтепровод ГЗУ 28 – ПТП, водогазонефтяная эмульсия</v>
      </c>
      <c r="C4" s="279">
        <v>1</v>
      </c>
      <c r="D4" s="3">
        <v>162.26300000000001</v>
      </c>
      <c r="E4" s="43">
        <f t="shared" si="0"/>
        <v>162.26300000000001</v>
      </c>
      <c r="F4" s="280" t="s">
        <v>374</v>
      </c>
      <c r="G4" s="280">
        <v>1.5</v>
      </c>
      <c r="H4" s="280" t="str">
        <f t="shared" ref="H4:H47" si="2">"+12"</f>
        <v>+12</v>
      </c>
      <c r="I4" s="50">
        <f t="shared" ref="I4:I47" si="3">PI()*(POWER(K4/1000,2)/4)*J4</f>
        <v>1.4137166941154067E-2</v>
      </c>
      <c r="J4" s="51">
        <v>20</v>
      </c>
      <c r="K4" s="49">
        <v>30</v>
      </c>
      <c r="L4" s="204">
        <v>0</v>
      </c>
      <c r="M4" s="281">
        <v>5.1999999999999998E-2</v>
      </c>
      <c r="N4" s="282">
        <v>0.86099999999999999</v>
      </c>
      <c r="O4" s="283">
        <v>25</v>
      </c>
      <c r="P4" s="284">
        <v>0.1</v>
      </c>
      <c r="Q4" s="54">
        <v>0</v>
      </c>
      <c r="R4" t="s">
        <v>98</v>
      </c>
      <c r="T4" s="57" t="s">
        <v>489</v>
      </c>
      <c r="U4" s="275">
        <f t="shared" ref="U4:U9" si="4">SUMIF($R$3:$R$11,T4,$E$3:$E$11)</f>
        <v>0</v>
      </c>
      <c r="W4" s="37"/>
      <c r="X4" s="37"/>
      <c r="Y4" t="s">
        <v>606</v>
      </c>
      <c r="Z4" t="s">
        <v>605</v>
      </c>
      <c r="AE4" s="267" t="s">
        <v>370</v>
      </c>
      <c r="AF4" s="16">
        <v>100</v>
      </c>
      <c r="AG4" s="267" t="s">
        <v>371</v>
      </c>
    </row>
    <row r="5" spans="1:45" ht="15" thickBot="1" x14ac:dyDescent="0.35">
      <c r="A5" s="40" t="s">
        <v>601</v>
      </c>
      <c r="B5" s="321" t="str">
        <f t="shared" si="1"/>
        <v>Сборный нефтепровод БГ 29 – (ГЗУ 30 – ГЗУ 28), водогазонефтяная эмульсия</v>
      </c>
      <c r="C5" s="279">
        <v>1</v>
      </c>
      <c r="D5" s="3">
        <v>53.484999999999999</v>
      </c>
      <c r="E5" s="43">
        <f t="shared" si="0"/>
        <v>53.484999999999999</v>
      </c>
      <c r="F5" s="280" t="s">
        <v>374</v>
      </c>
      <c r="G5" s="280">
        <v>1.5</v>
      </c>
      <c r="H5" s="280" t="str">
        <f t="shared" si="2"/>
        <v>+12</v>
      </c>
      <c r="I5" s="50">
        <f t="shared" si="3"/>
        <v>1.4137166941154067E-2</v>
      </c>
      <c r="J5" s="51">
        <v>20</v>
      </c>
      <c r="K5" s="49">
        <v>30</v>
      </c>
      <c r="L5" s="204">
        <v>0</v>
      </c>
      <c r="M5" s="281">
        <v>5.1999999999999998E-2</v>
      </c>
      <c r="N5" s="282">
        <v>0.86099999999999999</v>
      </c>
      <c r="O5" s="283">
        <v>25</v>
      </c>
      <c r="P5" s="284">
        <v>0.1</v>
      </c>
      <c r="Q5" s="54">
        <v>0</v>
      </c>
      <c r="R5" t="s">
        <v>98</v>
      </c>
      <c r="T5" s="57" t="s">
        <v>490</v>
      </c>
      <c r="U5" s="275">
        <f t="shared" si="4"/>
        <v>0</v>
      </c>
      <c r="Y5" t="s">
        <v>607</v>
      </c>
      <c r="Z5" t="s">
        <v>605</v>
      </c>
      <c r="AE5" s="267" t="s">
        <v>376</v>
      </c>
      <c r="AF5" s="16">
        <v>0.1</v>
      </c>
      <c r="AG5" s="267" t="s">
        <v>377</v>
      </c>
    </row>
    <row r="6" spans="1:45" ht="15" thickBot="1" x14ac:dyDescent="0.35">
      <c r="A6" s="40" t="s">
        <v>601</v>
      </c>
      <c r="B6" s="321" t="str">
        <f t="shared" si="1"/>
        <v>Сборный нефтепровод ГЗУ 30 – ГЗУ 28, водогазонефтяная эмульсия</v>
      </c>
      <c r="C6" s="279">
        <v>1</v>
      </c>
      <c r="D6" s="3">
        <v>36.94</v>
      </c>
      <c r="E6" s="43">
        <f t="shared" si="0"/>
        <v>36.94</v>
      </c>
      <c r="F6" s="280" t="s">
        <v>374</v>
      </c>
      <c r="G6" s="280">
        <v>1.5</v>
      </c>
      <c r="H6" s="280" t="str">
        <f t="shared" si="2"/>
        <v>+12</v>
      </c>
      <c r="I6" s="50">
        <f t="shared" si="3"/>
        <v>1.4137166941154067E-2</v>
      </c>
      <c r="J6" s="51">
        <v>20</v>
      </c>
      <c r="K6" s="49">
        <v>30</v>
      </c>
      <c r="L6" s="204">
        <v>0</v>
      </c>
      <c r="M6" s="281">
        <v>5.1999999999999998E-2</v>
      </c>
      <c r="N6" s="282">
        <v>0.86099999999999999</v>
      </c>
      <c r="O6" s="283">
        <v>25</v>
      </c>
      <c r="P6" s="284">
        <v>0.1</v>
      </c>
      <c r="Q6" s="54">
        <v>0</v>
      </c>
      <c r="R6" t="s">
        <v>98</v>
      </c>
      <c r="T6" s="57" t="s">
        <v>494</v>
      </c>
      <c r="U6" s="275">
        <f t="shared" si="4"/>
        <v>0</v>
      </c>
      <c r="Y6" t="s">
        <v>608</v>
      </c>
      <c r="Z6" t="s">
        <v>605</v>
      </c>
      <c r="AE6" s="267" t="s">
        <v>378</v>
      </c>
      <c r="AF6" s="16">
        <v>30</v>
      </c>
      <c r="AG6" s="267" t="s">
        <v>379</v>
      </c>
    </row>
    <row r="7" spans="1:45" ht="15" thickBot="1" x14ac:dyDescent="0.35">
      <c r="A7" s="40" t="s">
        <v>601</v>
      </c>
      <c r="B7" s="321" t="str">
        <f t="shared" si="1"/>
        <v>Сборный нефтепровод ГЗУ 31 – (ГЗУ 30 – ГЗУ 28), водогазонефтяная эмульсия</v>
      </c>
      <c r="C7" s="279">
        <v>1</v>
      </c>
      <c r="D7" s="3">
        <v>16.963000000000001</v>
      </c>
      <c r="E7" s="43">
        <f t="shared" si="0"/>
        <v>16.963000000000001</v>
      </c>
      <c r="F7" s="280" t="s">
        <v>374</v>
      </c>
      <c r="G7" s="280">
        <v>1.5</v>
      </c>
      <c r="H7" s="280" t="str">
        <f t="shared" si="2"/>
        <v>+12</v>
      </c>
      <c r="I7" s="50">
        <f t="shared" si="3"/>
        <v>1.4137166941154067E-2</v>
      </c>
      <c r="J7" s="51">
        <v>20</v>
      </c>
      <c r="K7" s="49">
        <v>30</v>
      </c>
      <c r="L7" s="204">
        <v>0</v>
      </c>
      <c r="M7" s="281">
        <v>5.1999999999999998E-2</v>
      </c>
      <c r="N7" s="282">
        <v>0.86099999999999999</v>
      </c>
      <c r="O7" s="283">
        <v>25</v>
      </c>
      <c r="P7" s="284">
        <v>0.1</v>
      </c>
      <c r="Q7" s="54">
        <v>0</v>
      </c>
      <c r="R7" t="s">
        <v>98</v>
      </c>
      <c r="T7" s="57" t="s">
        <v>491</v>
      </c>
      <c r="U7" s="275">
        <f t="shared" si="4"/>
        <v>0</v>
      </c>
      <c r="Y7" t="s">
        <v>609</v>
      </c>
      <c r="Z7" t="s">
        <v>605</v>
      </c>
      <c r="AE7" s="267" t="s">
        <v>380</v>
      </c>
      <c r="AF7" s="271">
        <f>((AF4/1000)*AF5*POWER(10,6)/(8.31*(AF6+273)))</f>
        <v>3.9715162852025276</v>
      </c>
      <c r="AG7" s="267" t="s">
        <v>381</v>
      </c>
    </row>
    <row r="8" spans="1:45" ht="15" thickBot="1" x14ac:dyDescent="0.35">
      <c r="A8" s="40" t="s">
        <v>601</v>
      </c>
      <c r="B8" s="321" t="str">
        <f t="shared" si="1"/>
        <v>Выкидной нефтепровод НК (нефтяной колодец) – ГЗУ 31, водогазонефтяная эмульсия</v>
      </c>
      <c r="C8" s="279">
        <v>1</v>
      </c>
      <c r="D8" s="3">
        <v>14.712999999999999</v>
      </c>
      <c r="E8" s="43">
        <f t="shared" si="0"/>
        <v>14.712999999999999</v>
      </c>
      <c r="F8" s="280" t="s">
        <v>374</v>
      </c>
      <c r="G8" s="280">
        <v>2.2000000000000002</v>
      </c>
      <c r="H8" s="280" t="str">
        <f t="shared" si="2"/>
        <v>+12</v>
      </c>
      <c r="I8" s="50">
        <f t="shared" si="3"/>
        <v>1.4137166941154067E-2</v>
      </c>
      <c r="J8" s="51">
        <v>20</v>
      </c>
      <c r="K8" s="49">
        <v>30</v>
      </c>
      <c r="L8" s="204">
        <v>0</v>
      </c>
      <c r="M8" s="281">
        <v>5.1999999999999998E-2</v>
      </c>
      <c r="N8" s="282">
        <v>0.86099999999999999</v>
      </c>
      <c r="O8" s="283">
        <v>25</v>
      </c>
      <c r="P8" s="284">
        <v>0.1</v>
      </c>
      <c r="Q8" s="54">
        <v>0</v>
      </c>
      <c r="R8" t="s">
        <v>98</v>
      </c>
      <c r="T8" s="57" t="s">
        <v>492</v>
      </c>
      <c r="U8" s="275">
        <f t="shared" si="4"/>
        <v>0</v>
      </c>
      <c r="Y8" t="s">
        <v>610</v>
      </c>
      <c r="Z8" t="s">
        <v>605</v>
      </c>
    </row>
    <row r="9" spans="1:45" ht="15" thickBot="1" x14ac:dyDescent="0.35">
      <c r="A9" s="40" t="s">
        <v>601</v>
      </c>
      <c r="B9" s="321" t="str">
        <f t="shared" si="1"/>
        <v>Выкидной нефтепровод Скв 290К– ГЗУ 31, водогазонефтяная эмульсия</v>
      </c>
      <c r="C9" s="279">
        <v>1</v>
      </c>
      <c r="D9" s="3">
        <v>0.56699999999999995</v>
      </c>
      <c r="E9" s="43">
        <f t="shared" si="0"/>
        <v>0.56699999999999995</v>
      </c>
      <c r="F9" s="280" t="s">
        <v>374</v>
      </c>
      <c r="G9" s="285">
        <v>4</v>
      </c>
      <c r="H9" s="280" t="str">
        <f t="shared" si="2"/>
        <v>+12</v>
      </c>
      <c r="I9" s="50">
        <f t="shared" si="3"/>
        <v>1.4137166941154067E-2</v>
      </c>
      <c r="J9" s="51">
        <v>20</v>
      </c>
      <c r="K9" s="49">
        <v>30</v>
      </c>
      <c r="L9" s="204">
        <v>0</v>
      </c>
      <c r="M9" s="281">
        <v>5.1999999999999998E-2</v>
      </c>
      <c r="N9" s="282">
        <v>0.86099999999999999</v>
      </c>
      <c r="O9" s="283">
        <v>25</v>
      </c>
      <c r="P9" s="284">
        <v>0.1</v>
      </c>
      <c r="Q9" s="54">
        <v>0</v>
      </c>
      <c r="R9" t="s">
        <v>98</v>
      </c>
      <c r="T9" s="57" t="s">
        <v>493</v>
      </c>
      <c r="U9" s="275">
        <f t="shared" si="4"/>
        <v>0</v>
      </c>
      <c r="W9" s="277"/>
      <c r="Y9" t="s">
        <v>611</v>
      </c>
      <c r="Z9" t="s">
        <v>605</v>
      </c>
    </row>
    <row r="10" spans="1:45" ht="30.6" customHeight="1" thickBot="1" x14ac:dyDescent="0.35">
      <c r="A10" s="40" t="s">
        <v>601</v>
      </c>
      <c r="B10" s="321" t="str">
        <f t="shared" si="1"/>
        <v>Выкидной нефтепровод Скв 364К – (Скв 868 – (ГЗУ 30 - ГЗУ 28)), водогазонефтяная эмульсия</v>
      </c>
      <c r="C10" s="279">
        <v>1</v>
      </c>
      <c r="D10" s="3">
        <v>2.0670000000000002</v>
      </c>
      <c r="E10" s="43">
        <f t="shared" si="0"/>
        <v>2.0670000000000002</v>
      </c>
      <c r="F10" s="280" t="s">
        <v>374</v>
      </c>
      <c r="G10" s="285">
        <v>2</v>
      </c>
      <c r="H10" s="280" t="str">
        <f t="shared" si="2"/>
        <v>+12</v>
      </c>
      <c r="I10" s="50">
        <f t="shared" si="3"/>
        <v>1.4137166941154067E-2</v>
      </c>
      <c r="J10" s="51">
        <v>20</v>
      </c>
      <c r="K10" s="49">
        <v>30</v>
      </c>
      <c r="L10" s="204">
        <v>0</v>
      </c>
      <c r="M10" s="281">
        <v>5.1999999999999998E-2</v>
      </c>
      <c r="N10" s="282">
        <v>0.86099999999999999</v>
      </c>
      <c r="O10" s="283">
        <v>25</v>
      </c>
      <c r="P10" s="284">
        <v>0.1</v>
      </c>
      <c r="Q10" s="54">
        <v>0</v>
      </c>
      <c r="R10" t="s">
        <v>98</v>
      </c>
      <c r="T10" s="276"/>
      <c r="U10" s="275"/>
      <c r="Y10" t="s">
        <v>612</v>
      </c>
      <c r="Z10" t="s">
        <v>605</v>
      </c>
    </row>
    <row r="11" spans="1:45" ht="46.2" customHeight="1" x14ac:dyDescent="0.3">
      <c r="A11" s="40" t="s">
        <v>601</v>
      </c>
      <c r="B11" s="321" t="str">
        <f t="shared" si="1"/>
        <v>Выкидной нефтепровод Скв 501 – (НК (нефтяной колодец) – ГЗУ 31), водогазонефтяная эмульсия</v>
      </c>
      <c r="C11" s="279">
        <v>1</v>
      </c>
      <c r="D11" s="3">
        <v>0.63200000000000001</v>
      </c>
      <c r="E11" s="43">
        <f t="shared" si="0"/>
        <v>0.63200000000000001</v>
      </c>
      <c r="F11" s="280" t="s">
        <v>374</v>
      </c>
      <c r="G11" s="285">
        <v>1.9</v>
      </c>
      <c r="H11" s="280" t="str">
        <f t="shared" si="2"/>
        <v>+12</v>
      </c>
      <c r="I11" s="50">
        <f t="shared" si="3"/>
        <v>1.4137166941154067E-2</v>
      </c>
      <c r="J11" s="51">
        <v>20</v>
      </c>
      <c r="K11" s="49">
        <v>30</v>
      </c>
      <c r="L11" s="204">
        <v>0</v>
      </c>
      <c r="M11" s="281">
        <v>5.1999999999999998E-2</v>
      </c>
      <c r="N11" s="282">
        <v>0.86099999999999999</v>
      </c>
      <c r="O11" s="283">
        <v>25</v>
      </c>
      <c r="P11" s="284">
        <v>0.1</v>
      </c>
      <c r="Q11" s="54">
        <v>0</v>
      </c>
      <c r="R11" t="s">
        <v>98</v>
      </c>
      <c r="T11" s="276"/>
      <c r="U11" s="275"/>
      <c r="Y11" t="s">
        <v>613</v>
      </c>
      <c r="Z11" t="s">
        <v>605</v>
      </c>
      <c r="AC11" s="48" t="s">
        <v>419</v>
      </c>
      <c r="AD11" s="47">
        <v>1</v>
      </c>
      <c r="AE11" s="274">
        <f t="shared" ref="AE11" si="5">AP11*AQ11*AO11+AP11*(1-AQ11)*AN11+IF(AG11="г.ф.",AN11*AJ11,AO11*AJ11)</f>
        <v>148.94</v>
      </c>
      <c r="AF11" s="274">
        <f t="shared" ref="AF11" si="6">AE11*AD11</f>
        <v>148.94</v>
      </c>
      <c r="AG11" s="47" t="s">
        <v>372</v>
      </c>
      <c r="AH11" s="17">
        <v>1.6</v>
      </c>
      <c r="AI11" s="266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15" thickBot="1" x14ac:dyDescent="0.35">
      <c r="A12" s="40" t="s">
        <v>601</v>
      </c>
      <c r="B12" s="321" t="str">
        <f t="shared" si="1"/>
        <v>Выкидной нефтепровод Скв 527Т– ГЗУ 27, водогазонефтяная эмульсия</v>
      </c>
      <c r="C12" s="279">
        <v>1</v>
      </c>
      <c r="D12">
        <v>60.271000000000001</v>
      </c>
      <c r="E12" s="43">
        <f t="shared" si="0"/>
        <v>60.271000000000001</v>
      </c>
      <c r="F12" s="280" t="s">
        <v>374</v>
      </c>
      <c r="G12">
        <v>4</v>
      </c>
      <c r="H12" s="280" t="str">
        <f t="shared" si="2"/>
        <v>+12</v>
      </c>
      <c r="I12" s="50">
        <f t="shared" si="3"/>
        <v>1.4137166941154067E-2</v>
      </c>
      <c r="J12" s="51">
        <v>20</v>
      </c>
      <c r="K12" s="49">
        <v>30</v>
      </c>
      <c r="L12" s="204">
        <v>0</v>
      </c>
      <c r="M12" s="281">
        <v>5.1999999999999998E-2</v>
      </c>
      <c r="N12" s="282">
        <v>0.86099999999999999</v>
      </c>
      <c r="O12" s="283">
        <v>25</v>
      </c>
      <c r="P12" s="284">
        <v>0.1</v>
      </c>
      <c r="Q12" s="54">
        <v>0</v>
      </c>
      <c r="R12" t="s">
        <v>98</v>
      </c>
      <c r="X12" s="294"/>
      <c r="Y12" t="s">
        <v>614</v>
      </c>
      <c r="Z12" t="s">
        <v>605</v>
      </c>
    </row>
    <row r="13" spans="1:45" ht="15" thickBot="1" x14ac:dyDescent="0.35">
      <c r="A13" s="40" t="s">
        <v>601</v>
      </c>
      <c r="B13" s="321" t="str">
        <f t="shared" si="1"/>
        <v>Выкидной нефтепровод Скв 530К – (Скв 527Т– ГЗУ 27), водогазонефтяная эмульсия</v>
      </c>
      <c r="C13" s="279">
        <v>1</v>
      </c>
      <c r="D13">
        <v>7.4429999999999996</v>
      </c>
      <c r="E13" s="43">
        <f t="shared" si="0"/>
        <v>7.4429999999999996</v>
      </c>
      <c r="F13" s="280" t="s">
        <v>374</v>
      </c>
      <c r="G13">
        <v>3</v>
      </c>
      <c r="H13" s="280" t="str">
        <f t="shared" si="2"/>
        <v>+12</v>
      </c>
      <c r="I13" s="50">
        <f t="shared" si="3"/>
        <v>1.4137166941154067E-2</v>
      </c>
      <c r="J13" s="51">
        <v>20</v>
      </c>
      <c r="K13" s="49">
        <v>30</v>
      </c>
      <c r="L13" s="204">
        <v>0</v>
      </c>
      <c r="M13" s="281">
        <v>5.1999999999999998E-2</v>
      </c>
      <c r="N13" s="282">
        <v>0.86099999999999999</v>
      </c>
      <c r="O13" s="283">
        <v>25</v>
      </c>
      <c r="P13" s="284">
        <v>0.1</v>
      </c>
      <c r="Q13" s="54">
        <v>0</v>
      </c>
      <c r="R13" t="s">
        <v>98</v>
      </c>
      <c r="X13" s="294"/>
      <c r="Y13" t="s">
        <v>615</v>
      </c>
      <c r="Z13" t="s">
        <v>605</v>
      </c>
    </row>
    <row r="14" spans="1:45" x14ac:dyDescent="0.3">
      <c r="A14" s="40" t="s">
        <v>601</v>
      </c>
      <c r="B14" s="321" t="str">
        <f t="shared" si="1"/>
        <v>Выкидной нефтепровод Скв 570 – (Скв 886 – ГЗУ 30), водогазонефтяная эмульсия</v>
      </c>
      <c r="C14" s="279">
        <v>1</v>
      </c>
      <c r="D14">
        <v>8.4000000000000005E-2</v>
      </c>
      <c r="E14" s="43">
        <f t="shared" si="0"/>
        <v>8.4000000000000005E-2</v>
      </c>
      <c r="F14" s="280" t="s">
        <v>374</v>
      </c>
      <c r="G14">
        <v>2</v>
      </c>
      <c r="H14" s="280" t="str">
        <f t="shared" si="2"/>
        <v>+12</v>
      </c>
      <c r="I14" s="50">
        <f t="shared" si="3"/>
        <v>1.4137166941154067E-2</v>
      </c>
      <c r="J14" s="51">
        <v>20</v>
      </c>
      <c r="K14" s="49">
        <v>30</v>
      </c>
      <c r="L14" s="204">
        <v>0</v>
      </c>
      <c r="M14" s="281">
        <v>5.1999999999999998E-2</v>
      </c>
      <c r="N14" s="282">
        <v>0.86099999999999999</v>
      </c>
      <c r="O14" s="283">
        <v>25</v>
      </c>
      <c r="P14" s="284">
        <v>0.1</v>
      </c>
      <c r="Q14" s="54">
        <v>0</v>
      </c>
      <c r="R14" t="s">
        <v>98</v>
      </c>
      <c r="Y14" t="s">
        <v>616</v>
      </c>
      <c r="Z14" t="s">
        <v>605</v>
      </c>
    </row>
    <row r="15" spans="1:45" x14ac:dyDescent="0.3">
      <c r="A15" s="40" t="s">
        <v>601</v>
      </c>
      <c r="B15" s="321" t="str">
        <f t="shared" si="1"/>
        <v>Выкидной нефтепровод Скв 851 – ГЗУ Д-851 (блок гребенка), водогазонефтяная эмульсия</v>
      </c>
      <c r="C15" s="279">
        <v>1</v>
      </c>
      <c r="D15">
        <v>0.34</v>
      </c>
      <c r="E15" s="43">
        <f t="shared" si="0"/>
        <v>0.34</v>
      </c>
      <c r="F15" s="280" t="s">
        <v>374</v>
      </c>
      <c r="G15">
        <v>2.2999999999999998</v>
      </c>
      <c r="H15" s="280" t="str">
        <f t="shared" si="2"/>
        <v>+12</v>
      </c>
      <c r="I15" s="50">
        <f t="shared" si="3"/>
        <v>1.4137166941154067E-2</v>
      </c>
      <c r="J15" s="51">
        <v>20</v>
      </c>
      <c r="K15" s="49">
        <v>30</v>
      </c>
      <c r="L15" s="204">
        <v>0</v>
      </c>
      <c r="M15" s="281">
        <v>5.1999999999999998E-2</v>
      </c>
      <c r="N15" s="282">
        <v>0.86099999999999999</v>
      </c>
      <c r="O15" s="283">
        <v>25</v>
      </c>
      <c r="P15" s="284">
        <v>0.1</v>
      </c>
      <c r="Q15" s="54">
        <v>0</v>
      </c>
      <c r="R15" t="s">
        <v>98</v>
      </c>
      <c r="X15">
        <f>SUM(X12:X13)</f>
        <v>0</v>
      </c>
      <c r="Y15" t="s">
        <v>617</v>
      </c>
      <c r="Z15" t="s">
        <v>605</v>
      </c>
    </row>
    <row r="16" spans="1:45" x14ac:dyDescent="0.3">
      <c r="A16" s="40" t="s">
        <v>601</v>
      </c>
      <c r="B16" s="321" t="str">
        <f t="shared" si="1"/>
        <v>Выкидной нефтепровод ГЗУ Д-851 (блок гребенка) – (Скв 857 – ГЗУ 27), водогазонефтяная эмульсия</v>
      </c>
      <c r="C16" s="279">
        <v>1</v>
      </c>
      <c r="D16">
        <v>0.47199999999999998</v>
      </c>
      <c r="E16" s="43">
        <f t="shared" si="0"/>
        <v>0.47199999999999998</v>
      </c>
      <c r="F16" s="280" t="s">
        <v>374</v>
      </c>
      <c r="G16">
        <v>3</v>
      </c>
      <c r="H16" s="280" t="str">
        <f t="shared" si="2"/>
        <v>+12</v>
      </c>
      <c r="I16" s="50">
        <f t="shared" si="3"/>
        <v>1.4137166941154067E-2</v>
      </c>
      <c r="J16" s="51">
        <v>20</v>
      </c>
      <c r="K16" s="49">
        <v>30</v>
      </c>
      <c r="L16" s="204">
        <v>0</v>
      </c>
      <c r="M16" s="281">
        <v>5.1999999999999998E-2</v>
      </c>
      <c r="N16" s="282">
        <v>0.86099999999999999</v>
      </c>
      <c r="O16" s="283">
        <v>25</v>
      </c>
      <c r="P16" s="284">
        <v>0.1</v>
      </c>
      <c r="Q16" s="54">
        <v>0</v>
      </c>
      <c r="R16" t="s">
        <v>98</v>
      </c>
      <c r="Y16" t="s">
        <v>618</v>
      </c>
      <c r="Z16" t="s">
        <v>605</v>
      </c>
    </row>
    <row r="17" spans="1:26" x14ac:dyDescent="0.3">
      <c r="A17" s="40" t="s">
        <v>601</v>
      </c>
      <c r="B17" s="321" t="str">
        <f t="shared" si="1"/>
        <v>Выкидной нефтепровод Скв 852 – ГЗУ 28, водогазонефтяная эмульсия</v>
      </c>
      <c r="C17" s="279">
        <v>1</v>
      </c>
      <c r="D17">
        <v>0.92700000000000005</v>
      </c>
      <c r="E17" s="43">
        <f t="shared" si="0"/>
        <v>0.92700000000000005</v>
      </c>
      <c r="F17" s="280" t="s">
        <v>374</v>
      </c>
      <c r="G17">
        <v>2.6</v>
      </c>
      <c r="H17" s="280" t="str">
        <f t="shared" si="2"/>
        <v>+12</v>
      </c>
      <c r="I17" s="50">
        <f t="shared" si="3"/>
        <v>1.4137166941154067E-2</v>
      </c>
      <c r="J17" s="51">
        <v>20</v>
      </c>
      <c r="K17" s="49">
        <v>30</v>
      </c>
      <c r="L17" s="204">
        <v>0</v>
      </c>
      <c r="M17" s="281">
        <v>5.1999999999999998E-2</v>
      </c>
      <c r="N17" s="282">
        <v>0.86099999999999999</v>
      </c>
      <c r="O17" s="283">
        <v>25</v>
      </c>
      <c r="P17" s="284">
        <v>0.1</v>
      </c>
      <c r="Q17" s="54">
        <v>0</v>
      </c>
      <c r="R17" t="s">
        <v>98</v>
      </c>
      <c r="Y17" t="s">
        <v>619</v>
      </c>
      <c r="Z17" t="s">
        <v>605</v>
      </c>
    </row>
    <row r="18" spans="1:26" x14ac:dyDescent="0.3">
      <c r="A18" s="40" t="s">
        <v>601</v>
      </c>
      <c r="B18" s="321" t="str">
        <f t="shared" si="1"/>
        <v>Выкидной нефтепровод Скв 857 – ГЗУ 27, водогазонефтяная эмульсия</v>
      </c>
      <c r="C18" s="279">
        <v>1</v>
      </c>
      <c r="D18">
        <v>4.2229999999999999</v>
      </c>
      <c r="E18" s="43">
        <f t="shared" si="0"/>
        <v>4.2229999999999999</v>
      </c>
      <c r="F18" s="280" t="s">
        <v>374</v>
      </c>
      <c r="G18">
        <v>1.8</v>
      </c>
      <c r="H18" s="280" t="str">
        <f t="shared" si="2"/>
        <v>+12</v>
      </c>
      <c r="I18" s="50">
        <f t="shared" si="3"/>
        <v>1.4137166941154067E-2</v>
      </c>
      <c r="J18" s="51">
        <v>20</v>
      </c>
      <c r="K18" s="49">
        <v>30</v>
      </c>
      <c r="L18" s="204">
        <v>0</v>
      </c>
      <c r="M18" s="281">
        <v>5.1999999999999998E-2</v>
      </c>
      <c r="N18" s="282">
        <v>0.86099999999999999</v>
      </c>
      <c r="O18" s="283">
        <v>25</v>
      </c>
      <c r="P18" s="284">
        <v>0.1</v>
      </c>
      <c r="Q18" s="54">
        <v>0</v>
      </c>
      <c r="R18" t="s">
        <v>98</v>
      </c>
      <c r="Y18" t="s">
        <v>620</v>
      </c>
      <c r="Z18" t="s">
        <v>605</v>
      </c>
    </row>
    <row r="19" spans="1:26" x14ac:dyDescent="0.3">
      <c r="A19" s="40" t="s">
        <v>601</v>
      </c>
      <c r="B19" s="321" t="str">
        <f t="shared" si="1"/>
        <v>Выкидной нефтепровод Скв 858 – ГЗУ 28, водогазонефтяная эмульсия</v>
      </c>
      <c r="C19" s="279">
        <v>1</v>
      </c>
      <c r="D19">
        <v>2.423</v>
      </c>
      <c r="E19" s="43">
        <f t="shared" si="0"/>
        <v>2.423</v>
      </c>
      <c r="F19" s="280" t="s">
        <v>374</v>
      </c>
      <c r="G19">
        <v>1.5</v>
      </c>
      <c r="H19" s="280" t="str">
        <f t="shared" si="2"/>
        <v>+12</v>
      </c>
      <c r="I19" s="50">
        <f t="shared" si="3"/>
        <v>1.4137166941154067E-2</v>
      </c>
      <c r="J19" s="51">
        <v>20</v>
      </c>
      <c r="K19" s="49">
        <v>30</v>
      </c>
      <c r="L19" s="204">
        <v>0</v>
      </c>
      <c r="M19" s="281">
        <v>5.1999999999999998E-2</v>
      </c>
      <c r="N19" s="282">
        <v>0.86099999999999999</v>
      </c>
      <c r="O19" s="283">
        <v>25</v>
      </c>
      <c r="P19" s="284">
        <v>0.1</v>
      </c>
      <c r="Q19" s="54">
        <v>0</v>
      </c>
      <c r="R19" t="s">
        <v>98</v>
      </c>
      <c r="Y19" t="s">
        <v>621</v>
      </c>
      <c r="Z19" t="s">
        <v>605</v>
      </c>
    </row>
    <row r="20" spans="1:26" x14ac:dyDescent="0.3">
      <c r="A20" s="40" t="s">
        <v>601</v>
      </c>
      <c r="B20" s="321" t="str">
        <f t="shared" si="1"/>
        <v>Выкидной нефтепровод Скв 859 – ГЗУ 30, водогазонефтяная эмульсия</v>
      </c>
      <c r="C20" s="279">
        <v>1</v>
      </c>
      <c r="D20">
        <v>6.1740000000000004</v>
      </c>
      <c r="E20" s="43">
        <f t="shared" si="0"/>
        <v>6.1740000000000004</v>
      </c>
      <c r="F20" s="280" t="s">
        <v>374</v>
      </c>
      <c r="G20">
        <v>2</v>
      </c>
      <c r="H20" s="280" t="str">
        <f t="shared" si="2"/>
        <v>+12</v>
      </c>
      <c r="I20" s="50">
        <f t="shared" si="3"/>
        <v>1.4137166941154067E-2</v>
      </c>
      <c r="J20" s="51">
        <v>20</v>
      </c>
      <c r="K20" s="49">
        <v>30</v>
      </c>
      <c r="L20" s="204">
        <v>0</v>
      </c>
      <c r="M20" s="281">
        <v>5.1999999999999998E-2</v>
      </c>
      <c r="N20" s="282">
        <v>0.86099999999999999</v>
      </c>
      <c r="O20" s="283">
        <v>25</v>
      </c>
      <c r="P20" s="284">
        <v>0.1</v>
      </c>
      <c r="Q20" s="54">
        <v>0</v>
      </c>
      <c r="R20" t="s">
        <v>98</v>
      </c>
      <c r="Y20" t="s">
        <v>622</v>
      </c>
      <c r="Z20" t="s">
        <v>605</v>
      </c>
    </row>
    <row r="21" spans="1:26" x14ac:dyDescent="0.3">
      <c r="A21" s="40" t="s">
        <v>601</v>
      </c>
      <c r="B21" s="321" t="str">
        <f t="shared" si="1"/>
        <v>Выкидной нефтепровод Скв 862 – ГЗУ 30, водогазонефтяная эмульсия</v>
      </c>
      <c r="C21" s="279">
        <v>1</v>
      </c>
      <c r="D21">
        <v>6.923</v>
      </c>
      <c r="E21" s="43">
        <f t="shared" si="0"/>
        <v>6.923</v>
      </c>
      <c r="F21" s="280" t="s">
        <v>374</v>
      </c>
      <c r="G21">
        <v>2</v>
      </c>
      <c r="H21" s="280" t="str">
        <f t="shared" si="2"/>
        <v>+12</v>
      </c>
      <c r="I21" s="50">
        <f t="shared" si="3"/>
        <v>1.4137166941154067E-2</v>
      </c>
      <c r="J21" s="51">
        <v>20</v>
      </c>
      <c r="K21" s="49">
        <v>30</v>
      </c>
      <c r="L21" s="204">
        <v>0</v>
      </c>
      <c r="M21" s="281">
        <v>5.1999999999999998E-2</v>
      </c>
      <c r="N21" s="282">
        <v>0.86099999999999999</v>
      </c>
      <c r="O21" s="283">
        <v>25</v>
      </c>
      <c r="P21" s="284">
        <v>0.1</v>
      </c>
      <c r="Q21" s="54">
        <v>0</v>
      </c>
      <c r="R21" t="s">
        <v>98</v>
      </c>
      <c r="Y21" t="s">
        <v>623</v>
      </c>
      <c r="Z21" t="s">
        <v>605</v>
      </c>
    </row>
    <row r="22" spans="1:26" x14ac:dyDescent="0.3">
      <c r="A22" s="40" t="s">
        <v>601</v>
      </c>
      <c r="B22" s="321" t="str">
        <f t="shared" si="1"/>
        <v>Выкидной нефтепровод Скв 863 – ГЗУ 31, водогазонефтяная эмульсия</v>
      </c>
      <c r="C22" s="279">
        <v>1</v>
      </c>
      <c r="D22">
        <v>4.4169999999999998</v>
      </c>
      <c r="E22" s="43">
        <f t="shared" si="0"/>
        <v>4.4169999999999998</v>
      </c>
      <c r="F22" s="280" t="s">
        <v>374</v>
      </c>
      <c r="G22">
        <v>1.7</v>
      </c>
      <c r="H22" s="280" t="str">
        <f t="shared" si="2"/>
        <v>+12</v>
      </c>
      <c r="I22" s="50">
        <f t="shared" si="3"/>
        <v>1.4137166941154067E-2</v>
      </c>
      <c r="J22" s="51">
        <v>20</v>
      </c>
      <c r="K22" s="49">
        <v>30</v>
      </c>
      <c r="L22" s="204">
        <v>0</v>
      </c>
      <c r="M22" s="281">
        <v>5.1999999999999998E-2</v>
      </c>
      <c r="N22" s="282">
        <v>0.86099999999999999</v>
      </c>
      <c r="O22" s="283">
        <v>25</v>
      </c>
      <c r="P22" s="284">
        <v>0.1</v>
      </c>
      <c r="Q22" s="54">
        <v>0</v>
      </c>
      <c r="R22" t="s">
        <v>98</v>
      </c>
      <c r="Y22" t="s">
        <v>624</v>
      </c>
      <c r="Z22" t="s">
        <v>605</v>
      </c>
    </row>
    <row r="23" spans="1:26" x14ac:dyDescent="0.3">
      <c r="A23" s="40" t="s">
        <v>601</v>
      </c>
      <c r="B23" s="321" t="str">
        <f t="shared" si="1"/>
        <v>Выкидной нефтепровод Скв 864 – ГЗУ 30, водогазонефтяная эмульсия</v>
      </c>
      <c r="C23" s="279">
        <v>1</v>
      </c>
      <c r="D23">
        <v>5.5389999999999997</v>
      </c>
      <c r="E23" s="43">
        <f t="shared" si="0"/>
        <v>5.5389999999999997</v>
      </c>
      <c r="F23" s="280" t="s">
        <v>374</v>
      </c>
      <c r="G23">
        <v>1.4</v>
      </c>
      <c r="H23" s="280" t="str">
        <f t="shared" si="2"/>
        <v>+12</v>
      </c>
      <c r="I23" s="50">
        <f t="shared" si="3"/>
        <v>1.4137166941154067E-2</v>
      </c>
      <c r="J23" s="51">
        <v>20</v>
      </c>
      <c r="K23" s="49">
        <v>30</v>
      </c>
      <c r="L23" s="204">
        <v>0</v>
      </c>
      <c r="M23" s="281">
        <v>5.1999999999999998E-2</v>
      </c>
      <c r="N23" s="282">
        <v>0.86099999999999999</v>
      </c>
      <c r="O23" s="283">
        <v>25</v>
      </c>
      <c r="P23" s="284">
        <v>0.1</v>
      </c>
      <c r="Q23" s="54">
        <v>0</v>
      </c>
      <c r="R23" t="s">
        <v>98</v>
      </c>
      <c r="Y23" t="s">
        <v>625</v>
      </c>
      <c r="Z23" t="s">
        <v>605</v>
      </c>
    </row>
    <row r="24" spans="1:26" x14ac:dyDescent="0.3">
      <c r="A24" s="40" t="s">
        <v>601</v>
      </c>
      <c r="B24" s="321" t="str">
        <f t="shared" si="1"/>
        <v>Выкидной нефтепровод Скв 865–  (Скв 901 - ГЗУ 30), водогазонефтяная эмульсия</v>
      </c>
      <c r="C24" s="279">
        <v>1</v>
      </c>
      <c r="D24">
        <v>0.67</v>
      </c>
      <c r="E24" s="43">
        <f t="shared" si="0"/>
        <v>0.67</v>
      </c>
      <c r="F24" s="280" t="s">
        <v>374</v>
      </c>
      <c r="G24">
        <v>2.1</v>
      </c>
      <c r="H24" s="280" t="str">
        <f t="shared" si="2"/>
        <v>+12</v>
      </c>
      <c r="I24" s="50">
        <f t="shared" si="3"/>
        <v>1.4137166941154067E-2</v>
      </c>
      <c r="J24" s="51">
        <v>20</v>
      </c>
      <c r="K24" s="49">
        <v>30</v>
      </c>
      <c r="L24" s="204">
        <v>0</v>
      </c>
      <c r="M24" s="281">
        <v>5.1999999999999998E-2</v>
      </c>
      <c r="N24" s="282">
        <v>0.86099999999999999</v>
      </c>
      <c r="O24" s="283">
        <v>25</v>
      </c>
      <c r="P24" s="284">
        <v>0.1</v>
      </c>
      <c r="Q24" s="54">
        <v>0</v>
      </c>
      <c r="R24" t="s">
        <v>98</v>
      </c>
      <c r="Y24" t="s">
        <v>626</v>
      </c>
      <c r="Z24" t="s">
        <v>605</v>
      </c>
    </row>
    <row r="25" spans="1:26" x14ac:dyDescent="0.3">
      <c r="A25" s="40" t="s">
        <v>601</v>
      </c>
      <c r="B25" s="321" t="str">
        <f t="shared" si="1"/>
        <v>Выкидной нефтепровод Скв 866– БГ 29, водогазонефтяная эмульсия</v>
      </c>
      <c r="C25" s="279">
        <v>1</v>
      </c>
      <c r="D25">
        <v>1.262</v>
      </c>
      <c r="E25" s="43">
        <f t="shared" si="0"/>
        <v>1.262</v>
      </c>
      <c r="F25" s="280" t="s">
        <v>374</v>
      </c>
      <c r="G25">
        <v>2</v>
      </c>
      <c r="H25" s="280" t="str">
        <f t="shared" si="2"/>
        <v>+12</v>
      </c>
      <c r="I25" s="50">
        <f t="shared" si="3"/>
        <v>1.4137166941154067E-2</v>
      </c>
      <c r="J25" s="51">
        <v>20</v>
      </c>
      <c r="K25" s="49">
        <v>30</v>
      </c>
      <c r="L25" s="204">
        <v>0</v>
      </c>
      <c r="M25" s="281">
        <v>5.1999999999999998E-2</v>
      </c>
      <c r="N25" s="282">
        <v>0.86099999999999999</v>
      </c>
      <c r="O25" s="283">
        <v>25</v>
      </c>
      <c r="P25" s="284">
        <v>0.1</v>
      </c>
      <c r="Q25" s="54">
        <v>0</v>
      </c>
      <c r="R25" t="s">
        <v>98</v>
      </c>
      <c r="Y25" t="s">
        <v>627</v>
      </c>
      <c r="Z25" t="s">
        <v>605</v>
      </c>
    </row>
    <row r="26" spans="1:26" x14ac:dyDescent="0.3">
      <c r="A26" s="40" t="s">
        <v>601</v>
      </c>
      <c r="B26" s="321" t="str">
        <f t="shared" si="1"/>
        <v>Выкидной нефтепровод Скв 868 – (ГЗУ 30 - ГЗУ 28), водогазонефтяная эмульсия</v>
      </c>
      <c r="C26" s="279">
        <v>1</v>
      </c>
      <c r="D26">
        <v>1.2969999999999999</v>
      </c>
      <c r="E26" s="43">
        <f t="shared" si="0"/>
        <v>1.2969999999999999</v>
      </c>
      <c r="F26" s="280" t="s">
        <v>374</v>
      </c>
      <c r="G26">
        <v>2</v>
      </c>
      <c r="H26" s="280" t="str">
        <f t="shared" si="2"/>
        <v>+12</v>
      </c>
      <c r="I26" s="50">
        <f t="shared" si="3"/>
        <v>1.4137166941154067E-2</v>
      </c>
      <c r="J26" s="51">
        <v>20</v>
      </c>
      <c r="K26" s="49">
        <v>30</v>
      </c>
      <c r="L26" s="204">
        <v>0</v>
      </c>
      <c r="M26" s="281">
        <v>5.1999999999999998E-2</v>
      </c>
      <c r="N26" s="282">
        <v>0.86099999999999999</v>
      </c>
      <c r="O26" s="283">
        <v>25</v>
      </c>
      <c r="P26" s="284">
        <v>0.1</v>
      </c>
      <c r="Q26" s="54">
        <v>0</v>
      </c>
      <c r="R26" t="s">
        <v>98</v>
      </c>
      <c r="Y26" t="s">
        <v>628</v>
      </c>
      <c r="Z26" t="s">
        <v>605</v>
      </c>
    </row>
    <row r="27" spans="1:26" x14ac:dyDescent="0.3">
      <c r="A27" s="40" t="s">
        <v>601</v>
      </c>
      <c r="B27" s="321" t="str">
        <f t="shared" si="1"/>
        <v>Выкидной нефтепровод Скв 869 – ГЗУ 28, водогазонефтяная эмульсия</v>
      </c>
      <c r="C27" s="279">
        <v>1</v>
      </c>
      <c r="D27">
        <v>7.7889999999999997</v>
      </c>
      <c r="E27" s="43">
        <f t="shared" si="0"/>
        <v>7.7889999999999997</v>
      </c>
      <c r="F27" s="280" t="s">
        <v>374</v>
      </c>
      <c r="G27">
        <v>1.7</v>
      </c>
      <c r="H27" s="280" t="str">
        <f t="shared" si="2"/>
        <v>+12</v>
      </c>
      <c r="I27" s="50">
        <f t="shared" si="3"/>
        <v>1.4137166941154067E-2</v>
      </c>
      <c r="J27" s="51">
        <v>20</v>
      </c>
      <c r="K27" s="49">
        <v>30</v>
      </c>
      <c r="L27" s="204">
        <v>0</v>
      </c>
      <c r="M27" s="281">
        <v>5.1999999999999998E-2</v>
      </c>
      <c r="N27" s="282">
        <v>0.86099999999999999</v>
      </c>
      <c r="O27" s="283">
        <v>25</v>
      </c>
      <c r="P27" s="284">
        <v>0.1</v>
      </c>
      <c r="Q27" s="54">
        <v>0</v>
      </c>
      <c r="R27" t="s">
        <v>98</v>
      </c>
      <c r="Y27" t="s">
        <v>629</v>
      </c>
      <c r="Z27" t="s">
        <v>605</v>
      </c>
    </row>
    <row r="28" spans="1:26" x14ac:dyDescent="0.3">
      <c r="A28" s="40" t="s">
        <v>601</v>
      </c>
      <c r="B28" s="321" t="str">
        <f t="shared" si="1"/>
        <v>Выкидной нефтепровод Скв 871 – (Скв 879 - ГЗУ 27), водогазонефтяная эмульсия</v>
      </c>
      <c r="C28" s="279">
        <v>1</v>
      </c>
      <c r="D28">
        <v>0.33500000000000002</v>
      </c>
      <c r="E28" s="43">
        <f t="shared" si="0"/>
        <v>0.33500000000000002</v>
      </c>
      <c r="F28" s="280" t="s">
        <v>374</v>
      </c>
      <c r="G28">
        <v>2.1</v>
      </c>
      <c r="H28" s="280" t="str">
        <f t="shared" si="2"/>
        <v>+12</v>
      </c>
      <c r="I28" s="50">
        <f t="shared" si="3"/>
        <v>1.4137166941154067E-2</v>
      </c>
      <c r="J28" s="51">
        <v>20</v>
      </c>
      <c r="K28" s="49">
        <v>30</v>
      </c>
      <c r="L28" s="204">
        <v>0</v>
      </c>
      <c r="M28" s="281">
        <v>5.1999999999999998E-2</v>
      </c>
      <c r="N28" s="282">
        <v>0.86099999999999999</v>
      </c>
      <c r="O28" s="283">
        <v>25</v>
      </c>
      <c r="P28" s="284">
        <v>0.1</v>
      </c>
      <c r="Q28" s="54">
        <v>0</v>
      </c>
      <c r="R28" t="s">
        <v>98</v>
      </c>
      <c r="Y28" t="s">
        <v>630</v>
      </c>
      <c r="Z28" t="s">
        <v>605</v>
      </c>
    </row>
    <row r="29" spans="1:26" x14ac:dyDescent="0.3">
      <c r="A29" s="40" t="s">
        <v>601</v>
      </c>
      <c r="B29" s="321" t="str">
        <f t="shared" si="1"/>
        <v>Выкидной нефтепровод Скв 873 – (Скв 880 – ГЗУ 27), водогазонефтяная эмульсия</v>
      </c>
      <c r="C29" s="279">
        <v>1</v>
      </c>
      <c r="D29">
        <v>0.113</v>
      </c>
      <c r="E29" s="43">
        <f t="shared" si="0"/>
        <v>0.113</v>
      </c>
      <c r="F29" s="280" t="s">
        <v>374</v>
      </c>
      <c r="G29">
        <v>2.2000000000000002</v>
      </c>
      <c r="H29" s="280" t="str">
        <f t="shared" si="2"/>
        <v>+12</v>
      </c>
      <c r="I29" s="50">
        <f t="shared" si="3"/>
        <v>1.4137166941154067E-2</v>
      </c>
      <c r="J29" s="51">
        <v>20</v>
      </c>
      <c r="K29" s="49">
        <v>30</v>
      </c>
      <c r="L29" s="204">
        <v>0</v>
      </c>
      <c r="M29" s="281">
        <v>5.1999999999999998E-2</v>
      </c>
      <c r="N29" s="282">
        <v>0.86099999999999999</v>
      </c>
      <c r="O29" s="283">
        <v>25</v>
      </c>
      <c r="P29" s="284">
        <v>0.1</v>
      </c>
      <c r="Q29" s="54">
        <v>0</v>
      </c>
      <c r="R29" t="s">
        <v>98</v>
      </c>
      <c r="Y29" t="s">
        <v>631</v>
      </c>
      <c r="Z29" t="s">
        <v>605</v>
      </c>
    </row>
    <row r="30" spans="1:26" x14ac:dyDescent="0.3">
      <c r="A30" s="40" t="s">
        <v>601</v>
      </c>
      <c r="B30" s="321" t="str">
        <f t="shared" si="1"/>
        <v>Выкидной нефтепровод Скв 875 - ГЗУ 31, водогазонефтяная эмульсия</v>
      </c>
      <c r="C30" s="279">
        <v>1</v>
      </c>
      <c r="D30">
        <v>3.3650000000000002</v>
      </c>
      <c r="E30" s="43">
        <f t="shared" si="0"/>
        <v>3.3650000000000002</v>
      </c>
      <c r="F30" s="280" t="s">
        <v>374</v>
      </c>
      <c r="G30">
        <v>2.9</v>
      </c>
      <c r="H30" s="280" t="str">
        <f t="shared" si="2"/>
        <v>+12</v>
      </c>
      <c r="I30" s="50">
        <f t="shared" si="3"/>
        <v>1.4137166941154067E-2</v>
      </c>
      <c r="J30" s="51">
        <v>20</v>
      </c>
      <c r="K30" s="49">
        <v>30</v>
      </c>
      <c r="L30" s="204">
        <v>0</v>
      </c>
      <c r="M30" s="281">
        <v>5.1999999999999998E-2</v>
      </c>
      <c r="N30" s="282">
        <v>0.86099999999999999</v>
      </c>
      <c r="O30" s="283">
        <v>25</v>
      </c>
      <c r="P30" s="284">
        <v>0.1</v>
      </c>
      <c r="Q30" s="54">
        <v>0</v>
      </c>
      <c r="R30" t="s">
        <v>98</v>
      </c>
      <c r="Y30" t="s">
        <v>632</v>
      </c>
      <c r="Z30" t="s">
        <v>605</v>
      </c>
    </row>
    <row r="31" spans="1:26" x14ac:dyDescent="0.3">
      <c r="A31" s="40" t="s">
        <v>601</v>
      </c>
      <c r="B31" s="321" t="str">
        <f t="shared" si="1"/>
        <v>Выкидной нефтепровод Скв 878 – (Скв 875 - ГЗУ 31), водогазонефтяная эмульсия</v>
      </c>
      <c r="C31" s="279">
        <v>1</v>
      </c>
      <c r="D31">
        <v>4.327</v>
      </c>
      <c r="E31" s="43">
        <f t="shared" si="0"/>
        <v>4.327</v>
      </c>
      <c r="F31" s="280" t="s">
        <v>374</v>
      </c>
      <c r="G31">
        <v>2.9</v>
      </c>
      <c r="H31" s="280" t="str">
        <f t="shared" si="2"/>
        <v>+12</v>
      </c>
      <c r="I31" s="50">
        <f t="shared" si="3"/>
        <v>1.4137166941154067E-2</v>
      </c>
      <c r="J31" s="51">
        <v>20</v>
      </c>
      <c r="K31" s="49">
        <v>30</v>
      </c>
      <c r="L31" s="204">
        <v>0</v>
      </c>
      <c r="M31" s="281">
        <v>5.1999999999999998E-2</v>
      </c>
      <c r="N31" s="282">
        <v>0.86099999999999999</v>
      </c>
      <c r="O31" s="283">
        <v>25</v>
      </c>
      <c r="P31" s="284">
        <v>0.1</v>
      </c>
      <c r="Q31" s="54">
        <v>0</v>
      </c>
      <c r="R31" t="s">
        <v>98</v>
      </c>
      <c r="Y31" t="s">
        <v>633</v>
      </c>
      <c r="Z31" t="s">
        <v>605</v>
      </c>
    </row>
    <row r="32" spans="1:26" x14ac:dyDescent="0.3">
      <c r="A32" s="40" t="s">
        <v>601</v>
      </c>
      <c r="B32" s="321" t="str">
        <f t="shared" si="1"/>
        <v>Выкидной нефтепровод Скв 879 - ГЗУ 27, водогазонефтяная эмульсия</v>
      </c>
      <c r="C32" s="279">
        <v>1</v>
      </c>
      <c r="D32">
        <v>5.1929999999999996</v>
      </c>
      <c r="E32" s="43">
        <f t="shared" si="0"/>
        <v>5.1929999999999996</v>
      </c>
      <c r="F32" s="280" t="s">
        <v>374</v>
      </c>
      <c r="G32">
        <v>2</v>
      </c>
      <c r="H32" s="280" t="str">
        <f t="shared" si="2"/>
        <v>+12</v>
      </c>
      <c r="I32" s="50">
        <f t="shared" si="3"/>
        <v>1.4137166941154067E-2</v>
      </c>
      <c r="J32" s="51">
        <v>20</v>
      </c>
      <c r="K32" s="49">
        <v>30</v>
      </c>
      <c r="L32" s="204">
        <v>0</v>
      </c>
      <c r="M32" s="281">
        <v>5.1999999999999998E-2</v>
      </c>
      <c r="N32" s="282">
        <v>0.86099999999999999</v>
      </c>
      <c r="O32" s="283">
        <v>25</v>
      </c>
      <c r="P32" s="284">
        <v>0.1</v>
      </c>
      <c r="Q32" s="54">
        <v>0</v>
      </c>
      <c r="R32" t="s">
        <v>98</v>
      </c>
      <c r="Y32" t="s">
        <v>634</v>
      </c>
      <c r="Z32" t="s">
        <v>605</v>
      </c>
    </row>
    <row r="33" spans="1:26" x14ac:dyDescent="0.3">
      <c r="A33" s="40" t="s">
        <v>601</v>
      </c>
      <c r="B33" s="321" t="str">
        <f t="shared" si="1"/>
        <v>Выкидной нефтепровод Скв 886 – ГЗУ 30, водогазонефтяная эмульсия</v>
      </c>
      <c r="C33" s="279">
        <v>1</v>
      </c>
      <c r="D33">
        <v>2.944</v>
      </c>
      <c r="E33" s="43">
        <f t="shared" si="0"/>
        <v>2.944</v>
      </c>
      <c r="F33" s="280" t="s">
        <v>374</v>
      </c>
      <c r="G33">
        <v>2</v>
      </c>
      <c r="H33" s="280" t="str">
        <f t="shared" si="2"/>
        <v>+12</v>
      </c>
      <c r="I33" s="50">
        <f t="shared" si="3"/>
        <v>1.4137166941154067E-2</v>
      </c>
      <c r="J33" s="51">
        <v>20</v>
      </c>
      <c r="K33" s="49">
        <v>30</v>
      </c>
      <c r="L33" s="204">
        <v>0</v>
      </c>
      <c r="M33" s="281">
        <v>5.1999999999999998E-2</v>
      </c>
      <c r="N33" s="282">
        <v>0.86099999999999999</v>
      </c>
      <c r="O33" s="283">
        <v>25</v>
      </c>
      <c r="P33" s="284">
        <v>0.1</v>
      </c>
      <c r="Q33" s="54">
        <v>0</v>
      </c>
      <c r="R33" t="s">
        <v>98</v>
      </c>
      <c r="Y33" t="s">
        <v>635</v>
      </c>
      <c r="Z33" t="s">
        <v>605</v>
      </c>
    </row>
    <row r="34" spans="1:26" x14ac:dyDescent="0.3">
      <c r="A34" s="40" t="s">
        <v>601</v>
      </c>
      <c r="B34" s="321" t="str">
        <f t="shared" si="1"/>
        <v>Выкидной нефтепровод Скв 887 – ГЗУ 30, водогазонефтяная эмульсия</v>
      </c>
      <c r="C34" s="279">
        <v>1</v>
      </c>
      <c r="D34">
        <v>4.327</v>
      </c>
      <c r="E34" s="43">
        <f t="shared" si="0"/>
        <v>4.327</v>
      </c>
      <c r="F34" s="280" t="s">
        <v>374</v>
      </c>
      <c r="G34">
        <v>2</v>
      </c>
      <c r="H34" s="280" t="str">
        <f t="shared" si="2"/>
        <v>+12</v>
      </c>
      <c r="I34" s="50">
        <f t="shared" si="3"/>
        <v>1.4137166941154067E-2</v>
      </c>
      <c r="J34" s="51">
        <v>20</v>
      </c>
      <c r="K34" s="49">
        <v>30</v>
      </c>
      <c r="L34" s="204">
        <v>0</v>
      </c>
      <c r="M34" s="281">
        <v>5.1999999999999998E-2</v>
      </c>
      <c r="N34" s="282">
        <v>0.86099999999999999</v>
      </c>
      <c r="O34" s="283">
        <v>25</v>
      </c>
      <c r="P34" s="284">
        <v>0.1</v>
      </c>
      <c r="Q34" s="54">
        <v>0</v>
      </c>
      <c r="R34" t="s">
        <v>98</v>
      </c>
      <c r="Y34" t="s">
        <v>636</v>
      </c>
      <c r="Z34" t="s">
        <v>605</v>
      </c>
    </row>
    <row r="35" spans="1:26" x14ac:dyDescent="0.3">
      <c r="A35" s="40" t="s">
        <v>601</v>
      </c>
      <c r="B35" s="321" t="str">
        <f t="shared" si="1"/>
        <v>Выкидной нефтепровод Скв 890 – БГ 29, водогазонефтяная эмульсия</v>
      </c>
      <c r="C35" s="279">
        <v>1</v>
      </c>
      <c r="D35">
        <v>8.3949999999999996</v>
      </c>
      <c r="E35" s="43">
        <f t="shared" si="0"/>
        <v>8.3949999999999996</v>
      </c>
      <c r="F35" s="280" t="s">
        <v>374</v>
      </c>
      <c r="G35">
        <v>2.5</v>
      </c>
      <c r="H35" s="280" t="str">
        <f t="shared" si="2"/>
        <v>+12</v>
      </c>
      <c r="I35" s="50">
        <f t="shared" si="3"/>
        <v>1.4137166941154067E-2</v>
      </c>
      <c r="J35" s="51">
        <v>20</v>
      </c>
      <c r="K35" s="49">
        <v>30</v>
      </c>
      <c r="L35" s="204">
        <v>0</v>
      </c>
      <c r="M35" s="281">
        <v>5.1999999999999998E-2</v>
      </c>
      <c r="N35" s="282">
        <v>0.86099999999999999</v>
      </c>
      <c r="O35" s="283">
        <v>25</v>
      </c>
      <c r="P35" s="284">
        <v>0.1</v>
      </c>
      <c r="Q35" s="54">
        <v>0</v>
      </c>
      <c r="R35" t="s">
        <v>98</v>
      </c>
      <c r="Y35" t="s">
        <v>637</v>
      </c>
      <c r="Z35" t="s">
        <v>605</v>
      </c>
    </row>
    <row r="36" spans="1:26" x14ac:dyDescent="0.3">
      <c r="A36" s="40" t="s">
        <v>601</v>
      </c>
      <c r="B36" s="321" t="str">
        <f t="shared" si="1"/>
        <v>Выкидной нефтепровод Скв 892 – (НК (нефтяной колодец)– ГЗУ 31), водогазонефтяная эмульсия</v>
      </c>
      <c r="C36" s="279">
        <v>1</v>
      </c>
      <c r="D36">
        <v>1.173</v>
      </c>
      <c r="E36" s="43">
        <f t="shared" si="0"/>
        <v>1.173</v>
      </c>
      <c r="F36" s="280" t="s">
        <v>374</v>
      </c>
      <c r="G36">
        <v>2</v>
      </c>
      <c r="H36" s="280" t="str">
        <f t="shared" si="2"/>
        <v>+12</v>
      </c>
      <c r="I36" s="50">
        <f t="shared" si="3"/>
        <v>1.4137166941154067E-2</v>
      </c>
      <c r="J36" s="51">
        <v>20</v>
      </c>
      <c r="K36" s="49">
        <v>30</v>
      </c>
      <c r="L36" s="204">
        <v>0</v>
      </c>
      <c r="M36" s="281">
        <v>5.1999999999999998E-2</v>
      </c>
      <c r="N36" s="282">
        <v>0.86099999999999999</v>
      </c>
      <c r="O36" s="283">
        <v>25</v>
      </c>
      <c r="P36" s="284">
        <v>0.1</v>
      </c>
      <c r="Q36" s="54">
        <v>0</v>
      </c>
      <c r="R36" t="s">
        <v>98</v>
      </c>
      <c r="Y36" t="s">
        <v>638</v>
      </c>
      <c r="Z36" t="s">
        <v>605</v>
      </c>
    </row>
    <row r="37" spans="1:26" x14ac:dyDescent="0.3">
      <c r="A37" s="40" t="s">
        <v>601</v>
      </c>
      <c r="B37" s="321" t="str">
        <f t="shared" si="1"/>
        <v>Выкидной нефтепровод Скв 893– ГЗУ 27, водогазонефтяная эмульсия</v>
      </c>
      <c r="C37" s="279">
        <v>1</v>
      </c>
      <c r="D37">
        <v>2.91</v>
      </c>
      <c r="E37" s="43">
        <f t="shared" si="0"/>
        <v>2.91</v>
      </c>
      <c r="F37" s="280" t="s">
        <v>374</v>
      </c>
      <c r="G37">
        <v>2.7</v>
      </c>
      <c r="H37" s="280" t="str">
        <f t="shared" si="2"/>
        <v>+12</v>
      </c>
      <c r="I37" s="50">
        <f t="shared" si="3"/>
        <v>1.4137166941154067E-2</v>
      </c>
      <c r="J37" s="51">
        <v>20</v>
      </c>
      <c r="K37" s="49">
        <v>30</v>
      </c>
      <c r="L37" s="204">
        <v>0</v>
      </c>
      <c r="M37" s="281">
        <v>5.1999999999999998E-2</v>
      </c>
      <c r="N37" s="282">
        <v>0.86099999999999999</v>
      </c>
      <c r="O37" s="283">
        <v>25</v>
      </c>
      <c r="P37" s="284">
        <v>0.1</v>
      </c>
      <c r="Q37" s="54">
        <v>0</v>
      </c>
      <c r="R37" t="s">
        <v>98</v>
      </c>
      <c r="Y37" t="s">
        <v>639</v>
      </c>
      <c r="Z37" t="s">
        <v>605</v>
      </c>
    </row>
    <row r="38" spans="1:26" x14ac:dyDescent="0.3">
      <c r="A38" s="40" t="s">
        <v>601</v>
      </c>
      <c r="B38" s="321" t="str">
        <f t="shared" si="1"/>
        <v>Выкидной нефтепровод Скв 894– ГЗУ 28, водогазонефтяная эмульсия</v>
      </c>
      <c r="C38" s="279">
        <v>1</v>
      </c>
      <c r="D38">
        <v>9.6929999999999996</v>
      </c>
      <c r="E38" s="43">
        <f t="shared" si="0"/>
        <v>9.6929999999999996</v>
      </c>
      <c r="F38" s="280" t="s">
        <v>374</v>
      </c>
      <c r="G38">
        <v>1.7</v>
      </c>
      <c r="H38" s="280" t="str">
        <f t="shared" si="2"/>
        <v>+12</v>
      </c>
      <c r="I38" s="50">
        <f t="shared" si="3"/>
        <v>1.4137166941154067E-2</v>
      </c>
      <c r="J38" s="51">
        <v>20</v>
      </c>
      <c r="K38" s="49">
        <v>30</v>
      </c>
      <c r="L38" s="204">
        <v>0</v>
      </c>
      <c r="M38" s="281">
        <v>5.1999999999999998E-2</v>
      </c>
      <c r="N38" s="282">
        <v>0.86099999999999999</v>
      </c>
      <c r="O38" s="283">
        <v>25</v>
      </c>
      <c r="P38" s="284">
        <v>0.1</v>
      </c>
      <c r="Q38" s="54">
        <v>0</v>
      </c>
      <c r="R38" t="s">
        <v>98</v>
      </c>
      <c r="Y38" t="s">
        <v>640</v>
      </c>
      <c r="Z38" t="s">
        <v>605</v>
      </c>
    </row>
    <row r="39" spans="1:26" x14ac:dyDescent="0.3">
      <c r="A39" s="40" t="s">
        <v>601</v>
      </c>
      <c r="B39" s="321" t="str">
        <f t="shared" si="1"/>
        <v>Выкидной нефтепровод Скв 895 – (Скв 896– ГЗУ 31), водогазонефтяная эмульсия</v>
      </c>
      <c r="C39" s="279">
        <v>1</v>
      </c>
      <c r="D39">
        <v>4.024</v>
      </c>
      <c r="E39" s="43">
        <f t="shared" si="0"/>
        <v>4.024</v>
      </c>
      <c r="F39" s="280" t="s">
        <v>374</v>
      </c>
      <c r="G39">
        <v>2.2000000000000002</v>
      </c>
      <c r="H39" s="280" t="str">
        <f t="shared" si="2"/>
        <v>+12</v>
      </c>
      <c r="I39" s="50">
        <f t="shared" si="3"/>
        <v>1.4137166941154067E-2</v>
      </c>
      <c r="J39" s="51">
        <v>20</v>
      </c>
      <c r="K39" s="49">
        <v>30</v>
      </c>
      <c r="L39" s="204">
        <v>0</v>
      </c>
      <c r="M39" s="281">
        <v>5.1999999999999998E-2</v>
      </c>
      <c r="N39" s="282">
        <v>0.86099999999999999</v>
      </c>
      <c r="O39" s="283">
        <v>25</v>
      </c>
      <c r="P39" s="284">
        <v>0.1</v>
      </c>
      <c r="Q39" s="54">
        <v>0</v>
      </c>
      <c r="R39" t="s">
        <v>98</v>
      </c>
      <c r="Y39" t="s">
        <v>641</v>
      </c>
      <c r="Z39" t="s">
        <v>605</v>
      </c>
    </row>
    <row r="40" spans="1:26" x14ac:dyDescent="0.3">
      <c r="A40" s="40" t="s">
        <v>601</v>
      </c>
      <c r="B40" s="321" t="str">
        <f t="shared" si="1"/>
        <v>Выкидной нефтепровод Скв 896– ГЗУ 31, водогазонефтяная эмульсия</v>
      </c>
      <c r="C40" s="279">
        <v>1</v>
      </c>
      <c r="D40">
        <v>5.7119999999999997</v>
      </c>
      <c r="E40" s="43">
        <f t="shared" si="0"/>
        <v>5.7119999999999997</v>
      </c>
      <c r="F40" s="280" t="s">
        <v>374</v>
      </c>
      <c r="G40">
        <v>2.2000000000000002</v>
      </c>
      <c r="H40" s="280" t="str">
        <f t="shared" si="2"/>
        <v>+12</v>
      </c>
      <c r="I40" s="50">
        <f t="shared" si="3"/>
        <v>1.4137166941154067E-2</v>
      </c>
      <c r="J40" s="51">
        <v>20</v>
      </c>
      <c r="K40" s="49">
        <v>30</v>
      </c>
      <c r="L40" s="204">
        <v>0</v>
      </c>
      <c r="M40" s="281">
        <v>5.1999999999999998E-2</v>
      </c>
      <c r="N40" s="282">
        <v>0.86099999999999999</v>
      </c>
      <c r="O40" s="283">
        <v>25</v>
      </c>
      <c r="P40" s="284">
        <v>0.1</v>
      </c>
      <c r="Q40" s="54">
        <v>0</v>
      </c>
      <c r="R40" t="s">
        <v>98</v>
      </c>
      <c r="Y40" t="s">
        <v>642</v>
      </c>
      <c r="Z40" t="s">
        <v>605</v>
      </c>
    </row>
    <row r="41" spans="1:26" x14ac:dyDescent="0.3">
      <c r="A41" s="40" t="s">
        <v>601</v>
      </c>
      <c r="B41" s="321" t="str">
        <f t="shared" si="1"/>
        <v>Выкидной нефтепровод Скв 897 – (Скв 893– ГЗУ 28), водогазонефтяная эмульсия</v>
      </c>
      <c r="C41" s="279">
        <v>1</v>
      </c>
      <c r="D41">
        <v>0.27300000000000002</v>
      </c>
      <c r="E41" s="43">
        <f t="shared" si="0"/>
        <v>0.27300000000000002</v>
      </c>
      <c r="F41" s="280" t="s">
        <v>374</v>
      </c>
      <c r="G41">
        <v>2.2999999999999998</v>
      </c>
      <c r="H41" s="280" t="str">
        <f t="shared" si="2"/>
        <v>+12</v>
      </c>
      <c r="I41" s="50">
        <f t="shared" si="3"/>
        <v>1.4137166941154067E-2</v>
      </c>
      <c r="J41" s="51">
        <v>20</v>
      </c>
      <c r="K41" s="49">
        <v>30</v>
      </c>
      <c r="L41" s="204">
        <v>0</v>
      </c>
      <c r="M41" s="281">
        <v>5.1999999999999998E-2</v>
      </c>
      <c r="N41" s="282">
        <v>0.86099999999999999</v>
      </c>
      <c r="O41" s="283">
        <v>25</v>
      </c>
      <c r="P41" s="284">
        <v>0.1</v>
      </c>
      <c r="Q41" s="54">
        <v>0</v>
      </c>
      <c r="R41" t="s">
        <v>98</v>
      </c>
      <c r="Y41" t="s">
        <v>643</v>
      </c>
      <c r="Z41" t="s">
        <v>605</v>
      </c>
    </row>
    <row r="42" spans="1:26" x14ac:dyDescent="0.3">
      <c r="A42" s="40" t="s">
        <v>601</v>
      </c>
      <c r="B42" s="321" t="str">
        <f t="shared" si="1"/>
        <v>Выкидной нефтепровод Скв 899К – (Скв 879 - ГЗУ 27), водогазонефтяная эмульсия</v>
      </c>
      <c r="C42" s="279">
        <v>1</v>
      </c>
      <c r="D42">
        <v>5.7000000000000002E-2</v>
      </c>
      <c r="E42" s="43">
        <f t="shared" si="0"/>
        <v>5.7000000000000002E-2</v>
      </c>
      <c r="F42" s="280" t="s">
        <v>374</v>
      </c>
      <c r="G42">
        <v>2</v>
      </c>
      <c r="H42" s="280" t="str">
        <f t="shared" si="2"/>
        <v>+12</v>
      </c>
      <c r="I42" s="50">
        <f t="shared" si="3"/>
        <v>1.4137166941154067E-2</v>
      </c>
      <c r="J42" s="51">
        <v>20</v>
      </c>
      <c r="K42" s="49">
        <v>30</v>
      </c>
      <c r="L42" s="204">
        <v>0</v>
      </c>
      <c r="M42" s="281">
        <v>5.1999999999999998E-2</v>
      </c>
      <c r="N42" s="282">
        <v>0.86099999999999999</v>
      </c>
      <c r="O42" s="283">
        <v>25</v>
      </c>
      <c r="P42" s="284">
        <v>0.1</v>
      </c>
      <c r="Q42" s="54">
        <v>0</v>
      </c>
      <c r="R42" t="s">
        <v>98</v>
      </c>
      <c r="Y42" t="s">
        <v>644</v>
      </c>
      <c r="Z42" t="s">
        <v>605</v>
      </c>
    </row>
    <row r="43" spans="1:26" x14ac:dyDescent="0.3">
      <c r="A43" s="40" t="s">
        <v>601</v>
      </c>
      <c r="B43" s="321" t="str">
        <f t="shared" si="1"/>
        <v>Выкидной нефтепровод Скв 900 – (Скв 869 – ГЗУ 28), водогазонефтяная эмульсия</v>
      </c>
      <c r="C43" s="279">
        <v>1</v>
      </c>
      <c r="D43">
        <v>0.38100000000000001</v>
      </c>
      <c r="E43" s="43">
        <f t="shared" si="0"/>
        <v>0.38100000000000001</v>
      </c>
      <c r="F43" s="280" t="s">
        <v>374</v>
      </c>
      <c r="G43">
        <v>1.7</v>
      </c>
      <c r="H43" s="280" t="str">
        <f t="shared" si="2"/>
        <v>+12</v>
      </c>
      <c r="I43" s="50">
        <f t="shared" si="3"/>
        <v>1.4137166941154067E-2</v>
      </c>
      <c r="J43" s="51">
        <v>20</v>
      </c>
      <c r="K43" s="49">
        <v>30</v>
      </c>
      <c r="L43" s="204">
        <v>0</v>
      </c>
      <c r="M43" s="281">
        <v>5.1999999999999998E-2</v>
      </c>
      <c r="N43" s="282">
        <v>0.86099999999999999</v>
      </c>
      <c r="O43" s="283">
        <v>25</v>
      </c>
      <c r="P43" s="284">
        <v>0.1</v>
      </c>
      <c r="Q43" s="54">
        <v>0</v>
      </c>
      <c r="R43" t="s">
        <v>98</v>
      </c>
      <c r="Y43" t="s">
        <v>645</v>
      </c>
      <c r="Z43" t="s">
        <v>605</v>
      </c>
    </row>
    <row r="44" spans="1:26" x14ac:dyDescent="0.3">
      <c r="A44" s="40" t="s">
        <v>601</v>
      </c>
      <c r="B44" s="321" t="str">
        <f t="shared" si="1"/>
        <v>Выкидной нефтепровод Скв 901 - ГЗУ 30, водогазонефтяная эмульсия</v>
      </c>
      <c r="C44" s="279">
        <v>1</v>
      </c>
      <c r="D44">
        <v>3.2450000000000001</v>
      </c>
      <c r="E44" s="43">
        <f t="shared" si="0"/>
        <v>3.2450000000000001</v>
      </c>
      <c r="F44" s="280" t="s">
        <v>374</v>
      </c>
      <c r="G44">
        <v>2.1</v>
      </c>
      <c r="H44" s="280" t="str">
        <f t="shared" si="2"/>
        <v>+12</v>
      </c>
      <c r="I44" s="50">
        <f t="shared" si="3"/>
        <v>1.4137166941154067E-2</v>
      </c>
      <c r="J44" s="51">
        <v>20</v>
      </c>
      <c r="K44" s="49">
        <v>30</v>
      </c>
      <c r="L44" s="204">
        <v>0</v>
      </c>
      <c r="M44" s="281">
        <v>5.1999999999999998E-2</v>
      </c>
      <c r="N44" s="282">
        <v>0.86099999999999999</v>
      </c>
      <c r="O44" s="283">
        <v>25</v>
      </c>
      <c r="P44" s="284">
        <v>0.1</v>
      </c>
      <c r="Q44" s="54">
        <v>0</v>
      </c>
      <c r="R44" t="s">
        <v>98</v>
      </c>
      <c r="Y44" t="s">
        <v>646</v>
      </c>
      <c r="Z44" t="s">
        <v>605</v>
      </c>
    </row>
    <row r="45" spans="1:26" x14ac:dyDescent="0.3">
      <c r="A45" s="40" t="s">
        <v>601</v>
      </c>
      <c r="B45" s="321" t="str">
        <f t="shared" si="1"/>
        <v>Выкидной нефтепровод Скв 6043 – (Скв 851 – ГЗУ Д-851 (блок гребенка)), водогазонефтяная эмульсия</v>
      </c>
      <c r="C45" s="279">
        <v>1</v>
      </c>
      <c r="D45">
        <v>4.9000000000000002E-2</v>
      </c>
      <c r="E45" s="43">
        <f t="shared" si="0"/>
        <v>4.9000000000000002E-2</v>
      </c>
      <c r="F45" s="280" t="s">
        <v>374</v>
      </c>
      <c r="G45">
        <v>2.2000000000000002</v>
      </c>
      <c r="H45" s="280" t="str">
        <f t="shared" si="2"/>
        <v>+12</v>
      </c>
      <c r="I45" s="50">
        <f t="shared" si="3"/>
        <v>1.4137166941154067E-2</v>
      </c>
      <c r="J45" s="51">
        <v>20</v>
      </c>
      <c r="K45" s="49">
        <v>30</v>
      </c>
      <c r="L45" s="204">
        <v>0</v>
      </c>
      <c r="M45" s="281">
        <v>5.1999999999999998E-2</v>
      </c>
      <c r="N45" s="282">
        <v>0.86099999999999999</v>
      </c>
      <c r="O45" s="283">
        <v>25</v>
      </c>
      <c r="P45" s="284">
        <v>0.1</v>
      </c>
      <c r="Q45" s="54">
        <v>0</v>
      </c>
      <c r="R45" t="s">
        <v>98</v>
      </c>
      <c r="Y45" t="s">
        <v>647</v>
      </c>
      <c r="Z45" t="s">
        <v>605</v>
      </c>
    </row>
    <row r="46" spans="1:26" x14ac:dyDescent="0.3">
      <c r="A46" s="40" t="s">
        <v>601</v>
      </c>
      <c r="B46" s="321" t="str">
        <f t="shared" ref="B46:B48" si="7">CONCATENATE(Y46,", ",Z46)</f>
        <v>Выкидной нефтепровод Скв 6044 – (Скв 851 – ГЗУ Д-851 (блок гребенка)), водогазонефтяная эмульсия</v>
      </c>
      <c r="C46" s="279">
        <v>1</v>
      </c>
      <c r="D46">
        <v>5.0999999999999997E-2</v>
      </c>
      <c r="E46" s="43">
        <f t="shared" si="0"/>
        <v>5.0999999999999997E-2</v>
      </c>
      <c r="F46" s="280" t="s">
        <v>374</v>
      </c>
      <c r="G46">
        <v>2.2000000000000002</v>
      </c>
      <c r="H46" s="280" t="str">
        <f t="shared" si="2"/>
        <v>+12</v>
      </c>
      <c r="I46" s="50">
        <f t="shared" si="3"/>
        <v>1.4137166941154067E-2</v>
      </c>
      <c r="J46" s="51">
        <v>20</v>
      </c>
      <c r="K46" s="49">
        <v>30</v>
      </c>
      <c r="L46" s="204">
        <v>0</v>
      </c>
      <c r="M46" s="281">
        <v>5.1999999999999998E-2</v>
      </c>
      <c r="N46" s="282">
        <v>0.86099999999999999</v>
      </c>
      <c r="O46" s="283">
        <v>25</v>
      </c>
      <c r="P46" s="284">
        <v>0.1</v>
      </c>
      <c r="Q46" s="54">
        <v>0</v>
      </c>
      <c r="R46" t="s">
        <v>98</v>
      </c>
      <c r="Y46" t="s">
        <v>648</v>
      </c>
      <c r="Z46" t="s">
        <v>605</v>
      </c>
    </row>
    <row r="47" spans="1:26" x14ac:dyDescent="0.3">
      <c r="A47" s="40" t="s">
        <v>601</v>
      </c>
      <c r="B47" s="321" t="str">
        <f t="shared" si="7"/>
        <v>Выкидной нефтепровод (Скв 6045 - Скв 6044 – (Скв 851 – ГЗУ Д-851 (блок гребенка))), водогазонефтяная эмульсия</v>
      </c>
      <c r="C47" s="279">
        <v>1</v>
      </c>
      <c r="D47">
        <v>1.4999999999999999E-2</v>
      </c>
      <c r="E47" s="43">
        <f t="shared" si="0"/>
        <v>1.4999999999999999E-2</v>
      </c>
      <c r="F47" s="280" t="s">
        <v>374</v>
      </c>
      <c r="G47">
        <v>2.2000000000000002</v>
      </c>
      <c r="H47" s="280" t="str">
        <f t="shared" si="2"/>
        <v>+12</v>
      </c>
      <c r="I47" s="50">
        <f t="shared" si="3"/>
        <v>1.4137166941154067E-2</v>
      </c>
      <c r="J47" s="51">
        <v>20</v>
      </c>
      <c r="K47" s="49">
        <v>30</v>
      </c>
      <c r="L47" s="204">
        <v>0</v>
      </c>
      <c r="M47" s="281">
        <v>5.1999999999999998E-2</v>
      </c>
      <c r="N47" s="282">
        <v>0.86099999999999999</v>
      </c>
      <c r="O47" s="283">
        <v>25</v>
      </c>
      <c r="P47" s="284">
        <v>0.1</v>
      </c>
      <c r="Q47" s="54">
        <v>0</v>
      </c>
      <c r="R47" t="s">
        <v>98</v>
      </c>
      <c r="Y47" t="s">
        <v>649</v>
      </c>
      <c r="Z47" t="s">
        <v>605</v>
      </c>
    </row>
    <row r="48" spans="1:26" x14ac:dyDescent="0.3">
      <c r="B48" s="321"/>
      <c r="C48" s="279"/>
      <c r="E48" s="286"/>
      <c r="F48" s="280"/>
      <c r="H48" s="280"/>
      <c r="I48" s="50"/>
      <c r="J48" s="51"/>
      <c r="K48" s="49"/>
      <c r="L48" s="204"/>
      <c r="M48" s="281"/>
      <c r="N48" s="282"/>
      <c r="O48" s="283"/>
      <c r="P48" s="284"/>
      <c r="Q48" s="54"/>
      <c r="R48"/>
    </row>
    <row r="49" spans="2:18" x14ac:dyDescent="0.3">
      <c r="B49" s="278"/>
      <c r="C49" s="279"/>
      <c r="E49" s="286"/>
      <c r="F49" s="280"/>
      <c r="H49" s="280"/>
      <c r="I49" s="50"/>
      <c r="J49" s="51"/>
      <c r="K49" s="49"/>
      <c r="L49" s="204"/>
      <c r="M49" s="281"/>
      <c r="N49" s="282"/>
      <c r="O49" s="283"/>
      <c r="P49" s="284"/>
      <c r="Q49" s="54"/>
      <c r="R49"/>
    </row>
    <row r="50" spans="2:18" x14ac:dyDescent="0.3">
      <c r="B50" s="278"/>
      <c r="C50" s="279"/>
      <c r="E50" s="286"/>
      <c r="F50" s="280"/>
      <c r="H50" s="280"/>
      <c r="I50" s="50"/>
      <c r="J50" s="51"/>
      <c r="K50" s="49"/>
      <c r="L50" s="204"/>
      <c r="M50" s="281"/>
      <c r="N50" s="282"/>
      <c r="O50" s="283"/>
      <c r="P50" s="284"/>
      <c r="Q50" s="54"/>
      <c r="R50"/>
    </row>
    <row r="51" spans="2:18" x14ac:dyDescent="0.3">
      <c r="B51" s="278"/>
      <c r="C51" s="279"/>
      <c r="E51" s="286"/>
      <c r="F51" s="280"/>
      <c r="H51" s="280"/>
      <c r="I51" s="50"/>
      <c r="J51" s="51"/>
      <c r="K51" s="49"/>
      <c r="L51" s="204"/>
      <c r="M51" s="281"/>
      <c r="N51" s="282"/>
      <c r="O51" s="283"/>
      <c r="P51" s="284"/>
      <c r="Q51" s="54"/>
      <c r="R51"/>
    </row>
    <row r="52" spans="2:18" x14ac:dyDescent="0.3">
      <c r="B52" s="278"/>
      <c r="C52" s="279"/>
      <c r="E52" s="286"/>
      <c r="F52" s="280"/>
      <c r="H52" s="280"/>
      <c r="I52" s="50"/>
      <c r="J52" s="51"/>
      <c r="K52" s="49"/>
      <c r="L52" s="204"/>
      <c r="M52" s="281"/>
      <c r="N52" s="282"/>
      <c r="O52" s="283"/>
      <c r="P52" s="284"/>
      <c r="Q52" s="54"/>
      <c r="R52"/>
    </row>
    <row r="53" spans="2:18" x14ac:dyDescent="0.3">
      <c r="B53" s="278"/>
      <c r="C53" s="279"/>
      <c r="E53" s="286"/>
      <c r="F53" s="280"/>
      <c r="H53" s="280"/>
      <c r="I53" s="50"/>
      <c r="J53" s="51"/>
      <c r="K53" s="49"/>
      <c r="L53" s="204"/>
      <c r="M53" s="281"/>
      <c r="N53" s="282"/>
      <c r="O53" s="283"/>
      <c r="P53" s="284"/>
      <c r="Q53" s="54"/>
      <c r="R53"/>
    </row>
    <row r="54" spans="2:18" x14ac:dyDescent="0.3">
      <c r="B54" s="278"/>
      <c r="C54" s="279"/>
      <c r="E54" s="286"/>
      <c r="F54" s="280"/>
      <c r="H54" s="280"/>
      <c r="I54" s="50"/>
      <c r="J54" s="51"/>
      <c r="K54" s="49"/>
      <c r="L54" s="204"/>
      <c r="M54" s="281"/>
      <c r="N54" s="282"/>
      <c r="O54" s="283"/>
      <c r="P54" s="284"/>
      <c r="Q54" s="54"/>
      <c r="R54"/>
    </row>
    <row r="55" spans="2:18" x14ac:dyDescent="0.3">
      <c r="B55" s="278"/>
      <c r="C55" s="279"/>
      <c r="E55" s="286"/>
      <c r="F55" s="280"/>
      <c r="H55" s="280"/>
      <c r="I55" s="50"/>
      <c r="J55" s="51"/>
      <c r="K55" s="49"/>
      <c r="L55" s="204"/>
      <c r="M55" s="281"/>
      <c r="N55" s="282"/>
      <c r="O55" s="283"/>
      <c r="P55" s="284"/>
      <c r="Q55" s="54"/>
      <c r="R55"/>
    </row>
    <row r="56" spans="2:18" x14ac:dyDescent="0.3">
      <c r="B56" s="278"/>
      <c r="C56" s="279"/>
      <c r="E56" s="286"/>
      <c r="F56" s="280"/>
      <c r="H56" s="280"/>
      <c r="I56" s="50"/>
      <c r="J56" s="51"/>
      <c r="K56" s="49"/>
      <c r="L56" s="204"/>
      <c r="M56" s="281"/>
      <c r="N56" s="282"/>
      <c r="O56" s="283"/>
      <c r="P56" s="284"/>
      <c r="Q56" s="54"/>
      <c r="R56"/>
    </row>
    <row r="57" spans="2:18" x14ac:dyDescent="0.3">
      <c r="B57" s="278"/>
      <c r="C57" s="279"/>
      <c r="E57" s="286"/>
      <c r="F57" s="280"/>
      <c r="H57" s="280"/>
      <c r="I57" s="50"/>
      <c r="J57" s="51"/>
      <c r="K57" s="49"/>
      <c r="L57" s="204"/>
      <c r="M57" s="281"/>
      <c r="N57" s="282"/>
      <c r="O57" s="283"/>
      <c r="P57" s="284"/>
      <c r="Q57" s="54"/>
      <c r="R57"/>
    </row>
    <row r="58" spans="2:18" x14ac:dyDescent="0.3">
      <c r="B58" s="278"/>
      <c r="C58" s="279"/>
      <c r="E58" s="286"/>
      <c r="F58" s="280"/>
      <c r="H58" s="280"/>
      <c r="I58" s="50"/>
      <c r="J58" s="51"/>
      <c r="K58" s="49"/>
      <c r="L58" s="204"/>
      <c r="M58" s="281"/>
      <c r="N58" s="282"/>
      <c r="O58" s="283"/>
      <c r="P58" s="284"/>
      <c r="Q58" s="54"/>
      <c r="R58"/>
    </row>
    <row r="59" spans="2:18" x14ac:dyDescent="0.3">
      <c r="B59" s="278"/>
      <c r="C59" s="279"/>
      <c r="E59" s="286"/>
      <c r="F59" s="280"/>
      <c r="H59" s="280"/>
      <c r="I59" s="50"/>
      <c r="J59" s="51"/>
      <c r="K59" s="49"/>
      <c r="L59" s="204"/>
      <c r="M59" s="281"/>
      <c r="N59" s="282"/>
      <c r="O59" s="283"/>
      <c r="P59" s="284"/>
      <c r="Q59" s="54"/>
      <c r="R59"/>
    </row>
    <row r="60" spans="2:18" x14ac:dyDescent="0.3">
      <c r="B60" s="278"/>
      <c r="C60" s="279"/>
      <c r="E60" s="286"/>
      <c r="F60" s="280"/>
      <c r="H60" s="280"/>
      <c r="I60" s="50"/>
      <c r="J60" s="51"/>
      <c r="K60" s="49"/>
      <c r="L60" s="204"/>
      <c r="M60" s="281"/>
      <c r="N60" s="282"/>
      <c r="O60" s="283"/>
      <c r="P60" s="284"/>
      <c r="Q60" s="54"/>
      <c r="R60"/>
    </row>
    <row r="61" spans="2:18" x14ac:dyDescent="0.3">
      <c r="B61" s="278"/>
      <c r="C61" s="279"/>
      <c r="E61" s="286"/>
      <c r="F61" s="280"/>
      <c r="H61" s="280"/>
      <c r="I61" s="50"/>
      <c r="J61" s="51"/>
      <c r="K61" s="49"/>
      <c r="L61" s="204"/>
      <c r="M61" s="281"/>
      <c r="N61" s="282"/>
      <c r="O61" s="283"/>
      <c r="P61" s="284"/>
      <c r="Q61" s="54"/>
      <c r="R61"/>
    </row>
    <row r="62" spans="2:18" x14ac:dyDescent="0.3">
      <c r="B62" s="278"/>
      <c r="C62" s="279"/>
      <c r="E62" s="286"/>
      <c r="F62" s="280"/>
      <c r="H62" s="280"/>
      <c r="I62" s="50"/>
      <c r="J62" s="51"/>
      <c r="K62" s="49"/>
      <c r="L62" s="204"/>
      <c r="M62" s="281"/>
      <c r="N62" s="282"/>
      <c r="O62" s="283"/>
      <c r="P62" s="284"/>
      <c r="Q62" s="54"/>
      <c r="R62"/>
    </row>
    <row r="63" spans="2:18" x14ac:dyDescent="0.3">
      <c r="B63" s="278"/>
      <c r="C63" s="279"/>
      <c r="E63" s="286"/>
      <c r="F63" s="280"/>
      <c r="H63" s="280"/>
      <c r="I63" s="50"/>
      <c r="J63" s="51"/>
      <c r="K63" s="49"/>
      <c r="L63" s="204"/>
      <c r="M63" s="281"/>
      <c r="N63" s="282"/>
      <c r="O63" s="283"/>
      <c r="P63" s="284"/>
      <c r="Q63" s="54"/>
      <c r="R63"/>
    </row>
    <row r="64" spans="2:18" x14ac:dyDescent="0.3">
      <c r="B64" s="278"/>
      <c r="C64" s="279"/>
      <c r="E64" s="286"/>
      <c r="F64" s="280"/>
      <c r="H64" s="280"/>
      <c r="I64" s="50"/>
      <c r="J64" s="51"/>
      <c r="K64" s="49"/>
      <c r="L64" s="204"/>
      <c r="M64" s="281"/>
      <c r="N64" s="282"/>
      <c r="O64" s="283"/>
      <c r="P64" s="284"/>
      <c r="Q64" s="54"/>
      <c r="R64"/>
    </row>
    <row r="65" spans="2:18" x14ac:dyDescent="0.3">
      <c r="B65" s="278"/>
      <c r="C65" s="279"/>
      <c r="E65" s="286"/>
      <c r="F65" s="280"/>
      <c r="H65" s="280"/>
      <c r="I65" s="50"/>
      <c r="J65" s="51"/>
      <c r="K65" s="49"/>
      <c r="L65" s="204"/>
      <c r="M65" s="281"/>
      <c r="N65" s="282"/>
      <c r="O65" s="283"/>
      <c r="P65" s="284"/>
      <c r="Q65" s="54"/>
      <c r="R65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10"/>
  <sheetViews>
    <sheetView tabSelected="1" topLeftCell="I1" zoomScale="85" zoomScaleNormal="85" workbookViewId="0">
      <pane ySplit="1" topLeftCell="A2" activePane="bottomLeft" state="frozen"/>
      <selection pane="bottomLeft" activeCell="AJ14" sqref="AJ14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468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289" t="s">
        <v>29</v>
      </c>
      <c r="Q1" s="289" t="s">
        <v>30</v>
      </c>
      <c r="R1" s="289" t="s">
        <v>31</v>
      </c>
      <c r="S1" s="289" t="s">
        <v>32</v>
      </c>
      <c r="T1" s="289" t="s">
        <v>345</v>
      </c>
      <c r="U1" s="289" t="s">
        <v>260</v>
      </c>
      <c r="V1" s="289" t="s">
        <v>347</v>
      </c>
      <c r="W1" s="289" t="s">
        <v>34</v>
      </c>
      <c r="X1" s="289" t="s">
        <v>346</v>
      </c>
      <c r="Y1" s="289" t="s">
        <v>36</v>
      </c>
      <c r="Z1" s="289" t="s">
        <v>37</v>
      </c>
      <c r="AA1" s="289" t="s">
        <v>38</v>
      </c>
      <c r="AB1" s="289" t="s">
        <v>39</v>
      </c>
      <c r="AC1" s="290" t="s">
        <v>40</v>
      </c>
      <c r="AD1" s="290" t="s">
        <v>41</v>
      </c>
      <c r="AE1" s="289" t="s">
        <v>42</v>
      </c>
      <c r="AF1" s="289" t="s">
        <v>43</v>
      </c>
      <c r="AG1" s="289" t="s">
        <v>44</v>
      </c>
      <c r="AH1" s="289" t="s">
        <v>45</v>
      </c>
      <c r="AI1" s="289" t="s">
        <v>259</v>
      </c>
      <c r="AJ1" s="291" t="s">
        <v>485</v>
      </c>
      <c r="AK1" s="291" t="s">
        <v>486</v>
      </c>
      <c r="AL1" s="292" t="s">
        <v>487</v>
      </c>
      <c r="AM1" s="293" t="s">
        <v>488</v>
      </c>
      <c r="AN1" s="293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483</v>
      </c>
      <c r="BA1" s="5" t="s">
        <v>484</v>
      </c>
    </row>
    <row r="2" spans="1:53" ht="15" thickBot="1" x14ac:dyDescent="0.35">
      <c r="A2" s="8" t="s">
        <v>467</v>
      </c>
      <c r="B2" s="63" t="s">
        <v>650</v>
      </c>
      <c r="C2" s="79" t="s">
        <v>106</v>
      </c>
      <c r="D2" s="9" t="s">
        <v>25</v>
      </c>
      <c r="E2" s="66">
        <v>2.9999999999999999E-7</v>
      </c>
      <c r="F2" s="63">
        <v>1100</v>
      </c>
      <c r="G2" s="8">
        <v>0.2</v>
      </c>
      <c r="H2" s="10">
        <f t="shared" ref="H2:H7" si="2">E2*F2*G2</f>
        <v>6.6000000000000005E-5</v>
      </c>
      <c r="I2" s="64">
        <v>4.53</v>
      </c>
      <c r="J2" s="69">
        <f>I2</f>
        <v>4.53</v>
      </c>
      <c r="K2" s="72" t="s">
        <v>122</v>
      </c>
      <c r="L2" s="77">
        <f>40*I2</f>
        <v>181.20000000000002</v>
      </c>
      <c r="M2" s="31" t="str">
        <f t="shared" si="0"/>
        <v>C1</v>
      </c>
      <c r="N2" s="31" t="str">
        <f t="shared" si="0"/>
        <v>Сборный нефтепровод ГЗУ 27 – ГЗУ 28, водогазонефтяная эмульсия</v>
      </c>
      <c r="O2" s="31" t="str">
        <f t="shared" si="1"/>
        <v>Полное-пожар</v>
      </c>
      <c r="P2" s="31">
        <v>10.9</v>
      </c>
      <c r="Q2" s="31">
        <v>15.3</v>
      </c>
      <c r="R2" s="31">
        <v>22.5</v>
      </c>
      <c r="S2" s="31">
        <v>43.5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1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0.87231000000000003</v>
      </c>
      <c r="AR2" s="32">
        <f t="shared" ref="AR2:AR7" si="3">0.1*AQ2</f>
        <v>8.7231000000000003E-2</v>
      </c>
      <c r="AS2" s="33">
        <f t="shared" ref="AS2:AS7" si="4">AJ2*3+0.25*AK2</f>
        <v>3.25</v>
      </c>
      <c r="AT2" s="33">
        <f t="shared" ref="AT2:AT7" si="5">SUM(AQ2:AS2)/4</f>
        <v>1.0523852499999999</v>
      </c>
      <c r="AU2" s="32">
        <f>10068.2*J2*POWER(10,-6)</f>
        <v>4.5608946000000004E-2</v>
      </c>
      <c r="AV2" s="33">
        <f t="shared" ref="AV2:AV7" si="6">AU2+AT2+AS2+AR2+AQ2</f>
        <v>5.3075351959999999</v>
      </c>
      <c r="AW2" s="34">
        <f t="shared" ref="AW2:AW7" si="7">AJ2*H2</f>
        <v>6.6000000000000005E-5</v>
      </c>
      <c r="AX2" s="34">
        <f t="shared" ref="AX2:AX7" si="8">H2*AK2</f>
        <v>6.6000000000000005E-5</v>
      </c>
      <c r="AY2" s="34">
        <f t="shared" ref="AY2:AY7" si="9">H2*AV2</f>
        <v>3.50297322936E-4</v>
      </c>
      <c r="AZ2" s="288">
        <f>AW2/DB!$B$23</f>
        <v>3.3846153846153849E-8</v>
      </c>
      <c r="BA2" s="288">
        <f>AX2/DB!$B$23</f>
        <v>3.3846153846153849E-8</v>
      </c>
    </row>
    <row r="3" spans="1:53" ht="15" thickBot="1" x14ac:dyDescent="0.35">
      <c r="A3" s="8" t="s">
        <v>469</v>
      </c>
      <c r="B3" s="8" t="str">
        <f>B2</f>
        <v>Сборный нефтепровод ГЗУ 27 – ГЗУ 28, водогазонефтяная эмульсия</v>
      </c>
      <c r="C3" s="79" t="s">
        <v>107</v>
      </c>
      <c r="D3" s="9" t="s">
        <v>28</v>
      </c>
      <c r="E3" s="67">
        <f>E2</f>
        <v>2.9999999999999999E-7</v>
      </c>
      <c r="F3" s="68">
        <f>F2</f>
        <v>1100</v>
      </c>
      <c r="G3" s="8">
        <v>0.04</v>
      </c>
      <c r="H3" s="10">
        <f t="shared" si="2"/>
        <v>1.3200000000000001E-5</v>
      </c>
      <c r="I3" s="62">
        <f>I2</f>
        <v>4.53</v>
      </c>
      <c r="J3" s="298">
        <f>POWER(10,-6)*35*SQRT(100)*3600*L2/1000*0.1</f>
        <v>2.2831199999999999E-2</v>
      </c>
      <c r="K3" s="72" t="s">
        <v>123</v>
      </c>
      <c r="L3" s="77">
        <v>0</v>
      </c>
      <c r="M3" s="31" t="str">
        <f t="shared" si="0"/>
        <v>C2</v>
      </c>
      <c r="N3" s="31" t="str">
        <f t="shared" si="0"/>
        <v>Сборный нефтепровод ГЗУ 27 – ГЗУ 28, водогазонефтяная эмульсия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0</v>
      </c>
      <c r="W3" s="31">
        <v>0</v>
      </c>
      <c r="X3" s="31">
        <v>19.600000000000001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1</v>
      </c>
      <c r="AK3" s="12">
        <v>1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0.87231000000000003</v>
      </c>
      <c r="AR3" s="32">
        <f t="shared" si="3"/>
        <v>8.7231000000000003E-2</v>
      </c>
      <c r="AS3" s="33">
        <f t="shared" si="4"/>
        <v>3.25</v>
      </c>
      <c r="AT3" s="33">
        <f t="shared" si="5"/>
        <v>1.0523852499999999</v>
      </c>
      <c r="AU3" s="32">
        <f>10068.2*J3*POWER(10,-6)*10</f>
        <v>2.2986908784000002E-3</v>
      </c>
      <c r="AV3" s="33">
        <f t="shared" si="6"/>
        <v>5.2642249408783997</v>
      </c>
      <c r="AW3" s="34">
        <f t="shared" si="7"/>
        <v>1.3200000000000001E-5</v>
      </c>
      <c r="AX3" s="34">
        <f t="shared" si="8"/>
        <v>1.3200000000000001E-5</v>
      </c>
      <c r="AY3" s="34">
        <f t="shared" si="9"/>
        <v>6.9487769219594875E-5</v>
      </c>
      <c r="AZ3" s="288">
        <f>AW3/DB!$B$23</f>
        <v>6.7692307692307697E-9</v>
      </c>
      <c r="BA3" s="288">
        <f>AX3/DB!$B$23</f>
        <v>6.7692307692307697E-9</v>
      </c>
    </row>
    <row r="4" spans="1:53" x14ac:dyDescent="0.3">
      <c r="A4" s="8" t="s">
        <v>470</v>
      </c>
      <c r="B4" s="8" t="str">
        <f>B2</f>
        <v>Сборный нефтепровод ГЗУ 27 – ГЗУ 28, водогазонефтяная эмульсия</v>
      </c>
      <c r="C4" s="79" t="s">
        <v>108</v>
      </c>
      <c r="D4" s="9" t="s">
        <v>26</v>
      </c>
      <c r="E4" s="67">
        <f>E2</f>
        <v>2.9999999999999999E-7</v>
      </c>
      <c r="F4" s="68">
        <f>F2</f>
        <v>1100</v>
      </c>
      <c r="G4" s="8">
        <v>0.76</v>
      </c>
      <c r="H4" s="10">
        <f t="shared" si="2"/>
        <v>2.5080000000000002E-4</v>
      </c>
      <c r="I4" s="62">
        <f>I2</f>
        <v>4.53</v>
      </c>
      <c r="J4" s="71">
        <v>0</v>
      </c>
      <c r="K4" s="72" t="s">
        <v>124</v>
      </c>
      <c r="L4" s="77">
        <v>0</v>
      </c>
      <c r="M4" s="31" t="str">
        <f t="shared" si="0"/>
        <v>C3</v>
      </c>
      <c r="N4" s="31" t="str">
        <f t="shared" si="0"/>
        <v>Сборный нефтепровод ГЗУ 27 – ГЗУ 28, водогазонефтяная эмульсия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0.76223099999999999</v>
      </c>
      <c r="AR4" s="32">
        <f t="shared" si="3"/>
        <v>7.6223100000000002E-2</v>
      </c>
      <c r="AS4" s="33">
        <f t="shared" si="4"/>
        <v>0</v>
      </c>
      <c r="AT4" s="33">
        <f t="shared" si="5"/>
        <v>0.20961352499999999</v>
      </c>
      <c r="AU4" s="32">
        <f>1333*J3*POWER(10,-6)</f>
        <v>3.04339896E-5</v>
      </c>
      <c r="AV4" s="33">
        <f t="shared" si="6"/>
        <v>1.0480980589896001</v>
      </c>
      <c r="AW4" s="34">
        <f t="shared" si="7"/>
        <v>0</v>
      </c>
      <c r="AX4" s="34">
        <f t="shared" si="8"/>
        <v>0</v>
      </c>
      <c r="AY4" s="34">
        <f t="shared" si="9"/>
        <v>2.6286299319459172E-4</v>
      </c>
      <c r="AZ4" s="288">
        <f>AW4/DB!$B$23</f>
        <v>0</v>
      </c>
      <c r="BA4" s="288">
        <f>AX4/DB!$B$23</f>
        <v>0</v>
      </c>
    </row>
    <row r="5" spans="1:53" x14ac:dyDescent="0.3">
      <c r="A5" s="8" t="s">
        <v>471</v>
      </c>
      <c r="B5" s="8" t="str">
        <f>B2</f>
        <v>Сборный нефтепровод ГЗУ 27 – ГЗУ 28, водогазонефтяная эмульсия</v>
      </c>
      <c r="C5" s="79" t="s">
        <v>109</v>
      </c>
      <c r="D5" s="9" t="s">
        <v>47</v>
      </c>
      <c r="E5" s="66">
        <v>1.9999999999999999E-6</v>
      </c>
      <c r="F5" s="68">
        <f>F2</f>
        <v>1100</v>
      </c>
      <c r="G5" s="8">
        <v>0.2</v>
      </c>
      <c r="H5" s="10">
        <f t="shared" si="2"/>
        <v>4.3999999999999996E-4</v>
      </c>
      <c r="I5" s="62">
        <f>0.15*I2</f>
        <v>0.67949999999999999</v>
      </c>
      <c r="J5" s="69">
        <f>I5</f>
        <v>0.67949999999999999</v>
      </c>
      <c r="K5" s="74" t="s">
        <v>126</v>
      </c>
      <c r="L5" s="78">
        <v>45390</v>
      </c>
      <c r="M5" s="31" t="str">
        <f t="shared" si="0"/>
        <v>C4</v>
      </c>
      <c r="N5" s="31" t="str">
        <f t="shared" si="0"/>
        <v>Сборный нефтепровод ГЗУ 27 – ГЗУ 28, водогазонефтяная эмульсия</v>
      </c>
      <c r="O5" s="31" t="str">
        <f t="shared" si="1"/>
        <v>Частичное-пожар</v>
      </c>
      <c r="P5" s="31">
        <v>4.5</v>
      </c>
      <c r="Q5" s="31">
        <v>6.6</v>
      </c>
      <c r="R5" s="31">
        <v>9.6999999999999993</v>
      </c>
      <c r="S5" s="31">
        <v>18.100000000000001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9.3346500000000013E-2</v>
      </c>
      <c r="AR5" s="32">
        <f t="shared" si="3"/>
        <v>9.3346500000000016E-3</v>
      </c>
      <c r="AS5" s="33">
        <f t="shared" si="4"/>
        <v>0.5</v>
      </c>
      <c r="AT5" s="33">
        <f t="shared" si="5"/>
        <v>0.1506702875</v>
      </c>
      <c r="AU5" s="32">
        <f>10068.2*J5*POWER(10,-6)</f>
        <v>6.8413418999999998E-3</v>
      </c>
      <c r="AV5" s="33">
        <f t="shared" si="6"/>
        <v>0.76019277939999996</v>
      </c>
      <c r="AW5" s="34">
        <f t="shared" si="7"/>
        <v>0</v>
      </c>
      <c r="AX5" s="34">
        <f t="shared" si="8"/>
        <v>8.7999999999999992E-4</v>
      </c>
      <c r="AY5" s="34">
        <f t="shared" si="9"/>
        <v>3.3448482293599996E-4</v>
      </c>
      <c r="AZ5" s="288">
        <f>AW5/DB!$B$23</f>
        <v>0</v>
      </c>
      <c r="BA5" s="288">
        <f>AX5/DB!$B$23</f>
        <v>4.5128205128205125E-7</v>
      </c>
    </row>
    <row r="6" spans="1:53" x14ac:dyDescent="0.3">
      <c r="A6" s="8" t="s">
        <v>472</v>
      </c>
      <c r="B6" s="8" t="str">
        <f>B2</f>
        <v>Сборный нефтепровод ГЗУ 27 – ГЗУ 28, водогазонефтяная эмульсия</v>
      </c>
      <c r="C6" s="79" t="s">
        <v>110</v>
      </c>
      <c r="D6" s="9" t="s">
        <v>112</v>
      </c>
      <c r="E6" s="67">
        <f>E5</f>
        <v>1.9999999999999999E-6</v>
      </c>
      <c r="F6" s="68">
        <f>F2</f>
        <v>1100</v>
      </c>
      <c r="G6" s="8">
        <v>0.04</v>
      </c>
      <c r="H6" s="10">
        <f t="shared" si="2"/>
        <v>8.7999999999999984E-5</v>
      </c>
      <c r="I6" s="62">
        <f>0.15*I2</f>
        <v>0.67949999999999999</v>
      </c>
      <c r="J6" s="69">
        <f>0.5*J3</f>
        <v>1.14156E-2</v>
      </c>
      <c r="K6" s="74" t="s">
        <v>127</v>
      </c>
      <c r="L6" s="78">
        <v>3</v>
      </c>
      <c r="M6" s="31" t="str">
        <f t="shared" si="0"/>
        <v>C5</v>
      </c>
      <c r="N6" s="31" t="str">
        <f t="shared" si="0"/>
        <v>Сборный нефтепровод ГЗУ 27 – ГЗУ 28, водогазонефтяная эмульсия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7.66</v>
      </c>
      <c r="AB6" s="31">
        <v>9.19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9.3346500000000013E-2</v>
      </c>
      <c r="AR6" s="32">
        <f t="shared" si="3"/>
        <v>9.3346500000000016E-3</v>
      </c>
      <c r="AS6" s="33">
        <f t="shared" si="4"/>
        <v>0.25</v>
      </c>
      <c r="AT6" s="33">
        <f t="shared" si="5"/>
        <v>8.81702875E-2</v>
      </c>
      <c r="AU6" s="32">
        <f>10068.2*J6*POWER(10,-6)*10</f>
        <v>1.1493454392000001E-3</v>
      </c>
      <c r="AV6" s="33">
        <f t="shared" si="6"/>
        <v>0.44200078293919998</v>
      </c>
      <c r="AW6" s="34">
        <f t="shared" si="7"/>
        <v>0</v>
      </c>
      <c r="AX6" s="34">
        <f t="shared" si="8"/>
        <v>8.7999999999999984E-5</v>
      </c>
      <c r="AY6" s="34">
        <f t="shared" si="9"/>
        <v>3.8896068898649591E-5</v>
      </c>
      <c r="AZ6" s="288">
        <f>AW6/DB!$B$23</f>
        <v>0</v>
      </c>
      <c r="BA6" s="288">
        <f>AX6/DB!$B$23</f>
        <v>4.5128205128205122E-8</v>
      </c>
    </row>
    <row r="7" spans="1:53" x14ac:dyDescent="0.3">
      <c r="A7" s="170" t="s">
        <v>473</v>
      </c>
      <c r="B7" s="170" t="str">
        <f>B2</f>
        <v>Сборный нефтепровод ГЗУ 27 – ГЗУ 28, водогазонефтяная эмульсия</v>
      </c>
      <c r="C7" s="171" t="s">
        <v>111</v>
      </c>
      <c r="D7" s="172" t="s">
        <v>27</v>
      </c>
      <c r="E7" s="173">
        <f>E5</f>
        <v>1.9999999999999999E-6</v>
      </c>
      <c r="F7" s="174">
        <f>F2</f>
        <v>1100</v>
      </c>
      <c r="G7" s="170">
        <v>0.76</v>
      </c>
      <c r="H7" s="175">
        <f t="shared" si="2"/>
        <v>1.6719999999999999E-3</v>
      </c>
      <c r="I7" s="176">
        <f>0.15*I2</f>
        <v>0.67949999999999999</v>
      </c>
      <c r="J7" s="177">
        <v>0</v>
      </c>
      <c r="K7" s="178" t="s">
        <v>138</v>
      </c>
      <c r="L7" s="179">
        <v>1</v>
      </c>
      <c r="M7" s="31" t="str">
        <f t="shared" si="0"/>
        <v>C6</v>
      </c>
      <c r="N7" s="31" t="str">
        <f t="shared" si="0"/>
        <v>Сборный нефтепровод ГЗУ 27 – ГЗУ 28, водогазонефтяная эмульсия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7.6834650000000004E-2</v>
      </c>
      <c r="AR7" s="32">
        <f t="shared" si="3"/>
        <v>7.6834650000000004E-3</v>
      </c>
      <c r="AS7" s="33">
        <f t="shared" si="4"/>
        <v>0</v>
      </c>
      <c r="AT7" s="33">
        <f t="shared" si="5"/>
        <v>2.1129528750000001E-2</v>
      </c>
      <c r="AU7" s="32">
        <f>1333*J6*POWER(10,-6)</f>
        <v>1.52169948E-5</v>
      </c>
      <c r="AV7" s="33">
        <f t="shared" si="6"/>
        <v>0.10566286074480001</v>
      </c>
      <c r="AW7" s="34">
        <f t="shared" si="7"/>
        <v>0</v>
      </c>
      <c r="AX7" s="34">
        <f t="shared" si="8"/>
        <v>0</v>
      </c>
      <c r="AY7" s="34">
        <f t="shared" si="9"/>
        <v>1.766683031653056E-4</v>
      </c>
      <c r="AZ7" s="288">
        <f>AW7/DB!$B$23</f>
        <v>0</v>
      </c>
      <c r="BA7" s="288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207" t="s">
        <v>466</v>
      </c>
      <c r="L8" s="287" t="s">
        <v>601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/>
    <row r="12" spans="1:53" ht="28.8" thickBot="1" x14ac:dyDescent="0.35">
      <c r="A12" s="8" t="s">
        <v>474</v>
      </c>
      <c r="B12" s="322" t="s">
        <v>651</v>
      </c>
      <c r="C12" s="79" t="s">
        <v>106</v>
      </c>
      <c r="D12" s="9" t="s">
        <v>25</v>
      </c>
      <c r="E12" s="66">
        <v>9.9999999999999995E-8</v>
      </c>
      <c r="F12" s="63">
        <f>979+3900</f>
        <v>4879</v>
      </c>
      <c r="G12" s="8">
        <v>0.2</v>
      </c>
      <c r="H12" s="10">
        <f t="shared" ref="H12:H17" si="10">E12*F12*G12</f>
        <v>9.7579999999999997E-5</v>
      </c>
      <c r="I12" s="64">
        <v>38.94</v>
      </c>
      <c r="J12" s="69">
        <f>I12</f>
        <v>38.94</v>
      </c>
      <c r="K12" s="72" t="s">
        <v>122</v>
      </c>
      <c r="L12" s="77">
        <f>40*I12</f>
        <v>1557.6</v>
      </c>
      <c r="M12" s="31" t="str">
        <f t="shared" ref="M12:M17" si="11">A12</f>
        <v>C7</v>
      </c>
      <c r="N12" s="31" t="str">
        <f t="shared" ref="N12:N17" si="12">B12</f>
        <v>Сборный нефтепровод ГЗУ 28 – ПТП, водонефтяная эмульсия</v>
      </c>
      <c r="O12" s="31" t="str">
        <f t="shared" ref="O12:O17" si="13">D12</f>
        <v>Полное-пожар</v>
      </c>
      <c r="P12" s="31">
        <v>31.5</v>
      </c>
      <c r="Q12" s="31">
        <v>43.1</v>
      </c>
      <c r="R12" s="31">
        <v>60.6</v>
      </c>
      <c r="S12" s="31">
        <v>109.9</v>
      </c>
      <c r="T12" s="31" t="s">
        <v>46</v>
      </c>
      <c r="U12" s="31" t="s">
        <v>46</v>
      </c>
      <c r="V12" s="31" t="s">
        <v>46</v>
      </c>
      <c r="W12" s="31" t="s">
        <v>46</v>
      </c>
      <c r="X12" s="31" t="s">
        <v>46</v>
      </c>
      <c r="Y12" s="31" t="s">
        <v>46</v>
      </c>
      <c r="Z12" s="31" t="s">
        <v>46</v>
      </c>
      <c r="AA12" s="31" t="s">
        <v>46</v>
      </c>
      <c r="AB12" s="31" t="s">
        <v>46</v>
      </c>
      <c r="AC12" s="31" t="s">
        <v>46</v>
      </c>
      <c r="AD12" s="31" t="s">
        <v>46</v>
      </c>
      <c r="AE12" s="31" t="s">
        <v>46</v>
      </c>
      <c r="AF12" s="31" t="s">
        <v>46</v>
      </c>
      <c r="AG12" s="31" t="s">
        <v>46</v>
      </c>
      <c r="AH12" s="31" t="s">
        <v>46</v>
      </c>
      <c r="AI12" s="31" t="s">
        <v>46</v>
      </c>
      <c r="AJ12" s="12">
        <v>1</v>
      </c>
      <c r="AK12" s="12">
        <v>1</v>
      </c>
      <c r="AL12" s="65">
        <v>0.75</v>
      </c>
      <c r="AM12" s="65">
        <v>2.7E-2</v>
      </c>
      <c r="AN12" s="65">
        <v>3</v>
      </c>
      <c r="AO12" s="31"/>
      <c r="AP12" s="31"/>
      <c r="AQ12" s="32">
        <f>AM12*I12+AL12</f>
        <v>1.80138</v>
      </c>
      <c r="AR12" s="32">
        <f t="shared" ref="AR12:AR17" si="14">0.1*AQ12</f>
        <v>0.18013800000000002</v>
      </c>
      <c r="AS12" s="33">
        <f t="shared" ref="AS12:AS17" si="15">AJ12*3+0.25*AK12</f>
        <v>3.25</v>
      </c>
      <c r="AT12" s="33">
        <f t="shared" ref="AT12:AT17" si="16">SUM(AQ12:AS12)/4</f>
        <v>1.3078794999999999</v>
      </c>
      <c r="AU12" s="32">
        <f>10068.2*J12*POWER(10,-6)</f>
        <v>0.39205570799999995</v>
      </c>
      <c r="AV12" s="33">
        <f t="shared" ref="AV12:AV17" si="17">AU12+AT12+AS12+AR12+AQ12</f>
        <v>6.9314532079999998</v>
      </c>
      <c r="AW12" s="34">
        <f t="shared" ref="AW12:AW17" si="18">AJ12*H12</f>
        <v>9.7579999999999997E-5</v>
      </c>
      <c r="AX12" s="34">
        <f t="shared" ref="AX12:AX17" si="19">H12*AK12</f>
        <v>9.7579999999999997E-5</v>
      </c>
      <c r="AY12" s="34">
        <f t="shared" ref="AY12:AY17" si="20">H12*AV12</f>
        <v>6.7637120403663995E-4</v>
      </c>
      <c r="AZ12" s="288">
        <f>AW12/DB!$B$23</f>
        <v>5.0041025641025637E-8</v>
      </c>
      <c r="BA12" s="288">
        <f>AX12/DB!$B$23</f>
        <v>5.0041025641025637E-8</v>
      </c>
    </row>
    <row r="13" spans="1:53" ht="15" thickBot="1" x14ac:dyDescent="0.35">
      <c r="A13" s="8" t="s">
        <v>475</v>
      </c>
      <c r="B13" s="8" t="str">
        <f>B12</f>
        <v>Сборный нефтепровод ГЗУ 28 – ПТП, водонефтяная эмульсия</v>
      </c>
      <c r="C13" s="79" t="s">
        <v>107</v>
      </c>
      <c r="D13" s="9" t="s">
        <v>28</v>
      </c>
      <c r="E13" s="67">
        <f>E12</f>
        <v>9.9999999999999995E-8</v>
      </c>
      <c r="F13" s="68">
        <f>F12</f>
        <v>4879</v>
      </c>
      <c r="G13" s="8">
        <v>0.04</v>
      </c>
      <c r="H13" s="10">
        <f t="shared" si="10"/>
        <v>1.9516000000000001E-5</v>
      </c>
      <c r="I13" s="62">
        <f>I12</f>
        <v>38.94</v>
      </c>
      <c r="J13" s="298">
        <f>POWER(10,-6)*35*SQRT(100)*3600*L12/1000*0.1</f>
        <v>0.19625759999999998</v>
      </c>
      <c r="K13" s="72" t="s">
        <v>123</v>
      </c>
      <c r="L13" s="77">
        <v>0</v>
      </c>
      <c r="M13" s="31" t="str">
        <f t="shared" si="11"/>
        <v>C8</v>
      </c>
      <c r="N13" s="31" t="str">
        <f t="shared" si="12"/>
        <v>Сборный нефтепровод ГЗУ 28 – ПТП, водонефтяная эмульсия</v>
      </c>
      <c r="O13" s="31" t="str">
        <f t="shared" si="13"/>
        <v>Полное-взрыв</v>
      </c>
      <c r="P13" s="31" t="s">
        <v>46</v>
      </c>
      <c r="Q13" s="31" t="s">
        <v>46</v>
      </c>
      <c r="R13" s="31" t="s">
        <v>46</v>
      </c>
      <c r="S13" s="31" t="s">
        <v>46</v>
      </c>
      <c r="T13" s="31">
        <v>20.100000000000001</v>
      </c>
      <c r="U13" s="31">
        <v>36</v>
      </c>
      <c r="V13" s="31">
        <v>78.599999999999994</v>
      </c>
      <c r="W13" s="31">
        <v>124.1</v>
      </c>
      <c r="X13" s="31">
        <v>196.6</v>
      </c>
      <c r="Y13" s="31" t="s">
        <v>46</v>
      </c>
      <c r="Z13" s="31" t="s">
        <v>46</v>
      </c>
      <c r="AA13" s="31" t="s">
        <v>46</v>
      </c>
      <c r="AB13" s="31" t="s">
        <v>46</v>
      </c>
      <c r="AC13" s="31" t="s">
        <v>46</v>
      </c>
      <c r="AD13" s="31" t="s">
        <v>46</v>
      </c>
      <c r="AE13" s="31" t="s">
        <v>46</v>
      </c>
      <c r="AF13" s="31" t="s">
        <v>46</v>
      </c>
      <c r="AG13" s="31" t="s">
        <v>46</v>
      </c>
      <c r="AH13" s="31" t="s">
        <v>46</v>
      </c>
      <c r="AI13" s="31" t="s">
        <v>46</v>
      </c>
      <c r="AJ13" s="12">
        <v>2</v>
      </c>
      <c r="AK13" s="12">
        <v>1</v>
      </c>
      <c r="AL13" s="31">
        <f>AL12</f>
        <v>0.75</v>
      </c>
      <c r="AM13" s="31">
        <f>AM12</f>
        <v>2.7E-2</v>
      </c>
      <c r="AN13" s="31">
        <f>AN12</f>
        <v>3</v>
      </c>
      <c r="AO13" s="31"/>
      <c r="AP13" s="31"/>
      <c r="AQ13" s="32">
        <f>AM13*I13+AL13</f>
        <v>1.80138</v>
      </c>
      <c r="AR13" s="32">
        <f t="shared" si="14"/>
        <v>0.18013800000000002</v>
      </c>
      <c r="AS13" s="33">
        <f t="shared" si="15"/>
        <v>6.25</v>
      </c>
      <c r="AT13" s="33">
        <f t="shared" si="16"/>
        <v>2.0578794999999999</v>
      </c>
      <c r="AU13" s="32">
        <f>10068.2*J13*POWER(10,-6)*10</f>
        <v>1.9759607683199999E-2</v>
      </c>
      <c r="AV13" s="33">
        <f t="shared" si="17"/>
        <v>10.3091571076832</v>
      </c>
      <c r="AW13" s="34">
        <f t="shared" si="18"/>
        <v>3.9032000000000002E-5</v>
      </c>
      <c r="AX13" s="34">
        <f t="shared" si="19"/>
        <v>1.9516000000000001E-5</v>
      </c>
      <c r="AY13" s="34">
        <f t="shared" si="20"/>
        <v>2.0119351011354535E-4</v>
      </c>
      <c r="AZ13" s="288">
        <f>AW13/DB!$B$23</f>
        <v>2.0016410256410257E-8</v>
      </c>
      <c r="BA13" s="288">
        <f>AX13/DB!$B$23</f>
        <v>1.0008205128205129E-8</v>
      </c>
    </row>
    <row r="14" spans="1:53" x14ac:dyDescent="0.3">
      <c r="A14" s="8" t="s">
        <v>476</v>
      </c>
      <c r="B14" s="8" t="str">
        <f>B12</f>
        <v>Сборный нефтепровод ГЗУ 28 – ПТП, водонефтяная эмульсия</v>
      </c>
      <c r="C14" s="79" t="s">
        <v>108</v>
      </c>
      <c r="D14" s="9" t="s">
        <v>26</v>
      </c>
      <c r="E14" s="67">
        <f>E12</f>
        <v>9.9999999999999995E-8</v>
      </c>
      <c r="F14" s="68">
        <f>F12</f>
        <v>4879</v>
      </c>
      <c r="G14" s="8">
        <v>0.76</v>
      </c>
      <c r="H14" s="10">
        <f t="shared" si="10"/>
        <v>3.7080399999999997E-4</v>
      </c>
      <c r="I14" s="62">
        <f>I12</f>
        <v>38.94</v>
      </c>
      <c r="J14" s="71">
        <v>0</v>
      </c>
      <c r="K14" s="72" t="s">
        <v>124</v>
      </c>
      <c r="L14" s="77">
        <v>0</v>
      </c>
      <c r="M14" s="31" t="str">
        <f t="shared" si="11"/>
        <v>C9</v>
      </c>
      <c r="N14" s="31" t="str">
        <f t="shared" si="12"/>
        <v>Сборный нефтепровод ГЗУ 28 – ПТП, водонефтяная эмульсия</v>
      </c>
      <c r="O14" s="31" t="str">
        <f t="shared" si="13"/>
        <v>Полное-ликвидация</v>
      </c>
      <c r="P14" s="31" t="s">
        <v>46</v>
      </c>
      <c r="Q14" s="31" t="s">
        <v>46</v>
      </c>
      <c r="R14" s="31" t="s">
        <v>46</v>
      </c>
      <c r="S14" s="31" t="s">
        <v>46</v>
      </c>
      <c r="T14" s="31" t="s">
        <v>46</v>
      </c>
      <c r="U14" s="31" t="s">
        <v>46</v>
      </c>
      <c r="V14" s="31" t="s">
        <v>46</v>
      </c>
      <c r="W14" s="31" t="s">
        <v>46</v>
      </c>
      <c r="X14" s="31" t="s">
        <v>46</v>
      </c>
      <c r="Y14" s="31" t="s">
        <v>46</v>
      </c>
      <c r="Z14" s="31" t="s">
        <v>46</v>
      </c>
      <c r="AA14" s="31" t="s">
        <v>46</v>
      </c>
      <c r="AB14" s="31" t="s">
        <v>46</v>
      </c>
      <c r="AC14" s="31" t="s">
        <v>46</v>
      </c>
      <c r="AD14" s="31" t="s">
        <v>46</v>
      </c>
      <c r="AE14" s="31" t="s">
        <v>46</v>
      </c>
      <c r="AF14" s="31" t="s">
        <v>46</v>
      </c>
      <c r="AG14" s="31" t="s">
        <v>46</v>
      </c>
      <c r="AH14" s="31" t="s">
        <v>46</v>
      </c>
      <c r="AI14" s="31" t="s">
        <v>46</v>
      </c>
      <c r="AJ14" s="31">
        <v>0</v>
      </c>
      <c r="AK14" s="31">
        <v>0</v>
      </c>
      <c r="AL14" s="31">
        <f>AL12</f>
        <v>0.75</v>
      </c>
      <c r="AM14" s="31">
        <f>AM12</f>
        <v>2.7E-2</v>
      </c>
      <c r="AN14" s="31">
        <f>AN12</f>
        <v>3</v>
      </c>
      <c r="AO14" s="31"/>
      <c r="AP14" s="31"/>
      <c r="AQ14" s="32">
        <f>AM14*I14*0.1+AL14</f>
        <v>0.85513799999999995</v>
      </c>
      <c r="AR14" s="32">
        <f t="shared" si="14"/>
        <v>8.5513800000000001E-2</v>
      </c>
      <c r="AS14" s="33">
        <f t="shared" si="15"/>
        <v>0</v>
      </c>
      <c r="AT14" s="33">
        <f t="shared" si="16"/>
        <v>0.23516294999999998</v>
      </c>
      <c r="AU14" s="32">
        <f>1333*J13*POWER(10,-6)</f>
        <v>2.6161138079999996E-4</v>
      </c>
      <c r="AV14" s="33">
        <f t="shared" si="17"/>
        <v>1.1760763613808001</v>
      </c>
      <c r="AW14" s="34">
        <f t="shared" si="18"/>
        <v>0</v>
      </c>
      <c r="AX14" s="34">
        <f t="shared" si="19"/>
        <v>0</v>
      </c>
      <c r="AY14" s="34">
        <f t="shared" si="20"/>
        <v>4.3609381910544615E-4</v>
      </c>
      <c r="AZ14" s="288">
        <f>AW14/DB!$B$23</f>
        <v>0</v>
      </c>
      <c r="BA14" s="288">
        <f>AX14/DB!$B$23</f>
        <v>0</v>
      </c>
    </row>
    <row r="15" spans="1:53" x14ac:dyDescent="0.3">
      <c r="A15" s="8" t="s">
        <v>504</v>
      </c>
      <c r="B15" s="8" t="str">
        <f>B12</f>
        <v>Сборный нефтепровод ГЗУ 28 – ПТП, водонефтяная эмульсия</v>
      </c>
      <c r="C15" s="79" t="s">
        <v>109</v>
      </c>
      <c r="D15" s="9" t="s">
        <v>47</v>
      </c>
      <c r="E15" s="66">
        <v>4.9999999999999998E-7</v>
      </c>
      <c r="F15" s="68">
        <f>F12</f>
        <v>4879</v>
      </c>
      <c r="G15" s="8">
        <v>0.2</v>
      </c>
      <c r="H15" s="10">
        <f t="shared" si="10"/>
        <v>4.8789999999999999E-4</v>
      </c>
      <c r="I15" s="62">
        <f>0.15*I12</f>
        <v>5.8409999999999993</v>
      </c>
      <c r="J15" s="69">
        <f>I15</f>
        <v>5.8409999999999993</v>
      </c>
      <c r="K15" s="74" t="s">
        <v>126</v>
      </c>
      <c r="L15" s="78">
        <v>45390</v>
      </c>
      <c r="M15" s="31" t="str">
        <f t="shared" si="11"/>
        <v>C10</v>
      </c>
      <c r="N15" s="31" t="str">
        <f t="shared" si="12"/>
        <v>Сборный нефтепровод ГЗУ 28 – ПТП, водонефтяная эмульсия</v>
      </c>
      <c r="O15" s="31" t="str">
        <f t="shared" si="13"/>
        <v>Частичное-пожар</v>
      </c>
      <c r="P15" s="31">
        <v>10.1</v>
      </c>
      <c r="Q15" s="31">
        <v>14.3</v>
      </c>
      <c r="R15" s="31">
        <v>21</v>
      </c>
      <c r="S15" s="31">
        <v>40.700000000000003</v>
      </c>
      <c r="T15" s="31" t="s">
        <v>46</v>
      </c>
      <c r="U15" s="31" t="s">
        <v>46</v>
      </c>
      <c r="V15" s="31" t="s">
        <v>46</v>
      </c>
      <c r="W15" s="31" t="s">
        <v>46</v>
      </c>
      <c r="X15" s="31" t="s">
        <v>46</v>
      </c>
      <c r="Y15" s="31" t="s">
        <v>46</v>
      </c>
      <c r="Z15" s="31" t="s">
        <v>46</v>
      </c>
      <c r="AA15" s="31" t="s">
        <v>46</v>
      </c>
      <c r="AB15" s="31" t="s">
        <v>46</v>
      </c>
      <c r="AC15" s="31" t="s">
        <v>46</v>
      </c>
      <c r="AD15" s="31" t="s">
        <v>46</v>
      </c>
      <c r="AE15" s="31" t="s">
        <v>46</v>
      </c>
      <c r="AF15" s="31" t="s">
        <v>46</v>
      </c>
      <c r="AG15" s="31" t="s">
        <v>46</v>
      </c>
      <c r="AH15" s="31" t="s">
        <v>46</v>
      </c>
      <c r="AI15" s="31" t="s">
        <v>46</v>
      </c>
      <c r="AJ15" s="31">
        <v>0</v>
      </c>
      <c r="AK15" s="31">
        <v>2</v>
      </c>
      <c r="AL15" s="31">
        <f>0.1*$AL$2</f>
        <v>7.5000000000000011E-2</v>
      </c>
      <c r="AM15" s="31">
        <f>AM12</f>
        <v>2.7E-2</v>
      </c>
      <c r="AN15" s="31">
        <f>ROUNDUP(AN12/3,0)</f>
        <v>1</v>
      </c>
      <c r="AO15" s="31"/>
      <c r="AP15" s="31"/>
      <c r="AQ15" s="32">
        <f>AM15*I15+AL15</f>
        <v>0.232707</v>
      </c>
      <c r="AR15" s="32">
        <f t="shared" si="14"/>
        <v>2.3270700000000002E-2</v>
      </c>
      <c r="AS15" s="33">
        <f t="shared" si="15"/>
        <v>0.5</v>
      </c>
      <c r="AT15" s="33">
        <f t="shared" si="16"/>
        <v>0.18899442499999999</v>
      </c>
      <c r="AU15" s="32">
        <f>10068.2*J15*POWER(10,-6)</f>
        <v>5.8808356199999995E-2</v>
      </c>
      <c r="AV15" s="33">
        <f t="shared" si="17"/>
        <v>1.0037804812</v>
      </c>
      <c r="AW15" s="34">
        <f t="shared" si="18"/>
        <v>0</v>
      </c>
      <c r="AX15" s="34">
        <f t="shared" si="19"/>
        <v>9.7579999999999997E-4</v>
      </c>
      <c r="AY15" s="34">
        <f t="shared" si="20"/>
        <v>4.8974449677748001E-4</v>
      </c>
      <c r="AZ15" s="288">
        <f>AW15/DB!$B$23</f>
        <v>0</v>
      </c>
      <c r="BA15" s="288">
        <f>AX15/DB!$B$23</f>
        <v>5.0041025641025643E-7</v>
      </c>
    </row>
    <row r="16" spans="1:53" x14ac:dyDescent="0.3">
      <c r="A16" s="8" t="s">
        <v>505</v>
      </c>
      <c r="B16" s="8" t="str">
        <f>B12</f>
        <v>Сборный нефтепровод ГЗУ 28 – ПТП, водонефтяная эмульсия</v>
      </c>
      <c r="C16" s="79" t="s">
        <v>110</v>
      </c>
      <c r="D16" s="9" t="s">
        <v>112</v>
      </c>
      <c r="E16" s="67">
        <f>E15</f>
        <v>4.9999999999999998E-7</v>
      </c>
      <c r="F16" s="68">
        <f>F12</f>
        <v>4879</v>
      </c>
      <c r="G16" s="8">
        <v>0.04</v>
      </c>
      <c r="H16" s="10">
        <f t="shared" si="10"/>
        <v>9.7579999999999997E-5</v>
      </c>
      <c r="I16" s="62">
        <f>0.15*I12</f>
        <v>5.8409999999999993</v>
      </c>
      <c r="J16" s="69">
        <f>0.5*J13</f>
        <v>9.8128799999999988E-2</v>
      </c>
      <c r="K16" s="74" t="s">
        <v>127</v>
      </c>
      <c r="L16" s="78">
        <v>3</v>
      </c>
      <c r="M16" s="31" t="str">
        <f t="shared" si="11"/>
        <v>C11</v>
      </c>
      <c r="N16" s="31" t="str">
        <f t="shared" si="12"/>
        <v>Сборный нефтепровод ГЗУ 28 – ПТП, водонефтяная эмульсия</v>
      </c>
      <c r="O16" s="31" t="str">
        <f t="shared" si="13"/>
        <v>Частичное-пожар-вспышка</v>
      </c>
      <c r="P16" s="31" t="s">
        <v>46</v>
      </c>
      <c r="Q16" s="31" t="s">
        <v>46</v>
      </c>
      <c r="R16" s="31" t="s">
        <v>46</v>
      </c>
      <c r="S16" s="31" t="s">
        <v>46</v>
      </c>
      <c r="T16" s="31" t="s">
        <v>46</v>
      </c>
      <c r="U16" s="31" t="s">
        <v>46</v>
      </c>
      <c r="V16" s="31" t="s">
        <v>46</v>
      </c>
      <c r="W16" s="31" t="s">
        <v>46</v>
      </c>
      <c r="X16" s="31" t="s">
        <v>46</v>
      </c>
      <c r="Y16" s="31" t="s">
        <v>46</v>
      </c>
      <c r="Z16" s="31" t="s">
        <v>46</v>
      </c>
      <c r="AA16" s="31">
        <v>15.58</v>
      </c>
      <c r="AB16" s="31">
        <v>18.7</v>
      </c>
      <c r="AC16" s="31" t="s">
        <v>46</v>
      </c>
      <c r="AD16" s="31" t="s">
        <v>46</v>
      </c>
      <c r="AE16" s="31" t="s">
        <v>46</v>
      </c>
      <c r="AF16" s="31" t="s">
        <v>46</v>
      </c>
      <c r="AG16" s="31" t="s">
        <v>46</v>
      </c>
      <c r="AH16" s="31" t="s">
        <v>46</v>
      </c>
      <c r="AI16" s="31" t="s">
        <v>46</v>
      </c>
      <c r="AJ16" s="31">
        <v>0</v>
      </c>
      <c r="AK16" s="31">
        <v>1</v>
      </c>
      <c r="AL16" s="31">
        <f>0.1*$AL$2</f>
        <v>7.5000000000000011E-2</v>
      </c>
      <c r="AM16" s="31">
        <f>AM12</f>
        <v>2.7E-2</v>
      </c>
      <c r="AN16" s="31">
        <f>ROUNDUP(AN12/3,0)</f>
        <v>1</v>
      </c>
      <c r="AO16" s="31"/>
      <c r="AP16" s="31"/>
      <c r="AQ16" s="32">
        <f>AM16*I16+AL16</f>
        <v>0.232707</v>
      </c>
      <c r="AR16" s="32">
        <f t="shared" si="14"/>
        <v>2.3270700000000002E-2</v>
      </c>
      <c r="AS16" s="33">
        <f t="shared" si="15"/>
        <v>0.25</v>
      </c>
      <c r="AT16" s="33">
        <f t="shared" si="16"/>
        <v>0.12649442499999999</v>
      </c>
      <c r="AU16" s="32">
        <f>10068.2*J16*POWER(10,-6)*10</f>
        <v>9.8798038415999993E-3</v>
      </c>
      <c r="AV16" s="33">
        <f t="shared" si="17"/>
        <v>0.64235192884159997</v>
      </c>
      <c r="AW16" s="34">
        <f t="shared" si="18"/>
        <v>0</v>
      </c>
      <c r="AX16" s="34">
        <f t="shared" si="19"/>
        <v>9.7579999999999997E-5</v>
      </c>
      <c r="AY16" s="34">
        <f t="shared" si="20"/>
        <v>6.2680701216363325E-5</v>
      </c>
      <c r="AZ16" s="288">
        <f>AW16/DB!$B$23</f>
        <v>0</v>
      </c>
      <c r="BA16" s="288">
        <f>AX16/DB!$B$23</f>
        <v>5.0041025641025637E-8</v>
      </c>
    </row>
    <row r="17" spans="1:53" x14ac:dyDescent="0.3">
      <c r="A17" s="170" t="s">
        <v>506</v>
      </c>
      <c r="B17" s="170" t="str">
        <f>B12</f>
        <v>Сборный нефтепровод ГЗУ 28 – ПТП, водонефтяная эмульсия</v>
      </c>
      <c r="C17" s="171" t="s">
        <v>111</v>
      </c>
      <c r="D17" s="172" t="s">
        <v>27</v>
      </c>
      <c r="E17" s="173">
        <f>E15</f>
        <v>4.9999999999999998E-7</v>
      </c>
      <c r="F17" s="174">
        <f>F12</f>
        <v>4879</v>
      </c>
      <c r="G17" s="170">
        <v>0.76</v>
      </c>
      <c r="H17" s="175">
        <f t="shared" si="10"/>
        <v>1.8540199999999998E-3</v>
      </c>
      <c r="I17" s="176">
        <f>0.15*I12</f>
        <v>5.8409999999999993</v>
      </c>
      <c r="J17" s="177">
        <v>0</v>
      </c>
      <c r="K17" s="178" t="s">
        <v>138</v>
      </c>
      <c r="L17" s="179">
        <v>1</v>
      </c>
      <c r="M17" s="31" t="str">
        <f t="shared" si="11"/>
        <v>C12</v>
      </c>
      <c r="N17" s="31" t="str">
        <f t="shared" si="12"/>
        <v>Сборный нефтепровод ГЗУ 28 – ПТП, водонефтяная эмульсия</v>
      </c>
      <c r="O17" s="31" t="str">
        <f t="shared" si="13"/>
        <v>Частичное-ликвидация</v>
      </c>
      <c r="P17" s="31" t="s">
        <v>46</v>
      </c>
      <c r="Q17" s="31" t="s">
        <v>46</v>
      </c>
      <c r="R17" s="31" t="s">
        <v>46</v>
      </c>
      <c r="S17" s="31" t="s">
        <v>46</v>
      </c>
      <c r="T17" s="31" t="s">
        <v>46</v>
      </c>
      <c r="U17" s="31" t="s">
        <v>46</v>
      </c>
      <c r="V17" s="31" t="s">
        <v>46</v>
      </c>
      <c r="W17" s="31" t="s">
        <v>46</v>
      </c>
      <c r="X17" s="31" t="s">
        <v>46</v>
      </c>
      <c r="Y17" s="31" t="s">
        <v>46</v>
      </c>
      <c r="Z17" s="31" t="s">
        <v>46</v>
      </c>
      <c r="AA17" s="31" t="s">
        <v>46</v>
      </c>
      <c r="AB17" s="31" t="s">
        <v>46</v>
      </c>
      <c r="AC17" s="31" t="s">
        <v>46</v>
      </c>
      <c r="AD17" s="31" t="s">
        <v>46</v>
      </c>
      <c r="AE17" s="31" t="s">
        <v>46</v>
      </c>
      <c r="AF17" s="31" t="s">
        <v>46</v>
      </c>
      <c r="AG17" s="31" t="s">
        <v>46</v>
      </c>
      <c r="AH17" s="31" t="s">
        <v>46</v>
      </c>
      <c r="AI17" s="31" t="s">
        <v>46</v>
      </c>
      <c r="AJ17" s="31">
        <v>0</v>
      </c>
      <c r="AK17" s="31">
        <v>0</v>
      </c>
      <c r="AL17" s="31">
        <f>0.1*$AL$2</f>
        <v>7.5000000000000011E-2</v>
      </c>
      <c r="AM17" s="31">
        <f>AM12</f>
        <v>2.7E-2</v>
      </c>
      <c r="AN17" s="31">
        <f>ROUNDUP(AN12/3,0)</f>
        <v>1</v>
      </c>
      <c r="AO17" s="31"/>
      <c r="AP17" s="31"/>
      <c r="AQ17" s="32">
        <f>AM17*I17*0.1+AL17</f>
        <v>9.077070000000001E-2</v>
      </c>
      <c r="AR17" s="32">
        <f t="shared" si="14"/>
        <v>9.0770700000000013E-3</v>
      </c>
      <c r="AS17" s="33">
        <f t="shared" si="15"/>
        <v>0</v>
      </c>
      <c r="AT17" s="33">
        <f t="shared" si="16"/>
        <v>2.4961942500000004E-2</v>
      </c>
      <c r="AU17" s="32">
        <f>1333*J16*POWER(10,-6)</f>
        <v>1.3080569039999998E-4</v>
      </c>
      <c r="AV17" s="33">
        <f t="shared" si="17"/>
        <v>0.12494051819040002</v>
      </c>
      <c r="AW17" s="34">
        <f t="shared" si="18"/>
        <v>0</v>
      </c>
      <c r="AX17" s="34">
        <f t="shared" si="19"/>
        <v>0</v>
      </c>
      <c r="AY17" s="34">
        <f t="shared" si="20"/>
        <v>2.3164221953536542E-4</v>
      </c>
      <c r="AZ17" s="288">
        <f>AW17/DB!$B$23</f>
        <v>0</v>
      </c>
      <c r="BA17" s="288">
        <f>AX17/DB!$B$23</f>
        <v>0</v>
      </c>
    </row>
    <row r="18" spans="1:53" s="180" customForma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207" t="s">
        <v>466</v>
      </c>
      <c r="L18" s="287" t="s">
        <v>601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3" s="180" customForma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3" s="180" customForma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3" ht="15" thickBot="1" x14ac:dyDescent="0.35"/>
    <row r="22" spans="1:53" ht="28.8" thickBot="1" x14ac:dyDescent="0.35">
      <c r="A22" s="8" t="s">
        <v>507</v>
      </c>
      <c r="B22" s="322" t="s">
        <v>652</v>
      </c>
      <c r="C22" s="79" t="s">
        <v>106</v>
      </c>
      <c r="D22" s="9" t="s">
        <v>25</v>
      </c>
      <c r="E22" s="66">
        <v>9.9999999999999995E-8</v>
      </c>
      <c r="F22" s="63">
        <v>3300</v>
      </c>
      <c r="G22" s="8">
        <v>0.2</v>
      </c>
      <c r="H22" s="10">
        <f t="shared" ref="H22:H27" si="21">E22*F22*G22</f>
        <v>6.6000000000000005E-5</v>
      </c>
      <c r="I22" s="64">
        <v>23.69</v>
      </c>
      <c r="J22" s="69">
        <f>I22</f>
        <v>23.69</v>
      </c>
      <c r="K22" s="72" t="s">
        <v>122</v>
      </c>
      <c r="L22" s="77">
        <f>40*I22</f>
        <v>947.6</v>
      </c>
      <c r="M22" s="31" t="str">
        <f t="shared" ref="M22:M27" si="22">A22</f>
        <v>C13</v>
      </c>
      <c r="N22" s="31" t="str">
        <f t="shared" ref="N22:N27" si="23">B22</f>
        <v>Сборный нефтепровод БГ 29 – (ГЗУ 30 – ГЗУ 28), водонефтяная эмульсия</v>
      </c>
      <c r="O22" s="31" t="str">
        <f t="shared" ref="O22:O27" si="24">D22</f>
        <v>Полное-пожар</v>
      </c>
      <c r="P22" s="31">
        <v>24.7</v>
      </c>
      <c r="Q22" s="31">
        <v>34</v>
      </c>
      <c r="R22" s="31">
        <v>48.3</v>
      </c>
      <c r="S22" s="31">
        <v>88.8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1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1.3896299999999999</v>
      </c>
      <c r="AR22" s="32">
        <f t="shared" ref="AR22:AR27" si="25">0.1*AQ22</f>
        <v>0.138963</v>
      </c>
      <c r="AS22" s="33">
        <f t="shared" ref="AS22:AS27" si="26">AJ22*3+0.25*AK22</f>
        <v>3.25</v>
      </c>
      <c r="AT22" s="33">
        <f t="shared" ref="AT22:AT27" si="27">SUM(AQ22:AS22)/4</f>
        <v>1.19464825</v>
      </c>
      <c r="AU22" s="32">
        <f>10068.2*J22*POWER(10,-6)</f>
        <v>0.23851565800000002</v>
      </c>
      <c r="AV22" s="33">
        <f t="shared" ref="AV22:AV27" si="28">AU22+AT22+AS22+AR22+AQ22</f>
        <v>6.2117569079999999</v>
      </c>
      <c r="AW22" s="34">
        <f t="shared" ref="AW22:AW27" si="29">AJ22*H22</f>
        <v>6.6000000000000005E-5</v>
      </c>
      <c r="AX22" s="34">
        <f t="shared" ref="AX22:AX27" si="30">H22*AK22</f>
        <v>6.6000000000000005E-5</v>
      </c>
      <c r="AY22" s="34">
        <f t="shared" ref="AY22:AY27" si="31">H22*AV22</f>
        <v>4.0997595592800004E-4</v>
      </c>
      <c r="AZ22" s="288">
        <f>AW22/DB!$B$23</f>
        <v>3.3846153846153849E-8</v>
      </c>
      <c r="BA22" s="288">
        <f>AX22/DB!$B$23</f>
        <v>3.3846153846153849E-8</v>
      </c>
    </row>
    <row r="23" spans="1:53" ht="15" thickBot="1" x14ac:dyDescent="0.35">
      <c r="A23" s="8" t="s">
        <v>508</v>
      </c>
      <c r="B23" s="8" t="str">
        <f>B22</f>
        <v>Сборный нефтепровод БГ 29 – (ГЗУ 30 – ГЗУ 28), водонефтяная эмульсия</v>
      </c>
      <c r="C23" s="79" t="s">
        <v>107</v>
      </c>
      <c r="D23" s="9" t="s">
        <v>28</v>
      </c>
      <c r="E23" s="67">
        <f>E22</f>
        <v>9.9999999999999995E-8</v>
      </c>
      <c r="F23" s="68">
        <f>F22</f>
        <v>3300</v>
      </c>
      <c r="G23" s="8">
        <v>0.04</v>
      </c>
      <c r="H23" s="10">
        <f t="shared" si="21"/>
        <v>1.3200000000000001E-5</v>
      </c>
      <c r="I23" s="62">
        <f>I22</f>
        <v>23.69</v>
      </c>
      <c r="J23" s="298">
        <f>POWER(10,-6)*35*SQRT(100)*3600*L22/1000*0.1</f>
        <v>0.11939759999999999</v>
      </c>
      <c r="K23" s="72" t="s">
        <v>123</v>
      </c>
      <c r="L23" s="77">
        <v>0</v>
      </c>
      <c r="M23" s="31" t="str">
        <f t="shared" si="22"/>
        <v>C14</v>
      </c>
      <c r="N23" s="31" t="str">
        <f t="shared" si="23"/>
        <v>Сборный нефтепровод БГ 29 – (ГЗУ 30 – ГЗУ 28), водонефтяная эмульсия</v>
      </c>
      <c r="O23" s="31" t="str">
        <f t="shared" si="24"/>
        <v>Полное-взрыв</v>
      </c>
      <c r="P23" s="31" t="s">
        <v>46</v>
      </c>
      <c r="Q23" s="31" t="s">
        <v>46</v>
      </c>
      <c r="R23" s="31" t="s">
        <v>46</v>
      </c>
      <c r="S23" s="31" t="s">
        <v>46</v>
      </c>
      <c r="T23" s="31">
        <v>0</v>
      </c>
      <c r="U23" s="31">
        <v>0</v>
      </c>
      <c r="V23" s="31">
        <v>15.6</v>
      </c>
      <c r="W23" s="31">
        <v>44.1</v>
      </c>
      <c r="X23" s="31">
        <v>67.599999999999994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1</v>
      </c>
      <c r="AK23" s="12">
        <v>1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1.3896299999999999</v>
      </c>
      <c r="AR23" s="32">
        <f t="shared" si="25"/>
        <v>0.138963</v>
      </c>
      <c r="AS23" s="33">
        <f t="shared" si="26"/>
        <v>3.25</v>
      </c>
      <c r="AT23" s="33">
        <f t="shared" si="27"/>
        <v>1.19464825</v>
      </c>
      <c r="AU23" s="32">
        <f>10068.2*J23*POWER(10,-6)*10</f>
        <v>1.20211891632E-2</v>
      </c>
      <c r="AV23" s="33">
        <f t="shared" si="28"/>
        <v>5.9852624391632006</v>
      </c>
      <c r="AW23" s="34">
        <f t="shared" si="29"/>
        <v>1.3200000000000001E-5</v>
      </c>
      <c r="AX23" s="34">
        <f t="shared" si="30"/>
        <v>1.3200000000000001E-5</v>
      </c>
      <c r="AY23" s="34">
        <f t="shared" si="31"/>
        <v>7.9005464196954252E-5</v>
      </c>
      <c r="AZ23" s="288">
        <f>AW23/DB!$B$23</f>
        <v>6.7692307692307697E-9</v>
      </c>
      <c r="BA23" s="288">
        <f>AX23/DB!$B$23</f>
        <v>6.7692307692307697E-9</v>
      </c>
    </row>
    <row r="24" spans="1:53" x14ac:dyDescent="0.3">
      <c r="A24" s="8" t="s">
        <v>509</v>
      </c>
      <c r="B24" s="8" t="str">
        <f>B22</f>
        <v>Сборный нефтепровод БГ 29 – (ГЗУ 30 – ГЗУ 28), водонефтяная эмульсия</v>
      </c>
      <c r="C24" s="79" t="s">
        <v>108</v>
      </c>
      <c r="D24" s="9" t="s">
        <v>26</v>
      </c>
      <c r="E24" s="67">
        <f>E22</f>
        <v>9.9999999999999995E-8</v>
      </c>
      <c r="F24" s="68">
        <f>F22</f>
        <v>3300</v>
      </c>
      <c r="G24" s="8">
        <v>0.76</v>
      </c>
      <c r="H24" s="10">
        <f t="shared" si="21"/>
        <v>2.5080000000000002E-4</v>
      </c>
      <c r="I24" s="62">
        <f>I22</f>
        <v>23.69</v>
      </c>
      <c r="J24" s="71">
        <v>0</v>
      </c>
      <c r="K24" s="72" t="s">
        <v>124</v>
      </c>
      <c r="L24" s="77">
        <v>0</v>
      </c>
      <c r="M24" s="31" t="str">
        <f t="shared" si="22"/>
        <v>C15</v>
      </c>
      <c r="N24" s="31" t="str">
        <f t="shared" si="23"/>
        <v>Сборный нефтепровод БГ 29 – (ГЗУ 30 – ГЗУ 28), водонефтяная эмульсия</v>
      </c>
      <c r="O24" s="31" t="str">
        <f t="shared" si="24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0.81396299999999999</v>
      </c>
      <c r="AR24" s="32">
        <f t="shared" si="25"/>
        <v>8.1396300000000005E-2</v>
      </c>
      <c r="AS24" s="33">
        <f t="shared" si="26"/>
        <v>0</v>
      </c>
      <c r="AT24" s="33">
        <f t="shared" si="27"/>
        <v>0.22383982499999999</v>
      </c>
      <c r="AU24" s="32">
        <f>1333*J23*POWER(10,-6)</f>
        <v>1.5915700079999998E-4</v>
      </c>
      <c r="AV24" s="33">
        <f t="shared" si="28"/>
        <v>1.1193582820008001</v>
      </c>
      <c r="AW24" s="34">
        <f t="shared" si="29"/>
        <v>0</v>
      </c>
      <c r="AX24" s="34">
        <f t="shared" si="30"/>
        <v>0</v>
      </c>
      <c r="AY24" s="34">
        <f t="shared" si="31"/>
        <v>2.8073505712580067E-4</v>
      </c>
      <c r="AZ24" s="288">
        <f>AW24/DB!$B$23</f>
        <v>0</v>
      </c>
      <c r="BA24" s="288">
        <f>AX24/DB!$B$23</f>
        <v>0</v>
      </c>
    </row>
    <row r="25" spans="1:53" x14ac:dyDescent="0.3">
      <c r="A25" s="8" t="s">
        <v>510</v>
      </c>
      <c r="B25" s="8" t="str">
        <f>B22</f>
        <v>Сборный нефтепровод БГ 29 – (ГЗУ 30 – ГЗУ 28), водонефтяная эмульсия</v>
      </c>
      <c r="C25" s="79" t="s">
        <v>109</v>
      </c>
      <c r="D25" s="9" t="s">
        <v>47</v>
      </c>
      <c r="E25" s="66">
        <v>4.9999999999999998E-7</v>
      </c>
      <c r="F25" s="68">
        <f>F22</f>
        <v>3300</v>
      </c>
      <c r="G25" s="8">
        <v>0.2</v>
      </c>
      <c r="H25" s="10">
        <f t="shared" si="21"/>
        <v>3.3E-4</v>
      </c>
      <c r="I25" s="62">
        <f>0.15*I22</f>
        <v>3.5535000000000001</v>
      </c>
      <c r="J25" s="69">
        <f>I25</f>
        <v>3.5535000000000001</v>
      </c>
      <c r="K25" s="74" t="s">
        <v>126</v>
      </c>
      <c r="L25" s="78">
        <v>45390</v>
      </c>
      <c r="M25" s="31" t="str">
        <f t="shared" si="22"/>
        <v>C16</v>
      </c>
      <c r="N25" s="31" t="str">
        <f t="shared" si="23"/>
        <v>Сборный нефтепровод БГ 29 – (ГЗУ 30 – ГЗУ 28), водонефтяная эмульсия</v>
      </c>
      <c r="O25" s="31" t="str">
        <f t="shared" si="24"/>
        <v>Частичное-пожар</v>
      </c>
      <c r="P25" s="31">
        <v>7.9</v>
      </c>
      <c r="Q25" s="31">
        <v>11.2</v>
      </c>
      <c r="R25" s="31">
        <v>16.600000000000001</v>
      </c>
      <c r="S25" s="31">
        <v>32.799999999999997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0.1709445</v>
      </c>
      <c r="AR25" s="32">
        <f t="shared" si="25"/>
        <v>1.7094450000000001E-2</v>
      </c>
      <c r="AS25" s="33">
        <f t="shared" si="26"/>
        <v>0.5</v>
      </c>
      <c r="AT25" s="33">
        <f t="shared" si="27"/>
        <v>0.17200973750000001</v>
      </c>
      <c r="AU25" s="32">
        <f>10068.2*J25*POWER(10,-6)</f>
        <v>3.5777348700000003E-2</v>
      </c>
      <c r="AV25" s="33">
        <f t="shared" si="28"/>
        <v>0.8958260361999999</v>
      </c>
      <c r="AW25" s="34">
        <f t="shared" si="29"/>
        <v>0</v>
      </c>
      <c r="AX25" s="34">
        <f t="shared" si="30"/>
        <v>6.6E-4</v>
      </c>
      <c r="AY25" s="34">
        <f t="shared" si="31"/>
        <v>2.9562259194599997E-4</v>
      </c>
      <c r="AZ25" s="288">
        <f>AW25/DB!$B$23</f>
        <v>0</v>
      </c>
      <c r="BA25" s="288">
        <f>AX25/DB!$B$23</f>
        <v>3.3846153846153845E-7</v>
      </c>
    </row>
    <row r="26" spans="1:53" x14ac:dyDescent="0.3">
      <c r="A26" s="8" t="s">
        <v>511</v>
      </c>
      <c r="B26" s="8" t="str">
        <f>B22</f>
        <v>Сборный нефтепровод БГ 29 – (ГЗУ 30 – ГЗУ 28), водонефтяная эмульсия</v>
      </c>
      <c r="C26" s="79" t="s">
        <v>110</v>
      </c>
      <c r="D26" s="9" t="s">
        <v>112</v>
      </c>
      <c r="E26" s="67">
        <f>E25</f>
        <v>4.9999999999999998E-7</v>
      </c>
      <c r="F26" s="68">
        <f>F22</f>
        <v>3300</v>
      </c>
      <c r="G26" s="8">
        <v>0.04</v>
      </c>
      <c r="H26" s="10">
        <f t="shared" si="21"/>
        <v>6.6000000000000005E-5</v>
      </c>
      <c r="I26" s="62">
        <f>0.15*I22</f>
        <v>3.5535000000000001</v>
      </c>
      <c r="J26" s="69">
        <f>0.5*J23</f>
        <v>5.9698799999999996E-2</v>
      </c>
      <c r="K26" s="74" t="s">
        <v>127</v>
      </c>
      <c r="L26" s="78">
        <v>3</v>
      </c>
      <c r="M26" s="31" t="str">
        <f t="shared" si="22"/>
        <v>C17</v>
      </c>
      <c r="N26" s="31" t="str">
        <f t="shared" si="23"/>
        <v>Сборный нефтепровод БГ 29 – (ГЗУ 30 – ГЗУ 28), водонефтяная эмульсия</v>
      </c>
      <c r="O26" s="31" t="str">
        <f t="shared" si="24"/>
        <v>Частичное-пожар-вспышка</v>
      </c>
      <c r="P26" s="31" t="s">
        <v>46</v>
      </c>
      <c r="Q26" s="31" t="s">
        <v>46</v>
      </c>
      <c r="R26" s="31" t="s">
        <v>46</v>
      </c>
      <c r="S26" s="31" t="s">
        <v>46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>
        <v>13.22</v>
      </c>
      <c r="AB26" s="31">
        <v>15.86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0.1709445</v>
      </c>
      <c r="AR26" s="32">
        <f t="shared" si="25"/>
        <v>1.7094450000000001E-2</v>
      </c>
      <c r="AS26" s="33">
        <f t="shared" si="26"/>
        <v>0.25</v>
      </c>
      <c r="AT26" s="33">
        <f t="shared" si="27"/>
        <v>0.10950973750000001</v>
      </c>
      <c r="AU26" s="32">
        <f>10068.2*J26*POWER(10,-6)*10</f>
        <v>6.0105945816000001E-3</v>
      </c>
      <c r="AV26" s="33">
        <f t="shared" si="28"/>
        <v>0.55355928208159999</v>
      </c>
      <c r="AW26" s="34">
        <f t="shared" si="29"/>
        <v>0</v>
      </c>
      <c r="AX26" s="34">
        <f t="shared" si="30"/>
        <v>6.6000000000000005E-5</v>
      </c>
      <c r="AY26" s="34">
        <f t="shared" si="31"/>
        <v>3.6534912617385599E-5</v>
      </c>
      <c r="AZ26" s="288">
        <f>AW26/DB!$B$23</f>
        <v>0</v>
      </c>
      <c r="BA26" s="288">
        <f>AX26/DB!$B$23</f>
        <v>3.3846153846153849E-8</v>
      </c>
    </row>
    <row r="27" spans="1:53" x14ac:dyDescent="0.3">
      <c r="A27" s="170" t="s">
        <v>512</v>
      </c>
      <c r="B27" s="170" t="str">
        <f>B22</f>
        <v>Сборный нефтепровод БГ 29 – (ГЗУ 30 – ГЗУ 28), водонефтяная эмульсия</v>
      </c>
      <c r="C27" s="171" t="s">
        <v>111</v>
      </c>
      <c r="D27" s="172" t="s">
        <v>27</v>
      </c>
      <c r="E27" s="173">
        <f>E25</f>
        <v>4.9999999999999998E-7</v>
      </c>
      <c r="F27" s="174">
        <f>F22</f>
        <v>3300</v>
      </c>
      <c r="G27" s="170">
        <v>0.76</v>
      </c>
      <c r="H27" s="175">
        <f t="shared" si="21"/>
        <v>1.2539999999999999E-3</v>
      </c>
      <c r="I27" s="176">
        <f>0.15*I22</f>
        <v>3.5535000000000001</v>
      </c>
      <c r="J27" s="177">
        <v>0</v>
      </c>
      <c r="K27" s="178" t="s">
        <v>138</v>
      </c>
      <c r="L27" s="179">
        <v>1</v>
      </c>
      <c r="M27" s="31" t="str">
        <f t="shared" si="22"/>
        <v>C18</v>
      </c>
      <c r="N27" s="31" t="str">
        <f t="shared" si="23"/>
        <v>Сборный нефтепровод БГ 29 – (ГЗУ 30 – ГЗУ 28), водонефтяная эмульсия</v>
      </c>
      <c r="O27" s="31" t="str">
        <f t="shared" si="24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8.4594450000000015E-2</v>
      </c>
      <c r="AR27" s="32">
        <f t="shared" si="25"/>
        <v>8.4594450000000012E-3</v>
      </c>
      <c r="AS27" s="33">
        <f t="shared" si="26"/>
        <v>0</v>
      </c>
      <c r="AT27" s="33">
        <f t="shared" si="27"/>
        <v>2.3263473750000003E-2</v>
      </c>
      <c r="AU27" s="32">
        <f>1333*J26*POWER(10,-6)</f>
        <v>7.957850039999999E-5</v>
      </c>
      <c r="AV27" s="33">
        <f t="shared" si="28"/>
        <v>0.11639694725040002</v>
      </c>
      <c r="AW27" s="34">
        <f t="shared" si="29"/>
        <v>0</v>
      </c>
      <c r="AX27" s="34">
        <f t="shared" si="30"/>
        <v>0</v>
      </c>
      <c r="AY27" s="34">
        <f t="shared" si="31"/>
        <v>1.4596177185200162E-4</v>
      </c>
      <c r="AZ27" s="288">
        <f>AW27/DB!$B$23</f>
        <v>0</v>
      </c>
      <c r="BA27" s="288">
        <f>AX27/DB!$B$23</f>
        <v>0</v>
      </c>
    </row>
    <row r="28" spans="1:53" s="180" customForma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207" t="s">
        <v>466</v>
      </c>
      <c r="L28" s="287" t="s">
        <v>601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28.8" thickBot="1" x14ac:dyDescent="0.35">
      <c r="A32" s="8" t="s">
        <v>513</v>
      </c>
      <c r="B32" s="322" t="s">
        <v>653</v>
      </c>
      <c r="C32" s="79" t="s">
        <v>106</v>
      </c>
      <c r="D32" s="9" t="s">
        <v>25</v>
      </c>
      <c r="E32" s="66">
        <v>9.9999999999999995E-8</v>
      </c>
      <c r="F32" s="63">
        <v>4050</v>
      </c>
      <c r="G32" s="8">
        <v>0.2</v>
      </c>
      <c r="H32" s="10">
        <f t="shared" ref="H32:H37" si="32">E32*F32*G32</f>
        <v>8.1000000000000004E-5</v>
      </c>
      <c r="I32" s="64">
        <v>18.059999999999999</v>
      </c>
      <c r="J32" s="69">
        <f>I32</f>
        <v>18.059999999999999</v>
      </c>
      <c r="K32" s="72" t="s">
        <v>122</v>
      </c>
      <c r="L32" s="77">
        <f>40*I32</f>
        <v>722.4</v>
      </c>
      <c r="M32" s="31" t="str">
        <f t="shared" ref="M32:M37" si="33">A32</f>
        <v>C19</v>
      </c>
      <c r="N32" s="31" t="str">
        <f t="shared" ref="N32:N37" si="34">B32</f>
        <v>Сборный нефтепровод ГЗУ 30 – ГЗУ 28, водонефтяная эмульсия</v>
      </c>
      <c r="O32" s="31" t="str">
        <f t="shared" ref="O32:O37" si="35">D32</f>
        <v>Полное-пожар</v>
      </c>
      <c r="P32" s="31">
        <v>21.6</v>
      </c>
      <c r="Q32" s="31">
        <v>29.9</v>
      </c>
      <c r="R32" s="31">
        <v>42.6</v>
      </c>
      <c r="S32" s="31">
        <v>79.099999999999994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 t="s">
        <v>46</v>
      </c>
      <c r="Z32" s="31" t="s">
        <v>46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1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1.2376199999999999</v>
      </c>
      <c r="AR32" s="32">
        <f t="shared" ref="AR32:AR37" si="36">0.1*AQ32</f>
        <v>0.123762</v>
      </c>
      <c r="AS32" s="33">
        <f t="shared" ref="AS32:AS37" si="37">AJ32*3+0.25*AK32</f>
        <v>3.25</v>
      </c>
      <c r="AT32" s="33">
        <f t="shared" ref="AT32:AT37" si="38">SUM(AQ32:AS32)/4</f>
        <v>1.1528455</v>
      </c>
      <c r="AU32" s="32">
        <f>10068.2*J32*POWER(10,-6)</f>
        <v>0.18183169199999999</v>
      </c>
      <c r="AV32" s="33">
        <f t="shared" ref="AV32:AV37" si="39">AU32+AT32+AS32+AR32+AQ32</f>
        <v>5.9460591919999999</v>
      </c>
      <c r="AW32" s="34">
        <f t="shared" ref="AW32:AW37" si="40">AJ32*H32</f>
        <v>8.1000000000000004E-5</v>
      </c>
      <c r="AX32" s="34">
        <f t="shared" ref="AX32:AX37" si="41">H32*AK32</f>
        <v>8.1000000000000004E-5</v>
      </c>
      <c r="AY32" s="34">
        <f t="shared" ref="AY32:AY37" si="42">H32*AV32</f>
        <v>4.8163079455200002E-4</v>
      </c>
      <c r="AZ32" s="288">
        <f>AW32/DB!$B$23</f>
        <v>4.153846153846154E-8</v>
      </c>
      <c r="BA32" s="288">
        <f>AX32/DB!$B$23</f>
        <v>4.153846153846154E-8</v>
      </c>
    </row>
    <row r="33" spans="1:53" ht="15" thickBot="1" x14ac:dyDescent="0.35">
      <c r="A33" s="8" t="s">
        <v>514</v>
      </c>
      <c r="B33" s="8" t="str">
        <f>B32</f>
        <v>Сборный нефтепровод ГЗУ 30 – ГЗУ 28, водонефтяная эмульсия</v>
      </c>
      <c r="C33" s="79" t="s">
        <v>107</v>
      </c>
      <c r="D33" s="9" t="s">
        <v>28</v>
      </c>
      <c r="E33" s="67">
        <f>E32</f>
        <v>9.9999999999999995E-8</v>
      </c>
      <c r="F33" s="68">
        <f>F32</f>
        <v>4050</v>
      </c>
      <c r="G33" s="8">
        <v>0.04</v>
      </c>
      <c r="H33" s="10">
        <f t="shared" si="32"/>
        <v>1.6200000000000001E-5</v>
      </c>
      <c r="I33" s="62">
        <f>I32</f>
        <v>18.059999999999999</v>
      </c>
      <c r="J33" s="298">
        <f>POWER(10,-6)*35*SQRT(100)*3600*L32/1000*0.1</f>
        <v>9.1022399999999989E-2</v>
      </c>
      <c r="K33" s="72" t="s">
        <v>123</v>
      </c>
      <c r="L33" s="77">
        <v>0</v>
      </c>
      <c r="M33" s="31" t="str">
        <f t="shared" si="33"/>
        <v>C20</v>
      </c>
      <c r="N33" s="31" t="str">
        <f t="shared" si="34"/>
        <v>Сборный нефтепровод ГЗУ 30 – ГЗУ 28, водонефтяная эмульсия</v>
      </c>
      <c r="O33" s="31" t="str">
        <f t="shared" si="35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12.6</v>
      </c>
      <c r="W33" s="31">
        <v>35.6</v>
      </c>
      <c r="X33" s="31">
        <v>55.6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1</v>
      </c>
      <c r="AK33" s="12">
        <v>1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1.2376199999999999</v>
      </c>
      <c r="AR33" s="32">
        <f t="shared" si="36"/>
        <v>0.123762</v>
      </c>
      <c r="AS33" s="33">
        <f t="shared" si="37"/>
        <v>3.25</v>
      </c>
      <c r="AT33" s="33">
        <f t="shared" si="38"/>
        <v>1.1528455</v>
      </c>
      <c r="AU33" s="32">
        <f>10068.2*J33*POWER(10,-6)*10</f>
        <v>9.1643172767999995E-3</v>
      </c>
      <c r="AV33" s="33">
        <f t="shared" si="39"/>
        <v>5.7733918172768002</v>
      </c>
      <c r="AW33" s="34">
        <f t="shared" si="40"/>
        <v>1.6200000000000001E-5</v>
      </c>
      <c r="AX33" s="34">
        <f t="shared" si="41"/>
        <v>1.6200000000000001E-5</v>
      </c>
      <c r="AY33" s="34">
        <f t="shared" si="42"/>
        <v>9.3528947439884173E-5</v>
      </c>
      <c r="AZ33" s="288">
        <f>AW33/DB!$B$23</f>
        <v>8.3076923076923084E-9</v>
      </c>
      <c r="BA33" s="288">
        <f>AX33/DB!$B$23</f>
        <v>8.3076923076923084E-9</v>
      </c>
    </row>
    <row r="34" spans="1:53" x14ac:dyDescent="0.3">
      <c r="A34" s="8" t="s">
        <v>515</v>
      </c>
      <c r="B34" s="8" t="str">
        <f>B32</f>
        <v>Сборный нефтепровод ГЗУ 30 – ГЗУ 28, водонефтяная эмульсия</v>
      </c>
      <c r="C34" s="79" t="s">
        <v>108</v>
      </c>
      <c r="D34" s="9" t="s">
        <v>26</v>
      </c>
      <c r="E34" s="67">
        <f>E32</f>
        <v>9.9999999999999995E-8</v>
      </c>
      <c r="F34" s="68">
        <f>F32</f>
        <v>4050</v>
      </c>
      <c r="G34" s="8">
        <v>0.76</v>
      </c>
      <c r="H34" s="10">
        <f t="shared" si="32"/>
        <v>3.078E-4</v>
      </c>
      <c r="I34" s="62">
        <f>I32</f>
        <v>18.059999999999999</v>
      </c>
      <c r="J34" s="71">
        <v>0</v>
      </c>
      <c r="K34" s="72" t="s">
        <v>124</v>
      </c>
      <c r="L34" s="77">
        <v>0</v>
      </c>
      <c r="M34" s="31" t="str">
        <f t="shared" si="33"/>
        <v>C21</v>
      </c>
      <c r="N34" s="31" t="str">
        <f t="shared" si="34"/>
        <v>Сборный нефтепровод ГЗУ 30 – ГЗУ 28, водонефтяная эмульсия</v>
      </c>
      <c r="O34" s="31" t="str">
        <f t="shared" si="35"/>
        <v>Полное-ликвидация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 t="s">
        <v>46</v>
      </c>
      <c r="AB34" s="31" t="s">
        <v>46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0.79876199999999997</v>
      </c>
      <c r="AR34" s="32">
        <f t="shared" si="36"/>
        <v>7.9876200000000008E-2</v>
      </c>
      <c r="AS34" s="33">
        <f t="shared" si="37"/>
        <v>0</v>
      </c>
      <c r="AT34" s="33">
        <f t="shared" si="38"/>
        <v>0.21965954999999998</v>
      </c>
      <c r="AU34" s="32">
        <f>1333*J33*POWER(10,-6)</f>
        <v>1.2133285919999998E-4</v>
      </c>
      <c r="AV34" s="33">
        <f t="shared" si="39"/>
        <v>1.0984190828592</v>
      </c>
      <c r="AW34" s="34">
        <f t="shared" si="40"/>
        <v>0</v>
      </c>
      <c r="AX34" s="34">
        <f t="shared" si="41"/>
        <v>0</v>
      </c>
      <c r="AY34" s="34">
        <f t="shared" si="42"/>
        <v>3.3809339370406173E-4</v>
      </c>
      <c r="AZ34" s="288">
        <f>AW34/DB!$B$23</f>
        <v>0</v>
      </c>
      <c r="BA34" s="288">
        <f>AX34/DB!$B$23</f>
        <v>0</v>
      </c>
    </row>
    <row r="35" spans="1:53" x14ac:dyDescent="0.3">
      <c r="A35" s="8" t="s">
        <v>516</v>
      </c>
      <c r="B35" s="8" t="str">
        <f>B32</f>
        <v>Сборный нефтепровод ГЗУ 30 – ГЗУ 28, водонефтяная эмульсия</v>
      </c>
      <c r="C35" s="79" t="s">
        <v>109</v>
      </c>
      <c r="D35" s="9" t="s">
        <v>47</v>
      </c>
      <c r="E35" s="66">
        <v>4.9999999999999998E-7</v>
      </c>
      <c r="F35" s="68">
        <f>F32</f>
        <v>4050</v>
      </c>
      <c r="G35" s="8">
        <v>0.2</v>
      </c>
      <c r="H35" s="10">
        <f t="shared" si="32"/>
        <v>4.0499999999999998E-4</v>
      </c>
      <c r="I35" s="62">
        <f>0.15*I32</f>
        <v>2.7089999999999996</v>
      </c>
      <c r="J35" s="69">
        <f>I35</f>
        <v>2.7089999999999996</v>
      </c>
      <c r="K35" s="74" t="s">
        <v>126</v>
      </c>
      <c r="L35" s="78">
        <v>45390</v>
      </c>
      <c r="M35" s="31" t="str">
        <f t="shared" si="33"/>
        <v>C22</v>
      </c>
      <c r="N35" s="31" t="str">
        <f t="shared" si="34"/>
        <v>Сборный нефтепровод ГЗУ 30 – ГЗУ 28, водонефтяная эмульсия</v>
      </c>
      <c r="O35" s="31" t="str">
        <f t="shared" si="35"/>
        <v>Частичное-пожар</v>
      </c>
      <c r="P35" s="31">
        <v>6.9</v>
      </c>
      <c r="Q35" s="31">
        <v>9.8000000000000007</v>
      </c>
      <c r="R35" s="31">
        <v>14.6</v>
      </c>
      <c r="S35" s="31">
        <v>29.1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2</v>
      </c>
      <c r="AL35" s="31">
        <f>0.1*$AL$2</f>
        <v>7.5000000000000011E-2</v>
      </c>
      <c r="AM35" s="31">
        <f>AM32</f>
        <v>2.7E-2</v>
      </c>
      <c r="AN35" s="31">
        <f>ROUNDUP(AN32/3,0)</f>
        <v>1</v>
      </c>
      <c r="AO35" s="31"/>
      <c r="AP35" s="31"/>
      <c r="AQ35" s="32">
        <f>AM35*I35+AL35</f>
        <v>0.148143</v>
      </c>
      <c r="AR35" s="32">
        <f t="shared" si="36"/>
        <v>1.4814300000000001E-2</v>
      </c>
      <c r="AS35" s="33">
        <f t="shared" si="37"/>
        <v>0.5</v>
      </c>
      <c r="AT35" s="33">
        <f t="shared" si="38"/>
        <v>0.16573932499999999</v>
      </c>
      <c r="AU35" s="32">
        <f>10068.2*J35*POWER(10,-6)</f>
        <v>2.7274753799999999E-2</v>
      </c>
      <c r="AV35" s="33">
        <f t="shared" si="39"/>
        <v>0.85597137879999996</v>
      </c>
      <c r="AW35" s="34">
        <f t="shared" si="40"/>
        <v>0</v>
      </c>
      <c r="AX35" s="34">
        <f t="shared" si="41"/>
        <v>8.0999999999999996E-4</v>
      </c>
      <c r="AY35" s="34">
        <f t="shared" si="42"/>
        <v>3.4666840841399995E-4</v>
      </c>
      <c r="AZ35" s="288">
        <f>AW35/DB!$B$23</f>
        <v>0</v>
      </c>
      <c r="BA35" s="288">
        <f>AX35/DB!$B$23</f>
        <v>4.1538461538461534E-7</v>
      </c>
    </row>
    <row r="36" spans="1:53" x14ac:dyDescent="0.3">
      <c r="A36" s="8" t="s">
        <v>517</v>
      </c>
      <c r="B36" s="8" t="str">
        <f>B32</f>
        <v>Сборный нефтепровод ГЗУ 30 – ГЗУ 28, водонефтяная эмульсия</v>
      </c>
      <c r="C36" s="79" t="s">
        <v>110</v>
      </c>
      <c r="D36" s="9" t="s">
        <v>112</v>
      </c>
      <c r="E36" s="67">
        <f>E35</f>
        <v>4.9999999999999998E-7</v>
      </c>
      <c r="F36" s="68">
        <f>F32</f>
        <v>4050</v>
      </c>
      <c r="G36" s="8">
        <v>0.04</v>
      </c>
      <c r="H36" s="10">
        <f t="shared" si="32"/>
        <v>8.1000000000000004E-5</v>
      </c>
      <c r="I36" s="62">
        <f>0.15*I32</f>
        <v>2.7089999999999996</v>
      </c>
      <c r="J36" s="69">
        <f>0.5*J33</f>
        <v>4.5511199999999995E-2</v>
      </c>
      <c r="K36" s="74" t="s">
        <v>127</v>
      </c>
      <c r="L36" s="78">
        <v>3</v>
      </c>
      <c r="M36" s="31" t="str">
        <f t="shared" si="33"/>
        <v>C23</v>
      </c>
      <c r="N36" s="31" t="str">
        <f t="shared" si="34"/>
        <v>Сборный нефтепровод ГЗУ 30 – ГЗУ 28, водонефтяная эмульсия</v>
      </c>
      <c r="O36" s="31" t="str">
        <f t="shared" si="35"/>
        <v>Частичное-пожар-вспышка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 t="s">
        <v>46</v>
      </c>
      <c r="Z36" s="31" t="s">
        <v>46</v>
      </c>
      <c r="AA36" s="31">
        <v>12.09</v>
      </c>
      <c r="AB36" s="31">
        <v>14.51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1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0.148143</v>
      </c>
      <c r="AR36" s="32">
        <f t="shared" si="36"/>
        <v>1.4814300000000001E-2</v>
      </c>
      <c r="AS36" s="33">
        <f t="shared" si="37"/>
        <v>0.25</v>
      </c>
      <c r="AT36" s="33">
        <f t="shared" si="38"/>
        <v>0.10323932499999999</v>
      </c>
      <c r="AU36" s="32">
        <f>10068.2*J36*POWER(10,-6)*10</f>
        <v>4.5821586383999998E-3</v>
      </c>
      <c r="AV36" s="33">
        <f t="shared" si="39"/>
        <v>0.52077878363840002</v>
      </c>
      <c r="AW36" s="34">
        <f t="shared" si="40"/>
        <v>0</v>
      </c>
      <c r="AX36" s="34">
        <f t="shared" si="41"/>
        <v>8.1000000000000004E-5</v>
      </c>
      <c r="AY36" s="34">
        <f t="shared" si="42"/>
        <v>4.2183081474710407E-5</v>
      </c>
      <c r="AZ36" s="288">
        <f>AW36/DB!$B$23</f>
        <v>0</v>
      </c>
      <c r="BA36" s="288">
        <f>AX36/DB!$B$23</f>
        <v>4.153846153846154E-8</v>
      </c>
    </row>
    <row r="37" spans="1:53" x14ac:dyDescent="0.3">
      <c r="A37" s="170" t="s">
        <v>518</v>
      </c>
      <c r="B37" s="170" t="str">
        <f>B32</f>
        <v>Сборный нефтепровод ГЗУ 30 – ГЗУ 28, водонефтяная эмульсия</v>
      </c>
      <c r="C37" s="171" t="s">
        <v>111</v>
      </c>
      <c r="D37" s="172" t="s">
        <v>27</v>
      </c>
      <c r="E37" s="173">
        <f>E35</f>
        <v>4.9999999999999998E-7</v>
      </c>
      <c r="F37" s="174">
        <f>F32</f>
        <v>4050</v>
      </c>
      <c r="G37" s="170">
        <v>0.76</v>
      </c>
      <c r="H37" s="175">
        <f t="shared" si="32"/>
        <v>1.539E-3</v>
      </c>
      <c r="I37" s="176">
        <f>0.15*I32</f>
        <v>2.7089999999999996</v>
      </c>
      <c r="J37" s="177">
        <v>0</v>
      </c>
      <c r="K37" s="178" t="s">
        <v>138</v>
      </c>
      <c r="L37" s="179">
        <v>1</v>
      </c>
      <c r="M37" s="31" t="str">
        <f t="shared" si="33"/>
        <v>C24</v>
      </c>
      <c r="N37" s="31" t="str">
        <f t="shared" si="34"/>
        <v>Сборный нефтепровод ГЗУ 30 – ГЗУ 28, водонефтяная эмульсия</v>
      </c>
      <c r="O37" s="31" t="str">
        <f t="shared" si="35"/>
        <v>Частичное-ликвидация</v>
      </c>
      <c r="P37" s="31" t="s">
        <v>46</v>
      </c>
      <c r="Q37" s="31" t="s">
        <v>46</v>
      </c>
      <c r="R37" s="31" t="s">
        <v>46</v>
      </c>
      <c r="S37" s="31" t="s">
        <v>46</v>
      </c>
      <c r="T37" s="31" t="s">
        <v>46</v>
      </c>
      <c r="U37" s="31" t="s">
        <v>46</v>
      </c>
      <c r="V37" s="31" t="s">
        <v>46</v>
      </c>
      <c r="W37" s="31" t="s">
        <v>46</v>
      </c>
      <c r="X37" s="31" t="s">
        <v>46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0</v>
      </c>
      <c r="AL37" s="31">
        <f>0.1*$AL$2</f>
        <v>7.5000000000000011E-2</v>
      </c>
      <c r="AM37" s="31">
        <f>AM32</f>
        <v>2.7E-2</v>
      </c>
      <c r="AN37" s="31">
        <f>ROUNDUP(AN32/3,0)</f>
        <v>1</v>
      </c>
      <c r="AO37" s="31"/>
      <c r="AP37" s="31"/>
      <c r="AQ37" s="32">
        <f>AM37*I37*0.1+AL37</f>
        <v>8.2314300000000007E-2</v>
      </c>
      <c r="AR37" s="32">
        <f t="shared" si="36"/>
        <v>8.2314300000000014E-3</v>
      </c>
      <c r="AS37" s="33">
        <f t="shared" si="37"/>
        <v>0</v>
      </c>
      <c r="AT37" s="33">
        <f t="shared" si="38"/>
        <v>2.2636432500000001E-2</v>
      </c>
      <c r="AU37" s="32">
        <f>1333*J36*POWER(10,-6)</f>
        <v>6.0666429599999988E-5</v>
      </c>
      <c r="AV37" s="33">
        <f t="shared" si="39"/>
        <v>0.11324282892960001</v>
      </c>
      <c r="AW37" s="34">
        <f t="shared" si="40"/>
        <v>0</v>
      </c>
      <c r="AX37" s="34">
        <f t="shared" si="41"/>
        <v>0</v>
      </c>
      <c r="AY37" s="34">
        <f t="shared" si="42"/>
        <v>1.7428071372265443E-4</v>
      </c>
      <c r="AZ37" s="288">
        <f>AW37/DB!$B$23</f>
        <v>0</v>
      </c>
      <c r="BA37" s="288">
        <f>AX37/DB!$B$23</f>
        <v>0</v>
      </c>
    </row>
    <row r="38" spans="1:53" s="180" customForma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207" t="s">
        <v>466</v>
      </c>
      <c r="L38" s="287" t="s">
        <v>601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3" s="180" customForma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3" s="180" customForma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ht="15" thickBot="1" x14ac:dyDescent="0.35"/>
    <row r="42" spans="1:53" ht="28.8" thickBot="1" x14ac:dyDescent="0.35">
      <c r="A42" s="8" t="s">
        <v>519</v>
      </c>
      <c r="B42" s="322" t="s">
        <v>654</v>
      </c>
      <c r="C42" s="79" t="s">
        <v>106</v>
      </c>
      <c r="D42" s="9" t="s">
        <v>25</v>
      </c>
      <c r="E42" s="66">
        <v>9.9999999999999995E-8</v>
      </c>
      <c r="F42" s="63">
        <v>1000</v>
      </c>
      <c r="G42" s="8">
        <v>0.2</v>
      </c>
      <c r="H42" s="10">
        <f t="shared" ref="H42:H47" si="43">E42*F42*G42</f>
        <v>1.9999999999999998E-5</v>
      </c>
      <c r="I42" s="64">
        <v>7.98</v>
      </c>
      <c r="J42" s="69">
        <f>I42</f>
        <v>7.98</v>
      </c>
      <c r="K42" s="72" t="s">
        <v>122</v>
      </c>
      <c r="L42" s="77">
        <f>40*I42</f>
        <v>319.20000000000005</v>
      </c>
      <c r="M42" s="31" t="str">
        <f t="shared" ref="M42:M47" si="44">A42</f>
        <v>C25</v>
      </c>
      <c r="N42" s="31" t="str">
        <f t="shared" ref="N42:N47" si="45">B42</f>
        <v>Сборный нефтепровод ГЗУ 31 – (ГЗУ 30 – ГЗУ 28), водонефтяная эмульсия</v>
      </c>
      <c r="O42" s="31" t="str">
        <f t="shared" ref="O42:O47" si="46">D42</f>
        <v>Полное-пожар</v>
      </c>
      <c r="P42" s="31">
        <v>14.4</v>
      </c>
      <c r="Q42" s="31">
        <v>20.2</v>
      </c>
      <c r="R42" s="31">
        <v>29.3</v>
      </c>
      <c r="S42" s="31">
        <v>55.6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 t="s">
        <v>46</v>
      </c>
      <c r="Z42" s="31" t="s">
        <v>46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1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0.96545999999999998</v>
      </c>
      <c r="AR42" s="32">
        <f t="shared" ref="AR42:AR47" si="47">0.1*AQ42</f>
        <v>9.6546000000000007E-2</v>
      </c>
      <c r="AS42" s="33">
        <f t="shared" ref="AS42:AS47" si="48">AJ42*3+0.25*AK42</f>
        <v>3.25</v>
      </c>
      <c r="AT42" s="33">
        <f t="shared" ref="AT42:AT47" si="49">SUM(AQ42:AS42)/4</f>
        <v>1.0780015000000001</v>
      </c>
      <c r="AU42" s="32">
        <f>10068.2*J42*POWER(10,-6)</f>
        <v>8.0344235999999999E-2</v>
      </c>
      <c r="AV42" s="33">
        <f t="shared" ref="AV42:AV47" si="50">AU42+AT42+AS42+AR42+AQ42</f>
        <v>5.4703517360000005</v>
      </c>
      <c r="AW42" s="34">
        <f t="shared" ref="AW42:AW47" si="51">AJ42*H42</f>
        <v>1.9999999999999998E-5</v>
      </c>
      <c r="AX42" s="34">
        <f t="shared" ref="AX42:AX47" si="52">H42*AK42</f>
        <v>1.9999999999999998E-5</v>
      </c>
      <c r="AY42" s="34">
        <f t="shared" ref="AY42:AY47" si="53">H42*AV42</f>
        <v>1.0940703472000001E-4</v>
      </c>
      <c r="AZ42" s="288">
        <f>AW42/DB!$B$23</f>
        <v>1.0256410256410256E-8</v>
      </c>
      <c r="BA42" s="288">
        <f>AX42/DB!$B$23</f>
        <v>1.0256410256410256E-8</v>
      </c>
    </row>
    <row r="43" spans="1:53" ht="15" thickBot="1" x14ac:dyDescent="0.35">
      <c r="A43" s="8" t="s">
        <v>520</v>
      </c>
      <c r="B43" s="8" t="str">
        <f>B42</f>
        <v>Сборный нефтепровод ГЗУ 31 – (ГЗУ 30 – ГЗУ 28), водонефтяная эмульсия</v>
      </c>
      <c r="C43" s="79" t="s">
        <v>107</v>
      </c>
      <c r="D43" s="9" t="s">
        <v>28</v>
      </c>
      <c r="E43" s="67">
        <f>E42</f>
        <v>9.9999999999999995E-8</v>
      </c>
      <c r="F43" s="68">
        <f>F42</f>
        <v>1000</v>
      </c>
      <c r="G43" s="8">
        <v>0.04</v>
      </c>
      <c r="H43" s="10">
        <f t="shared" si="43"/>
        <v>3.9999999999999998E-6</v>
      </c>
      <c r="I43" s="62">
        <f>I42</f>
        <v>7.98</v>
      </c>
      <c r="J43" s="298">
        <f>POWER(10,-6)*35*SQRT(100)*3600*L42/1000*0.1</f>
        <v>4.0219200000000004E-2</v>
      </c>
      <c r="K43" s="72" t="s">
        <v>123</v>
      </c>
      <c r="L43" s="77">
        <v>0</v>
      </c>
      <c r="M43" s="31" t="str">
        <f t="shared" si="44"/>
        <v>C26</v>
      </c>
      <c r="N43" s="31" t="str">
        <f t="shared" si="45"/>
        <v>Сборный нефтепровод ГЗУ 31 – (ГЗУ 30 – ГЗУ 28), водонефтяная эмульсия</v>
      </c>
      <c r="O43" s="31" t="str">
        <f t="shared" si="46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0</v>
      </c>
      <c r="W43" s="31">
        <v>18.100000000000001</v>
      </c>
      <c r="X43" s="31">
        <v>30.6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1</v>
      </c>
      <c r="AK43" s="12">
        <v>1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0.96545999999999998</v>
      </c>
      <c r="AR43" s="32">
        <f t="shared" si="47"/>
        <v>9.6546000000000007E-2</v>
      </c>
      <c r="AS43" s="33">
        <f t="shared" si="48"/>
        <v>3.25</v>
      </c>
      <c r="AT43" s="33">
        <f t="shared" si="49"/>
        <v>1.0780015000000001</v>
      </c>
      <c r="AU43" s="32">
        <f>10068.2*J43*POWER(10,-6)*10</f>
        <v>4.0493494944000008E-3</v>
      </c>
      <c r="AV43" s="33">
        <f t="shared" si="50"/>
        <v>5.3940568494944001</v>
      </c>
      <c r="AW43" s="34">
        <f t="shared" si="51"/>
        <v>3.9999999999999998E-6</v>
      </c>
      <c r="AX43" s="34">
        <f t="shared" si="52"/>
        <v>3.9999999999999998E-6</v>
      </c>
      <c r="AY43" s="34">
        <f t="shared" si="53"/>
        <v>2.1576227397977599E-5</v>
      </c>
      <c r="AZ43" s="288">
        <f>AW43/DB!$B$23</f>
        <v>2.0512820512820512E-9</v>
      </c>
      <c r="BA43" s="288">
        <f>AX43/DB!$B$23</f>
        <v>2.0512820512820512E-9</v>
      </c>
    </row>
    <row r="44" spans="1:53" x14ac:dyDescent="0.3">
      <c r="A44" s="8" t="s">
        <v>521</v>
      </c>
      <c r="B44" s="8" t="str">
        <f>B42</f>
        <v>Сборный нефтепровод ГЗУ 31 – (ГЗУ 30 – ГЗУ 28), водонефтяная эмульсия</v>
      </c>
      <c r="C44" s="79" t="s">
        <v>108</v>
      </c>
      <c r="D44" s="9" t="s">
        <v>26</v>
      </c>
      <c r="E44" s="67">
        <f>E42</f>
        <v>9.9999999999999995E-8</v>
      </c>
      <c r="F44" s="68">
        <f>F42</f>
        <v>1000</v>
      </c>
      <c r="G44" s="8">
        <v>0.76</v>
      </c>
      <c r="H44" s="10">
        <f t="shared" si="43"/>
        <v>7.5999999999999991E-5</v>
      </c>
      <c r="I44" s="62">
        <f>I42</f>
        <v>7.98</v>
      </c>
      <c r="J44" s="71">
        <v>0</v>
      </c>
      <c r="K44" s="72" t="s">
        <v>124</v>
      </c>
      <c r="L44" s="77">
        <v>0</v>
      </c>
      <c r="M44" s="31" t="str">
        <f t="shared" si="44"/>
        <v>C27</v>
      </c>
      <c r="N44" s="31" t="str">
        <f t="shared" si="45"/>
        <v>Сборный нефтепровод ГЗУ 31 – (ГЗУ 30 – ГЗУ 28), водонефтяная эмульсия</v>
      </c>
      <c r="O44" s="31" t="str">
        <f t="shared" si="46"/>
        <v>Полное-ликвидация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 t="s">
        <v>46</v>
      </c>
      <c r="AB44" s="31" t="s">
        <v>46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0.77154599999999995</v>
      </c>
      <c r="AR44" s="32">
        <f t="shared" si="47"/>
        <v>7.7154600000000004E-2</v>
      </c>
      <c r="AS44" s="33">
        <f t="shared" si="48"/>
        <v>0</v>
      </c>
      <c r="AT44" s="33">
        <f t="shared" si="49"/>
        <v>0.21217514999999998</v>
      </c>
      <c r="AU44" s="32">
        <f>1333*J43*POWER(10,-6)</f>
        <v>5.3612193600000005E-5</v>
      </c>
      <c r="AV44" s="33">
        <f t="shared" si="50"/>
        <v>1.0609293621936</v>
      </c>
      <c r="AW44" s="34">
        <f t="shared" si="51"/>
        <v>0</v>
      </c>
      <c r="AX44" s="34">
        <f t="shared" si="52"/>
        <v>0</v>
      </c>
      <c r="AY44" s="34">
        <f t="shared" si="53"/>
        <v>8.0630631526713593E-5</v>
      </c>
      <c r="AZ44" s="288">
        <f>AW44/DB!$B$23</f>
        <v>0</v>
      </c>
      <c r="BA44" s="288">
        <f>AX44/DB!$B$23</f>
        <v>0</v>
      </c>
    </row>
    <row r="45" spans="1:53" x14ac:dyDescent="0.3">
      <c r="A45" s="8" t="s">
        <v>522</v>
      </c>
      <c r="B45" s="8" t="str">
        <f>B42</f>
        <v>Сборный нефтепровод ГЗУ 31 – (ГЗУ 30 – ГЗУ 28), водонефтяная эмульсия</v>
      </c>
      <c r="C45" s="79" t="s">
        <v>109</v>
      </c>
      <c r="D45" s="9" t="s">
        <v>47</v>
      </c>
      <c r="E45" s="66">
        <v>4.9999999999999998E-7</v>
      </c>
      <c r="F45" s="68">
        <f>F42</f>
        <v>1000</v>
      </c>
      <c r="G45" s="8">
        <v>0.2</v>
      </c>
      <c r="H45" s="10">
        <f t="shared" si="43"/>
        <v>1E-4</v>
      </c>
      <c r="I45" s="62">
        <f>0.15*I42</f>
        <v>1.1970000000000001</v>
      </c>
      <c r="J45" s="69">
        <f>I45</f>
        <v>1.1970000000000001</v>
      </c>
      <c r="K45" s="74" t="s">
        <v>126</v>
      </c>
      <c r="L45" s="78">
        <v>45390</v>
      </c>
      <c r="M45" s="31" t="str">
        <f t="shared" si="44"/>
        <v>C28</v>
      </c>
      <c r="N45" s="31" t="str">
        <f t="shared" si="45"/>
        <v>Сборный нефтепровод ГЗУ 31 – (ГЗУ 30 – ГЗУ 28), водонефтяная эмульсия</v>
      </c>
      <c r="O45" s="31" t="str">
        <f t="shared" si="46"/>
        <v>Частичное-пожар</v>
      </c>
      <c r="P45" s="31">
        <v>5.3</v>
      </c>
      <c r="Q45" s="31">
        <v>7.6</v>
      </c>
      <c r="R45" s="31">
        <v>11.2</v>
      </c>
      <c r="S45" s="31">
        <v>21.7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 t="s">
        <v>46</v>
      </c>
      <c r="AD45" s="31" t="s">
        <v>46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0</v>
      </c>
      <c r="AK45" s="31">
        <v>2</v>
      </c>
      <c r="AL45" s="31">
        <f>0.1*$AL$2</f>
        <v>7.5000000000000011E-2</v>
      </c>
      <c r="AM45" s="31">
        <f>AM42</f>
        <v>2.7E-2</v>
      </c>
      <c r="AN45" s="31">
        <f>ROUNDUP(AN42/3,0)</f>
        <v>1</v>
      </c>
      <c r="AO45" s="31"/>
      <c r="AP45" s="31"/>
      <c r="AQ45" s="32">
        <f>AM45*I45+AL45</f>
        <v>0.10731900000000001</v>
      </c>
      <c r="AR45" s="32">
        <f t="shared" si="47"/>
        <v>1.0731900000000003E-2</v>
      </c>
      <c r="AS45" s="33">
        <f t="shared" si="48"/>
        <v>0.5</v>
      </c>
      <c r="AT45" s="33">
        <f t="shared" si="49"/>
        <v>0.15451272500000002</v>
      </c>
      <c r="AU45" s="32">
        <f>10068.2*J45*POWER(10,-6)</f>
        <v>1.20516354E-2</v>
      </c>
      <c r="AV45" s="33">
        <f t="shared" si="50"/>
        <v>0.78461526040000007</v>
      </c>
      <c r="AW45" s="34">
        <f t="shared" si="51"/>
        <v>0</v>
      </c>
      <c r="AX45" s="34">
        <f t="shared" si="52"/>
        <v>2.0000000000000001E-4</v>
      </c>
      <c r="AY45" s="34">
        <f t="shared" si="53"/>
        <v>7.8461526040000005E-5</v>
      </c>
      <c r="AZ45" s="288">
        <f>AW45/DB!$B$23</f>
        <v>0</v>
      </c>
      <c r="BA45" s="288">
        <f>AX45/DB!$B$23</f>
        <v>1.0256410256410257E-7</v>
      </c>
    </row>
    <row r="46" spans="1:53" x14ac:dyDescent="0.3">
      <c r="A46" s="8" t="s">
        <v>523</v>
      </c>
      <c r="B46" s="8" t="str">
        <f>B42</f>
        <v>Сборный нефтепровод ГЗУ 31 – (ГЗУ 30 – ГЗУ 28), водонефтяная эмульсия</v>
      </c>
      <c r="C46" s="79" t="s">
        <v>110</v>
      </c>
      <c r="D46" s="9" t="s">
        <v>112</v>
      </c>
      <c r="E46" s="67">
        <f>E45</f>
        <v>4.9999999999999998E-7</v>
      </c>
      <c r="F46" s="68">
        <f>F42</f>
        <v>1000</v>
      </c>
      <c r="G46" s="8">
        <v>0.04</v>
      </c>
      <c r="H46" s="10">
        <f t="shared" si="43"/>
        <v>2.0000000000000002E-5</v>
      </c>
      <c r="I46" s="62">
        <f>0.15*I42</f>
        <v>1.1970000000000001</v>
      </c>
      <c r="J46" s="69">
        <f>0.5*J43</f>
        <v>2.0109600000000002E-2</v>
      </c>
      <c r="K46" s="74" t="s">
        <v>127</v>
      </c>
      <c r="L46" s="78">
        <v>3</v>
      </c>
      <c r="M46" s="31" t="str">
        <f t="shared" si="44"/>
        <v>C29</v>
      </c>
      <c r="N46" s="31" t="str">
        <f t="shared" si="45"/>
        <v>Сборный нефтепровод ГЗУ 31 – (ГЗУ 30 – ГЗУ 28), водонефтяная эмульсия</v>
      </c>
      <c r="O46" s="31" t="str">
        <f t="shared" si="46"/>
        <v>Частичное-пожар-вспышка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 t="s">
        <v>46</v>
      </c>
      <c r="Z46" s="31" t="s">
        <v>46</v>
      </c>
      <c r="AA46" s="31">
        <v>9.23</v>
      </c>
      <c r="AB46" s="31">
        <v>11.08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1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0.10731900000000001</v>
      </c>
      <c r="AR46" s="32">
        <f t="shared" si="47"/>
        <v>1.0731900000000003E-2</v>
      </c>
      <c r="AS46" s="33">
        <f t="shared" si="48"/>
        <v>0.25</v>
      </c>
      <c r="AT46" s="33">
        <f t="shared" si="49"/>
        <v>9.2012725000000004E-2</v>
      </c>
      <c r="AU46" s="32">
        <f>10068.2*J46*POWER(10,-6)*10</f>
        <v>2.0246747472000004E-3</v>
      </c>
      <c r="AV46" s="33">
        <f t="shared" si="50"/>
        <v>0.4620882997472</v>
      </c>
      <c r="AW46" s="34">
        <f t="shared" si="51"/>
        <v>0</v>
      </c>
      <c r="AX46" s="34">
        <f t="shared" si="52"/>
        <v>2.0000000000000002E-5</v>
      </c>
      <c r="AY46" s="34">
        <f t="shared" si="53"/>
        <v>9.2417659949440016E-6</v>
      </c>
      <c r="AZ46" s="288">
        <f>AW46/DB!$B$23</f>
        <v>0</v>
      </c>
      <c r="BA46" s="288">
        <f>AX46/DB!$B$23</f>
        <v>1.0256410256410258E-8</v>
      </c>
    </row>
    <row r="47" spans="1:53" x14ac:dyDescent="0.3">
      <c r="A47" s="170" t="s">
        <v>524</v>
      </c>
      <c r="B47" s="170" t="str">
        <f>B42</f>
        <v>Сборный нефтепровод ГЗУ 31 – (ГЗУ 30 – ГЗУ 28), водонефтяная эмульсия</v>
      </c>
      <c r="C47" s="171" t="s">
        <v>111</v>
      </c>
      <c r="D47" s="172" t="s">
        <v>27</v>
      </c>
      <c r="E47" s="173">
        <f>E45</f>
        <v>4.9999999999999998E-7</v>
      </c>
      <c r="F47" s="174">
        <f>F42</f>
        <v>1000</v>
      </c>
      <c r="G47" s="170">
        <v>0.76</v>
      </c>
      <c r="H47" s="175">
        <f t="shared" si="43"/>
        <v>3.8000000000000002E-4</v>
      </c>
      <c r="I47" s="176">
        <f>0.15*I42</f>
        <v>1.1970000000000001</v>
      </c>
      <c r="J47" s="177">
        <v>0</v>
      </c>
      <c r="K47" s="178" t="s">
        <v>138</v>
      </c>
      <c r="L47" s="179">
        <v>1</v>
      </c>
      <c r="M47" s="31" t="str">
        <f t="shared" si="44"/>
        <v>C30</v>
      </c>
      <c r="N47" s="31" t="str">
        <f t="shared" si="45"/>
        <v>Сборный нефтепровод ГЗУ 31 – (ГЗУ 30 – ГЗУ 28), водонефтяная эмульсия</v>
      </c>
      <c r="O47" s="31" t="str">
        <f t="shared" si="46"/>
        <v>Частичное-ликвидация</v>
      </c>
      <c r="P47" s="31" t="s">
        <v>46</v>
      </c>
      <c r="Q47" s="31" t="s">
        <v>46</v>
      </c>
      <c r="R47" s="31" t="s">
        <v>46</v>
      </c>
      <c r="S47" s="31" t="s">
        <v>46</v>
      </c>
      <c r="T47" s="31" t="s">
        <v>46</v>
      </c>
      <c r="U47" s="31" t="s">
        <v>46</v>
      </c>
      <c r="V47" s="31" t="s">
        <v>46</v>
      </c>
      <c r="W47" s="31" t="s">
        <v>46</v>
      </c>
      <c r="X47" s="31" t="s">
        <v>46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0</v>
      </c>
      <c r="AL47" s="31">
        <f>0.1*$AL$2</f>
        <v>7.5000000000000011E-2</v>
      </c>
      <c r="AM47" s="31">
        <f>AM42</f>
        <v>2.7E-2</v>
      </c>
      <c r="AN47" s="31">
        <f>ROUNDUP(AN42/3,0)</f>
        <v>1</v>
      </c>
      <c r="AO47" s="31"/>
      <c r="AP47" s="31"/>
      <c r="AQ47" s="32">
        <f>AM47*I47*0.1+AL47</f>
        <v>7.8231900000000007E-2</v>
      </c>
      <c r="AR47" s="32">
        <f t="shared" si="47"/>
        <v>7.8231900000000007E-3</v>
      </c>
      <c r="AS47" s="33">
        <f t="shared" si="48"/>
        <v>0</v>
      </c>
      <c r="AT47" s="33">
        <f t="shared" si="49"/>
        <v>2.15137725E-2</v>
      </c>
      <c r="AU47" s="32">
        <f>1333*J46*POWER(10,-6)</f>
        <v>2.6806096800000003E-5</v>
      </c>
      <c r="AV47" s="33">
        <f t="shared" si="50"/>
        <v>0.1075956685968</v>
      </c>
      <c r="AW47" s="34">
        <f t="shared" si="51"/>
        <v>0</v>
      </c>
      <c r="AX47" s="34">
        <f t="shared" si="52"/>
        <v>0</v>
      </c>
      <c r="AY47" s="34">
        <f t="shared" si="53"/>
        <v>4.0886354066784004E-5</v>
      </c>
      <c r="AZ47" s="288">
        <f>AW47/DB!$B$23</f>
        <v>0</v>
      </c>
      <c r="BA47" s="288">
        <f>AX47/DB!$B$23</f>
        <v>0</v>
      </c>
    </row>
    <row r="48" spans="1:53" s="180" customForma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207" t="s">
        <v>466</v>
      </c>
      <c r="L48" s="287" t="s">
        <v>601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3" s="180" customForma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3" s="180" customForma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3" ht="15" thickBot="1" x14ac:dyDescent="0.35"/>
    <row r="52" spans="1:53" ht="15" thickBot="1" x14ac:dyDescent="0.35">
      <c r="A52" s="8" t="s">
        <v>525</v>
      </c>
      <c r="B52" s="63" t="s">
        <v>655</v>
      </c>
      <c r="C52" s="79" t="s">
        <v>106</v>
      </c>
      <c r="D52" s="9" t="s">
        <v>25</v>
      </c>
      <c r="E52" s="66">
        <v>9.9999999999999995E-8</v>
      </c>
      <c r="F52" s="63">
        <v>1700</v>
      </c>
      <c r="G52" s="8">
        <v>0.2</v>
      </c>
      <c r="H52" s="10">
        <f t="shared" ref="H52:H57" si="54">E52*F52*G52</f>
        <v>3.4E-5</v>
      </c>
      <c r="I52" s="64">
        <v>7.56</v>
      </c>
      <c r="J52" s="69">
        <f>I52</f>
        <v>7.56</v>
      </c>
      <c r="K52" s="72" t="s">
        <v>122</v>
      </c>
      <c r="L52" s="77">
        <f>40*I52</f>
        <v>302.39999999999998</v>
      </c>
      <c r="M52" s="31" t="str">
        <f t="shared" ref="M52:M57" si="55">A52</f>
        <v>C31</v>
      </c>
      <c r="N52" s="31" t="str">
        <f t="shared" ref="N52:N57" si="56">B52</f>
        <v>Выкидной нефтепровод НК (нефтяной колодец) – ГЗУ 31, водонефтяная эмульсия</v>
      </c>
      <c r="O52" s="31" t="str">
        <f t="shared" ref="O52:O57" si="57">D52</f>
        <v>Полное-пожар</v>
      </c>
      <c r="P52" s="31">
        <v>14</v>
      </c>
      <c r="Q52" s="31">
        <v>19.7</v>
      </c>
      <c r="R52" s="31">
        <v>28.5</v>
      </c>
      <c r="S52" s="31">
        <v>54.3</v>
      </c>
      <c r="T52" s="31" t="s">
        <v>46</v>
      </c>
      <c r="U52" s="31" t="s">
        <v>46</v>
      </c>
      <c r="V52" s="31" t="s">
        <v>46</v>
      </c>
      <c r="W52" s="31" t="s">
        <v>46</v>
      </c>
      <c r="X52" s="31" t="s">
        <v>46</v>
      </c>
      <c r="Y52" s="31" t="s">
        <v>46</v>
      </c>
      <c r="Z52" s="31" t="s">
        <v>46</v>
      </c>
      <c r="AA52" s="31" t="s">
        <v>46</v>
      </c>
      <c r="AB52" s="31" t="s">
        <v>46</v>
      </c>
      <c r="AC52" s="31" t="s">
        <v>46</v>
      </c>
      <c r="AD52" s="31" t="s">
        <v>46</v>
      </c>
      <c r="AE52" s="31" t="s">
        <v>46</v>
      </c>
      <c r="AF52" s="31" t="s">
        <v>46</v>
      </c>
      <c r="AG52" s="31" t="s">
        <v>46</v>
      </c>
      <c r="AH52" s="31" t="s">
        <v>46</v>
      </c>
      <c r="AI52" s="31" t="s">
        <v>46</v>
      </c>
      <c r="AJ52" s="12">
        <v>1</v>
      </c>
      <c r="AK52" s="12">
        <v>1</v>
      </c>
      <c r="AL52" s="65">
        <v>0.75</v>
      </c>
      <c r="AM52" s="65">
        <v>2.7E-2</v>
      </c>
      <c r="AN52" s="65">
        <v>3</v>
      </c>
      <c r="AO52" s="31"/>
      <c r="AP52" s="31"/>
      <c r="AQ52" s="32">
        <f>AM52*I52+AL52</f>
        <v>0.95411999999999997</v>
      </c>
      <c r="AR52" s="32">
        <f t="shared" ref="AR52:AR57" si="58">0.1*AQ52</f>
        <v>9.5411999999999997E-2</v>
      </c>
      <c r="AS52" s="33">
        <f t="shared" ref="AS52:AS57" si="59">AJ52*3+0.25*AK52</f>
        <v>3.25</v>
      </c>
      <c r="AT52" s="33">
        <f t="shared" ref="AT52:AT57" si="60">SUM(AQ52:AS52)/4</f>
        <v>1.074883</v>
      </c>
      <c r="AU52" s="32">
        <f>10068.2*J52*POWER(10,-6)</f>
        <v>7.6115591999999996E-2</v>
      </c>
      <c r="AV52" s="33">
        <f t="shared" ref="AV52:AV57" si="61">AU52+AT52+AS52+AR52+AQ52</f>
        <v>5.4505305919999998</v>
      </c>
      <c r="AW52" s="34">
        <f t="shared" ref="AW52:AW57" si="62">AJ52*H52</f>
        <v>3.4E-5</v>
      </c>
      <c r="AX52" s="34">
        <f t="shared" ref="AX52:AX57" si="63">H52*AK52</f>
        <v>3.4E-5</v>
      </c>
      <c r="AY52" s="34">
        <f t="shared" ref="AY52:AY57" si="64">H52*AV52</f>
        <v>1.8531804012799998E-4</v>
      </c>
      <c r="AZ52" s="288">
        <f>AW52/DB!$B$23</f>
        <v>1.7435897435897437E-8</v>
      </c>
      <c r="BA52" s="288">
        <f>AX52/DB!$B$23</f>
        <v>1.7435897435897437E-8</v>
      </c>
    </row>
    <row r="53" spans="1:53" ht="15" thickBot="1" x14ac:dyDescent="0.35">
      <c r="A53" s="8" t="s">
        <v>526</v>
      </c>
      <c r="B53" s="8" t="str">
        <f>B52</f>
        <v>Выкидной нефтепровод НК (нефтяной колодец) – ГЗУ 31, водонефтяная эмульсия</v>
      </c>
      <c r="C53" s="79" t="s">
        <v>107</v>
      </c>
      <c r="D53" s="9" t="s">
        <v>28</v>
      </c>
      <c r="E53" s="67">
        <f>E52</f>
        <v>9.9999999999999995E-8</v>
      </c>
      <c r="F53" s="68">
        <f>F52</f>
        <v>1700</v>
      </c>
      <c r="G53" s="8">
        <v>0.04</v>
      </c>
      <c r="H53" s="10">
        <f t="shared" si="54"/>
        <v>6.7999999999999993E-6</v>
      </c>
      <c r="I53" s="62">
        <f>I52</f>
        <v>7.56</v>
      </c>
      <c r="J53" s="298">
        <f>POWER(10,-6)*35*SQRT(100)*3600*L52/1000*0.1</f>
        <v>3.8102399999999988E-2</v>
      </c>
      <c r="K53" s="72" t="s">
        <v>123</v>
      </c>
      <c r="L53" s="77">
        <v>0</v>
      </c>
      <c r="M53" s="31" t="str">
        <f t="shared" si="55"/>
        <v>C32</v>
      </c>
      <c r="N53" s="31" t="str">
        <f t="shared" si="56"/>
        <v>Выкидной нефтепровод НК (нефтяной колодец) – ГЗУ 31, водонефтяная эмульсия</v>
      </c>
      <c r="O53" s="31" t="str">
        <f t="shared" si="57"/>
        <v>Полное-взрыв</v>
      </c>
      <c r="P53" s="31" t="s">
        <v>46</v>
      </c>
      <c r="Q53" s="31" t="s">
        <v>46</v>
      </c>
      <c r="R53" s="31" t="s">
        <v>46</v>
      </c>
      <c r="S53" s="31" t="s">
        <v>46</v>
      </c>
      <c r="T53" s="31">
        <v>0</v>
      </c>
      <c r="U53" s="31">
        <v>0</v>
      </c>
      <c r="V53" s="31">
        <v>0</v>
      </c>
      <c r="W53" s="31">
        <v>17.100000000000001</v>
      </c>
      <c r="X53" s="31">
        <v>29.1</v>
      </c>
      <c r="Y53" s="31" t="s">
        <v>46</v>
      </c>
      <c r="Z53" s="31" t="s">
        <v>46</v>
      </c>
      <c r="AA53" s="31" t="s">
        <v>46</v>
      </c>
      <c r="AB53" s="31" t="s">
        <v>46</v>
      </c>
      <c r="AC53" s="31" t="s">
        <v>46</v>
      </c>
      <c r="AD53" s="31" t="s">
        <v>46</v>
      </c>
      <c r="AE53" s="31" t="s">
        <v>46</v>
      </c>
      <c r="AF53" s="31" t="s">
        <v>46</v>
      </c>
      <c r="AG53" s="31" t="s">
        <v>46</v>
      </c>
      <c r="AH53" s="31" t="s">
        <v>46</v>
      </c>
      <c r="AI53" s="31" t="s">
        <v>46</v>
      </c>
      <c r="AJ53" s="12">
        <v>1</v>
      </c>
      <c r="AK53" s="12">
        <v>1</v>
      </c>
      <c r="AL53" s="31">
        <f>AL52</f>
        <v>0.75</v>
      </c>
      <c r="AM53" s="31">
        <f>AM52</f>
        <v>2.7E-2</v>
      </c>
      <c r="AN53" s="31">
        <f>AN52</f>
        <v>3</v>
      </c>
      <c r="AO53" s="31"/>
      <c r="AP53" s="31"/>
      <c r="AQ53" s="32">
        <f>AM53*I53+AL53</f>
        <v>0.95411999999999997</v>
      </c>
      <c r="AR53" s="32">
        <f t="shared" si="58"/>
        <v>9.5411999999999997E-2</v>
      </c>
      <c r="AS53" s="33">
        <f t="shared" si="59"/>
        <v>3.25</v>
      </c>
      <c r="AT53" s="33">
        <f t="shared" si="60"/>
        <v>1.074883</v>
      </c>
      <c r="AU53" s="32">
        <f>10068.2*J53*POWER(10,-6)*10</f>
        <v>3.8362258367999986E-3</v>
      </c>
      <c r="AV53" s="33">
        <f t="shared" si="61"/>
        <v>5.3782512258367996</v>
      </c>
      <c r="AW53" s="34">
        <f t="shared" si="62"/>
        <v>6.7999999999999993E-6</v>
      </c>
      <c r="AX53" s="34">
        <f t="shared" si="63"/>
        <v>6.7999999999999993E-6</v>
      </c>
      <c r="AY53" s="34">
        <f t="shared" si="64"/>
        <v>3.6572108335690233E-5</v>
      </c>
      <c r="AZ53" s="288">
        <f>AW53/DB!$B$23</f>
        <v>3.4871794871794869E-9</v>
      </c>
      <c r="BA53" s="288">
        <f>AX53/DB!$B$23</f>
        <v>3.4871794871794869E-9</v>
      </c>
    </row>
    <row r="54" spans="1:53" x14ac:dyDescent="0.3">
      <c r="A54" s="8" t="s">
        <v>527</v>
      </c>
      <c r="B54" s="8" t="str">
        <f>B52</f>
        <v>Выкидной нефтепровод НК (нефтяной колодец) – ГЗУ 31, водонефтяная эмульсия</v>
      </c>
      <c r="C54" s="79" t="s">
        <v>108</v>
      </c>
      <c r="D54" s="9" t="s">
        <v>26</v>
      </c>
      <c r="E54" s="67">
        <f>E52</f>
        <v>9.9999999999999995E-8</v>
      </c>
      <c r="F54" s="68">
        <f>F52</f>
        <v>1700</v>
      </c>
      <c r="G54" s="8">
        <v>0.76</v>
      </c>
      <c r="H54" s="10">
        <f t="shared" si="54"/>
        <v>1.292E-4</v>
      </c>
      <c r="I54" s="62">
        <f>I52</f>
        <v>7.56</v>
      </c>
      <c r="J54" s="71">
        <v>0</v>
      </c>
      <c r="K54" s="72" t="s">
        <v>124</v>
      </c>
      <c r="L54" s="77">
        <v>0</v>
      </c>
      <c r="M54" s="31" t="str">
        <f t="shared" si="55"/>
        <v>C33</v>
      </c>
      <c r="N54" s="31" t="str">
        <f t="shared" si="56"/>
        <v>Выкидной нефтепровод НК (нефтяной колодец) – ГЗУ 31, водонефтяная эмульсия</v>
      </c>
      <c r="O54" s="31" t="str">
        <f t="shared" si="57"/>
        <v>Полное-ликвидация</v>
      </c>
      <c r="P54" s="31" t="s">
        <v>46</v>
      </c>
      <c r="Q54" s="31" t="s">
        <v>46</v>
      </c>
      <c r="R54" s="31" t="s">
        <v>46</v>
      </c>
      <c r="S54" s="31" t="s">
        <v>46</v>
      </c>
      <c r="T54" s="31" t="s">
        <v>46</v>
      </c>
      <c r="U54" s="31" t="s">
        <v>46</v>
      </c>
      <c r="V54" s="31" t="s">
        <v>46</v>
      </c>
      <c r="W54" s="31" t="s">
        <v>46</v>
      </c>
      <c r="X54" s="31" t="s">
        <v>46</v>
      </c>
      <c r="Y54" s="31" t="s">
        <v>46</v>
      </c>
      <c r="Z54" s="31" t="s">
        <v>46</v>
      </c>
      <c r="AA54" s="31" t="s">
        <v>46</v>
      </c>
      <c r="AB54" s="31" t="s">
        <v>46</v>
      </c>
      <c r="AC54" s="31" t="s">
        <v>46</v>
      </c>
      <c r="AD54" s="31" t="s">
        <v>46</v>
      </c>
      <c r="AE54" s="31" t="s">
        <v>46</v>
      </c>
      <c r="AF54" s="31" t="s">
        <v>46</v>
      </c>
      <c r="AG54" s="31" t="s">
        <v>46</v>
      </c>
      <c r="AH54" s="31" t="s">
        <v>46</v>
      </c>
      <c r="AI54" s="31" t="s">
        <v>46</v>
      </c>
      <c r="AJ54" s="31">
        <v>0</v>
      </c>
      <c r="AK54" s="31">
        <v>0</v>
      </c>
      <c r="AL54" s="31">
        <f>AL52</f>
        <v>0.75</v>
      </c>
      <c r="AM54" s="31">
        <f>AM52</f>
        <v>2.7E-2</v>
      </c>
      <c r="AN54" s="31">
        <f>AN52</f>
        <v>3</v>
      </c>
      <c r="AO54" s="31"/>
      <c r="AP54" s="31"/>
      <c r="AQ54" s="32">
        <f>AM54*I54*0.1+AL54</f>
        <v>0.77041199999999999</v>
      </c>
      <c r="AR54" s="32">
        <f t="shared" si="58"/>
        <v>7.7041200000000004E-2</v>
      </c>
      <c r="AS54" s="33">
        <f t="shared" si="59"/>
        <v>0</v>
      </c>
      <c r="AT54" s="33">
        <f t="shared" si="60"/>
        <v>0.2118633</v>
      </c>
      <c r="AU54" s="32">
        <f>1333*J53*POWER(10,-6)</f>
        <v>5.0790499199999981E-5</v>
      </c>
      <c r="AV54" s="33">
        <f t="shared" si="61"/>
        <v>1.0593672904992</v>
      </c>
      <c r="AW54" s="34">
        <f t="shared" si="62"/>
        <v>0</v>
      </c>
      <c r="AX54" s="34">
        <f t="shared" si="63"/>
        <v>0</v>
      </c>
      <c r="AY54" s="34">
        <f t="shared" si="64"/>
        <v>1.3687025393249662E-4</v>
      </c>
      <c r="AZ54" s="288">
        <f>AW54/DB!$B$23</f>
        <v>0</v>
      </c>
      <c r="BA54" s="288">
        <f>AX54/DB!$B$23</f>
        <v>0</v>
      </c>
    </row>
    <row r="55" spans="1:53" x14ac:dyDescent="0.3">
      <c r="A55" s="8" t="s">
        <v>528</v>
      </c>
      <c r="B55" s="8" t="str">
        <f>B52</f>
        <v>Выкидной нефтепровод НК (нефтяной колодец) – ГЗУ 31, водонефтяная эмульсия</v>
      </c>
      <c r="C55" s="79" t="s">
        <v>109</v>
      </c>
      <c r="D55" s="9" t="s">
        <v>47</v>
      </c>
      <c r="E55" s="66">
        <v>4.9999999999999998E-7</v>
      </c>
      <c r="F55" s="68">
        <f>F52</f>
        <v>1700</v>
      </c>
      <c r="G55" s="8">
        <v>0.2</v>
      </c>
      <c r="H55" s="10">
        <f t="shared" si="54"/>
        <v>1.7000000000000001E-4</v>
      </c>
      <c r="I55" s="62">
        <f>0.15*I52</f>
        <v>1.1339999999999999</v>
      </c>
      <c r="J55" s="69">
        <f>I55</f>
        <v>1.1339999999999999</v>
      </c>
      <c r="K55" s="74" t="s">
        <v>126</v>
      </c>
      <c r="L55" s="78">
        <v>45390</v>
      </c>
      <c r="M55" s="31" t="str">
        <f t="shared" si="55"/>
        <v>C34</v>
      </c>
      <c r="N55" s="31" t="str">
        <f t="shared" si="56"/>
        <v>Выкидной нефтепровод НК (нефтяной колодец) – ГЗУ 31, водонефтяная эмульсия</v>
      </c>
      <c r="O55" s="31" t="str">
        <f t="shared" si="57"/>
        <v>Частичное-пожар</v>
      </c>
      <c r="P55" s="31">
        <v>5.2</v>
      </c>
      <c r="Q55" s="31">
        <v>7.5</v>
      </c>
      <c r="R55" s="31">
        <v>11.1</v>
      </c>
      <c r="S55" s="31">
        <v>21.3</v>
      </c>
      <c r="T55" s="31" t="s">
        <v>46</v>
      </c>
      <c r="U55" s="31" t="s">
        <v>46</v>
      </c>
      <c r="V55" s="31" t="s">
        <v>46</v>
      </c>
      <c r="W55" s="31" t="s">
        <v>46</v>
      </c>
      <c r="X55" s="31" t="s">
        <v>46</v>
      </c>
      <c r="Y55" s="31" t="s">
        <v>46</v>
      </c>
      <c r="Z55" s="31" t="s">
        <v>46</v>
      </c>
      <c r="AA55" s="31" t="s">
        <v>46</v>
      </c>
      <c r="AB55" s="31" t="s">
        <v>46</v>
      </c>
      <c r="AC55" s="31" t="s">
        <v>46</v>
      </c>
      <c r="AD55" s="31" t="s">
        <v>46</v>
      </c>
      <c r="AE55" s="31" t="s">
        <v>46</v>
      </c>
      <c r="AF55" s="31" t="s">
        <v>46</v>
      </c>
      <c r="AG55" s="31" t="s">
        <v>46</v>
      </c>
      <c r="AH55" s="31" t="s">
        <v>46</v>
      </c>
      <c r="AI55" s="31" t="s">
        <v>46</v>
      </c>
      <c r="AJ55" s="31">
        <v>0</v>
      </c>
      <c r="AK55" s="31">
        <v>2</v>
      </c>
      <c r="AL55" s="31">
        <f>0.1*$AL$2</f>
        <v>7.5000000000000011E-2</v>
      </c>
      <c r="AM55" s="31">
        <f>AM52</f>
        <v>2.7E-2</v>
      </c>
      <c r="AN55" s="31">
        <f>ROUNDUP(AN52/3,0)</f>
        <v>1</v>
      </c>
      <c r="AO55" s="31"/>
      <c r="AP55" s="31"/>
      <c r="AQ55" s="32">
        <f>AM55*I55+AL55</f>
        <v>0.105618</v>
      </c>
      <c r="AR55" s="32">
        <f t="shared" si="58"/>
        <v>1.0561800000000001E-2</v>
      </c>
      <c r="AS55" s="33">
        <f t="shared" si="59"/>
        <v>0.5</v>
      </c>
      <c r="AT55" s="33">
        <f t="shared" si="60"/>
        <v>0.15404495000000001</v>
      </c>
      <c r="AU55" s="32">
        <f>10068.2*J55*POWER(10,-6)</f>
        <v>1.1417338799999999E-2</v>
      </c>
      <c r="AV55" s="33">
        <f t="shared" si="61"/>
        <v>0.78164208879999997</v>
      </c>
      <c r="AW55" s="34">
        <f t="shared" si="62"/>
        <v>0</v>
      </c>
      <c r="AX55" s="34">
        <f t="shared" si="63"/>
        <v>3.4000000000000002E-4</v>
      </c>
      <c r="AY55" s="34">
        <f t="shared" si="64"/>
        <v>1.3287915509600001E-4</v>
      </c>
      <c r="AZ55" s="288">
        <f>AW55/DB!$B$23</f>
        <v>0</v>
      </c>
      <c r="BA55" s="288">
        <f>AX55/DB!$B$23</f>
        <v>1.7435897435897438E-7</v>
      </c>
    </row>
    <row r="56" spans="1:53" x14ac:dyDescent="0.3">
      <c r="A56" s="8" t="s">
        <v>529</v>
      </c>
      <c r="B56" s="8" t="str">
        <f>B52</f>
        <v>Выкидной нефтепровод НК (нефтяной колодец) – ГЗУ 31, водонефтяная эмульсия</v>
      </c>
      <c r="C56" s="79" t="s">
        <v>110</v>
      </c>
      <c r="D56" s="9" t="s">
        <v>112</v>
      </c>
      <c r="E56" s="67">
        <f>E55</f>
        <v>4.9999999999999998E-7</v>
      </c>
      <c r="F56" s="68">
        <f>F52</f>
        <v>1700</v>
      </c>
      <c r="G56" s="8">
        <v>0.04</v>
      </c>
      <c r="H56" s="10">
        <f t="shared" si="54"/>
        <v>3.4E-5</v>
      </c>
      <c r="I56" s="62">
        <f>0.15*I52</f>
        <v>1.1339999999999999</v>
      </c>
      <c r="J56" s="69">
        <f>0.5*J53</f>
        <v>1.9051199999999994E-2</v>
      </c>
      <c r="K56" s="74" t="s">
        <v>127</v>
      </c>
      <c r="L56" s="78">
        <v>3</v>
      </c>
      <c r="M56" s="31" t="str">
        <f t="shared" si="55"/>
        <v>C35</v>
      </c>
      <c r="N56" s="31" t="str">
        <f t="shared" si="56"/>
        <v>Выкидной нефтепровод НК (нефтяной колодец) – ГЗУ 31, водонефтяная эмульсия</v>
      </c>
      <c r="O56" s="31" t="str">
        <f t="shared" si="57"/>
        <v>Частичное-пожар-вспышка</v>
      </c>
      <c r="P56" s="31" t="s">
        <v>46</v>
      </c>
      <c r="Q56" s="31" t="s">
        <v>46</v>
      </c>
      <c r="R56" s="31" t="s">
        <v>46</v>
      </c>
      <c r="S56" s="31" t="s">
        <v>46</v>
      </c>
      <c r="T56" s="31" t="s">
        <v>46</v>
      </c>
      <c r="U56" s="31" t="s">
        <v>46</v>
      </c>
      <c r="V56" s="31" t="s">
        <v>46</v>
      </c>
      <c r="W56" s="31" t="s">
        <v>46</v>
      </c>
      <c r="X56" s="31" t="s">
        <v>46</v>
      </c>
      <c r="Y56" s="31" t="s">
        <v>46</v>
      </c>
      <c r="Z56" s="31" t="s">
        <v>46</v>
      </c>
      <c r="AA56" s="31">
        <v>9.07</v>
      </c>
      <c r="AB56" s="31">
        <v>10.88</v>
      </c>
      <c r="AC56" s="31" t="s">
        <v>46</v>
      </c>
      <c r="AD56" s="31" t="s">
        <v>46</v>
      </c>
      <c r="AE56" s="31" t="s">
        <v>46</v>
      </c>
      <c r="AF56" s="31" t="s">
        <v>46</v>
      </c>
      <c r="AG56" s="31" t="s">
        <v>46</v>
      </c>
      <c r="AH56" s="31" t="s">
        <v>46</v>
      </c>
      <c r="AI56" s="31" t="s">
        <v>46</v>
      </c>
      <c r="AJ56" s="31">
        <v>0</v>
      </c>
      <c r="AK56" s="31">
        <v>1</v>
      </c>
      <c r="AL56" s="31">
        <f>0.1*$AL$2</f>
        <v>7.5000000000000011E-2</v>
      </c>
      <c r="AM56" s="31">
        <f>AM52</f>
        <v>2.7E-2</v>
      </c>
      <c r="AN56" s="31">
        <f>ROUNDUP(AN52/3,0)</f>
        <v>1</v>
      </c>
      <c r="AO56" s="31"/>
      <c r="AP56" s="31"/>
      <c r="AQ56" s="32">
        <f>AM56*I56+AL56</f>
        <v>0.105618</v>
      </c>
      <c r="AR56" s="32">
        <f t="shared" si="58"/>
        <v>1.0561800000000001E-2</v>
      </c>
      <c r="AS56" s="33">
        <f t="shared" si="59"/>
        <v>0.25</v>
      </c>
      <c r="AT56" s="33">
        <f t="shared" si="60"/>
        <v>9.154495E-2</v>
      </c>
      <c r="AU56" s="32">
        <f>10068.2*J56*POWER(10,-6)*10</f>
        <v>1.9181129183999993E-3</v>
      </c>
      <c r="AV56" s="33">
        <f t="shared" si="61"/>
        <v>0.45964286291840001</v>
      </c>
      <c r="AW56" s="34">
        <f t="shared" si="62"/>
        <v>0</v>
      </c>
      <c r="AX56" s="34">
        <f t="shared" si="63"/>
        <v>3.4E-5</v>
      </c>
      <c r="AY56" s="34">
        <f t="shared" si="64"/>
        <v>1.5627857339225602E-5</v>
      </c>
      <c r="AZ56" s="288">
        <f>AW56/DB!$B$23</f>
        <v>0</v>
      </c>
      <c r="BA56" s="288">
        <f>AX56/DB!$B$23</f>
        <v>1.7435897435897437E-8</v>
      </c>
    </row>
    <row r="57" spans="1:53" x14ac:dyDescent="0.3">
      <c r="A57" s="170" t="s">
        <v>530</v>
      </c>
      <c r="B57" s="170" t="str">
        <f>B52</f>
        <v>Выкидной нефтепровод НК (нефтяной колодец) – ГЗУ 31, водонефтяная эмульсия</v>
      </c>
      <c r="C57" s="171" t="s">
        <v>111</v>
      </c>
      <c r="D57" s="172" t="s">
        <v>27</v>
      </c>
      <c r="E57" s="173">
        <f>E55</f>
        <v>4.9999999999999998E-7</v>
      </c>
      <c r="F57" s="174">
        <f>F52</f>
        <v>1700</v>
      </c>
      <c r="G57" s="170">
        <v>0.76</v>
      </c>
      <c r="H57" s="175">
        <f t="shared" si="54"/>
        <v>6.4599999999999998E-4</v>
      </c>
      <c r="I57" s="176">
        <f>0.15*I52</f>
        <v>1.1339999999999999</v>
      </c>
      <c r="J57" s="177">
        <v>0</v>
      </c>
      <c r="K57" s="178" t="s">
        <v>138</v>
      </c>
      <c r="L57" s="179">
        <v>1</v>
      </c>
      <c r="M57" s="31" t="str">
        <f t="shared" si="55"/>
        <v>C36</v>
      </c>
      <c r="N57" s="31" t="str">
        <f t="shared" si="56"/>
        <v>Выкидной нефтепровод НК (нефтяной колодец) – ГЗУ 31, водонефтяная эмульсия</v>
      </c>
      <c r="O57" s="31" t="str">
        <f t="shared" si="57"/>
        <v>Частичное-ликвидация</v>
      </c>
      <c r="P57" s="31" t="s">
        <v>46</v>
      </c>
      <c r="Q57" s="31" t="s">
        <v>46</v>
      </c>
      <c r="R57" s="31" t="s">
        <v>46</v>
      </c>
      <c r="S57" s="31" t="s">
        <v>46</v>
      </c>
      <c r="T57" s="31" t="s">
        <v>46</v>
      </c>
      <c r="U57" s="31" t="s">
        <v>46</v>
      </c>
      <c r="V57" s="31" t="s">
        <v>46</v>
      </c>
      <c r="W57" s="31" t="s">
        <v>46</v>
      </c>
      <c r="X57" s="31" t="s">
        <v>46</v>
      </c>
      <c r="Y57" s="31" t="s">
        <v>46</v>
      </c>
      <c r="Z57" s="31" t="s">
        <v>46</v>
      </c>
      <c r="AA57" s="31" t="s">
        <v>46</v>
      </c>
      <c r="AB57" s="31" t="s">
        <v>46</v>
      </c>
      <c r="AC57" s="31" t="s">
        <v>46</v>
      </c>
      <c r="AD57" s="31" t="s">
        <v>46</v>
      </c>
      <c r="AE57" s="31" t="s">
        <v>46</v>
      </c>
      <c r="AF57" s="31" t="s">
        <v>46</v>
      </c>
      <c r="AG57" s="31" t="s">
        <v>46</v>
      </c>
      <c r="AH57" s="31" t="s">
        <v>46</v>
      </c>
      <c r="AI57" s="31" t="s">
        <v>46</v>
      </c>
      <c r="AJ57" s="31">
        <v>0</v>
      </c>
      <c r="AK57" s="31">
        <v>0</v>
      </c>
      <c r="AL57" s="31">
        <f>0.1*$AL$2</f>
        <v>7.5000000000000011E-2</v>
      </c>
      <c r="AM57" s="31">
        <f>AM52</f>
        <v>2.7E-2</v>
      </c>
      <c r="AN57" s="31">
        <f>ROUNDUP(AN52/3,0)</f>
        <v>1</v>
      </c>
      <c r="AO57" s="31"/>
      <c r="AP57" s="31"/>
      <c r="AQ57" s="32">
        <f>AM57*I57*0.1+AL57</f>
        <v>7.8061800000000015E-2</v>
      </c>
      <c r="AR57" s="32">
        <f t="shared" si="58"/>
        <v>7.806180000000002E-3</v>
      </c>
      <c r="AS57" s="33">
        <f t="shared" si="59"/>
        <v>0</v>
      </c>
      <c r="AT57" s="33">
        <f t="shared" si="60"/>
        <v>2.1466995000000003E-2</v>
      </c>
      <c r="AU57" s="32">
        <f>1333*J56*POWER(10,-6)</f>
        <v>2.5395249599999991E-5</v>
      </c>
      <c r="AV57" s="33">
        <f t="shared" si="61"/>
        <v>0.10736037024960002</v>
      </c>
      <c r="AW57" s="34">
        <f t="shared" si="62"/>
        <v>0</v>
      </c>
      <c r="AX57" s="34">
        <f t="shared" si="63"/>
        <v>0</v>
      </c>
      <c r="AY57" s="34">
        <f t="shared" si="64"/>
        <v>6.9354799181241611E-5</v>
      </c>
      <c r="AZ57" s="288">
        <f>AW57/DB!$B$23</f>
        <v>0</v>
      </c>
      <c r="BA57" s="288">
        <f>AX57/DB!$B$23</f>
        <v>0</v>
      </c>
    </row>
    <row r="58" spans="1:53" s="180" customForma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207" t="s">
        <v>466</v>
      </c>
      <c r="L58" s="287" t="s">
        <v>601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</row>
    <row r="59" spans="1:53" s="180" customForma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</row>
    <row r="60" spans="1:53" s="180" customForma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</row>
    <row r="61" spans="1:53" ht="15" thickBot="1" x14ac:dyDescent="0.35"/>
    <row r="62" spans="1:53" ht="15" thickBot="1" x14ac:dyDescent="0.35">
      <c r="A62" s="8" t="s">
        <v>531</v>
      </c>
      <c r="B62" s="63" t="s">
        <v>656</v>
      </c>
      <c r="C62" s="79" t="s">
        <v>106</v>
      </c>
      <c r="D62" s="9" t="s">
        <v>25</v>
      </c>
      <c r="E62" s="66">
        <v>2.9999999999999999E-7</v>
      </c>
      <c r="F62" s="63">
        <v>6964</v>
      </c>
      <c r="G62" s="8">
        <v>0.2</v>
      </c>
      <c r="H62" s="10">
        <f t="shared" ref="H62:H67" si="65">E62*F62*G62</f>
        <v>4.1784E-4</v>
      </c>
      <c r="I62" s="64">
        <v>30.25</v>
      </c>
      <c r="J62" s="69">
        <f>I62</f>
        <v>30.25</v>
      </c>
      <c r="K62" s="72" t="s">
        <v>122</v>
      </c>
      <c r="L62" s="77">
        <f>40*I62</f>
        <v>1210</v>
      </c>
      <c r="M62" s="31" t="str">
        <f t="shared" ref="M62:M67" si="66">A62</f>
        <v>C37</v>
      </c>
      <c r="N62" s="31" t="str">
        <f t="shared" ref="N62:N67" si="67">B62</f>
        <v>Выкидной нефтепровод Скв 527Т– ГЗУ 27, водонефтяная эмульсия</v>
      </c>
      <c r="O62" s="31" t="str">
        <f t="shared" ref="O62:O67" si="68">D62</f>
        <v>Полное-пожар</v>
      </c>
      <c r="P62" s="31">
        <v>27.9</v>
      </c>
      <c r="Q62" s="31">
        <v>38.200000000000003</v>
      </c>
      <c r="R62" s="31">
        <v>54</v>
      </c>
      <c r="S62" s="31">
        <v>98.6</v>
      </c>
      <c r="T62" s="31" t="s">
        <v>46</v>
      </c>
      <c r="U62" s="31" t="s">
        <v>46</v>
      </c>
      <c r="V62" s="31" t="s">
        <v>46</v>
      </c>
      <c r="W62" s="31" t="s">
        <v>46</v>
      </c>
      <c r="X62" s="31" t="s">
        <v>46</v>
      </c>
      <c r="Y62" s="31" t="s">
        <v>46</v>
      </c>
      <c r="Z62" s="31" t="s">
        <v>46</v>
      </c>
      <c r="AA62" s="31" t="s">
        <v>46</v>
      </c>
      <c r="AB62" s="31" t="s">
        <v>46</v>
      </c>
      <c r="AC62" s="31" t="s">
        <v>46</v>
      </c>
      <c r="AD62" s="31" t="s">
        <v>46</v>
      </c>
      <c r="AE62" s="31" t="s">
        <v>46</v>
      </c>
      <c r="AF62" s="31" t="s">
        <v>46</v>
      </c>
      <c r="AG62" s="31" t="s">
        <v>46</v>
      </c>
      <c r="AH62" s="31" t="s">
        <v>46</v>
      </c>
      <c r="AI62" s="31" t="s">
        <v>46</v>
      </c>
      <c r="AJ62" s="12">
        <v>1</v>
      </c>
      <c r="AK62" s="12">
        <v>1</v>
      </c>
      <c r="AL62" s="65">
        <v>0.75</v>
      </c>
      <c r="AM62" s="65">
        <v>2.7E-2</v>
      </c>
      <c r="AN62" s="65">
        <v>3</v>
      </c>
      <c r="AO62" s="31"/>
      <c r="AP62" s="31"/>
      <c r="AQ62" s="32">
        <f>AM62*I62+AL62</f>
        <v>1.5667499999999999</v>
      </c>
      <c r="AR62" s="32">
        <f t="shared" ref="AR62:AR67" si="69">0.1*AQ62</f>
        <v>0.15667500000000001</v>
      </c>
      <c r="AS62" s="33">
        <f t="shared" ref="AS62:AS67" si="70">AJ62*3+0.25*AK62</f>
        <v>3.25</v>
      </c>
      <c r="AT62" s="33">
        <f t="shared" ref="AT62:AT67" si="71">SUM(AQ62:AS62)/4</f>
        <v>1.2433562499999999</v>
      </c>
      <c r="AU62" s="32">
        <f>10068.2*J62*POWER(10,-6)</f>
        <v>0.30456305000000006</v>
      </c>
      <c r="AV62" s="33">
        <f t="shared" ref="AV62:AV67" si="72">AU62+AT62+AS62+AR62+AQ62</f>
        <v>6.5213443</v>
      </c>
      <c r="AW62" s="34">
        <f t="shared" ref="AW62:AW67" si="73">AJ62*H62</f>
        <v>4.1784E-4</v>
      </c>
      <c r="AX62" s="34">
        <f t="shared" ref="AX62:AX67" si="74">H62*AK62</f>
        <v>4.1784E-4</v>
      </c>
      <c r="AY62" s="34">
        <f t="shared" ref="AY62:AY67" si="75">H62*AV62</f>
        <v>2.7248785023120002E-3</v>
      </c>
      <c r="AZ62" s="288">
        <f>AW62/DB!$B$23</f>
        <v>2.1427692307692308E-7</v>
      </c>
      <c r="BA62" s="288">
        <f>AX62/DB!$B$23</f>
        <v>2.1427692307692308E-7</v>
      </c>
    </row>
    <row r="63" spans="1:53" ht="15" thickBot="1" x14ac:dyDescent="0.35">
      <c r="A63" s="8" t="s">
        <v>532</v>
      </c>
      <c r="B63" s="8" t="str">
        <f>B62</f>
        <v>Выкидной нефтепровод Скв 527Т– ГЗУ 27, водонефтяная эмульсия</v>
      </c>
      <c r="C63" s="79" t="s">
        <v>107</v>
      </c>
      <c r="D63" s="9" t="s">
        <v>28</v>
      </c>
      <c r="E63" s="67">
        <f>E62</f>
        <v>2.9999999999999999E-7</v>
      </c>
      <c r="F63" s="68">
        <f>F62</f>
        <v>6964</v>
      </c>
      <c r="G63" s="8">
        <v>0.04</v>
      </c>
      <c r="H63" s="10">
        <f t="shared" si="65"/>
        <v>8.3567999999999997E-5</v>
      </c>
      <c r="I63" s="62">
        <f>I62</f>
        <v>30.25</v>
      </c>
      <c r="J63" s="298">
        <f>POWER(10,-6)*35*SQRT(100)*3600*L62/1000*0.1</f>
        <v>0.15245999999999998</v>
      </c>
      <c r="K63" s="72" t="s">
        <v>123</v>
      </c>
      <c r="L63" s="77">
        <v>0</v>
      </c>
      <c r="M63" s="31" t="str">
        <f t="shared" si="66"/>
        <v>C38</v>
      </c>
      <c r="N63" s="31" t="str">
        <f t="shared" si="67"/>
        <v>Выкидной нефтепровод Скв 527Т– ГЗУ 27, водонефтяная эмульсия</v>
      </c>
      <c r="O63" s="31" t="str">
        <f t="shared" si="68"/>
        <v>Полное-взрыв</v>
      </c>
      <c r="P63" s="31" t="s">
        <v>46</v>
      </c>
      <c r="Q63" s="31" t="s">
        <v>46</v>
      </c>
      <c r="R63" s="31" t="s">
        <v>46</v>
      </c>
      <c r="S63" s="31" t="s">
        <v>46</v>
      </c>
      <c r="T63" s="31">
        <v>19.899999999999999</v>
      </c>
      <c r="U63" s="31">
        <v>32.1</v>
      </c>
      <c r="V63" s="31">
        <v>68.900000000000006</v>
      </c>
      <c r="W63" s="31">
        <v>113.1</v>
      </c>
      <c r="X63" s="31">
        <v>180.6</v>
      </c>
      <c r="Y63" s="31" t="s">
        <v>46</v>
      </c>
      <c r="Z63" s="31" t="s">
        <v>46</v>
      </c>
      <c r="AA63" s="31" t="s">
        <v>46</v>
      </c>
      <c r="AB63" s="31" t="s">
        <v>46</v>
      </c>
      <c r="AC63" s="31" t="s">
        <v>46</v>
      </c>
      <c r="AD63" s="31" t="s">
        <v>46</v>
      </c>
      <c r="AE63" s="31" t="s">
        <v>46</v>
      </c>
      <c r="AF63" s="31" t="s">
        <v>46</v>
      </c>
      <c r="AG63" s="31" t="s">
        <v>46</v>
      </c>
      <c r="AH63" s="31" t="s">
        <v>46</v>
      </c>
      <c r="AI63" s="31" t="s">
        <v>46</v>
      </c>
      <c r="AJ63" s="12">
        <v>1</v>
      </c>
      <c r="AK63" s="12">
        <v>1</v>
      </c>
      <c r="AL63" s="31">
        <f>AL62</f>
        <v>0.75</v>
      </c>
      <c r="AM63" s="31">
        <f>AM62</f>
        <v>2.7E-2</v>
      </c>
      <c r="AN63" s="31">
        <f>AN62</f>
        <v>3</v>
      </c>
      <c r="AO63" s="31"/>
      <c r="AP63" s="31"/>
      <c r="AQ63" s="32">
        <f>AM63*I63+AL63</f>
        <v>1.5667499999999999</v>
      </c>
      <c r="AR63" s="32">
        <f t="shared" si="69"/>
        <v>0.15667500000000001</v>
      </c>
      <c r="AS63" s="33">
        <f t="shared" si="70"/>
        <v>3.25</v>
      </c>
      <c r="AT63" s="33">
        <f t="shared" si="71"/>
        <v>1.2433562499999999</v>
      </c>
      <c r="AU63" s="32">
        <f>10068.2*J63*POWER(10,-6)*10</f>
        <v>1.534997772E-2</v>
      </c>
      <c r="AV63" s="33">
        <f t="shared" si="72"/>
        <v>6.2321312277199992</v>
      </c>
      <c r="AW63" s="34">
        <f t="shared" si="73"/>
        <v>8.3567999999999997E-5</v>
      </c>
      <c r="AX63" s="34">
        <f t="shared" si="74"/>
        <v>8.3567999999999997E-5</v>
      </c>
      <c r="AY63" s="34">
        <f t="shared" si="75"/>
        <v>5.2080674243810488E-4</v>
      </c>
      <c r="AZ63" s="288">
        <f>AW63/DB!$B$23</f>
        <v>4.2855384615384616E-8</v>
      </c>
      <c r="BA63" s="288">
        <f>AX63/DB!$B$23</f>
        <v>4.2855384615384616E-8</v>
      </c>
    </row>
    <row r="64" spans="1:53" x14ac:dyDescent="0.3">
      <c r="A64" s="8" t="s">
        <v>533</v>
      </c>
      <c r="B64" s="8" t="str">
        <f>B62</f>
        <v>Выкидной нефтепровод Скв 527Т– ГЗУ 27, водонефтяная эмульсия</v>
      </c>
      <c r="C64" s="79" t="s">
        <v>108</v>
      </c>
      <c r="D64" s="9" t="s">
        <v>26</v>
      </c>
      <c r="E64" s="67">
        <f>E62</f>
        <v>2.9999999999999999E-7</v>
      </c>
      <c r="F64" s="68">
        <f>F62</f>
        <v>6964</v>
      </c>
      <c r="G64" s="8">
        <v>0.76</v>
      </c>
      <c r="H64" s="10">
        <f t="shared" si="65"/>
        <v>1.587792E-3</v>
      </c>
      <c r="I64" s="62">
        <f>I62</f>
        <v>30.25</v>
      </c>
      <c r="J64" s="71">
        <v>0</v>
      </c>
      <c r="K64" s="72" t="s">
        <v>124</v>
      </c>
      <c r="L64" s="77">
        <v>0</v>
      </c>
      <c r="M64" s="31" t="str">
        <f t="shared" si="66"/>
        <v>C39</v>
      </c>
      <c r="N64" s="31" t="str">
        <f t="shared" si="67"/>
        <v>Выкидной нефтепровод Скв 527Т– ГЗУ 27, водонефтяная эмульсия</v>
      </c>
      <c r="O64" s="31" t="str">
        <f t="shared" si="68"/>
        <v>Полное-ликвидация</v>
      </c>
      <c r="P64" s="31" t="s">
        <v>46</v>
      </c>
      <c r="Q64" s="31" t="s">
        <v>46</v>
      </c>
      <c r="R64" s="31" t="s">
        <v>46</v>
      </c>
      <c r="S64" s="31" t="s">
        <v>46</v>
      </c>
      <c r="T64" s="31" t="s">
        <v>46</v>
      </c>
      <c r="U64" s="31" t="s">
        <v>46</v>
      </c>
      <c r="V64" s="31" t="s">
        <v>46</v>
      </c>
      <c r="W64" s="31" t="s">
        <v>46</v>
      </c>
      <c r="X64" s="31" t="s">
        <v>46</v>
      </c>
      <c r="Y64" s="31" t="s">
        <v>46</v>
      </c>
      <c r="Z64" s="31" t="s">
        <v>46</v>
      </c>
      <c r="AA64" s="31" t="s">
        <v>46</v>
      </c>
      <c r="AB64" s="31" t="s">
        <v>46</v>
      </c>
      <c r="AC64" s="31" t="s">
        <v>46</v>
      </c>
      <c r="AD64" s="31" t="s">
        <v>46</v>
      </c>
      <c r="AE64" s="31" t="s">
        <v>46</v>
      </c>
      <c r="AF64" s="31" t="s">
        <v>46</v>
      </c>
      <c r="AG64" s="31" t="s">
        <v>46</v>
      </c>
      <c r="AH64" s="31" t="s">
        <v>46</v>
      </c>
      <c r="AI64" s="31" t="s">
        <v>46</v>
      </c>
      <c r="AJ64" s="31">
        <v>0</v>
      </c>
      <c r="AK64" s="31">
        <v>0</v>
      </c>
      <c r="AL64" s="31">
        <f>AL62</f>
        <v>0.75</v>
      </c>
      <c r="AM64" s="31">
        <f>AM62</f>
        <v>2.7E-2</v>
      </c>
      <c r="AN64" s="31">
        <f>AN62</f>
        <v>3</v>
      </c>
      <c r="AO64" s="31"/>
      <c r="AP64" s="31"/>
      <c r="AQ64" s="32">
        <f>AM64*I64*0.1+AL64</f>
        <v>0.83167499999999994</v>
      </c>
      <c r="AR64" s="32">
        <f t="shared" si="69"/>
        <v>8.3167500000000005E-2</v>
      </c>
      <c r="AS64" s="33">
        <f t="shared" si="70"/>
        <v>0</v>
      </c>
      <c r="AT64" s="33">
        <f t="shared" si="71"/>
        <v>0.228710625</v>
      </c>
      <c r="AU64" s="32">
        <f>1333*J63*POWER(10,-6)</f>
        <v>2.0322917999999999E-4</v>
      </c>
      <c r="AV64" s="33">
        <f t="shared" si="72"/>
        <v>1.14375635418</v>
      </c>
      <c r="AW64" s="34">
        <f t="shared" si="73"/>
        <v>0</v>
      </c>
      <c r="AX64" s="34">
        <f t="shared" si="74"/>
        <v>0</v>
      </c>
      <c r="AY64" s="34">
        <f t="shared" si="75"/>
        <v>1.8160471891161705E-3</v>
      </c>
      <c r="AZ64" s="288">
        <f>AW64/DB!$B$23</f>
        <v>0</v>
      </c>
      <c r="BA64" s="288">
        <f>AX64/DB!$B$23</f>
        <v>0</v>
      </c>
    </row>
    <row r="65" spans="1:53" x14ac:dyDescent="0.3">
      <c r="A65" s="8" t="s">
        <v>534</v>
      </c>
      <c r="B65" s="8" t="str">
        <f>B62</f>
        <v>Выкидной нефтепровод Скв 527Т– ГЗУ 27, водонефтяная эмульсия</v>
      </c>
      <c r="C65" s="79" t="s">
        <v>109</v>
      </c>
      <c r="D65" s="9" t="s">
        <v>47</v>
      </c>
      <c r="E65" s="66">
        <v>1.9999999999999999E-6</v>
      </c>
      <c r="F65" s="68">
        <f>F62</f>
        <v>6964</v>
      </c>
      <c r="G65" s="8">
        <v>0.2</v>
      </c>
      <c r="H65" s="10">
        <f t="shared" si="65"/>
        <v>2.7856000000000001E-3</v>
      </c>
      <c r="I65" s="62">
        <f>0.15*I62</f>
        <v>4.5374999999999996</v>
      </c>
      <c r="J65" s="69">
        <f>I65</f>
        <v>4.5374999999999996</v>
      </c>
      <c r="K65" s="74" t="s">
        <v>126</v>
      </c>
      <c r="L65" s="78">
        <v>45390</v>
      </c>
      <c r="M65" s="31" t="str">
        <f t="shared" si="66"/>
        <v>C40</v>
      </c>
      <c r="N65" s="31" t="str">
        <f t="shared" si="67"/>
        <v>Выкидной нефтепровод Скв 527Т– ГЗУ 27, водонефтяная эмульсия</v>
      </c>
      <c r="O65" s="31" t="str">
        <f t="shared" si="68"/>
        <v>Частичное-пожар</v>
      </c>
      <c r="P65" s="31">
        <v>8.9</v>
      </c>
      <c r="Q65" s="31">
        <v>12.6</v>
      </c>
      <c r="R65" s="31">
        <v>18.7</v>
      </c>
      <c r="S65" s="31">
        <v>36.5</v>
      </c>
      <c r="T65" s="31" t="s">
        <v>46</v>
      </c>
      <c r="U65" s="31" t="s">
        <v>46</v>
      </c>
      <c r="V65" s="31" t="s">
        <v>46</v>
      </c>
      <c r="W65" s="31" t="s">
        <v>46</v>
      </c>
      <c r="X65" s="31" t="s">
        <v>46</v>
      </c>
      <c r="Y65" s="31" t="s">
        <v>46</v>
      </c>
      <c r="Z65" s="31" t="s">
        <v>46</v>
      </c>
      <c r="AA65" s="31" t="s">
        <v>46</v>
      </c>
      <c r="AB65" s="31" t="s">
        <v>46</v>
      </c>
      <c r="AC65" s="31" t="s">
        <v>46</v>
      </c>
      <c r="AD65" s="31" t="s">
        <v>46</v>
      </c>
      <c r="AE65" s="31" t="s">
        <v>46</v>
      </c>
      <c r="AF65" s="31" t="s">
        <v>46</v>
      </c>
      <c r="AG65" s="31" t="s">
        <v>46</v>
      </c>
      <c r="AH65" s="31" t="s">
        <v>46</v>
      </c>
      <c r="AI65" s="31" t="s">
        <v>46</v>
      </c>
      <c r="AJ65" s="31">
        <v>0</v>
      </c>
      <c r="AK65" s="31">
        <v>2</v>
      </c>
      <c r="AL65" s="31">
        <f>0.1*$AL$2</f>
        <v>7.5000000000000011E-2</v>
      </c>
      <c r="AM65" s="31">
        <f>AM62</f>
        <v>2.7E-2</v>
      </c>
      <c r="AN65" s="31">
        <f>ROUNDUP(AN62/3,0)</f>
        <v>1</v>
      </c>
      <c r="AO65" s="31"/>
      <c r="AP65" s="31"/>
      <c r="AQ65" s="32">
        <f>AM65*I65+AL65</f>
        <v>0.19751249999999998</v>
      </c>
      <c r="AR65" s="32">
        <f t="shared" si="69"/>
        <v>1.9751249999999998E-2</v>
      </c>
      <c r="AS65" s="33">
        <f t="shared" si="70"/>
        <v>0.5</v>
      </c>
      <c r="AT65" s="33">
        <f t="shared" si="71"/>
        <v>0.17931593749999999</v>
      </c>
      <c r="AU65" s="32">
        <f>10068.2*J65*POWER(10,-6)</f>
        <v>4.5684457499999997E-2</v>
      </c>
      <c r="AV65" s="33">
        <f t="shared" si="72"/>
        <v>0.942264145</v>
      </c>
      <c r="AW65" s="34">
        <f t="shared" si="73"/>
        <v>0</v>
      </c>
      <c r="AX65" s="34">
        <f t="shared" si="74"/>
        <v>5.5712000000000001E-3</v>
      </c>
      <c r="AY65" s="34">
        <f t="shared" si="75"/>
        <v>2.6247710023120001E-3</v>
      </c>
      <c r="AZ65" s="288">
        <f>AW65/DB!$B$23</f>
        <v>0</v>
      </c>
      <c r="BA65" s="288">
        <f>AX65/DB!$B$23</f>
        <v>2.857025641025641E-6</v>
      </c>
    </row>
    <row r="66" spans="1:53" x14ac:dyDescent="0.3">
      <c r="A66" s="8" t="s">
        <v>535</v>
      </c>
      <c r="B66" s="8" t="str">
        <f>B62</f>
        <v>Выкидной нефтепровод Скв 527Т– ГЗУ 27, водонефтяная эмульсия</v>
      </c>
      <c r="C66" s="79" t="s">
        <v>110</v>
      </c>
      <c r="D66" s="9" t="s">
        <v>112</v>
      </c>
      <c r="E66" s="67">
        <f>E65</f>
        <v>1.9999999999999999E-6</v>
      </c>
      <c r="F66" s="68">
        <f>F62</f>
        <v>6964</v>
      </c>
      <c r="G66" s="8">
        <v>0.04</v>
      </c>
      <c r="H66" s="10">
        <f t="shared" si="65"/>
        <v>5.5712000000000003E-4</v>
      </c>
      <c r="I66" s="62">
        <f>0.15*I62</f>
        <v>4.5374999999999996</v>
      </c>
      <c r="J66" s="69">
        <f>0.5*J63</f>
        <v>7.6229999999999992E-2</v>
      </c>
      <c r="K66" s="74" t="s">
        <v>127</v>
      </c>
      <c r="L66" s="78">
        <v>3</v>
      </c>
      <c r="M66" s="31" t="str">
        <f t="shared" si="66"/>
        <v>C41</v>
      </c>
      <c r="N66" s="31" t="str">
        <f t="shared" si="67"/>
        <v>Выкидной нефтепровод Скв 527Т– ГЗУ 27, водонефтяная эмульсия</v>
      </c>
      <c r="O66" s="31" t="str">
        <f t="shared" si="68"/>
        <v>Частичное-пожар-вспышка</v>
      </c>
      <c r="P66" s="31" t="s">
        <v>46</v>
      </c>
      <c r="Q66" s="31" t="s">
        <v>46</v>
      </c>
      <c r="R66" s="31" t="s">
        <v>46</v>
      </c>
      <c r="S66" s="31" t="s">
        <v>46</v>
      </c>
      <c r="T66" s="31" t="s">
        <v>46</v>
      </c>
      <c r="U66" s="31" t="s">
        <v>46</v>
      </c>
      <c r="V66" s="31" t="s">
        <v>46</v>
      </c>
      <c r="W66" s="31" t="s">
        <v>46</v>
      </c>
      <c r="X66" s="31" t="s">
        <v>46</v>
      </c>
      <c r="Y66" s="31" t="s">
        <v>46</v>
      </c>
      <c r="Z66" s="31" t="s">
        <v>46</v>
      </c>
      <c r="AA66" s="31">
        <v>14.33</v>
      </c>
      <c r="AB66" s="31">
        <v>17.2</v>
      </c>
      <c r="AC66" s="31" t="s">
        <v>46</v>
      </c>
      <c r="AD66" s="31" t="s">
        <v>46</v>
      </c>
      <c r="AE66" s="31" t="s">
        <v>46</v>
      </c>
      <c r="AF66" s="31" t="s">
        <v>46</v>
      </c>
      <c r="AG66" s="31" t="s">
        <v>46</v>
      </c>
      <c r="AH66" s="31" t="s">
        <v>46</v>
      </c>
      <c r="AI66" s="31" t="s">
        <v>46</v>
      </c>
      <c r="AJ66" s="31">
        <v>0</v>
      </c>
      <c r="AK66" s="31">
        <v>1</v>
      </c>
      <c r="AL66" s="31">
        <f>0.1*$AL$2</f>
        <v>7.5000000000000011E-2</v>
      </c>
      <c r="AM66" s="31">
        <f>AM62</f>
        <v>2.7E-2</v>
      </c>
      <c r="AN66" s="31">
        <f>ROUNDUP(AN62/3,0)</f>
        <v>1</v>
      </c>
      <c r="AO66" s="31"/>
      <c r="AP66" s="31"/>
      <c r="AQ66" s="32">
        <f>AM66*I66+AL66</f>
        <v>0.19751249999999998</v>
      </c>
      <c r="AR66" s="32">
        <f t="shared" si="69"/>
        <v>1.9751249999999998E-2</v>
      </c>
      <c r="AS66" s="33">
        <f t="shared" si="70"/>
        <v>0.25</v>
      </c>
      <c r="AT66" s="33">
        <f t="shared" si="71"/>
        <v>0.11681593749999999</v>
      </c>
      <c r="AU66" s="32">
        <f>10068.2*J66*POWER(10,-6)*10</f>
        <v>7.6749888599999998E-3</v>
      </c>
      <c r="AV66" s="33">
        <f t="shared" si="72"/>
        <v>0.5917546763599999</v>
      </c>
      <c r="AW66" s="34">
        <f t="shared" si="73"/>
        <v>0</v>
      </c>
      <c r="AX66" s="34">
        <f t="shared" si="74"/>
        <v>5.5712000000000003E-4</v>
      </c>
      <c r="AY66" s="34">
        <f t="shared" si="75"/>
        <v>3.2967836529368318E-4</v>
      </c>
      <c r="AZ66" s="288">
        <f>AW66/DB!$B$23</f>
        <v>0</v>
      </c>
      <c r="BA66" s="288">
        <f>AX66/DB!$B$23</f>
        <v>2.857025641025641E-7</v>
      </c>
    </row>
    <row r="67" spans="1:53" x14ac:dyDescent="0.3">
      <c r="A67" s="170" t="s">
        <v>536</v>
      </c>
      <c r="B67" s="170" t="str">
        <f>B62</f>
        <v>Выкидной нефтепровод Скв 527Т– ГЗУ 27, водонефтяная эмульсия</v>
      </c>
      <c r="C67" s="171" t="s">
        <v>111</v>
      </c>
      <c r="D67" s="172" t="s">
        <v>27</v>
      </c>
      <c r="E67" s="173">
        <f>E65</f>
        <v>1.9999999999999999E-6</v>
      </c>
      <c r="F67" s="174">
        <f>F62</f>
        <v>6964</v>
      </c>
      <c r="G67" s="170">
        <v>0.76</v>
      </c>
      <c r="H67" s="175">
        <f t="shared" si="65"/>
        <v>1.0585279999999999E-2</v>
      </c>
      <c r="I67" s="176">
        <f>0.15*I62</f>
        <v>4.5374999999999996</v>
      </c>
      <c r="J67" s="177">
        <v>0</v>
      </c>
      <c r="K67" s="178" t="s">
        <v>138</v>
      </c>
      <c r="L67" s="179">
        <v>1</v>
      </c>
      <c r="M67" s="31" t="str">
        <f t="shared" si="66"/>
        <v>C42</v>
      </c>
      <c r="N67" s="31" t="str">
        <f t="shared" si="67"/>
        <v>Выкидной нефтепровод Скв 527Т– ГЗУ 27, водонефтяная эмульсия</v>
      </c>
      <c r="O67" s="31" t="str">
        <f t="shared" si="68"/>
        <v>Частичное-ликвидация</v>
      </c>
      <c r="P67" s="31" t="s">
        <v>46</v>
      </c>
      <c r="Q67" s="31" t="s">
        <v>46</v>
      </c>
      <c r="R67" s="31" t="s">
        <v>46</v>
      </c>
      <c r="S67" s="31" t="s">
        <v>46</v>
      </c>
      <c r="T67" s="31" t="s">
        <v>46</v>
      </c>
      <c r="U67" s="31" t="s">
        <v>46</v>
      </c>
      <c r="V67" s="31" t="s">
        <v>46</v>
      </c>
      <c r="W67" s="31" t="s">
        <v>46</v>
      </c>
      <c r="X67" s="31" t="s">
        <v>46</v>
      </c>
      <c r="Y67" s="31" t="s">
        <v>46</v>
      </c>
      <c r="Z67" s="31" t="s">
        <v>46</v>
      </c>
      <c r="AA67" s="31" t="s">
        <v>46</v>
      </c>
      <c r="AB67" s="31" t="s">
        <v>46</v>
      </c>
      <c r="AC67" s="31" t="s">
        <v>46</v>
      </c>
      <c r="AD67" s="31" t="s">
        <v>46</v>
      </c>
      <c r="AE67" s="31" t="s">
        <v>46</v>
      </c>
      <c r="AF67" s="31" t="s">
        <v>46</v>
      </c>
      <c r="AG67" s="31" t="s">
        <v>46</v>
      </c>
      <c r="AH67" s="31" t="s">
        <v>46</v>
      </c>
      <c r="AI67" s="31" t="s">
        <v>46</v>
      </c>
      <c r="AJ67" s="31">
        <v>0</v>
      </c>
      <c r="AK67" s="31">
        <v>0</v>
      </c>
      <c r="AL67" s="31">
        <f>0.1*$AL$2</f>
        <v>7.5000000000000011E-2</v>
      </c>
      <c r="AM67" s="31">
        <f>AM62</f>
        <v>2.7E-2</v>
      </c>
      <c r="AN67" s="31">
        <f>ROUNDUP(AN62/3,0)</f>
        <v>1</v>
      </c>
      <c r="AO67" s="31"/>
      <c r="AP67" s="31"/>
      <c r="AQ67" s="32">
        <f>AM67*I67*0.1+AL67</f>
        <v>8.7251250000000002E-2</v>
      </c>
      <c r="AR67" s="32">
        <f t="shared" si="69"/>
        <v>8.7251250000000002E-3</v>
      </c>
      <c r="AS67" s="33">
        <f t="shared" si="70"/>
        <v>0</v>
      </c>
      <c r="AT67" s="33">
        <f t="shared" si="71"/>
        <v>2.3994093750000001E-2</v>
      </c>
      <c r="AU67" s="32">
        <f>1333*J66*POWER(10,-6)</f>
        <v>1.0161458999999999E-4</v>
      </c>
      <c r="AV67" s="33">
        <f t="shared" si="72"/>
        <v>0.12007208334</v>
      </c>
      <c r="AW67" s="34">
        <f t="shared" si="73"/>
        <v>0</v>
      </c>
      <c r="AX67" s="34">
        <f t="shared" si="74"/>
        <v>0</v>
      </c>
      <c r="AY67" s="34">
        <f t="shared" si="75"/>
        <v>1.2709966223372351E-3</v>
      </c>
      <c r="AZ67" s="288">
        <f>AW67/DB!$B$23</f>
        <v>0</v>
      </c>
      <c r="BA67" s="288">
        <f>AX67/DB!$B$23</f>
        <v>0</v>
      </c>
    </row>
    <row r="68" spans="1:53" s="180" customForma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207" t="s">
        <v>466</v>
      </c>
      <c r="L68" s="287" t="s">
        <v>601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</row>
    <row r="69" spans="1:53" s="180" customForma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</row>
    <row r="70" spans="1:53" s="180" customForma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</row>
    <row r="71" spans="1:53" ht="15" thickBot="1" x14ac:dyDescent="0.35"/>
    <row r="72" spans="1:53" ht="15" thickBot="1" x14ac:dyDescent="0.35">
      <c r="A72" s="8" t="s">
        <v>537</v>
      </c>
      <c r="B72" s="63" t="s">
        <v>657</v>
      </c>
      <c r="C72" s="79" t="s">
        <v>106</v>
      </c>
      <c r="D72" s="9" t="s">
        <v>25</v>
      </c>
      <c r="E72" s="66">
        <v>2.9999999999999999E-7</v>
      </c>
      <c r="F72" s="63">
        <v>860</v>
      </c>
      <c r="G72" s="8">
        <v>0.2</v>
      </c>
      <c r="H72" s="10">
        <f t="shared" ref="H72:H77" si="76">E72*F72*G72</f>
        <v>5.1600000000000001E-5</v>
      </c>
      <c r="I72" s="64">
        <v>3.44</v>
      </c>
      <c r="J72" s="69">
        <f>I72</f>
        <v>3.44</v>
      </c>
      <c r="K72" s="72" t="s">
        <v>122</v>
      </c>
      <c r="L72" s="77">
        <f>40*I72</f>
        <v>137.6</v>
      </c>
      <c r="M72" s="31" t="str">
        <f t="shared" ref="M72:M77" si="77">A72</f>
        <v>C43</v>
      </c>
      <c r="N72" s="31" t="str">
        <f t="shared" ref="N72:N77" si="78">B72</f>
        <v>Выкидной нефтепровод Скв 530К – (Скв 527Т– ГЗУ 27), водонефтяная эмульсия</v>
      </c>
      <c r="O72" s="31" t="str">
        <f t="shared" ref="O72:O77" si="79">D72</f>
        <v>Полное-пожар</v>
      </c>
      <c r="P72" s="31">
        <v>9.5</v>
      </c>
      <c r="Q72" s="31">
        <v>13.4</v>
      </c>
      <c r="R72" s="31">
        <v>19.8</v>
      </c>
      <c r="S72" s="31">
        <v>38.6</v>
      </c>
      <c r="T72" s="31" t="s">
        <v>46</v>
      </c>
      <c r="U72" s="31" t="s">
        <v>46</v>
      </c>
      <c r="V72" s="31" t="s">
        <v>46</v>
      </c>
      <c r="W72" s="31" t="s">
        <v>46</v>
      </c>
      <c r="X72" s="31" t="s">
        <v>46</v>
      </c>
      <c r="Y72" s="31" t="s">
        <v>46</v>
      </c>
      <c r="Z72" s="31" t="s">
        <v>46</v>
      </c>
      <c r="AA72" s="31" t="s">
        <v>46</v>
      </c>
      <c r="AB72" s="31" t="s">
        <v>46</v>
      </c>
      <c r="AC72" s="31" t="s">
        <v>46</v>
      </c>
      <c r="AD72" s="31" t="s">
        <v>46</v>
      </c>
      <c r="AE72" s="31" t="s">
        <v>46</v>
      </c>
      <c r="AF72" s="31" t="s">
        <v>46</v>
      </c>
      <c r="AG72" s="31" t="s">
        <v>46</v>
      </c>
      <c r="AH72" s="31" t="s">
        <v>46</v>
      </c>
      <c r="AI72" s="31" t="s">
        <v>46</v>
      </c>
      <c r="AJ72" s="12">
        <v>1</v>
      </c>
      <c r="AK72" s="12">
        <v>1</v>
      </c>
      <c r="AL72" s="65">
        <v>0.75</v>
      </c>
      <c r="AM72" s="65">
        <v>2.7E-2</v>
      </c>
      <c r="AN72" s="65">
        <v>3</v>
      </c>
      <c r="AO72" s="31"/>
      <c r="AP72" s="31"/>
      <c r="AQ72" s="32">
        <f>AM72*I72+AL72</f>
        <v>0.84287999999999996</v>
      </c>
      <c r="AR72" s="32">
        <f t="shared" ref="AR72:AR77" si="80">0.1*AQ72</f>
        <v>8.4288000000000002E-2</v>
      </c>
      <c r="AS72" s="33">
        <f t="shared" ref="AS72:AS77" si="81">AJ72*3+0.25*AK72</f>
        <v>3.25</v>
      </c>
      <c r="AT72" s="33">
        <f t="shared" ref="AT72:AT77" si="82">SUM(AQ72:AS72)/4</f>
        <v>1.044292</v>
      </c>
      <c r="AU72" s="32">
        <f>10068.2*J72*POWER(10,-6)</f>
        <v>3.4634607999999997E-2</v>
      </c>
      <c r="AV72" s="33">
        <f t="shared" ref="AV72:AV77" si="83">AU72+AT72+AS72+AR72+AQ72</f>
        <v>5.2560946079999997</v>
      </c>
      <c r="AW72" s="34">
        <f t="shared" ref="AW72:AW77" si="84">AJ72*H72</f>
        <v>5.1600000000000001E-5</v>
      </c>
      <c r="AX72" s="34">
        <f t="shared" ref="AX72:AX77" si="85">H72*AK72</f>
        <v>5.1600000000000001E-5</v>
      </c>
      <c r="AY72" s="34">
        <f t="shared" ref="AY72:AY77" si="86">H72*AV72</f>
        <v>2.7121448177279997E-4</v>
      </c>
      <c r="AZ72" s="288">
        <f>AW72/DB!$B$23</f>
        <v>2.6461538461538463E-8</v>
      </c>
      <c r="BA72" s="288">
        <f>AX72/DB!$B$23</f>
        <v>2.6461538461538463E-8</v>
      </c>
    </row>
    <row r="73" spans="1:53" ht="15" thickBot="1" x14ac:dyDescent="0.35">
      <c r="A73" s="8" t="s">
        <v>538</v>
      </c>
      <c r="B73" s="8" t="str">
        <f>B72</f>
        <v>Выкидной нефтепровод Скв 530К – (Скв 527Т– ГЗУ 27), водонефтяная эмульсия</v>
      </c>
      <c r="C73" s="79" t="s">
        <v>107</v>
      </c>
      <c r="D73" s="9" t="s">
        <v>28</v>
      </c>
      <c r="E73" s="67">
        <f>E72</f>
        <v>2.9999999999999999E-7</v>
      </c>
      <c r="F73" s="68">
        <f>F72</f>
        <v>860</v>
      </c>
      <c r="G73" s="8">
        <v>0.04</v>
      </c>
      <c r="H73" s="10">
        <f t="shared" si="76"/>
        <v>1.0319999999999999E-5</v>
      </c>
      <c r="I73" s="62">
        <f>I72</f>
        <v>3.44</v>
      </c>
      <c r="J73" s="298">
        <f>POWER(10,-6)*35*SQRT(100)*3600*L72/1000*0.1</f>
        <v>1.7337599999999998E-2</v>
      </c>
      <c r="K73" s="72" t="s">
        <v>123</v>
      </c>
      <c r="L73" s="77">
        <v>0</v>
      </c>
      <c r="M73" s="31" t="str">
        <f t="shared" si="77"/>
        <v>C44</v>
      </c>
      <c r="N73" s="31" t="str">
        <f t="shared" si="78"/>
        <v>Выкидной нефтепровод Скв 530К – (Скв 527Т– ГЗУ 27), водонефтяная эмульсия</v>
      </c>
      <c r="O73" s="31" t="str">
        <f t="shared" si="79"/>
        <v>Полное-взрыв</v>
      </c>
      <c r="P73" s="31" t="s">
        <v>46</v>
      </c>
      <c r="Q73" s="31" t="s">
        <v>46</v>
      </c>
      <c r="R73" s="31" t="s">
        <v>46</v>
      </c>
      <c r="S73" s="31" t="s">
        <v>46</v>
      </c>
      <c r="T73" s="31">
        <v>0</v>
      </c>
      <c r="U73" s="31">
        <v>0</v>
      </c>
      <c r="V73" s="31">
        <v>0</v>
      </c>
      <c r="W73" s="31">
        <v>0</v>
      </c>
      <c r="X73" s="31">
        <v>15.6</v>
      </c>
      <c r="Y73" s="31" t="s">
        <v>46</v>
      </c>
      <c r="Z73" s="31" t="s">
        <v>46</v>
      </c>
      <c r="AA73" s="31" t="s">
        <v>46</v>
      </c>
      <c r="AB73" s="31" t="s">
        <v>46</v>
      </c>
      <c r="AC73" s="31" t="s">
        <v>46</v>
      </c>
      <c r="AD73" s="31" t="s">
        <v>46</v>
      </c>
      <c r="AE73" s="31" t="s">
        <v>46</v>
      </c>
      <c r="AF73" s="31" t="s">
        <v>46</v>
      </c>
      <c r="AG73" s="31" t="s">
        <v>46</v>
      </c>
      <c r="AH73" s="31" t="s">
        <v>46</v>
      </c>
      <c r="AI73" s="31" t="s">
        <v>46</v>
      </c>
      <c r="AJ73" s="12">
        <v>1</v>
      </c>
      <c r="AK73" s="12">
        <v>1</v>
      </c>
      <c r="AL73" s="31">
        <f>AL72</f>
        <v>0.75</v>
      </c>
      <c r="AM73" s="31">
        <f>AM72</f>
        <v>2.7E-2</v>
      </c>
      <c r="AN73" s="31">
        <f>AN72</f>
        <v>3</v>
      </c>
      <c r="AO73" s="31"/>
      <c r="AP73" s="31"/>
      <c r="AQ73" s="32">
        <f>AM73*I73+AL73</f>
        <v>0.84287999999999996</v>
      </c>
      <c r="AR73" s="32">
        <f t="shared" si="80"/>
        <v>8.4288000000000002E-2</v>
      </c>
      <c r="AS73" s="33">
        <f t="shared" si="81"/>
        <v>3.25</v>
      </c>
      <c r="AT73" s="33">
        <f t="shared" si="82"/>
        <v>1.044292</v>
      </c>
      <c r="AU73" s="32">
        <f>10068.2*J73*POWER(10,-6)*10</f>
        <v>1.7455842431999997E-3</v>
      </c>
      <c r="AV73" s="33">
        <f t="shared" si="83"/>
        <v>5.2232055842431997</v>
      </c>
      <c r="AW73" s="34">
        <f t="shared" si="84"/>
        <v>1.0319999999999999E-5</v>
      </c>
      <c r="AX73" s="34">
        <f t="shared" si="85"/>
        <v>1.0319999999999999E-5</v>
      </c>
      <c r="AY73" s="34">
        <f t="shared" si="86"/>
        <v>5.3903481629389815E-5</v>
      </c>
      <c r="AZ73" s="288">
        <f>AW73/DB!$B$23</f>
        <v>5.2923076923076918E-9</v>
      </c>
      <c r="BA73" s="288">
        <f>AX73/DB!$B$23</f>
        <v>5.2923076923076918E-9</v>
      </c>
    </row>
    <row r="74" spans="1:53" x14ac:dyDescent="0.3">
      <c r="A74" s="8" t="s">
        <v>539</v>
      </c>
      <c r="B74" s="8" t="str">
        <f>B72</f>
        <v>Выкидной нефтепровод Скв 530К – (Скв 527Т– ГЗУ 27), водонефтяная эмульсия</v>
      </c>
      <c r="C74" s="79" t="s">
        <v>108</v>
      </c>
      <c r="D74" s="9" t="s">
        <v>26</v>
      </c>
      <c r="E74" s="67">
        <f>E72</f>
        <v>2.9999999999999999E-7</v>
      </c>
      <c r="F74" s="68">
        <f>F72</f>
        <v>860</v>
      </c>
      <c r="G74" s="8">
        <v>0.76</v>
      </c>
      <c r="H74" s="10">
        <f t="shared" si="76"/>
        <v>1.9607999999999998E-4</v>
      </c>
      <c r="I74" s="62">
        <f>I72</f>
        <v>3.44</v>
      </c>
      <c r="J74" s="71">
        <v>0</v>
      </c>
      <c r="K74" s="72" t="s">
        <v>124</v>
      </c>
      <c r="L74" s="77">
        <v>0</v>
      </c>
      <c r="M74" s="31" t="str">
        <f t="shared" si="77"/>
        <v>C45</v>
      </c>
      <c r="N74" s="31" t="str">
        <f t="shared" si="78"/>
        <v>Выкидной нефтепровод Скв 530К – (Скв 527Т– ГЗУ 27), водонефтяная эмульсия</v>
      </c>
      <c r="O74" s="31" t="str">
        <f t="shared" si="79"/>
        <v>Полное-ликвидация</v>
      </c>
      <c r="P74" s="31" t="s">
        <v>46</v>
      </c>
      <c r="Q74" s="31" t="s">
        <v>46</v>
      </c>
      <c r="R74" s="31" t="s">
        <v>46</v>
      </c>
      <c r="S74" s="31" t="s">
        <v>46</v>
      </c>
      <c r="T74" s="31" t="s">
        <v>46</v>
      </c>
      <c r="U74" s="31" t="s">
        <v>46</v>
      </c>
      <c r="V74" s="31" t="s">
        <v>46</v>
      </c>
      <c r="W74" s="31" t="s">
        <v>46</v>
      </c>
      <c r="X74" s="31" t="s">
        <v>46</v>
      </c>
      <c r="Y74" s="31" t="s">
        <v>46</v>
      </c>
      <c r="Z74" s="31" t="s">
        <v>46</v>
      </c>
      <c r="AA74" s="31" t="s">
        <v>46</v>
      </c>
      <c r="AB74" s="31" t="s">
        <v>46</v>
      </c>
      <c r="AC74" s="31" t="s">
        <v>46</v>
      </c>
      <c r="AD74" s="31" t="s">
        <v>46</v>
      </c>
      <c r="AE74" s="31" t="s">
        <v>46</v>
      </c>
      <c r="AF74" s="31" t="s">
        <v>46</v>
      </c>
      <c r="AG74" s="31" t="s">
        <v>46</v>
      </c>
      <c r="AH74" s="31" t="s">
        <v>46</v>
      </c>
      <c r="AI74" s="31" t="s">
        <v>46</v>
      </c>
      <c r="AJ74" s="31">
        <v>0</v>
      </c>
      <c r="AK74" s="31">
        <v>0</v>
      </c>
      <c r="AL74" s="31">
        <f>AL72</f>
        <v>0.75</v>
      </c>
      <c r="AM74" s="31">
        <f>AM72</f>
        <v>2.7E-2</v>
      </c>
      <c r="AN74" s="31">
        <f>AN72</f>
        <v>3</v>
      </c>
      <c r="AO74" s="31"/>
      <c r="AP74" s="31"/>
      <c r="AQ74" s="32">
        <f>AM74*I74*0.1+AL74</f>
        <v>0.75928799999999996</v>
      </c>
      <c r="AR74" s="32">
        <f t="shared" si="80"/>
        <v>7.5928800000000005E-2</v>
      </c>
      <c r="AS74" s="33">
        <f t="shared" si="81"/>
        <v>0</v>
      </c>
      <c r="AT74" s="33">
        <f t="shared" si="82"/>
        <v>0.2088042</v>
      </c>
      <c r="AU74" s="32">
        <f>1333*J73*POWER(10,-6)</f>
        <v>2.3111020799999997E-5</v>
      </c>
      <c r="AV74" s="33">
        <f t="shared" si="83"/>
        <v>1.0440441110208001</v>
      </c>
      <c r="AW74" s="34">
        <f t="shared" si="84"/>
        <v>0</v>
      </c>
      <c r="AX74" s="34">
        <f t="shared" si="85"/>
        <v>0</v>
      </c>
      <c r="AY74" s="34">
        <f t="shared" si="86"/>
        <v>2.0471616928895847E-4</v>
      </c>
      <c r="AZ74" s="288">
        <f>AW74/DB!$B$23</f>
        <v>0</v>
      </c>
      <c r="BA74" s="288">
        <f>AX74/DB!$B$23</f>
        <v>0</v>
      </c>
    </row>
    <row r="75" spans="1:53" x14ac:dyDescent="0.3">
      <c r="A75" s="8" t="s">
        <v>540</v>
      </c>
      <c r="B75" s="8" t="str">
        <f>B72</f>
        <v>Выкидной нефтепровод Скв 530К – (Скв 527Т– ГЗУ 27), водонефтяная эмульсия</v>
      </c>
      <c r="C75" s="79" t="s">
        <v>109</v>
      </c>
      <c r="D75" s="9" t="s">
        <v>47</v>
      </c>
      <c r="E75" s="66">
        <v>1.9999999999999999E-6</v>
      </c>
      <c r="F75" s="68">
        <f>F72</f>
        <v>860</v>
      </c>
      <c r="G75" s="8">
        <v>0.2</v>
      </c>
      <c r="H75" s="10">
        <f t="shared" si="76"/>
        <v>3.4400000000000001E-4</v>
      </c>
      <c r="I75" s="62">
        <f>0.15*I72</f>
        <v>0.51600000000000001</v>
      </c>
      <c r="J75" s="69">
        <f>I75</f>
        <v>0.51600000000000001</v>
      </c>
      <c r="K75" s="74" t="s">
        <v>126</v>
      </c>
      <c r="L75" s="78">
        <v>45390</v>
      </c>
      <c r="M75" s="31" t="str">
        <f t="shared" si="77"/>
        <v>C46</v>
      </c>
      <c r="N75" s="31" t="str">
        <f t="shared" si="78"/>
        <v>Выкидной нефтепровод Скв 530К – (Скв 527Т– ГЗУ 27), водонефтяная эмульсия</v>
      </c>
      <c r="O75" s="31" t="str">
        <f t="shared" si="79"/>
        <v>Частичное-пожар</v>
      </c>
      <c r="P75" s="31">
        <v>4.0999999999999996</v>
      </c>
      <c r="Q75" s="31">
        <v>6</v>
      </c>
      <c r="R75" s="31">
        <v>8.9</v>
      </c>
      <c r="S75" s="31">
        <v>16.5</v>
      </c>
      <c r="T75" s="31" t="s">
        <v>46</v>
      </c>
      <c r="U75" s="31" t="s">
        <v>46</v>
      </c>
      <c r="V75" s="31" t="s">
        <v>46</v>
      </c>
      <c r="W75" s="31" t="s">
        <v>46</v>
      </c>
      <c r="X75" s="31" t="s">
        <v>46</v>
      </c>
      <c r="Y75" s="31" t="s">
        <v>46</v>
      </c>
      <c r="Z75" s="31" t="s">
        <v>46</v>
      </c>
      <c r="AA75" s="31" t="s">
        <v>46</v>
      </c>
      <c r="AB75" s="31" t="s">
        <v>46</v>
      </c>
      <c r="AC75" s="31" t="s">
        <v>46</v>
      </c>
      <c r="AD75" s="31" t="s">
        <v>46</v>
      </c>
      <c r="AE75" s="31" t="s">
        <v>46</v>
      </c>
      <c r="AF75" s="31" t="s">
        <v>46</v>
      </c>
      <c r="AG75" s="31" t="s">
        <v>46</v>
      </c>
      <c r="AH75" s="31" t="s">
        <v>46</v>
      </c>
      <c r="AI75" s="31" t="s">
        <v>46</v>
      </c>
      <c r="AJ75" s="31">
        <v>0</v>
      </c>
      <c r="AK75" s="31">
        <v>2</v>
      </c>
      <c r="AL75" s="31">
        <f>0.1*$AL$2</f>
        <v>7.5000000000000011E-2</v>
      </c>
      <c r="AM75" s="31">
        <f>AM72</f>
        <v>2.7E-2</v>
      </c>
      <c r="AN75" s="31">
        <f>ROUNDUP(AN72/3,0)</f>
        <v>1</v>
      </c>
      <c r="AO75" s="31"/>
      <c r="AP75" s="31"/>
      <c r="AQ75" s="32">
        <f>AM75*I75+AL75</f>
        <v>8.8932000000000011E-2</v>
      </c>
      <c r="AR75" s="32">
        <f t="shared" si="80"/>
        <v>8.8932000000000021E-3</v>
      </c>
      <c r="AS75" s="33">
        <f t="shared" si="81"/>
        <v>0.5</v>
      </c>
      <c r="AT75" s="33">
        <f t="shared" si="82"/>
        <v>0.14945630000000001</v>
      </c>
      <c r="AU75" s="32">
        <f>10068.2*J75*POWER(10,-6)</f>
        <v>5.1951912000000001E-3</v>
      </c>
      <c r="AV75" s="33">
        <f t="shared" si="83"/>
        <v>0.75247669120000005</v>
      </c>
      <c r="AW75" s="34">
        <f t="shared" si="84"/>
        <v>0</v>
      </c>
      <c r="AX75" s="34">
        <f t="shared" si="85"/>
        <v>6.8800000000000003E-4</v>
      </c>
      <c r="AY75" s="34">
        <f t="shared" si="86"/>
        <v>2.5885198177280004E-4</v>
      </c>
      <c r="AZ75" s="288">
        <f>AW75/DB!$B$23</f>
        <v>0</v>
      </c>
      <c r="BA75" s="288">
        <f>AX75/DB!$B$23</f>
        <v>3.5282051282051283E-7</v>
      </c>
    </row>
    <row r="76" spans="1:53" x14ac:dyDescent="0.3">
      <c r="A76" s="8" t="s">
        <v>541</v>
      </c>
      <c r="B76" s="8" t="str">
        <f>B72</f>
        <v>Выкидной нефтепровод Скв 530К – (Скв 527Т– ГЗУ 27), водонефтяная эмульсия</v>
      </c>
      <c r="C76" s="79" t="s">
        <v>110</v>
      </c>
      <c r="D76" s="9" t="s">
        <v>112</v>
      </c>
      <c r="E76" s="67">
        <f>E75</f>
        <v>1.9999999999999999E-6</v>
      </c>
      <c r="F76" s="68">
        <f>F72</f>
        <v>860</v>
      </c>
      <c r="G76" s="8">
        <v>0.04</v>
      </c>
      <c r="H76" s="10">
        <f t="shared" si="76"/>
        <v>6.8800000000000005E-5</v>
      </c>
      <c r="I76" s="62">
        <f>0.15*I72</f>
        <v>0.51600000000000001</v>
      </c>
      <c r="J76" s="69">
        <f>0.5*J73</f>
        <v>8.6687999999999991E-3</v>
      </c>
      <c r="K76" s="74" t="s">
        <v>127</v>
      </c>
      <c r="L76" s="78">
        <v>3</v>
      </c>
      <c r="M76" s="31" t="str">
        <f t="shared" si="77"/>
        <v>C47</v>
      </c>
      <c r="N76" s="31" t="str">
        <f t="shared" si="78"/>
        <v>Выкидной нефтепровод Скв 530К – (Скв 527Т– ГЗУ 27), водонефтяная эмульсия</v>
      </c>
      <c r="O76" s="31" t="str">
        <f t="shared" si="79"/>
        <v>Частичное-пожар-вспышка</v>
      </c>
      <c r="P76" s="31" t="s">
        <v>46</v>
      </c>
      <c r="Q76" s="31" t="s">
        <v>46</v>
      </c>
      <c r="R76" s="31" t="s">
        <v>46</v>
      </c>
      <c r="S76" s="31" t="s">
        <v>46</v>
      </c>
      <c r="T76" s="31" t="s">
        <v>46</v>
      </c>
      <c r="U76" s="31" t="s">
        <v>46</v>
      </c>
      <c r="V76" s="31" t="s">
        <v>46</v>
      </c>
      <c r="W76" s="31" t="s">
        <v>46</v>
      </c>
      <c r="X76" s="31" t="s">
        <v>46</v>
      </c>
      <c r="Y76" s="31" t="s">
        <v>46</v>
      </c>
      <c r="Z76" s="31" t="s">
        <v>46</v>
      </c>
      <c r="AA76" s="31">
        <v>7</v>
      </c>
      <c r="AB76" s="31">
        <v>8.4</v>
      </c>
      <c r="AC76" s="31" t="s">
        <v>46</v>
      </c>
      <c r="AD76" s="31" t="s">
        <v>46</v>
      </c>
      <c r="AE76" s="31" t="s">
        <v>46</v>
      </c>
      <c r="AF76" s="31" t="s">
        <v>46</v>
      </c>
      <c r="AG76" s="31" t="s">
        <v>46</v>
      </c>
      <c r="AH76" s="31" t="s">
        <v>46</v>
      </c>
      <c r="AI76" s="31" t="s">
        <v>46</v>
      </c>
      <c r="AJ76" s="31">
        <v>0</v>
      </c>
      <c r="AK76" s="31">
        <v>1</v>
      </c>
      <c r="AL76" s="31">
        <f>0.1*$AL$2</f>
        <v>7.5000000000000011E-2</v>
      </c>
      <c r="AM76" s="31">
        <f>AM72</f>
        <v>2.7E-2</v>
      </c>
      <c r="AN76" s="31">
        <f>ROUNDUP(AN72/3,0)</f>
        <v>1</v>
      </c>
      <c r="AO76" s="31"/>
      <c r="AP76" s="31"/>
      <c r="AQ76" s="32">
        <f>AM76*I76+AL76</f>
        <v>8.8932000000000011E-2</v>
      </c>
      <c r="AR76" s="32">
        <f t="shared" si="80"/>
        <v>8.8932000000000021E-3</v>
      </c>
      <c r="AS76" s="33">
        <f t="shared" si="81"/>
        <v>0.25</v>
      </c>
      <c r="AT76" s="33">
        <f t="shared" si="82"/>
        <v>8.69563E-2</v>
      </c>
      <c r="AU76" s="32">
        <f>10068.2*J76*POWER(10,-6)*10</f>
        <v>8.7279212159999987E-4</v>
      </c>
      <c r="AV76" s="33">
        <f t="shared" si="83"/>
        <v>0.43565429212160001</v>
      </c>
      <c r="AW76" s="34">
        <f t="shared" si="84"/>
        <v>0</v>
      </c>
      <c r="AX76" s="34">
        <f t="shared" si="85"/>
        <v>6.8800000000000005E-5</v>
      </c>
      <c r="AY76" s="34">
        <f t="shared" si="86"/>
        <v>2.9973015297966082E-5</v>
      </c>
      <c r="AZ76" s="288">
        <f>AW76/DB!$B$23</f>
        <v>0</v>
      </c>
      <c r="BA76" s="288">
        <f>AX76/DB!$B$23</f>
        <v>3.5282051282051282E-8</v>
      </c>
    </row>
    <row r="77" spans="1:53" x14ac:dyDescent="0.3">
      <c r="A77" s="170" t="s">
        <v>542</v>
      </c>
      <c r="B77" s="170" t="str">
        <f>B72</f>
        <v>Выкидной нефтепровод Скв 530К – (Скв 527Т– ГЗУ 27), водонефтяная эмульсия</v>
      </c>
      <c r="C77" s="171" t="s">
        <v>111</v>
      </c>
      <c r="D77" s="172" t="s">
        <v>27</v>
      </c>
      <c r="E77" s="173">
        <f>E75</f>
        <v>1.9999999999999999E-6</v>
      </c>
      <c r="F77" s="174">
        <f>F72</f>
        <v>860</v>
      </c>
      <c r="G77" s="170">
        <v>0.76</v>
      </c>
      <c r="H77" s="175">
        <f t="shared" si="76"/>
        <v>1.3071999999999999E-3</v>
      </c>
      <c r="I77" s="176">
        <f>0.15*I72</f>
        <v>0.51600000000000001</v>
      </c>
      <c r="J77" s="177">
        <v>0</v>
      </c>
      <c r="K77" s="178" t="s">
        <v>138</v>
      </c>
      <c r="L77" s="179">
        <v>1</v>
      </c>
      <c r="M77" s="31" t="str">
        <f t="shared" si="77"/>
        <v>C48</v>
      </c>
      <c r="N77" s="31" t="str">
        <f t="shared" si="78"/>
        <v>Выкидной нефтепровод Скв 530К – (Скв 527Т– ГЗУ 27), водонефтяная эмульсия</v>
      </c>
      <c r="O77" s="31" t="str">
        <f t="shared" si="79"/>
        <v>Частичное-ликвидация</v>
      </c>
      <c r="P77" s="31" t="s">
        <v>46</v>
      </c>
      <c r="Q77" s="31" t="s">
        <v>46</v>
      </c>
      <c r="R77" s="31" t="s">
        <v>46</v>
      </c>
      <c r="S77" s="31" t="s">
        <v>46</v>
      </c>
      <c r="T77" s="31" t="s">
        <v>46</v>
      </c>
      <c r="U77" s="31" t="s">
        <v>46</v>
      </c>
      <c r="V77" s="31" t="s">
        <v>46</v>
      </c>
      <c r="W77" s="31" t="s">
        <v>46</v>
      </c>
      <c r="X77" s="31" t="s">
        <v>46</v>
      </c>
      <c r="Y77" s="31" t="s">
        <v>46</v>
      </c>
      <c r="Z77" s="31" t="s">
        <v>46</v>
      </c>
      <c r="AA77" s="31" t="s">
        <v>46</v>
      </c>
      <c r="AB77" s="31" t="s">
        <v>46</v>
      </c>
      <c r="AC77" s="31" t="s">
        <v>46</v>
      </c>
      <c r="AD77" s="31" t="s">
        <v>46</v>
      </c>
      <c r="AE77" s="31" t="s">
        <v>46</v>
      </c>
      <c r="AF77" s="31" t="s">
        <v>46</v>
      </c>
      <c r="AG77" s="31" t="s">
        <v>46</v>
      </c>
      <c r="AH77" s="31" t="s">
        <v>46</v>
      </c>
      <c r="AI77" s="31" t="s">
        <v>46</v>
      </c>
      <c r="AJ77" s="31">
        <v>0</v>
      </c>
      <c r="AK77" s="31">
        <v>0</v>
      </c>
      <c r="AL77" s="31">
        <f>0.1*$AL$2</f>
        <v>7.5000000000000011E-2</v>
      </c>
      <c r="AM77" s="31">
        <f>AM72</f>
        <v>2.7E-2</v>
      </c>
      <c r="AN77" s="31">
        <f>ROUNDUP(AN72/3,0)</f>
        <v>1</v>
      </c>
      <c r="AO77" s="31"/>
      <c r="AP77" s="31"/>
      <c r="AQ77" s="32">
        <f>AM77*I77*0.1+AL77</f>
        <v>7.6393200000000008E-2</v>
      </c>
      <c r="AR77" s="32">
        <f t="shared" si="80"/>
        <v>7.6393200000000015E-3</v>
      </c>
      <c r="AS77" s="33">
        <f t="shared" si="81"/>
        <v>0</v>
      </c>
      <c r="AT77" s="33">
        <f t="shared" si="82"/>
        <v>2.1008130000000003E-2</v>
      </c>
      <c r="AU77" s="32">
        <f>1333*J76*POWER(10,-6)</f>
        <v>1.1555510399999998E-5</v>
      </c>
      <c r="AV77" s="33">
        <f t="shared" si="83"/>
        <v>0.10505220551040001</v>
      </c>
      <c r="AW77" s="34">
        <f t="shared" si="84"/>
        <v>0</v>
      </c>
      <c r="AX77" s="34">
        <f t="shared" si="85"/>
        <v>0</v>
      </c>
      <c r="AY77" s="34">
        <f t="shared" si="86"/>
        <v>1.3732424304319489E-4</v>
      </c>
      <c r="AZ77" s="288">
        <f>AW77/DB!$B$23</f>
        <v>0</v>
      </c>
      <c r="BA77" s="288">
        <f>AX77/DB!$B$23</f>
        <v>0</v>
      </c>
    </row>
    <row r="78" spans="1:53" s="180" customForma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207" t="s">
        <v>466</v>
      </c>
      <c r="L78" s="287" t="s">
        <v>601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</row>
    <row r="79" spans="1:53" s="180" customForma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</row>
    <row r="80" spans="1:53" s="180" customForma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3" ht="15" thickBot="1" x14ac:dyDescent="0.35"/>
    <row r="82" spans="1:53" ht="15" thickBot="1" x14ac:dyDescent="0.35">
      <c r="A82" s="8" t="s">
        <v>543</v>
      </c>
      <c r="B82" s="63" t="s">
        <v>658</v>
      </c>
      <c r="C82" s="79" t="s">
        <v>106</v>
      </c>
      <c r="D82" s="9" t="s">
        <v>25</v>
      </c>
      <c r="E82" s="66">
        <v>2.9999999999999999E-7</v>
      </c>
      <c r="F82" s="63">
        <v>820</v>
      </c>
      <c r="G82" s="8">
        <v>0.2</v>
      </c>
      <c r="H82" s="10">
        <f t="shared" ref="H82:H87" si="87">E82*F82*G82</f>
        <v>4.9199999999999997E-5</v>
      </c>
      <c r="I82" s="64">
        <v>2.36</v>
      </c>
      <c r="J82" s="69">
        <f>I82</f>
        <v>2.36</v>
      </c>
      <c r="K82" s="72" t="s">
        <v>122</v>
      </c>
      <c r="L82" s="77">
        <f>40*I82</f>
        <v>94.399999999999991</v>
      </c>
      <c r="M82" s="31" t="str">
        <f t="shared" ref="M82:M87" si="88">A82</f>
        <v>C49</v>
      </c>
      <c r="N82" s="31" t="str">
        <f t="shared" ref="N82:N87" si="89">B82</f>
        <v>Выкидной нефтепровод Скв 857 – ГЗУ 27, водонефтяная эмульсия</v>
      </c>
      <c r="O82" s="31" t="str">
        <f t="shared" ref="O82:O87" si="90">D82</f>
        <v>Полное-пожар</v>
      </c>
      <c r="P82" s="31">
        <v>7.9</v>
      </c>
      <c r="Q82" s="31">
        <v>11.2</v>
      </c>
      <c r="R82" s="31">
        <v>16.600000000000001</v>
      </c>
      <c r="S82" s="31">
        <v>32.700000000000003</v>
      </c>
      <c r="T82" s="31" t="s">
        <v>46</v>
      </c>
      <c r="U82" s="31" t="s">
        <v>46</v>
      </c>
      <c r="V82" s="31" t="s">
        <v>46</v>
      </c>
      <c r="W82" s="31" t="s">
        <v>46</v>
      </c>
      <c r="X82" s="31" t="s">
        <v>46</v>
      </c>
      <c r="Y82" s="31" t="s">
        <v>46</v>
      </c>
      <c r="Z82" s="31" t="s">
        <v>46</v>
      </c>
      <c r="AA82" s="31" t="s">
        <v>46</v>
      </c>
      <c r="AB82" s="31" t="s">
        <v>46</v>
      </c>
      <c r="AC82" s="31" t="s">
        <v>46</v>
      </c>
      <c r="AD82" s="31" t="s">
        <v>46</v>
      </c>
      <c r="AE82" s="31" t="s">
        <v>46</v>
      </c>
      <c r="AF82" s="31" t="s">
        <v>46</v>
      </c>
      <c r="AG82" s="31" t="s">
        <v>46</v>
      </c>
      <c r="AH82" s="31" t="s">
        <v>46</v>
      </c>
      <c r="AI82" s="31" t="s">
        <v>46</v>
      </c>
      <c r="AJ82" s="12">
        <v>1</v>
      </c>
      <c r="AK82" s="12">
        <v>1</v>
      </c>
      <c r="AL82" s="65">
        <v>0.75</v>
      </c>
      <c r="AM82" s="65">
        <v>2.7E-2</v>
      </c>
      <c r="AN82" s="65">
        <v>3</v>
      </c>
      <c r="AO82" s="31"/>
      <c r="AP82" s="31"/>
      <c r="AQ82" s="32">
        <f>AM82*I82+AL82</f>
        <v>0.81372</v>
      </c>
      <c r="AR82" s="32">
        <f t="shared" ref="AR82:AR87" si="91">0.1*AQ82</f>
        <v>8.1372E-2</v>
      </c>
      <c r="AS82" s="33">
        <f t="shared" ref="AS82:AS87" si="92">AJ82*3+0.25*AK82</f>
        <v>3.25</v>
      </c>
      <c r="AT82" s="33">
        <f t="shared" ref="AT82:AT87" si="93">SUM(AQ82:AS82)/4</f>
        <v>1.036273</v>
      </c>
      <c r="AU82" s="32">
        <f>10068.2*J82*POWER(10,-6)</f>
        <v>2.3760951999999998E-2</v>
      </c>
      <c r="AV82" s="33">
        <f t="shared" ref="AV82:AV87" si="94">AU82+AT82+AS82+AR82+AQ82</f>
        <v>5.2051259519999995</v>
      </c>
      <c r="AW82" s="34">
        <f t="shared" ref="AW82:AW87" si="95">AJ82*H82</f>
        <v>4.9199999999999997E-5</v>
      </c>
      <c r="AX82" s="34">
        <f t="shared" ref="AX82:AX87" si="96">H82*AK82</f>
        <v>4.9199999999999997E-5</v>
      </c>
      <c r="AY82" s="34">
        <f t="shared" ref="AY82:AY87" si="97">H82*AV82</f>
        <v>2.5609219683839994E-4</v>
      </c>
      <c r="AZ82" s="288">
        <f>AW82/DB!$B$23</f>
        <v>2.5230769230769228E-8</v>
      </c>
      <c r="BA82" s="288">
        <f>AX82/DB!$B$23</f>
        <v>2.5230769230769228E-8</v>
      </c>
    </row>
    <row r="83" spans="1:53" ht="15" thickBot="1" x14ac:dyDescent="0.35">
      <c r="A83" s="8" t="s">
        <v>544</v>
      </c>
      <c r="B83" s="8" t="str">
        <f>B82</f>
        <v>Выкидной нефтепровод Скв 857 – ГЗУ 27, водонефтяная эмульсия</v>
      </c>
      <c r="C83" s="79" t="s">
        <v>107</v>
      </c>
      <c r="D83" s="9" t="s">
        <v>28</v>
      </c>
      <c r="E83" s="67">
        <f>E82</f>
        <v>2.9999999999999999E-7</v>
      </c>
      <c r="F83" s="68">
        <f>F82</f>
        <v>820</v>
      </c>
      <c r="G83" s="8">
        <v>0.04</v>
      </c>
      <c r="H83" s="10">
        <f t="shared" si="87"/>
        <v>9.839999999999999E-6</v>
      </c>
      <c r="I83" s="62">
        <f>I82</f>
        <v>2.36</v>
      </c>
      <c r="J83" s="298">
        <f>POWER(10,-6)*35*SQRT(100)*3600*L82/1000*0.1</f>
        <v>1.1894399999999999E-2</v>
      </c>
      <c r="K83" s="72" t="s">
        <v>123</v>
      </c>
      <c r="L83" s="77">
        <v>0</v>
      </c>
      <c r="M83" s="31" t="str">
        <f t="shared" si="88"/>
        <v>C50</v>
      </c>
      <c r="N83" s="31" t="str">
        <f t="shared" si="89"/>
        <v>Выкидной нефтепровод Скв 857 – ГЗУ 27, водонефтяная эмульсия</v>
      </c>
      <c r="O83" s="31" t="str">
        <f t="shared" si="90"/>
        <v>Полное-взрыв</v>
      </c>
      <c r="P83" s="31" t="s">
        <v>46</v>
      </c>
      <c r="Q83" s="31" t="s">
        <v>46</v>
      </c>
      <c r="R83" s="31" t="s">
        <v>46</v>
      </c>
      <c r="S83" s="31" t="s">
        <v>46</v>
      </c>
      <c r="T83" s="31">
        <v>0</v>
      </c>
      <c r="U83" s="31">
        <v>0</v>
      </c>
      <c r="V83" s="31">
        <v>0</v>
      </c>
      <c r="W83" s="31">
        <v>0</v>
      </c>
      <c r="X83" s="31">
        <v>11.1</v>
      </c>
      <c r="Y83" s="31" t="s">
        <v>46</v>
      </c>
      <c r="Z83" s="31" t="s">
        <v>46</v>
      </c>
      <c r="AA83" s="31" t="s">
        <v>46</v>
      </c>
      <c r="AB83" s="31" t="s">
        <v>46</v>
      </c>
      <c r="AC83" s="31" t="s">
        <v>46</v>
      </c>
      <c r="AD83" s="31" t="s">
        <v>46</v>
      </c>
      <c r="AE83" s="31" t="s">
        <v>46</v>
      </c>
      <c r="AF83" s="31" t="s">
        <v>46</v>
      </c>
      <c r="AG83" s="31" t="s">
        <v>46</v>
      </c>
      <c r="AH83" s="31" t="s">
        <v>46</v>
      </c>
      <c r="AI83" s="31" t="s">
        <v>46</v>
      </c>
      <c r="AJ83" s="12">
        <v>1</v>
      </c>
      <c r="AK83" s="12">
        <v>1</v>
      </c>
      <c r="AL83" s="31">
        <f>AL82</f>
        <v>0.75</v>
      </c>
      <c r="AM83" s="31">
        <f>AM82</f>
        <v>2.7E-2</v>
      </c>
      <c r="AN83" s="31">
        <f>AN82</f>
        <v>3</v>
      </c>
      <c r="AO83" s="31"/>
      <c r="AP83" s="31"/>
      <c r="AQ83" s="32">
        <f>AM83*I83+AL83</f>
        <v>0.81372</v>
      </c>
      <c r="AR83" s="32">
        <f t="shared" si="91"/>
        <v>8.1372E-2</v>
      </c>
      <c r="AS83" s="33">
        <f t="shared" si="92"/>
        <v>3.25</v>
      </c>
      <c r="AT83" s="33">
        <f t="shared" si="93"/>
        <v>1.036273</v>
      </c>
      <c r="AU83" s="32">
        <f>10068.2*J83*POWER(10,-6)*10</f>
        <v>1.1975519807999999E-3</v>
      </c>
      <c r="AV83" s="33">
        <f t="shared" si="94"/>
        <v>5.1825625519807996</v>
      </c>
      <c r="AW83" s="34">
        <f t="shared" si="95"/>
        <v>9.839999999999999E-6</v>
      </c>
      <c r="AX83" s="34">
        <f t="shared" si="96"/>
        <v>9.839999999999999E-6</v>
      </c>
      <c r="AY83" s="34">
        <f t="shared" si="97"/>
        <v>5.0996415511491063E-5</v>
      </c>
      <c r="AZ83" s="288">
        <f>AW83/DB!$B$23</f>
        <v>5.0461538461538455E-9</v>
      </c>
      <c r="BA83" s="288">
        <f>AX83/DB!$B$23</f>
        <v>5.0461538461538455E-9</v>
      </c>
    </row>
    <row r="84" spans="1:53" x14ac:dyDescent="0.3">
      <c r="A84" s="8" t="s">
        <v>545</v>
      </c>
      <c r="B84" s="8" t="str">
        <f>B82</f>
        <v>Выкидной нефтепровод Скв 857 – ГЗУ 27, водонефтяная эмульсия</v>
      </c>
      <c r="C84" s="79" t="s">
        <v>108</v>
      </c>
      <c r="D84" s="9" t="s">
        <v>26</v>
      </c>
      <c r="E84" s="67">
        <f>E82</f>
        <v>2.9999999999999999E-7</v>
      </c>
      <c r="F84" s="68">
        <f>F82</f>
        <v>820</v>
      </c>
      <c r="G84" s="8">
        <v>0.76</v>
      </c>
      <c r="H84" s="10">
        <f t="shared" si="87"/>
        <v>1.8695999999999999E-4</v>
      </c>
      <c r="I84" s="62">
        <f>I82</f>
        <v>2.36</v>
      </c>
      <c r="J84" s="71">
        <v>0</v>
      </c>
      <c r="K84" s="72" t="s">
        <v>124</v>
      </c>
      <c r="L84" s="77">
        <v>0</v>
      </c>
      <c r="M84" s="31" t="str">
        <f t="shared" si="88"/>
        <v>C51</v>
      </c>
      <c r="N84" s="31" t="str">
        <f t="shared" si="89"/>
        <v>Выкидной нефтепровод Скв 857 – ГЗУ 27, водонефтяная эмульсия</v>
      </c>
      <c r="O84" s="31" t="str">
        <f t="shared" si="90"/>
        <v>Полное-ликвидация</v>
      </c>
      <c r="P84" s="31" t="s">
        <v>46</v>
      </c>
      <c r="Q84" s="31" t="s">
        <v>46</v>
      </c>
      <c r="R84" s="31" t="s">
        <v>46</v>
      </c>
      <c r="S84" s="31" t="s">
        <v>46</v>
      </c>
      <c r="T84" s="31" t="s">
        <v>46</v>
      </c>
      <c r="U84" s="31" t="s">
        <v>46</v>
      </c>
      <c r="V84" s="31" t="s">
        <v>46</v>
      </c>
      <c r="W84" s="31" t="s">
        <v>46</v>
      </c>
      <c r="X84" s="31" t="s">
        <v>46</v>
      </c>
      <c r="Y84" s="31" t="s">
        <v>46</v>
      </c>
      <c r="Z84" s="31" t="s">
        <v>46</v>
      </c>
      <c r="AA84" s="31" t="s">
        <v>46</v>
      </c>
      <c r="AB84" s="31" t="s">
        <v>46</v>
      </c>
      <c r="AC84" s="31" t="s">
        <v>46</v>
      </c>
      <c r="AD84" s="31" t="s">
        <v>46</v>
      </c>
      <c r="AE84" s="31" t="s">
        <v>46</v>
      </c>
      <c r="AF84" s="31" t="s">
        <v>46</v>
      </c>
      <c r="AG84" s="31" t="s">
        <v>46</v>
      </c>
      <c r="AH84" s="31" t="s">
        <v>46</v>
      </c>
      <c r="AI84" s="31" t="s">
        <v>46</v>
      </c>
      <c r="AJ84" s="31">
        <v>0</v>
      </c>
      <c r="AK84" s="31">
        <v>0</v>
      </c>
      <c r="AL84" s="31">
        <f>AL82</f>
        <v>0.75</v>
      </c>
      <c r="AM84" s="31">
        <f>AM82</f>
        <v>2.7E-2</v>
      </c>
      <c r="AN84" s="31">
        <f>AN82</f>
        <v>3</v>
      </c>
      <c r="AO84" s="31"/>
      <c r="AP84" s="31"/>
      <c r="AQ84" s="32">
        <f>AM84*I84*0.1+AL84</f>
        <v>0.75637200000000004</v>
      </c>
      <c r="AR84" s="32">
        <f t="shared" si="91"/>
        <v>7.5637200000000016E-2</v>
      </c>
      <c r="AS84" s="33">
        <f t="shared" si="92"/>
        <v>0</v>
      </c>
      <c r="AT84" s="33">
        <f t="shared" si="93"/>
        <v>0.20800230000000003</v>
      </c>
      <c r="AU84" s="32">
        <f>1333*J83*POWER(10,-6)</f>
        <v>1.5855235199999999E-5</v>
      </c>
      <c r="AV84" s="33">
        <f t="shared" si="94"/>
        <v>1.0400273552352002</v>
      </c>
      <c r="AW84" s="34">
        <f t="shared" si="95"/>
        <v>0</v>
      </c>
      <c r="AX84" s="34">
        <f t="shared" si="96"/>
        <v>0</v>
      </c>
      <c r="AY84" s="34">
        <f t="shared" si="97"/>
        <v>1.9444351433477302E-4</v>
      </c>
      <c r="AZ84" s="288">
        <f>AW84/DB!$B$23</f>
        <v>0</v>
      </c>
      <c r="BA84" s="288">
        <f>AX84/DB!$B$23</f>
        <v>0</v>
      </c>
    </row>
    <row r="85" spans="1:53" x14ac:dyDescent="0.3">
      <c r="A85" s="8" t="s">
        <v>546</v>
      </c>
      <c r="B85" s="8" t="str">
        <f>B82</f>
        <v>Выкидной нефтепровод Скв 857 – ГЗУ 27, водонефтяная эмульсия</v>
      </c>
      <c r="C85" s="79" t="s">
        <v>109</v>
      </c>
      <c r="D85" s="9" t="s">
        <v>47</v>
      </c>
      <c r="E85" s="66">
        <v>1.9999999999999999E-6</v>
      </c>
      <c r="F85" s="68">
        <f>F82</f>
        <v>820</v>
      </c>
      <c r="G85" s="8">
        <v>0.2</v>
      </c>
      <c r="H85" s="10">
        <f t="shared" si="87"/>
        <v>3.28E-4</v>
      </c>
      <c r="I85" s="62">
        <f>0.15*I82</f>
        <v>0.35399999999999998</v>
      </c>
      <c r="J85" s="69">
        <f>I85</f>
        <v>0.35399999999999998</v>
      </c>
      <c r="K85" s="74" t="s">
        <v>126</v>
      </c>
      <c r="L85" s="78">
        <v>45390</v>
      </c>
      <c r="M85" s="31" t="str">
        <f t="shared" si="88"/>
        <v>C52</v>
      </c>
      <c r="N85" s="31" t="str">
        <f t="shared" si="89"/>
        <v>Выкидной нефтепровод Скв 857 – ГЗУ 27, водонефтяная эмульсия</v>
      </c>
      <c r="O85" s="31" t="str">
        <f t="shared" si="90"/>
        <v>Частичное-пожар</v>
      </c>
      <c r="P85" s="31">
        <v>3.6</v>
      </c>
      <c r="Q85" s="31">
        <v>5.3</v>
      </c>
      <c r="R85" s="31">
        <v>7.9</v>
      </c>
      <c r="S85" s="31">
        <v>14.4</v>
      </c>
      <c r="T85" s="31" t="s">
        <v>46</v>
      </c>
      <c r="U85" s="31" t="s">
        <v>46</v>
      </c>
      <c r="V85" s="31" t="s">
        <v>46</v>
      </c>
      <c r="W85" s="31" t="s">
        <v>46</v>
      </c>
      <c r="X85" s="31" t="s">
        <v>46</v>
      </c>
      <c r="Y85" s="31" t="s">
        <v>46</v>
      </c>
      <c r="Z85" s="31" t="s">
        <v>46</v>
      </c>
      <c r="AA85" s="31" t="s">
        <v>46</v>
      </c>
      <c r="AB85" s="31" t="s">
        <v>46</v>
      </c>
      <c r="AC85" s="31" t="s">
        <v>46</v>
      </c>
      <c r="AD85" s="31" t="s">
        <v>46</v>
      </c>
      <c r="AE85" s="31" t="s">
        <v>46</v>
      </c>
      <c r="AF85" s="31" t="s">
        <v>46</v>
      </c>
      <c r="AG85" s="31" t="s">
        <v>46</v>
      </c>
      <c r="AH85" s="31" t="s">
        <v>46</v>
      </c>
      <c r="AI85" s="31" t="s">
        <v>46</v>
      </c>
      <c r="AJ85" s="31">
        <v>0</v>
      </c>
      <c r="AK85" s="31">
        <v>2</v>
      </c>
      <c r="AL85" s="31">
        <f>0.1*$AL$2</f>
        <v>7.5000000000000011E-2</v>
      </c>
      <c r="AM85" s="31">
        <f>AM82</f>
        <v>2.7E-2</v>
      </c>
      <c r="AN85" s="31">
        <f>ROUNDUP(AN82/3,0)</f>
        <v>1</v>
      </c>
      <c r="AO85" s="31"/>
      <c r="AP85" s="31"/>
      <c r="AQ85" s="32">
        <f>AM85*I85+AL85</f>
        <v>8.4558000000000008E-2</v>
      </c>
      <c r="AR85" s="32">
        <f t="shared" si="91"/>
        <v>8.4558000000000012E-3</v>
      </c>
      <c r="AS85" s="33">
        <f t="shared" si="92"/>
        <v>0.5</v>
      </c>
      <c r="AT85" s="33">
        <f t="shared" si="93"/>
        <v>0.14825345000000001</v>
      </c>
      <c r="AU85" s="32">
        <f>10068.2*J85*POWER(10,-6)</f>
        <v>3.5641428E-3</v>
      </c>
      <c r="AV85" s="33">
        <f t="shared" si="94"/>
        <v>0.7448313928000001</v>
      </c>
      <c r="AW85" s="34">
        <f t="shared" si="95"/>
        <v>0</v>
      </c>
      <c r="AX85" s="34">
        <f t="shared" si="96"/>
        <v>6.5600000000000001E-4</v>
      </c>
      <c r="AY85" s="34">
        <f t="shared" si="97"/>
        <v>2.4430469683840006E-4</v>
      </c>
      <c r="AZ85" s="288">
        <f>AW85/DB!$B$23</f>
        <v>0</v>
      </c>
      <c r="BA85" s="288">
        <f>AX85/DB!$B$23</f>
        <v>3.3641025641025639E-7</v>
      </c>
    </row>
    <row r="86" spans="1:53" x14ac:dyDescent="0.3">
      <c r="A86" s="8" t="s">
        <v>547</v>
      </c>
      <c r="B86" s="8" t="str">
        <f>B82</f>
        <v>Выкидной нефтепровод Скв 857 – ГЗУ 27, водонефтяная эмульсия</v>
      </c>
      <c r="C86" s="79" t="s">
        <v>110</v>
      </c>
      <c r="D86" s="9" t="s">
        <v>112</v>
      </c>
      <c r="E86" s="67">
        <f>E85</f>
        <v>1.9999999999999999E-6</v>
      </c>
      <c r="F86" s="68">
        <f>F82</f>
        <v>820</v>
      </c>
      <c r="G86" s="8">
        <v>0.04</v>
      </c>
      <c r="H86" s="10">
        <f t="shared" si="87"/>
        <v>6.5599999999999995E-5</v>
      </c>
      <c r="I86" s="62">
        <f>0.15*I82</f>
        <v>0.35399999999999998</v>
      </c>
      <c r="J86" s="69">
        <f>0.5*J83</f>
        <v>5.9471999999999997E-3</v>
      </c>
      <c r="K86" s="74" t="s">
        <v>127</v>
      </c>
      <c r="L86" s="78">
        <v>3</v>
      </c>
      <c r="M86" s="31" t="str">
        <f t="shared" si="88"/>
        <v>C53</v>
      </c>
      <c r="N86" s="31" t="str">
        <f t="shared" si="89"/>
        <v>Выкидной нефтепровод Скв 857 – ГЗУ 27, водонефтяная эмульсия</v>
      </c>
      <c r="O86" s="31" t="str">
        <f t="shared" si="90"/>
        <v>Частичное-пожар-вспышка</v>
      </c>
      <c r="P86" s="31" t="s">
        <v>46</v>
      </c>
      <c r="Q86" s="31" t="s">
        <v>46</v>
      </c>
      <c r="R86" s="31" t="s">
        <v>46</v>
      </c>
      <c r="S86" s="31" t="s">
        <v>46</v>
      </c>
      <c r="T86" s="31" t="s">
        <v>46</v>
      </c>
      <c r="U86" s="31" t="s">
        <v>46</v>
      </c>
      <c r="V86" s="31" t="s">
        <v>46</v>
      </c>
      <c r="W86" s="31" t="s">
        <v>46</v>
      </c>
      <c r="X86" s="31" t="s">
        <v>46</v>
      </c>
      <c r="Y86" s="31" t="s">
        <v>46</v>
      </c>
      <c r="Z86" s="31" t="s">
        <v>46</v>
      </c>
      <c r="AA86" s="31">
        <v>6.18</v>
      </c>
      <c r="AB86" s="31">
        <v>7.42</v>
      </c>
      <c r="AC86" s="31" t="s">
        <v>46</v>
      </c>
      <c r="AD86" s="31" t="s">
        <v>46</v>
      </c>
      <c r="AE86" s="31" t="s">
        <v>46</v>
      </c>
      <c r="AF86" s="31" t="s">
        <v>46</v>
      </c>
      <c r="AG86" s="31" t="s">
        <v>46</v>
      </c>
      <c r="AH86" s="31" t="s">
        <v>46</v>
      </c>
      <c r="AI86" s="31" t="s">
        <v>46</v>
      </c>
      <c r="AJ86" s="31">
        <v>0</v>
      </c>
      <c r="AK86" s="31">
        <v>1</v>
      </c>
      <c r="AL86" s="31">
        <f>0.1*$AL$2</f>
        <v>7.5000000000000011E-2</v>
      </c>
      <c r="AM86" s="31">
        <f>AM82</f>
        <v>2.7E-2</v>
      </c>
      <c r="AN86" s="31">
        <f>ROUNDUP(AN82/3,0)</f>
        <v>1</v>
      </c>
      <c r="AO86" s="31"/>
      <c r="AP86" s="31"/>
      <c r="AQ86" s="32">
        <f>AM86*I86+AL86</f>
        <v>8.4558000000000008E-2</v>
      </c>
      <c r="AR86" s="32">
        <f t="shared" si="91"/>
        <v>8.4558000000000012E-3</v>
      </c>
      <c r="AS86" s="33">
        <f t="shared" si="92"/>
        <v>0.25</v>
      </c>
      <c r="AT86" s="33">
        <f t="shared" si="93"/>
        <v>8.5753450000000009E-2</v>
      </c>
      <c r="AU86" s="32">
        <f>10068.2*J86*POWER(10,-6)*10</f>
        <v>5.9877599039999993E-4</v>
      </c>
      <c r="AV86" s="33">
        <f t="shared" si="94"/>
        <v>0.42936602599040002</v>
      </c>
      <c r="AW86" s="34">
        <f t="shared" si="95"/>
        <v>0</v>
      </c>
      <c r="AX86" s="34">
        <f t="shared" si="96"/>
        <v>6.5599999999999995E-5</v>
      </c>
      <c r="AY86" s="34">
        <f t="shared" si="97"/>
        <v>2.816641130497024E-5</v>
      </c>
      <c r="AZ86" s="288">
        <f>AW86/DB!$B$23</f>
        <v>0</v>
      </c>
      <c r="BA86" s="288">
        <f>AX86/DB!$B$23</f>
        <v>3.3641025641025642E-8</v>
      </c>
    </row>
    <row r="87" spans="1:53" x14ac:dyDescent="0.3">
      <c r="A87" s="170" t="s">
        <v>548</v>
      </c>
      <c r="B87" s="170" t="str">
        <f>B82</f>
        <v>Выкидной нефтепровод Скв 857 – ГЗУ 27, водонефтяная эмульсия</v>
      </c>
      <c r="C87" s="171" t="s">
        <v>111</v>
      </c>
      <c r="D87" s="172" t="s">
        <v>27</v>
      </c>
      <c r="E87" s="173">
        <f>E85</f>
        <v>1.9999999999999999E-6</v>
      </c>
      <c r="F87" s="174">
        <f>F82</f>
        <v>820</v>
      </c>
      <c r="G87" s="170">
        <v>0.76</v>
      </c>
      <c r="H87" s="175">
        <f t="shared" si="87"/>
        <v>1.2463999999999999E-3</v>
      </c>
      <c r="I87" s="176">
        <f>0.15*I82</f>
        <v>0.35399999999999998</v>
      </c>
      <c r="J87" s="177">
        <v>0</v>
      </c>
      <c r="K87" s="178" t="s">
        <v>138</v>
      </c>
      <c r="L87" s="179">
        <v>1</v>
      </c>
      <c r="M87" s="31" t="str">
        <f t="shared" si="88"/>
        <v>C54</v>
      </c>
      <c r="N87" s="31" t="str">
        <f t="shared" si="89"/>
        <v>Выкидной нефтепровод Скв 857 – ГЗУ 27, водонефтяная эмульсия</v>
      </c>
      <c r="O87" s="31" t="str">
        <f t="shared" si="90"/>
        <v>Частичное-ликвидация</v>
      </c>
      <c r="P87" s="31" t="s">
        <v>46</v>
      </c>
      <c r="Q87" s="31" t="s">
        <v>46</v>
      </c>
      <c r="R87" s="31" t="s">
        <v>46</v>
      </c>
      <c r="S87" s="31" t="s">
        <v>46</v>
      </c>
      <c r="T87" s="31" t="s">
        <v>46</v>
      </c>
      <c r="U87" s="31" t="s">
        <v>46</v>
      </c>
      <c r="V87" s="31" t="s">
        <v>46</v>
      </c>
      <c r="W87" s="31" t="s">
        <v>46</v>
      </c>
      <c r="X87" s="31" t="s">
        <v>46</v>
      </c>
      <c r="Y87" s="31" t="s">
        <v>46</v>
      </c>
      <c r="Z87" s="31" t="s">
        <v>46</v>
      </c>
      <c r="AA87" s="31" t="s">
        <v>46</v>
      </c>
      <c r="AB87" s="31" t="s">
        <v>46</v>
      </c>
      <c r="AC87" s="31" t="s">
        <v>46</v>
      </c>
      <c r="AD87" s="31" t="s">
        <v>46</v>
      </c>
      <c r="AE87" s="31" t="s">
        <v>46</v>
      </c>
      <c r="AF87" s="31" t="s">
        <v>46</v>
      </c>
      <c r="AG87" s="31" t="s">
        <v>46</v>
      </c>
      <c r="AH87" s="31" t="s">
        <v>46</v>
      </c>
      <c r="AI87" s="31" t="s">
        <v>46</v>
      </c>
      <c r="AJ87" s="31">
        <v>0</v>
      </c>
      <c r="AK87" s="31">
        <v>0</v>
      </c>
      <c r="AL87" s="31">
        <f>0.1*$AL$2</f>
        <v>7.5000000000000011E-2</v>
      </c>
      <c r="AM87" s="31">
        <f>AM82</f>
        <v>2.7E-2</v>
      </c>
      <c r="AN87" s="31">
        <f>ROUNDUP(AN82/3,0)</f>
        <v>1</v>
      </c>
      <c r="AO87" s="31"/>
      <c r="AP87" s="31"/>
      <c r="AQ87" s="32">
        <f>AM87*I87*0.1+AL87</f>
        <v>7.5955800000000018E-2</v>
      </c>
      <c r="AR87" s="32">
        <f t="shared" si="91"/>
        <v>7.5955800000000019E-3</v>
      </c>
      <c r="AS87" s="33">
        <f t="shared" si="92"/>
        <v>0</v>
      </c>
      <c r="AT87" s="33">
        <f t="shared" si="93"/>
        <v>2.0887845000000006E-2</v>
      </c>
      <c r="AU87" s="32">
        <f>1333*J86*POWER(10,-6)</f>
        <v>7.9276175999999996E-6</v>
      </c>
      <c r="AV87" s="33">
        <f t="shared" si="94"/>
        <v>0.10444715261760003</v>
      </c>
      <c r="AW87" s="34">
        <f t="shared" si="95"/>
        <v>0</v>
      </c>
      <c r="AX87" s="34">
        <f t="shared" si="96"/>
        <v>0</v>
      </c>
      <c r="AY87" s="34">
        <f t="shared" si="97"/>
        <v>1.3018293102257667E-4</v>
      </c>
      <c r="AZ87" s="288">
        <f>AW87/DB!$B$23</f>
        <v>0</v>
      </c>
      <c r="BA87" s="288">
        <f>AX87/DB!$B$23</f>
        <v>0</v>
      </c>
    </row>
    <row r="88" spans="1:53" s="180" customForma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207" t="s">
        <v>466</v>
      </c>
      <c r="L88" s="287" t="s">
        <v>601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</row>
    <row r="89" spans="1:53" s="180" customForma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</row>
    <row r="90" spans="1:53" s="180" customForma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</row>
    <row r="91" spans="1:53" ht="15" thickBot="1" x14ac:dyDescent="0.35"/>
    <row r="92" spans="1:53" ht="15" thickBot="1" x14ac:dyDescent="0.35">
      <c r="A92" s="323" t="s">
        <v>549</v>
      </c>
      <c r="B92" s="63" t="s">
        <v>659</v>
      </c>
      <c r="C92" s="79" t="s">
        <v>106</v>
      </c>
      <c r="D92" s="9" t="s">
        <v>25</v>
      </c>
      <c r="E92" s="66">
        <v>2.9999999999999999E-7</v>
      </c>
      <c r="F92" s="63">
        <v>700</v>
      </c>
      <c r="G92" s="8">
        <v>0.2</v>
      </c>
      <c r="H92" s="10">
        <f t="shared" ref="H92:H97" si="98">E92*F92*G92</f>
        <v>4.1999999999999998E-5</v>
      </c>
      <c r="I92" s="64">
        <v>3.25</v>
      </c>
      <c r="J92" s="69">
        <f>I92</f>
        <v>3.25</v>
      </c>
      <c r="K92" s="72" t="s">
        <v>122</v>
      </c>
      <c r="L92" s="77">
        <f>40*I92</f>
        <v>130</v>
      </c>
      <c r="M92" s="31" t="str">
        <f t="shared" ref="M92:M97" si="99">A92</f>
        <v>C55</v>
      </c>
      <c r="N92" s="31" t="str">
        <f t="shared" ref="N92:N97" si="100">B92</f>
        <v>Выкидной нефтепровод Скв 859 – ГЗУ 30, водонефтяная эмульсия</v>
      </c>
      <c r="O92" s="31" t="str">
        <f t="shared" ref="O92:O97" si="101">D92</f>
        <v>Полное-пожар</v>
      </c>
      <c r="P92" s="31">
        <v>9.1999999999999993</v>
      </c>
      <c r="Q92" s="31">
        <v>13.1</v>
      </c>
      <c r="R92" s="31">
        <v>19.3</v>
      </c>
      <c r="S92" s="31">
        <v>37.6</v>
      </c>
      <c r="T92" s="31" t="s">
        <v>46</v>
      </c>
      <c r="U92" s="31" t="s">
        <v>46</v>
      </c>
      <c r="V92" s="31" t="s">
        <v>46</v>
      </c>
      <c r="W92" s="31" t="s">
        <v>46</v>
      </c>
      <c r="X92" s="31" t="s">
        <v>46</v>
      </c>
      <c r="Y92" s="31" t="s">
        <v>46</v>
      </c>
      <c r="Z92" s="31" t="s">
        <v>46</v>
      </c>
      <c r="AA92" s="31" t="s">
        <v>46</v>
      </c>
      <c r="AB92" s="31" t="s">
        <v>46</v>
      </c>
      <c r="AC92" s="31" t="s">
        <v>46</v>
      </c>
      <c r="AD92" s="31" t="s">
        <v>46</v>
      </c>
      <c r="AE92" s="31" t="s">
        <v>46</v>
      </c>
      <c r="AF92" s="31" t="s">
        <v>46</v>
      </c>
      <c r="AG92" s="31" t="s">
        <v>46</v>
      </c>
      <c r="AH92" s="31" t="s">
        <v>46</v>
      </c>
      <c r="AI92" s="31" t="s">
        <v>46</v>
      </c>
      <c r="AJ92" s="12">
        <v>1</v>
      </c>
      <c r="AK92" s="12">
        <v>1</v>
      </c>
      <c r="AL92" s="65">
        <v>0.75</v>
      </c>
      <c r="AM92" s="65">
        <v>2.7E-2</v>
      </c>
      <c r="AN92" s="65">
        <v>3</v>
      </c>
      <c r="AO92" s="31"/>
      <c r="AP92" s="31"/>
      <c r="AQ92" s="32">
        <f>AM92*I92+AL92</f>
        <v>0.83774999999999999</v>
      </c>
      <c r="AR92" s="32">
        <f t="shared" ref="AR92:AR97" si="102">0.1*AQ92</f>
        <v>8.3775000000000002E-2</v>
      </c>
      <c r="AS92" s="33">
        <f t="shared" ref="AS92:AS97" si="103">AJ92*3+0.25*AK92</f>
        <v>3.25</v>
      </c>
      <c r="AT92" s="33">
        <f t="shared" ref="AT92:AT97" si="104">SUM(AQ92:AS92)/4</f>
        <v>1.04288125</v>
      </c>
      <c r="AU92" s="32">
        <f>10068.2*J92*POWER(10,-6)</f>
        <v>3.2721649999999998E-2</v>
      </c>
      <c r="AV92" s="33">
        <f t="shared" ref="AV92:AV97" si="105">AU92+AT92+AS92+AR92+AQ92</f>
        <v>5.2471278999999997</v>
      </c>
      <c r="AW92" s="34">
        <f t="shared" ref="AW92:AW97" si="106">AJ92*H92</f>
        <v>4.1999999999999998E-5</v>
      </c>
      <c r="AX92" s="34">
        <f t="shared" ref="AX92:AX97" si="107">H92*AK92</f>
        <v>4.1999999999999998E-5</v>
      </c>
      <c r="AY92" s="34">
        <f t="shared" ref="AY92:AY97" si="108">H92*AV92</f>
        <v>2.2037937179999998E-4</v>
      </c>
      <c r="AZ92" s="288">
        <f>AW92/DB!$B$23</f>
        <v>2.1538461538461537E-8</v>
      </c>
      <c r="BA92" s="288">
        <f>AX92/DB!$B$23</f>
        <v>2.1538461538461537E-8</v>
      </c>
    </row>
    <row r="93" spans="1:53" ht="15" thickBot="1" x14ac:dyDescent="0.35">
      <c r="A93" s="8" t="s">
        <v>550</v>
      </c>
      <c r="B93" s="8" t="str">
        <f>B92</f>
        <v>Выкидной нефтепровод Скв 859 – ГЗУ 30, водонефтяная эмульсия</v>
      </c>
      <c r="C93" s="79" t="s">
        <v>107</v>
      </c>
      <c r="D93" s="9" t="s">
        <v>28</v>
      </c>
      <c r="E93" s="67">
        <f>E92</f>
        <v>2.9999999999999999E-7</v>
      </c>
      <c r="F93" s="68">
        <f>F92</f>
        <v>700</v>
      </c>
      <c r="G93" s="8">
        <v>0.04</v>
      </c>
      <c r="H93" s="10">
        <f t="shared" si="98"/>
        <v>8.3999999999999992E-6</v>
      </c>
      <c r="I93" s="62">
        <f>I92</f>
        <v>3.25</v>
      </c>
      <c r="J93" s="298">
        <f>POWER(10,-6)*35*SQRT(100)*3600*L92/1000*0.1</f>
        <v>1.6379999999999999E-2</v>
      </c>
      <c r="K93" s="72" t="s">
        <v>123</v>
      </c>
      <c r="L93" s="77">
        <v>0</v>
      </c>
      <c r="M93" s="31" t="str">
        <f t="shared" si="99"/>
        <v>C56</v>
      </c>
      <c r="N93" s="31" t="str">
        <f t="shared" si="100"/>
        <v>Выкидной нефтепровод Скв 859 – ГЗУ 30, водонефтяная эмульсия</v>
      </c>
      <c r="O93" s="31" t="str">
        <f t="shared" si="101"/>
        <v>Полное-взрыв</v>
      </c>
      <c r="P93" s="31" t="s">
        <v>46</v>
      </c>
      <c r="Q93" s="31" t="s">
        <v>46</v>
      </c>
      <c r="R93" s="31" t="s">
        <v>46</v>
      </c>
      <c r="S93" s="31" t="s">
        <v>46</v>
      </c>
      <c r="T93" s="31">
        <v>0</v>
      </c>
      <c r="U93" s="31">
        <v>0</v>
      </c>
      <c r="V93" s="31">
        <v>0</v>
      </c>
      <c r="W93" s="31">
        <v>0</v>
      </c>
      <c r="X93" s="31">
        <v>14.6</v>
      </c>
      <c r="Y93" s="31" t="s">
        <v>46</v>
      </c>
      <c r="Z93" s="31" t="s">
        <v>46</v>
      </c>
      <c r="AA93" s="31" t="s">
        <v>46</v>
      </c>
      <c r="AB93" s="31" t="s">
        <v>46</v>
      </c>
      <c r="AC93" s="31" t="s">
        <v>46</v>
      </c>
      <c r="AD93" s="31" t="s">
        <v>46</v>
      </c>
      <c r="AE93" s="31" t="s">
        <v>46</v>
      </c>
      <c r="AF93" s="31" t="s">
        <v>46</v>
      </c>
      <c r="AG93" s="31" t="s">
        <v>46</v>
      </c>
      <c r="AH93" s="31" t="s">
        <v>46</v>
      </c>
      <c r="AI93" s="31" t="s">
        <v>46</v>
      </c>
      <c r="AJ93" s="12">
        <v>1</v>
      </c>
      <c r="AK93" s="12">
        <v>1</v>
      </c>
      <c r="AL93" s="31">
        <f>AL92</f>
        <v>0.75</v>
      </c>
      <c r="AM93" s="31">
        <f>AM92</f>
        <v>2.7E-2</v>
      </c>
      <c r="AN93" s="31">
        <f>AN92</f>
        <v>3</v>
      </c>
      <c r="AO93" s="31"/>
      <c r="AP93" s="31"/>
      <c r="AQ93" s="32">
        <f>AM93*I93+AL93</f>
        <v>0.83774999999999999</v>
      </c>
      <c r="AR93" s="32">
        <f t="shared" si="102"/>
        <v>8.3775000000000002E-2</v>
      </c>
      <c r="AS93" s="33">
        <f t="shared" si="103"/>
        <v>3.25</v>
      </c>
      <c r="AT93" s="33">
        <f t="shared" si="104"/>
        <v>1.04288125</v>
      </c>
      <c r="AU93" s="32">
        <f>10068.2*J93*POWER(10,-6)*10</f>
        <v>1.6491711599999999E-3</v>
      </c>
      <c r="AV93" s="33">
        <f t="shared" si="105"/>
        <v>5.2160554211600001</v>
      </c>
      <c r="AW93" s="34">
        <f t="shared" si="106"/>
        <v>8.3999999999999992E-6</v>
      </c>
      <c r="AX93" s="34">
        <f t="shared" si="107"/>
        <v>8.3999999999999992E-6</v>
      </c>
      <c r="AY93" s="34">
        <f t="shared" si="108"/>
        <v>4.3814865537743993E-5</v>
      </c>
      <c r="AZ93" s="288">
        <f>AW93/DB!$B$23</f>
        <v>4.3076923076923073E-9</v>
      </c>
      <c r="BA93" s="288">
        <f>AX93/DB!$B$23</f>
        <v>4.3076923076923073E-9</v>
      </c>
    </row>
    <row r="94" spans="1:53" x14ac:dyDescent="0.3">
      <c r="A94" s="8" t="s">
        <v>477</v>
      </c>
      <c r="B94" s="8" t="str">
        <f>B92</f>
        <v>Выкидной нефтепровод Скв 859 – ГЗУ 30, водонефтяная эмульсия</v>
      </c>
      <c r="C94" s="79" t="s">
        <v>108</v>
      </c>
      <c r="D94" s="9" t="s">
        <v>26</v>
      </c>
      <c r="E94" s="67">
        <f>E92</f>
        <v>2.9999999999999999E-7</v>
      </c>
      <c r="F94" s="68">
        <f>F92</f>
        <v>700</v>
      </c>
      <c r="G94" s="8">
        <v>0.76</v>
      </c>
      <c r="H94" s="10">
        <f t="shared" si="98"/>
        <v>1.5959999999999998E-4</v>
      </c>
      <c r="I94" s="62">
        <f>I92</f>
        <v>3.25</v>
      </c>
      <c r="J94" s="71">
        <v>0</v>
      </c>
      <c r="K94" s="72" t="s">
        <v>124</v>
      </c>
      <c r="L94" s="77">
        <v>0</v>
      </c>
      <c r="M94" s="31" t="str">
        <f t="shared" si="99"/>
        <v>C57</v>
      </c>
      <c r="N94" s="31" t="str">
        <f t="shared" si="100"/>
        <v>Выкидной нефтепровод Скв 859 – ГЗУ 30, водонефтяная эмульсия</v>
      </c>
      <c r="O94" s="31" t="str">
        <f t="shared" si="101"/>
        <v>Полное-ликвидация</v>
      </c>
      <c r="P94" s="31" t="s">
        <v>46</v>
      </c>
      <c r="Q94" s="31" t="s">
        <v>46</v>
      </c>
      <c r="R94" s="31" t="s">
        <v>46</v>
      </c>
      <c r="S94" s="31" t="s">
        <v>46</v>
      </c>
      <c r="T94" s="31" t="s">
        <v>46</v>
      </c>
      <c r="U94" s="31" t="s">
        <v>46</v>
      </c>
      <c r="V94" s="31" t="s">
        <v>46</v>
      </c>
      <c r="W94" s="31" t="s">
        <v>46</v>
      </c>
      <c r="X94" s="31" t="s">
        <v>46</v>
      </c>
      <c r="Y94" s="31" t="s">
        <v>46</v>
      </c>
      <c r="Z94" s="31" t="s">
        <v>46</v>
      </c>
      <c r="AA94" s="31" t="s">
        <v>46</v>
      </c>
      <c r="AB94" s="31" t="s">
        <v>46</v>
      </c>
      <c r="AC94" s="31" t="s">
        <v>46</v>
      </c>
      <c r="AD94" s="31" t="s">
        <v>46</v>
      </c>
      <c r="AE94" s="31" t="s">
        <v>46</v>
      </c>
      <c r="AF94" s="31" t="s">
        <v>46</v>
      </c>
      <c r="AG94" s="31" t="s">
        <v>46</v>
      </c>
      <c r="AH94" s="31" t="s">
        <v>46</v>
      </c>
      <c r="AI94" s="31" t="s">
        <v>46</v>
      </c>
      <c r="AJ94" s="31">
        <v>0</v>
      </c>
      <c r="AK94" s="31">
        <v>0</v>
      </c>
      <c r="AL94" s="31">
        <f>AL92</f>
        <v>0.75</v>
      </c>
      <c r="AM94" s="31">
        <f>AM92</f>
        <v>2.7E-2</v>
      </c>
      <c r="AN94" s="31">
        <f>AN92</f>
        <v>3</v>
      </c>
      <c r="AO94" s="31"/>
      <c r="AP94" s="31"/>
      <c r="AQ94" s="32">
        <f>AM94*I94*0.1+AL94</f>
        <v>0.75877499999999998</v>
      </c>
      <c r="AR94" s="32">
        <f t="shared" si="102"/>
        <v>7.5877500000000001E-2</v>
      </c>
      <c r="AS94" s="33">
        <f t="shared" si="103"/>
        <v>0</v>
      </c>
      <c r="AT94" s="33">
        <f t="shared" si="104"/>
        <v>0.208663125</v>
      </c>
      <c r="AU94" s="32">
        <f>1333*J93*POWER(10,-6)</f>
        <v>2.1834539999999995E-5</v>
      </c>
      <c r="AV94" s="33">
        <f t="shared" si="105"/>
        <v>1.04333745954</v>
      </c>
      <c r="AW94" s="34">
        <f t="shared" si="106"/>
        <v>0</v>
      </c>
      <c r="AX94" s="34">
        <f t="shared" si="107"/>
        <v>0</v>
      </c>
      <c r="AY94" s="34">
        <f t="shared" si="108"/>
        <v>1.6651665854258398E-4</v>
      </c>
      <c r="AZ94" s="288">
        <f>AW94/DB!$B$23</f>
        <v>0</v>
      </c>
      <c r="BA94" s="288">
        <f>AX94/DB!$B$23</f>
        <v>0</v>
      </c>
    </row>
    <row r="95" spans="1:53" x14ac:dyDescent="0.3">
      <c r="A95" s="8" t="s">
        <v>478</v>
      </c>
      <c r="B95" s="8" t="str">
        <f>B92</f>
        <v>Выкидной нефтепровод Скв 859 – ГЗУ 30, водонефтяная эмульсия</v>
      </c>
      <c r="C95" s="79" t="s">
        <v>109</v>
      </c>
      <c r="D95" s="9" t="s">
        <v>47</v>
      </c>
      <c r="E95" s="66">
        <v>1.9999999999999999E-6</v>
      </c>
      <c r="F95" s="68">
        <f>F92</f>
        <v>700</v>
      </c>
      <c r="G95" s="8">
        <v>0.2</v>
      </c>
      <c r="H95" s="10">
        <f t="shared" si="98"/>
        <v>2.8000000000000003E-4</v>
      </c>
      <c r="I95" s="62">
        <f>0.15*I92</f>
        <v>0.48749999999999999</v>
      </c>
      <c r="J95" s="69">
        <f>I95</f>
        <v>0.48749999999999999</v>
      </c>
      <c r="K95" s="74" t="s">
        <v>126</v>
      </c>
      <c r="L95" s="78">
        <v>45390</v>
      </c>
      <c r="M95" s="31" t="str">
        <f t="shared" si="99"/>
        <v>C58</v>
      </c>
      <c r="N95" s="31" t="str">
        <f t="shared" si="100"/>
        <v>Выкидной нефтепровод Скв 859 – ГЗУ 30, водонефтяная эмульсия</v>
      </c>
      <c r="O95" s="31" t="str">
        <f t="shared" si="101"/>
        <v>Частичное-пожар</v>
      </c>
      <c r="P95" s="31">
        <v>4.0999999999999996</v>
      </c>
      <c r="Q95" s="31">
        <v>5.9</v>
      </c>
      <c r="R95" s="31">
        <v>8.8000000000000007</v>
      </c>
      <c r="S95" s="31">
        <v>16.2</v>
      </c>
      <c r="T95" s="31" t="s">
        <v>46</v>
      </c>
      <c r="U95" s="31" t="s">
        <v>46</v>
      </c>
      <c r="V95" s="31" t="s">
        <v>46</v>
      </c>
      <c r="W95" s="31" t="s">
        <v>46</v>
      </c>
      <c r="X95" s="31" t="s">
        <v>46</v>
      </c>
      <c r="Y95" s="31" t="s">
        <v>46</v>
      </c>
      <c r="Z95" s="31" t="s">
        <v>46</v>
      </c>
      <c r="AA95" s="31" t="s">
        <v>46</v>
      </c>
      <c r="AB95" s="31" t="s">
        <v>46</v>
      </c>
      <c r="AC95" s="31" t="s">
        <v>46</v>
      </c>
      <c r="AD95" s="31" t="s">
        <v>46</v>
      </c>
      <c r="AE95" s="31" t="s">
        <v>46</v>
      </c>
      <c r="AF95" s="31" t="s">
        <v>46</v>
      </c>
      <c r="AG95" s="31" t="s">
        <v>46</v>
      </c>
      <c r="AH95" s="31" t="s">
        <v>46</v>
      </c>
      <c r="AI95" s="31" t="s">
        <v>46</v>
      </c>
      <c r="AJ95" s="31">
        <v>0</v>
      </c>
      <c r="AK95" s="31">
        <v>2</v>
      </c>
      <c r="AL95" s="31">
        <f>0.1*$AL$2</f>
        <v>7.5000000000000011E-2</v>
      </c>
      <c r="AM95" s="31">
        <f>AM92</f>
        <v>2.7E-2</v>
      </c>
      <c r="AN95" s="31">
        <f>ROUNDUP(AN92/3,0)</f>
        <v>1</v>
      </c>
      <c r="AO95" s="31"/>
      <c r="AP95" s="31"/>
      <c r="AQ95" s="32">
        <f>AM95*I95+AL95</f>
        <v>8.8162500000000005E-2</v>
      </c>
      <c r="AR95" s="32">
        <f t="shared" si="102"/>
        <v>8.8162500000000012E-3</v>
      </c>
      <c r="AS95" s="33">
        <f t="shared" si="103"/>
        <v>0.5</v>
      </c>
      <c r="AT95" s="33">
        <f t="shared" si="104"/>
        <v>0.1492446875</v>
      </c>
      <c r="AU95" s="32">
        <f>10068.2*J95*POWER(10,-6)</f>
        <v>4.9082474999999999E-3</v>
      </c>
      <c r="AV95" s="33">
        <f t="shared" si="105"/>
        <v>0.75113168499999994</v>
      </c>
      <c r="AW95" s="34">
        <f t="shared" si="106"/>
        <v>0</v>
      </c>
      <c r="AX95" s="34">
        <f t="shared" si="107"/>
        <v>5.6000000000000006E-4</v>
      </c>
      <c r="AY95" s="34">
        <f t="shared" si="108"/>
        <v>2.103168718E-4</v>
      </c>
      <c r="AZ95" s="288">
        <f>AW95/DB!$B$23</f>
        <v>0</v>
      </c>
      <c r="BA95" s="288">
        <f>AX95/DB!$B$23</f>
        <v>2.8717948717948723E-7</v>
      </c>
    </row>
    <row r="96" spans="1:53" x14ac:dyDescent="0.3">
      <c r="A96" s="8" t="s">
        <v>479</v>
      </c>
      <c r="B96" s="8" t="str">
        <f>B92</f>
        <v>Выкидной нефтепровод Скв 859 – ГЗУ 30, водонефтяная эмульсия</v>
      </c>
      <c r="C96" s="79" t="s">
        <v>110</v>
      </c>
      <c r="D96" s="9" t="s">
        <v>112</v>
      </c>
      <c r="E96" s="67">
        <f>E95</f>
        <v>1.9999999999999999E-6</v>
      </c>
      <c r="F96" s="68">
        <f>F92</f>
        <v>700</v>
      </c>
      <c r="G96" s="8">
        <v>0.04</v>
      </c>
      <c r="H96" s="10">
        <f t="shared" si="98"/>
        <v>5.5999999999999999E-5</v>
      </c>
      <c r="I96" s="62">
        <f>0.15*I92</f>
        <v>0.48749999999999999</v>
      </c>
      <c r="J96" s="69">
        <f>0.5*J93</f>
        <v>8.1899999999999994E-3</v>
      </c>
      <c r="K96" s="74" t="s">
        <v>127</v>
      </c>
      <c r="L96" s="78">
        <v>3</v>
      </c>
      <c r="M96" s="31" t="str">
        <f t="shared" si="99"/>
        <v>C59</v>
      </c>
      <c r="N96" s="31" t="str">
        <f t="shared" si="100"/>
        <v>Выкидной нефтепровод Скв 859 – ГЗУ 30, водонефтяная эмульсия</v>
      </c>
      <c r="O96" s="31" t="str">
        <f t="shared" si="101"/>
        <v>Частичное-пожар-вспышка</v>
      </c>
      <c r="P96" s="31" t="s">
        <v>46</v>
      </c>
      <c r="Q96" s="31" t="s">
        <v>46</v>
      </c>
      <c r="R96" s="31" t="s">
        <v>46</v>
      </c>
      <c r="S96" s="31" t="s">
        <v>46</v>
      </c>
      <c r="T96" s="31" t="s">
        <v>46</v>
      </c>
      <c r="U96" s="31" t="s">
        <v>46</v>
      </c>
      <c r="V96" s="31" t="s">
        <v>46</v>
      </c>
      <c r="W96" s="31" t="s">
        <v>46</v>
      </c>
      <c r="X96" s="31" t="s">
        <v>46</v>
      </c>
      <c r="Y96" s="31" t="s">
        <v>46</v>
      </c>
      <c r="Z96" s="31" t="s">
        <v>46</v>
      </c>
      <c r="AA96" s="31">
        <v>6.87</v>
      </c>
      <c r="AB96" s="31">
        <v>8.24</v>
      </c>
      <c r="AC96" s="31" t="s">
        <v>46</v>
      </c>
      <c r="AD96" s="31" t="s">
        <v>46</v>
      </c>
      <c r="AE96" s="31" t="s">
        <v>46</v>
      </c>
      <c r="AF96" s="31" t="s">
        <v>46</v>
      </c>
      <c r="AG96" s="31" t="s">
        <v>46</v>
      </c>
      <c r="AH96" s="31" t="s">
        <v>46</v>
      </c>
      <c r="AI96" s="31" t="s">
        <v>46</v>
      </c>
      <c r="AJ96" s="31">
        <v>0</v>
      </c>
      <c r="AK96" s="31">
        <v>1</v>
      </c>
      <c r="AL96" s="31">
        <f>0.1*$AL$2</f>
        <v>7.5000000000000011E-2</v>
      </c>
      <c r="AM96" s="31">
        <f>AM92</f>
        <v>2.7E-2</v>
      </c>
      <c r="AN96" s="31">
        <f>ROUNDUP(AN92/3,0)</f>
        <v>1</v>
      </c>
      <c r="AO96" s="31"/>
      <c r="AP96" s="31"/>
      <c r="AQ96" s="32">
        <f>AM96*I96+AL96</f>
        <v>8.8162500000000005E-2</v>
      </c>
      <c r="AR96" s="32">
        <f t="shared" si="102"/>
        <v>8.8162500000000012E-3</v>
      </c>
      <c r="AS96" s="33">
        <f t="shared" si="103"/>
        <v>0.25</v>
      </c>
      <c r="AT96" s="33">
        <f t="shared" si="104"/>
        <v>8.6744687500000001E-2</v>
      </c>
      <c r="AU96" s="32">
        <f>10068.2*J96*POWER(10,-6)*10</f>
        <v>8.2458557999999993E-4</v>
      </c>
      <c r="AV96" s="33">
        <f t="shared" si="105"/>
        <v>0.43454802308000007</v>
      </c>
      <c r="AW96" s="34">
        <f t="shared" si="106"/>
        <v>0</v>
      </c>
      <c r="AX96" s="34">
        <f t="shared" si="107"/>
        <v>5.5999999999999999E-5</v>
      </c>
      <c r="AY96" s="34">
        <f t="shared" si="108"/>
        <v>2.4334689292480005E-5</v>
      </c>
      <c r="AZ96" s="288">
        <f>AW96/DB!$B$23</f>
        <v>0</v>
      </c>
      <c r="BA96" s="288">
        <f>AX96/DB!$B$23</f>
        <v>2.8717948717948719E-8</v>
      </c>
    </row>
    <row r="97" spans="1:53" x14ac:dyDescent="0.3">
      <c r="A97" s="170" t="s">
        <v>480</v>
      </c>
      <c r="B97" s="170" t="str">
        <f>B92</f>
        <v>Выкидной нефтепровод Скв 859 – ГЗУ 30, водонефтяная эмульсия</v>
      </c>
      <c r="C97" s="171" t="s">
        <v>111</v>
      </c>
      <c r="D97" s="172" t="s">
        <v>27</v>
      </c>
      <c r="E97" s="173">
        <f>E95</f>
        <v>1.9999999999999999E-6</v>
      </c>
      <c r="F97" s="174">
        <f>F92</f>
        <v>700</v>
      </c>
      <c r="G97" s="170">
        <v>0.76</v>
      </c>
      <c r="H97" s="175">
        <f t="shared" si="98"/>
        <v>1.0640000000000001E-3</v>
      </c>
      <c r="I97" s="176">
        <f>0.15*I92</f>
        <v>0.48749999999999999</v>
      </c>
      <c r="J97" s="177">
        <v>0</v>
      </c>
      <c r="K97" s="178" t="s">
        <v>138</v>
      </c>
      <c r="L97" s="179">
        <v>1</v>
      </c>
      <c r="M97" s="31" t="str">
        <f t="shared" si="99"/>
        <v>C60</v>
      </c>
      <c r="N97" s="31" t="str">
        <f t="shared" si="100"/>
        <v>Выкидной нефтепровод Скв 859 – ГЗУ 30, водонефтяная эмульсия</v>
      </c>
      <c r="O97" s="31" t="str">
        <f t="shared" si="101"/>
        <v>Частичное-ликвидация</v>
      </c>
      <c r="P97" s="31" t="s">
        <v>46</v>
      </c>
      <c r="Q97" s="31" t="s">
        <v>46</v>
      </c>
      <c r="R97" s="31" t="s">
        <v>46</v>
      </c>
      <c r="S97" s="31" t="s">
        <v>46</v>
      </c>
      <c r="T97" s="31" t="s">
        <v>46</v>
      </c>
      <c r="U97" s="31" t="s">
        <v>46</v>
      </c>
      <c r="V97" s="31" t="s">
        <v>46</v>
      </c>
      <c r="W97" s="31" t="s">
        <v>46</v>
      </c>
      <c r="X97" s="31" t="s">
        <v>46</v>
      </c>
      <c r="Y97" s="31" t="s">
        <v>46</v>
      </c>
      <c r="Z97" s="31" t="s">
        <v>46</v>
      </c>
      <c r="AA97" s="31" t="s">
        <v>46</v>
      </c>
      <c r="AB97" s="31" t="s">
        <v>46</v>
      </c>
      <c r="AC97" s="31" t="s">
        <v>46</v>
      </c>
      <c r="AD97" s="31" t="s">
        <v>46</v>
      </c>
      <c r="AE97" s="31" t="s">
        <v>46</v>
      </c>
      <c r="AF97" s="31" t="s">
        <v>46</v>
      </c>
      <c r="AG97" s="31" t="s">
        <v>46</v>
      </c>
      <c r="AH97" s="31" t="s">
        <v>46</v>
      </c>
      <c r="AI97" s="31" t="s">
        <v>46</v>
      </c>
      <c r="AJ97" s="31">
        <v>0</v>
      </c>
      <c r="AK97" s="31">
        <v>0</v>
      </c>
      <c r="AL97" s="31">
        <f>0.1*$AL$2</f>
        <v>7.5000000000000011E-2</v>
      </c>
      <c r="AM97" s="31">
        <f>AM92</f>
        <v>2.7E-2</v>
      </c>
      <c r="AN97" s="31">
        <f>ROUNDUP(AN92/3,0)</f>
        <v>1</v>
      </c>
      <c r="AO97" s="31"/>
      <c r="AP97" s="31"/>
      <c r="AQ97" s="32">
        <f>AM97*I97*0.1+AL97</f>
        <v>7.6316250000000016E-2</v>
      </c>
      <c r="AR97" s="32">
        <f t="shared" si="102"/>
        <v>7.6316250000000021E-3</v>
      </c>
      <c r="AS97" s="33">
        <f t="shared" si="103"/>
        <v>0</v>
      </c>
      <c r="AT97" s="33">
        <f t="shared" si="104"/>
        <v>2.0986968750000005E-2</v>
      </c>
      <c r="AU97" s="32">
        <f>1333*J96*POWER(10,-6)</f>
        <v>1.0917269999999998E-5</v>
      </c>
      <c r="AV97" s="33">
        <f t="shared" si="105"/>
        <v>0.10494576102000003</v>
      </c>
      <c r="AW97" s="34">
        <f t="shared" si="106"/>
        <v>0</v>
      </c>
      <c r="AX97" s="34">
        <f t="shared" si="107"/>
        <v>0</v>
      </c>
      <c r="AY97" s="34">
        <f t="shared" si="108"/>
        <v>1.1166228972528004E-4</v>
      </c>
      <c r="AZ97" s="288">
        <f>AW97/DB!$B$23</f>
        <v>0</v>
      </c>
      <c r="BA97" s="288">
        <f>AX97/DB!$B$23</f>
        <v>0</v>
      </c>
    </row>
    <row r="98" spans="1:53" s="180" customForma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207" t="s">
        <v>466</v>
      </c>
      <c r="L98" s="287" t="s">
        <v>601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spans="1:53" s="180" customForma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spans="1:53" s="180" customForma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</row>
    <row r="101" spans="1:53" ht="15" thickBot="1" x14ac:dyDescent="0.35"/>
    <row r="102" spans="1:53" ht="15" thickBot="1" x14ac:dyDescent="0.35">
      <c r="A102" s="8" t="s">
        <v>481</v>
      </c>
      <c r="B102" s="63" t="s">
        <v>660</v>
      </c>
      <c r="C102" s="79" t="s">
        <v>106</v>
      </c>
      <c r="D102" s="9" t="s">
        <v>25</v>
      </c>
      <c r="E102" s="66">
        <v>2.9999999999999999E-7</v>
      </c>
      <c r="F102" s="63">
        <v>780</v>
      </c>
      <c r="G102" s="8">
        <v>0.2</v>
      </c>
      <c r="H102" s="10">
        <f t="shared" ref="H102:H107" si="109">E102*F102*G102</f>
        <v>4.6799999999999999E-5</v>
      </c>
      <c r="I102" s="64">
        <v>3.87</v>
      </c>
      <c r="J102" s="69">
        <f>I102</f>
        <v>3.87</v>
      </c>
      <c r="K102" s="72" t="s">
        <v>122</v>
      </c>
      <c r="L102" s="77">
        <f>40*I102</f>
        <v>154.80000000000001</v>
      </c>
      <c r="M102" s="31" t="str">
        <f t="shared" ref="M102:M107" si="110">A102</f>
        <v>C61</v>
      </c>
      <c r="N102" s="31" t="str">
        <f t="shared" ref="N102:N107" si="111">B102</f>
        <v>Выкидной нефтепровод Скв 862 – ГЗУ 30, водонефтяная эмульсия</v>
      </c>
      <c r="O102" s="31" t="str">
        <f t="shared" ref="O102:O107" si="112">D102</f>
        <v>Полное-пожар</v>
      </c>
      <c r="P102" s="31">
        <v>10.1</v>
      </c>
      <c r="Q102" s="31">
        <v>14.2</v>
      </c>
      <c r="R102" s="31">
        <v>20.9</v>
      </c>
      <c r="S102" s="31">
        <v>40.6</v>
      </c>
      <c r="T102" s="31" t="s">
        <v>46</v>
      </c>
      <c r="U102" s="31" t="s">
        <v>46</v>
      </c>
      <c r="V102" s="31" t="s">
        <v>46</v>
      </c>
      <c r="W102" s="31" t="s">
        <v>46</v>
      </c>
      <c r="X102" s="31" t="s">
        <v>46</v>
      </c>
      <c r="Y102" s="31" t="s">
        <v>46</v>
      </c>
      <c r="Z102" s="31" t="s">
        <v>46</v>
      </c>
      <c r="AA102" s="31" t="s">
        <v>46</v>
      </c>
      <c r="AB102" s="31" t="s">
        <v>46</v>
      </c>
      <c r="AC102" s="31" t="s">
        <v>46</v>
      </c>
      <c r="AD102" s="31" t="s">
        <v>46</v>
      </c>
      <c r="AE102" s="31" t="s">
        <v>46</v>
      </c>
      <c r="AF102" s="31" t="s">
        <v>46</v>
      </c>
      <c r="AG102" s="31" t="s">
        <v>46</v>
      </c>
      <c r="AH102" s="31" t="s">
        <v>46</v>
      </c>
      <c r="AI102" s="31" t="s">
        <v>46</v>
      </c>
      <c r="AJ102" s="12">
        <v>1</v>
      </c>
      <c r="AK102" s="12">
        <v>1</v>
      </c>
      <c r="AL102" s="65">
        <v>0.75</v>
      </c>
      <c r="AM102" s="65">
        <v>2.7E-2</v>
      </c>
      <c r="AN102" s="65">
        <v>3</v>
      </c>
      <c r="AO102" s="31"/>
      <c r="AP102" s="31"/>
      <c r="AQ102" s="32">
        <f>AM102*I102+AL102</f>
        <v>0.85448999999999997</v>
      </c>
      <c r="AR102" s="32">
        <f t="shared" ref="AR102:AR107" si="113">0.1*AQ102</f>
        <v>8.5448999999999997E-2</v>
      </c>
      <c r="AS102" s="33">
        <f t="shared" ref="AS102:AS107" si="114">AJ102*3+0.25*AK102</f>
        <v>3.25</v>
      </c>
      <c r="AT102" s="33">
        <f t="shared" ref="AT102:AT107" si="115">SUM(AQ102:AS102)/4</f>
        <v>1.04748475</v>
      </c>
      <c r="AU102" s="32">
        <f>10068.2*J102*POWER(10,-6)</f>
        <v>3.8963933999999999E-2</v>
      </c>
      <c r="AV102" s="33">
        <f t="shared" ref="AV102:AV107" si="116">AU102+AT102+AS102+AR102+AQ102</f>
        <v>5.2763876840000004</v>
      </c>
      <c r="AW102" s="34">
        <f t="shared" ref="AW102:AW107" si="117">AJ102*H102</f>
        <v>4.6799999999999999E-5</v>
      </c>
      <c r="AX102" s="34">
        <f t="shared" ref="AX102:AX107" si="118">H102*AK102</f>
        <v>4.6799999999999999E-5</v>
      </c>
      <c r="AY102" s="34">
        <f t="shared" ref="AY102:AY107" si="119">H102*AV102</f>
        <v>2.4693494361120001E-4</v>
      </c>
      <c r="AZ102" s="288">
        <f>AW102/DB!$B$23</f>
        <v>2.4E-8</v>
      </c>
      <c r="BA102" s="288">
        <f>AX102/DB!$B$23</f>
        <v>2.4E-8</v>
      </c>
    </row>
    <row r="103" spans="1:53" ht="15" thickBot="1" x14ac:dyDescent="0.35">
      <c r="A103" s="8" t="s">
        <v>482</v>
      </c>
      <c r="B103" s="8" t="str">
        <f>B102</f>
        <v>Выкидной нефтепровод Скв 862 – ГЗУ 30, водонефтяная эмульсия</v>
      </c>
      <c r="C103" s="79" t="s">
        <v>107</v>
      </c>
      <c r="D103" s="9" t="s">
        <v>28</v>
      </c>
      <c r="E103" s="67">
        <f>E102</f>
        <v>2.9999999999999999E-7</v>
      </c>
      <c r="F103" s="68">
        <f>F102</f>
        <v>780</v>
      </c>
      <c r="G103" s="8">
        <v>0.04</v>
      </c>
      <c r="H103" s="10">
        <f t="shared" si="109"/>
        <v>9.3600000000000002E-6</v>
      </c>
      <c r="I103" s="62">
        <f>I102</f>
        <v>3.87</v>
      </c>
      <c r="J103" s="298">
        <f>POWER(10,-6)*35*SQRT(100)*3600*L102/1000*0.1</f>
        <v>1.9504799999999999E-2</v>
      </c>
      <c r="K103" s="72" t="s">
        <v>123</v>
      </c>
      <c r="L103" s="77">
        <v>0</v>
      </c>
      <c r="M103" s="31" t="str">
        <f t="shared" si="110"/>
        <v>C62</v>
      </c>
      <c r="N103" s="31" t="str">
        <f t="shared" si="111"/>
        <v>Выкидной нефтепровод Скв 862 – ГЗУ 30, водонефтяная эмульсия</v>
      </c>
      <c r="O103" s="31" t="str">
        <f t="shared" si="112"/>
        <v>Полное-взрыв</v>
      </c>
      <c r="P103" s="31" t="s">
        <v>46</v>
      </c>
      <c r="Q103" s="31" t="s">
        <v>46</v>
      </c>
      <c r="R103" s="31" t="s">
        <v>46</v>
      </c>
      <c r="S103" s="31" t="s">
        <v>46</v>
      </c>
      <c r="T103" s="31">
        <v>0</v>
      </c>
      <c r="U103" s="31">
        <v>0</v>
      </c>
      <c r="V103" s="31">
        <v>0</v>
      </c>
      <c r="W103" s="31">
        <v>0</v>
      </c>
      <c r="X103" s="31">
        <v>17.100000000000001</v>
      </c>
      <c r="Y103" s="31" t="s">
        <v>46</v>
      </c>
      <c r="Z103" s="31" t="s">
        <v>46</v>
      </c>
      <c r="AA103" s="31" t="s">
        <v>46</v>
      </c>
      <c r="AB103" s="31" t="s">
        <v>46</v>
      </c>
      <c r="AC103" s="31" t="s">
        <v>46</v>
      </c>
      <c r="AD103" s="31" t="s">
        <v>46</v>
      </c>
      <c r="AE103" s="31" t="s">
        <v>46</v>
      </c>
      <c r="AF103" s="31" t="s">
        <v>46</v>
      </c>
      <c r="AG103" s="31" t="s">
        <v>46</v>
      </c>
      <c r="AH103" s="31" t="s">
        <v>46</v>
      </c>
      <c r="AI103" s="31" t="s">
        <v>46</v>
      </c>
      <c r="AJ103" s="12">
        <v>1</v>
      </c>
      <c r="AK103" s="12">
        <v>1</v>
      </c>
      <c r="AL103" s="31">
        <f>AL102</f>
        <v>0.75</v>
      </c>
      <c r="AM103" s="31">
        <f>AM102</f>
        <v>2.7E-2</v>
      </c>
      <c r="AN103" s="31">
        <f>AN102</f>
        <v>3</v>
      </c>
      <c r="AO103" s="31"/>
      <c r="AP103" s="31"/>
      <c r="AQ103" s="32">
        <f>AM103*I103+AL103</f>
        <v>0.85448999999999997</v>
      </c>
      <c r="AR103" s="32">
        <f t="shared" si="113"/>
        <v>8.5448999999999997E-2</v>
      </c>
      <c r="AS103" s="33">
        <f t="shared" si="114"/>
        <v>3.25</v>
      </c>
      <c r="AT103" s="33">
        <f t="shared" si="115"/>
        <v>1.04748475</v>
      </c>
      <c r="AU103" s="32">
        <f>10068.2*J103*POWER(10,-6)*10</f>
        <v>1.9637822736000001E-3</v>
      </c>
      <c r="AV103" s="33">
        <f t="shared" si="116"/>
        <v>5.2393875322736001</v>
      </c>
      <c r="AW103" s="34">
        <f t="shared" si="117"/>
        <v>9.3600000000000002E-6</v>
      </c>
      <c r="AX103" s="34">
        <f t="shared" si="118"/>
        <v>9.3600000000000002E-6</v>
      </c>
      <c r="AY103" s="34">
        <f t="shared" si="119"/>
        <v>4.90406673020809E-5</v>
      </c>
      <c r="AZ103" s="288">
        <f>AW103/DB!$B$23</f>
        <v>4.8E-9</v>
      </c>
      <c r="BA103" s="288">
        <f>AX103/DB!$B$23</f>
        <v>4.8E-9</v>
      </c>
    </row>
    <row r="104" spans="1:53" x14ac:dyDescent="0.3">
      <c r="A104" s="8" t="s">
        <v>551</v>
      </c>
      <c r="B104" s="8" t="str">
        <f>B102</f>
        <v>Выкидной нефтепровод Скв 862 – ГЗУ 30, водонефтяная эмульсия</v>
      </c>
      <c r="C104" s="79" t="s">
        <v>108</v>
      </c>
      <c r="D104" s="9" t="s">
        <v>26</v>
      </c>
      <c r="E104" s="67">
        <f>E102</f>
        <v>2.9999999999999999E-7</v>
      </c>
      <c r="F104" s="68">
        <f>F102</f>
        <v>780</v>
      </c>
      <c r="G104" s="8">
        <v>0.76</v>
      </c>
      <c r="H104" s="10">
        <f t="shared" si="109"/>
        <v>1.7783999999999999E-4</v>
      </c>
      <c r="I104" s="62">
        <f>I102</f>
        <v>3.87</v>
      </c>
      <c r="J104" s="71">
        <v>0</v>
      </c>
      <c r="K104" s="72" t="s">
        <v>124</v>
      </c>
      <c r="L104" s="77">
        <v>0</v>
      </c>
      <c r="M104" s="31" t="str">
        <f t="shared" si="110"/>
        <v>C63</v>
      </c>
      <c r="N104" s="31" t="str">
        <f t="shared" si="111"/>
        <v>Выкидной нефтепровод Скв 862 – ГЗУ 30, водонефтяная эмульсия</v>
      </c>
      <c r="O104" s="31" t="str">
        <f t="shared" si="112"/>
        <v>Полное-ликвидация</v>
      </c>
      <c r="P104" s="31" t="s">
        <v>46</v>
      </c>
      <c r="Q104" s="31" t="s">
        <v>46</v>
      </c>
      <c r="R104" s="31" t="s">
        <v>46</v>
      </c>
      <c r="S104" s="31" t="s">
        <v>46</v>
      </c>
      <c r="T104" s="31" t="s">
        <v>46</v>
      </c>
      <c r="U104" s="31" t="s">
        <v>46</v>
      </c>
      <c r="V104" s="31" t="s">
        <v>46</v>
      </c>
      <c r="W104" s="31" t="s">
        <v>46</v>
      </c>
      <c r="X104" s="31" t="s">
        <v>46</v>
      </c>
      <c r="Y104" s="31" t="s">
        <v>46</v>
      </c>
      <c r="Z104" s="31" t="s">
        <v>46</v>
      </c>
      <c r="AA104" s="31" t="s">
        <v>46</v>
      </c>
      <c r="AB104" s="31" t="s">
        <v>46</v>
      </c>
      <c r="AC104" s="31" t="s">
        <v>46</v>
      </c>
      <c r="AD104" s="31" t="s">
        <v>46</v>
      </c>
      <c r="AE104" s="31" t="s">
        <v>46</v>
      </c>
      <c r="AF104" s="31" t="s">
        <v>46</v>
      </c>
      <c r="AG104" s="31" t="s">
        <v>46</v>
      </c>
      <c r="AH104" s="31" t="s">
        <v>46</v>
      </c>
      <c r="AI104" s="31" t="s">
        <v>46</v>
      </c>
      <c r="AJ104" s="31">
        <v>0</v>
      </c>
      <c r="AK104" s="31">
        <v>0</v>
      </c>
      <c r="AL104" s="31">
        <f>AL102</f>
        <v>0.75</v>
      </c>
      <c r="AM104" s="31">
        <f>AM102</f>
        <v>2.7E-2</v>
      </c>
      <c r="AN104" s="31">
        <f>AN102</f>
        <v>3</v>
      </c>
      <c r="AO104" s="31"/>
      <c r="AP104" s="31"/>
      <c r="AQ104" s="32">
        <f>AM104*I104*0.1+AL104</f>
        <v>0.76044900000000004</v>
      </c>
      <c r="AR104" s="32">
        <f t="shared" si="113"/>
        <v>7.6044900000000012E-2</v>
      </c>
      <c r="AS104" s="33">
        <f t="shared" si="114"/>
        <v>0</v>
      </c>
      <c r="AT104" s="33">
        <f t="shared" si="115"/>
        <v>0.209123475</v>
      </c>
      <c r="AU104" s="32">
        <f>1333*J103*POWER(10,-6)</f>
        <v>2.5999898399999999E-5</v>
      </c>
      <c r="AV104" s="33">
        <f t="shared" si="116"/>
        <v>1.0456433748984</v>
      </c>
      <c r="AW104" s="34">
        <f t="shared" si="117"/>
        <v>0</v>
      </c>
      <c r="AX104" s="34">
        <f t="shared" si="118"/>
        <v>0</v>
      </c>
      <c r="AY104" s="34">
        <f t="shared" si="119"/>
        <v>1.8595721779193143E-4</v>
      </c>
      <c r="AZ104" s="288">
        <f>AW104/DB!$B$23</f>
        <v>0</v>
      </c>
      <c r="BA104" s="288">
        <f>AX104/DB!$B$23</f>
        <v>0</v>
      </c>
    </row>
    <row r="105" spans="1:53" x14ac:dyDescent="0.3">
      <c r="A105" s="8" t="s">
        <v>552</v>
      </c>
      <c r="B105" s="8" t="str">
        <f>B102</f>
        <v>Выкидной нефтепровод Скв 862 – ГЗУ 30, водонефтяная эмульсия</v>
      </c>
      <c r="C105" s="79" t="s">
        <v>109</v>
      </c>
      <c r="D105" s="9" t="s">
        <v>47</v>
      </c>
      <c r="E105" s="66">
        <v>1.9999999999999999E-6</v>
      </c>
      <c r="F105" s="68">
        <f>F102</f>
        <v>780</v>
      </c>
      <c r="G105" s="8">
        <v>0.2</v>
      </c>
      <c r="H105" s="10">
        <f t="shared" si="109"/>
        <v>3.1199999999999999E-4</v>
      </c>
      <c r="I105" s="62">
        <f>0.15*I102</f>
        <v>0.58050000000000002</v>
      </c>
      <c r="J105" s="69">
        <f>I105</f>
        <v>0.58050000000000002</v>
      </c>
      <c r="K105" s="74" t="s">
        <v>126</v>
      </c>
      <c r="L105" s="78">
        <v>45390</v>
      </c>
      <c r="M105" s="31" t="str">
        <f t="shared" si="110"/>
        <v>C64</v>
      </c>
      <c r="N105" s="31" t="str">
        <f t="shared" si="111"/>
        <v>Выкидной нефтепровод Скв 862 – ГЗУ 30, водонефтяная эмульсия</v>
      </c>
      <c r="O105" s="31" t="str">
        <f t="shared" si="112"/>
        <v>Частичное-пожар</v>
      </c>
      <c r="P105" s="31">
        <v>4.3</v>
      </c>
      <c r="Q105" s="31">
        <v>6.3</v>
      </c>
      <c r="R105" s="31">
        <v>9.3000000000000007</v>
      </c>
      <c r="S105" s="31">
        <v>17.2</v>
      </c>
      <c r="T105" s="31" t="s">
        <v>46</v>
      </c>
      <c r="U105" s="31" t="s">
        <v>46</v>
      </c>
      <c r="V105" s="31" t="s">
        <v>46</v>
      </c>
      <c r="W105" s="31" t="s">
        <v>46</v>
      </c>
      <c r="X105" s="31" t="s">
        <v>46</v>
      </c>
      <c r="Y105" s="31" t="s">
        <v>46</v>
      </c>
      <c r="Z105" s="31" t="s">
        <v>46</v>
      </c>
      <c r="AA105" s="31" t="s">
        <v>46</v>
      </c>
      <c r="AB105" s="31" t="s">
        <v>46</v>
      </c>
      <c r="AC105" s="31" t="s">
        <v>46</v>
      </c>
      <c r="AD105" s="31" t="s">
        <v>46</v>
      </c>
      <c r="AE105" s="31" t="s">
        <v>46</v>
      </c>
      <c r="AF105" s="31" t="s">
        <v>46</v>
      </c>
      <c r="AG105" s="31" t="s">
        <v>46</v>
      </c>
      <c r="AH105" s="31" t="s">
        <v>46</v>
      </c>
      <c r="AI105" s="31" t="s">
        <v>46</v>
      </c>
      <c r="AJ105" s="31">
        <v>0</v>
      </c>
      <c r="AK105" s="31">
        <v>2</v>
      </c>
      <c r="AL105" s="31">
        <f>0.1*$AL$2</f>
        <v>7.5000000000000011E-2</v>
      </c>
      <c r="AM105" s="31">
        <f>AM102</f>
        <v>2.7E-2</v>
      </c>
      <c r="AN105" s="31">
        <f>ROUNDUP(AN102/3,0)</f>
        <v>1</v>
      </c>
      <c r="AO105" s="31"/>
      <c r="AP105" s="31"/>
      <c r="AQ105" s="32">
        <f>AM105*I105+AL105</f>
        <v>9.0673500000000018E-2</v>
      </c>
      <c r="AR105" s="32">
        <f t="shared" si="113"/>
        <v>9.0673500000000018E-3</v>
      </c>
      <c r="AS105" s="33">
        <f t="shared" si="114"/>
        <v>0.5</v>
      </c>
      <c r="AT105" s="33">
        <f t="shared" si="115"/>
        <v>0.1499352125</v>
      </c>
      <c r="AU105" s="32">
        <f>10068.2*J105*POWER(10,-6)</f>
        <v>5.8445900999999998E-3</v>
      </c>
      <c r="AV105" s="33">
        <f t="shared" si="116"/>
        <v>0.75552065260000001</v>
      </c>
      <c r="AW105" s="34">
        <f t="shared" si="117"/>
        <v>0</v>
      </c>
      <c r="AX105" s="34">
        <f t="shared" si="118"/>
        <v>6.2399999999999999E-4</v>
      </c>
      <c r="AY105" s="34">
        <f t="shared" si="119"/>
        <v>2.357224436112E-4</v>
      </c>
      <c r="AZ105" s="288">
        <f>AW105/DB!$B$23</f>
        <v>0</v>
      </c>
      <c r="BA105" s="288">
        <f>AX105/DB!$B$23</f>
        <v>3.2000000000000001E-7</v>
      </c>
    </row>
    <row r="106" spans="1:53" x14ac:dyDescent="0.3">
      <c r="A106" s="8" t="s">
        <v>553</v>
      </c>
      <c r="B106" s="8" t="str">
        <f>B102</f>
        <v>Выкидной нефтепровод Скв 862 – ГЗУ 30, водонефтяная эмульсия</v>
      </c>
      <c r="C106" s="79" t="s">
        <v>110</v>
      </c>
      <c r="D106" s="9" t="s">
        <v>112</v>
      </c>
      <c r="E106" s="67">
        <f>E105</f>
        <v>1.9999999999999999E-6</v>
      </c>
      <c r="F106" s="68">
        <f>F102</f>
        <v>780</v>
      </c>
      <c r="G106" s="8">
        <v>0.04</v>
      </c>
      <c r="H106" s="10">
        <f t="shared" si="109"/>
        <v>6.2399999999999999E-5</v>
      </c>
      <c r="I106" s="62">
        <f>0.15*I102</f>
        <v>0.58050000000000002</v>
      </c>
      <c r="J106" s="69">
        <f>0.5*J103</f>
        <v>9.7523999999999996E-3</v>
      </c>
      <c r="K106" s="74" t="s">
        <v>127</v>
      </c>
      <c r="L106" s="78">
        <v>3</v>
      </c>
      <c r="M106" s="31" t="str">
        <f t="shared" si="110"/>
        <v>C65</v>
      </c>
      <c r="N106" s="31" t="str">
        <f t="shared" si="111"/>
        <v>Выкидной нефтепровод Скв 862 – ГЗУ 30, водонефтяная эмульсия</v>
      </c>
      <c r="O106" s="31" t="str">
        <f t="shared" si="112"/>
        <v>Частичное-пожар-вспышка</v>
      </c>
      <c r="P106" s="31" t="s">
        <v>46</v>
      </c>
      <c r="Q106" s="31" t="s">
        <v>46</v>
      </c>
      <c r="R106" s="31" t="s">
        <v>46</v>
      </c>
      <c r="S106" s="31" t="s">
        <v>46</v>
      </c>
      <c r="T106" s="31" t="s">
        <v>46</v>
      </c>
      <c r="U106" s="31" t="s">
        <v>46</v>
      </c>
      <c r="V106" s="31" t="s">
        <v>46</v>
      </c>
      <c r="W106" s="31" t="s">
        <v>46</v>
      </c>
      <c r="X106" s="31" t="s">
        <v>46</v>
      </c>
      <c r="Y106" s="31" t="s">
        <v>46</v>
      </c>
      <c r="Z106" s="31" t="s">
        <v>46</v>
      </c>
      <c r="AA106" s="31">
        <v>7.27</v>
      </c>
      <c r="AB106" s="31">
        <v>8.7200000000000006</v>
      </c>
      <c r="AC106" s="31" t="s">
        <v>46</v>
      </c>
      <c r="AD106" s="31" t="s">
        <v>46</v>
      </c>
      <c r="AE106" s="31" t="s">
        <v>46</v>
      </c>
      <c r="AF106" s="31" t="s">
        <v>46</v>
      </c>
      <c r="AG106" s="31" t="s">
        <v>46</v>
      </c>
      <c r="AH106" s="31" t="s">
        <v>46</v>
      </c>
      <c r="AI106" s="31" t="s">
        <v>46</v>
      </c>
      <c r="AJ106" s="31">
        <v>0</v>
      </c>
      <c r="AK106" s="31">
        <v>1</v>
      </c>
      <c r="AL106" s="31">
        <f>0.1*$AL$2</f>
        <v>7.5000000000000011E-2</v>
      </c>
      <c r="AM106" s="31">
        <f>AM102</f>
        <v>2.7E-2</v>
      </c>
      <c r="AN106" s="31">
        <f>ROUNDUP(AN102/3,0)</f>
        <v>1</v>
      </c>
      <c r="AO106" s="31"/>
      <c r="AP106" s="31"/>
      <c r="AQ106" s="32">
        <f>AM106*I106+AL106</f>
        <v>9.0673500000000018E-2</v>
      </c>
      <c r="AR106" s="32">
        <f t="shared" si="113"/>
        <v>9.0673500000000018E-3</v>
      </c>
      <c r="AS106" s="33">
        <f t="shared" si="114"/>
        <v>0.25</v>
      </c>
      <c r="AT106" s="33">
        <f t="shared" si="115"/>
        <v>8.7435212499999998E-2</v>
      </c>
      <c r="AU106" s="32">
        <f>10068.2*J106*POWER(10,-6)*10</f>
        <v>9.8189113680000007E-4</v>
      </c>
      <c r="AV106" s="33">
        <f t="shared" si="116"/>
        <v>0.43815795363680005</v>
      </c>
      <c r="AW106" s="34">
        <f t="shared" si="117"/>
        <v>0</v>
      </c>
      <c r="AX106" s="34">
        <f t="shared" si="118"/>
        <v>6.2399999999999999E-5</v>
      </c>
      <c r="AY106" s="34">
        <f t="shared" si="119"/>
        <v>2.7341056306936322E-5</v>
      </c>
      <c r="AZ106" s="288">
        <f>AW106/DB!$B$23</f>
        <v>0</v>
      </c>
      <c r="BA106" s="288">
        <f>AX106/DB!$B$23</f>
        <v>3.2000000000000002E-8</v>
      </c>
    </row>
    <row r="107" spans="1:53" x14ac:dyDescent="0.3">
      <c r="A107" s="170" t="s">
        <v>554</v>
      </c>
      <c r="B107" s="170" t="str">
        <f>B102</f>
        <v>Выкидной нефтепровод Скв 862 – ГЗУ 30, водонефтяная эмульсия</v>
      </c>
      <c r="C107" s="171" t="s">
        <v>111</v>
      </c>
      <c r="D107" s="172" t="s">
        <v>27</v>
      </c>
      <c r="E107" s="173">
        <f>E105</f>
        <v>1.9999999999999999E-6</v>
      </c>
      <c r="F107" s="174">
        <f>F102</f>
        <v>780</v>
      </c>
      <c r="G107" s="170">
        <v>0.76</v>
      </c>
      <c r="H107" s="175">
        <f t="shared" si="109"/>
        <v>1.1856E-3</v>
      </c>
      <c r="I107" s="176">
        <f>0.15*I102</f>
        <v>0.58050000000000002</v>
      </c>
      <c r="J107" s="177">
        <v>0</v>
      </c>
      <c r="K107" s="178" t="s">
        <v>138</v>
      </c>
      <c r="L107" s="179">
        <v>1</v>
      </c>
      <c r="M107" s="31" t="str">
        <f t="shared" si="110"/>
        <v>C66</v>
      </c>
      <c r="N107" s="31" t="str">
        <f t="shared" si="111"/>
        <v>Выкидной нефтепровод Скв 862 – ГЗУ 30, водонефтяная эмульсия</v>
      </c>
      <c r="O107" s="31" t="str">
        <f t="shared" si="112"/>
        <v>Частичное-ликвидация</v>
      </c>
      <c r="P107" s="31" t="s">
        <v>46</v>
      </c>
      <c r="Q107" s="31" t="s">
        <v>46</v>
      </c>
      <c r="R107" s="31" t="s">
        <v>46</v>
      </c>
      <c r="S107" s="31" t="s">
        <v>46</v>
      </c>
      <c r="T107" s="31" t="s">
        <v>46</v>
      </c>
      <c r="U107" s="31" t="s">
        <v>46</v>
      </c>
      <c r="V107" s="31" t="s">
        <v>46</v>
      </c>
      <c r="W107" s="31" t="s">
        <v>46</v>
      </c>
      <c r="X107" s="31" t="s">
        <v>46</v>
      </c>
      <c r="Y107" s="31" t="s">
        <v>46</v>
      </c>
      <c r="Z107" s="31" t="s">
        <v>46</v>
      </c>
      <c r="AA107" s="31" t="s">
        <v>46</v>
      </c>
      <c r="AB107" s="31" t="s">
        <v>46</v>
      </c>
      <c r="AC107" s="31" t="s">
        <v>46</v>
      </c>
      <c r="AD107" s="31" t="s">
        <v>46</v>
      </c>
      <c r="AE107" s="31" t="s">
        <v>46</v>
      </c>
      <c r="AF107" s="31" t="s">
        <v>46</v>
      </c>
      <c r="AG107" s="31" t="s">
        <v>46</v>
      </c>
      <c r="AH107" s="31" t="s">
        <v>46</v>
      </c>
      <c r="AI107" s="31" t="s">
        <v>46</v>
      </c>
      <c r="AJ107" s="31">
        <v>0</v>
      </c>
      <c r="AK107" s="31">
        <v>0</v>
      </c>
      <c r="AL107" s="31">
        <f>0.1*$AL$2</f>
        <v>7.5000000000000011E-2</v>
      </c>
      <c r="AM107" s="31">
        <f>AM102</f>
        <v>2.7E-2</v>
      </c>
      <c r="AN107" s="31">
        <f>ROUNDUP(AN102/3,0)</f>
        <v>1</v>
      </c>
      <c r="AO107" s="31"/>
      <c r="AP107" s="31"/>
      <c r="AQ107" s="32">
        <f>AM107*I107*0.1+AL107</f>
        <v>7.6567350000000006E-2</v>
      </c>
      <c r="AR107" s="32">
        <f t="shared" si="113"/>
        <v>7.6567350000000013E-3</v>
      </c>
      <c r="AS107" s="33">
        <f t="shared" si="114"/>
        <v>0</v>
      </c>
      <c r="AT107" s="33">
        <f t="shared" si="115"/>
        <v>2.1056021250000001E-2</v>
      </c>
      <c r="AU107" s="32">
        <f>1333*J106*POWER(10,-6)</f>
        <v>1.29999492E-5</v>
      </c>
      <c r="AV107" s="33">
        <f t="shared" si="116"/>
        <v>0.10529310619920002</v>
      </c>
      <c r="AW107" s="34">
        <f t="shared" si="117"/>
        <v>0</v>
      </c>
      <c r="AX107" s="34">
        <f t="shared" si="118"/>
        <v>0</v>
      </c>
      <c r="AY107" s="34">
        <f t="shared" si="119"/>
        <v>1.2483550670977153E-4</v>
      </c>
      <c r="AZ107" s="288">
        <f>AW107/DB!$B$23</f>
        <v>0</v>
      </c>
      <c r="BA107" s="288">
        <f>AX107/DB!$B$23</f>
        <v>0</v>
      </c>
    </row>
    <row r="108" spans="1:53" s="180" customForma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207" t="s">
        <v>466</v>
      </c>
      <c r="L108" s="287" t="s">
        <v>601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</row>
    <row r="109" spans="1:53" s="180" customForma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</row>
    <row r="110" spans="1:53" s="180" customForma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</row>
    <row r="111" spans="1:53" ht="15" thickBot="1" x14ac:dyDescent="0.35"/>
    <row r="112" spans="1:53" ht="15" thickBot="1" x14ac:dyDescent="0.35">
      <c r="A112" s="8" t="s">
        <v>555</v>
      </c>
      <c r="B112" s="63" t="s">
        <v>661</v>
      </c>
      <c r="C112" s="79" t="s">
        <v>106</v>
      </c>
      <c r="D112" s="9" t="s">
        <v>25</v>
      </c>
      <c r="E112" s="66">
        <v>2.9999999999999999E-7</v>
      </c>
      <c r="F112" s="63">
        <v>1050</v>
      </c>
      <c r="G112" s="8">
        <v>0.2</v>
      </c>
      <c r="H112" s="10">
        <f t="shared" ref="H112:H117" si="120">E112*F112*G112</f>
        <v>6.3E-5</v>
      </c>
      <c r="I112" s="64">
        <v>2.1</v>
      </c>
      <c r="J112" s="69">
        <f>I112</f>
        <v>2.1</v>
      </c>
      <c r="K112" s="72" t="s">
        <v>122</v>
      </c>
      <c r="L112" s="77">
        <f>40*I112</f>
        <v>84</v>
      </c>
      <c r="M112" s="31" t="str">
        <f t="shared" ref="M112:M117" si="121">A112</f>
        <v>C67</v>
      </c>
      <c r="N112" s="31" t="str">
        <f t="shared" ref="N112:N117" si="122">B112</f>
        <v>Выкидной нефтепровод Скв 863 – ГЗУ 31, водонефтяная эмульсия</v>
      </c>
      <c r="O112" s="31" t="str">
        <f t="shared" ref="O112:O117" si="123">D112</f>
        <v>Полное-пожар</v>
      </c>
      <c r="P112" s="31">
        <v>7.4</v>
      </c>
      <c r="Q112" s="31">
        <v>10.6</v>
      </c>
      <c r="R112" s="31">
        <v>15.7</v>
      </c>
      <c r="S112" s="31">
        <v>31.1</v>
      </c>
      <c r="T112" s="31" t="s">
        <v>46</v>
      </c>
      <c r="U112" s="31" t="s">
        <v>46</v>
      </c>
      <c r="V112" s="31" t="s">
        <v>46</v>
      </c>
      <c r="W112" s="31" t="s">
        <v>46</v>
      </c>
      <c r="X112" s="31" t="s">
        <v>46</v>
      </c>
      <c r="Y112" s="31" t="s">
        <v>46</v>
      </c>
      <c r="Z112" s="31" t="s">
        <v>46</v>
      </c>
      <c r="AA112" s="31" t="s">
        <v>46</v>
      </c>
      <c r="AB112" s="31" t="s">
        <v>46</v>
      </c>
      <c r="AC112" s="31" t="s">
        <v>46</v>
      </c>
      <c r="AD112" s="31" t="s">
        <v>46</v>
      </c>
      <c r="AE112" s="31" t="s">
        <v>46</v>
      </c>
      <c r="AF112" s="31" t="s">
        <v>46</v>
      </c>
      <c r="AG112" s="31" t="s">
        <v>46</v>
      </c>
      <c r="AH112" s="31" t="s">
        <v>46</v>
      </c>
      <c r="AI112" s="31" t="s">
        <v>46</v>
      </c>
      <c r="AJ112" s="12">
        <v>1</v>
      </c>
      <c r="AK112" s="12">
        <v>1</v>
      </c>
      <c r="AL112" s="65">
        <v>0.75</v>
      </c>
      <c r="AM112" s="65">
        <v>2.7E-2</v>
      </c>
      <c r="AN112" s="65">
        <v>3</v>
      </c>
      <c r="AO112" s="31"/>
      <c r="AP112" s="31"/>
      <c r="AQ112" s="32">
        <f>AM112*I112+AL112</f>
        <v>0.80669999999999997</v>
      </c>
      <c r="AR112" s="32">
        <f t="shared" ref="AR112:AR117" si="124">0.1*AQ112</f>
        <v>8.0670000000000006E-2</v>
      </c>
      <c r="AS112" s="33">
        <f t="shared" ref="AS112:AS117" si="125">AJ112*3+0.25*AK112</f>
        <v>3.25</v>
      </c>
      <c r="AT112" s="33">
        <f t="shared" ref="AT112:AT117" si="126">SUM(AQ112:AS112)/4</f>
        <v>1.0343424999999999</v>
      </c>
      <c r="AU112" s="32">
        <f>10068.2*J112*POWER(10,-6)</f>
        <v>2.1143220000000001E-2</v>
      </c>
      <c r="AV112" s="33">
        <f t="shared" ref="AV112:AV117" si="127">AU112+AT112+AS112+AR112+AQ112</f>
        <v>5.1928557199999998</v>
      </c>
      <c r="AW112" s="34">
        <f t="shared" ref="AW112:AW117" si="128">AJ112*H112</f>
        <v>6.3E-5</v>
      </c>
      <c r="AX112" s="34">
        <f t="shared" ref="AX112:AX117" si="129">H112*AK112</f>
        <v>6.3E-5</v>
      </c>
      <c r="AY112" s="34">
        <f t="shared" ref="AY112:AY117" si="130">H112*AV112</f>
        <v>3.2714991036E-4</v>
      </c>
      <c r="AZ112" s="288">
        <f>AW112/DB!$B$23</f>
        <v>3.230769230769231E-8</v>
      </c>
      <c r="BA112" s="288">
        <f>AX112/DB!$B$23</f>
        <v>3.230769230769231E-8</v>
      </c>
    </row>
    <row r="113" spans="1:53" ht="15" thickBot="1" x14ac:dyDescent="0.35">
      <c r="A113" s="8" t="s">
        <v>556</v>
      </c>
      <c r="B113" s="8" t="str">
        <f>B112</f>
        <v>Выкидной нефтепровод Скв 863 – ГЗУ 31, водонефтяная эмульсия</v>
      </c>
      <c r="C113" s="79" t="s">
        <v>107</v>
      </c>
      <c r="D113" s="9" t="s">
        <v>28</v>
      </c>
      <c r="E113" s="67">
        <f>E112</f>
        <v>2.9999999999999999E-7</v>
      </c>
      <c r="F113" s="68">
        <f>F112</f>
        <v>1050</v>
      </c>
      <c r="G113" s="8">
        <v>0.04</v>
      </c>
      <c r="H113" s="10">
        <f t="shared" si="120"/>
        <v>1.2599999999999998E-5</v>
      </c>
      <c r="I113" s="62">
        <f>I112</f>
        <v>2.1</v>
      </c>
      <c r="J113" s="298">
        <f>POWER(10,-6)*35*SQRT(100)*3600*L112/1000*0.1</f>
        <v>1.0583999999999998E-2</v>
      </c>
      <c r="K113" s="72" t="s">
        <v>123</v>
      </c>
      <c r="L113" s="77">
        <v>0</v>
      </c>
      <c r="M113" s="31" t="str">
        <f t="shared" si="121"/>
        <v>C68</v>
      </c>
      <c r="N113" s="31" t="str">
        <f t="shared" si="122"/>
        <v>Выкидной нефтепровод Скв 863 – ГЗУ 31, водонефтяная эмульсия</v>
      </c>
      <c r="O113" s="31" t="str">
        <f t="shared" si="123"/>
        <v>Полное-взрыв</v>
      </c>
      <c r="P113" s="31" t="s">
        <v>46</v>
      </c>
      <c r="Q113" s="31" t="s">
        <v>46</v>
      </c>
      <c r="R113" s="31" t="s">
        <v>46</v>
      </c>
      <c r="S113" s="31" t="s">
        <v>46</v>
      </c>
      <c r="T113" s="31">
        <v>0</v>
      </c>
      <c r="U113" s="31">
        <v>0</v>
      </c>
      <c r="V113" s="31">
        <v>0</v>
      </c>
      <c r="W113" s="31">
        <v>0</v>
      </c>
      <c r="X113" s="31">
        <v>9.6</v>
      </c>
      <c r="Y113" s="31" t="s">
        <v>46</v>
      </c>
      <c r="Z113" s="31" t="s">
        <v>46</v>
      </c>
      <c r="AA113" s="31" t="s">
        <v>46</v>
      </c>
      <c r="AB113" s="31" t="s">
        <v>46</v>
      </c>
      <c r="AC113" s="31" t="s">
        <v>46</v>
      </c>
      <c r="AD113" s="31" t="s">
        <v>46</v>
      </c>
      <c r="AE113" s="31" t="s">
        <v>46</v>
      </c>
      <c r="AF113" s="31" t="s">
        <v>46</v>
      </c>
      <c r="AG113" s="31" t="s">
        <v>46</v>
      </c>
      <c r="AH113" s="31" t="s">
        <v>46</v>
      </c>
      <c r="AI113" s="31" t="s">
        <v>46</v>
      </c>
      <c r="AJ113" s="12">
        <v>1</v>
      </c>
      <c r="AK113" s="12">
        <v>1</v>
      </c>
      <c r="AL113" s="31">
        <f>AL112</f>
        <v>0.75</v>
      </c>
      <c r="AM113" s="31">
        <f>AM112</f>
        <v>2.7E-2</v>
      </c>
      <c r="AN113" s="31">
        <f>AN112</f>
        <v>3</v>
      </c>
      <c r="AO113" s="31"/>
      <c r="AP113" s="31"/>
      <c r="AQ113" s="32">
        <f>AM113*I113+AL113</f>
        <v>0.80669999999999997</v>
      </c>
      <c r="AR113" s="32">
        <f t="shared" si="124"/>
        <v>8.0670000000000006E-2</v>
      </c>
      <c r="AS113" s="33">
        <f t="shared" si="125"/>
        <v>3.25</v>
      </c>
      <c r="AT113" s="33">
        <f t="shared" si="126"/>
        <v>1.0343424999999999</v>
      </c>
      <c r="AU113" s="32">
        <f>10068.2*J113*POWER(10,-6)*10</f>
        <v>1.0656182879999999E-3</v>
      </c>
      <c r="AV113" s="33">
        <f t="shared" si="127"/>
        <v>5.1727781182879999</v>
      </c>
      <c r="AW113" s="34">
        <f t="shared" si="128"/>
        <v>1.2599999999999998E-5</v>
      </c>
      <c r="AX113" s="34">
        <f t="shared" si="129"/>
        <v>1.2599999999999998E-5</v>
      </c>
      <c r="AY113" s="34">
        <f t="shared" si="130"/>
        <v>6.5177004290428787E-5</v>
      </c>
      <c r="AZ113" s="288">
        <f>AW113/DB!$B$23</f>
        <v>6.4615384615384602E-9</v>
      </c>
      <c r="BA113" s="288">
        <f>AX113/DB!$B$23</f>
        <v>6.4615384615384602E-9</v>
      </c>
    </row>
    <row r="114" spans="1:53" x14ac:dyDescent="0.3">
      <c r="A114" s="8" t="s">
        <v>557</v>
      </c>
      <c r="B114" s="8" t="str">
        <f>B112</f>
        <v>Выкидной нефтепровод Скв 863 – ГЗУ 31, водонефтяная эмульсия</v>
      </c>
      <c r="C114" s="79" t="s">
        <v>108</v>
      </c>
      <c r="D114" s="9" t="s">
        <v>26</v>
      </c>
      <c r="E114" s="67">
        <f>E112</f>
        <v>2.9999999999999999E-7</v>
      </c>
      <c r="F114" s="68">
        <f>F112</f>
        <v>1050</v>
      </c>
      <c r="G114" s="8">
        <v>0.76</v>
      </c>
      <c r="H114" s="10">
        <f t="shared" si="120"/>
        <v>2.3939999999999996E-4</v>
      </c>
      <c r="I114" s="62">
        <f>I112</f>
        <v>2.1</v>
      </c>
      <c r="J114" s="71">
        <v>0</v>
      </c>
      <c r="K114" s="72" t="s">
        <v>124</v>
      </c>
      <c r="L114" s="77">
        <v>0</v>
      </c>
      <c r="M114" s="31" t="str">
        <f t="shared" si="121"/>
        <v>C69</v>
      </c>
      <c r="N114" s="31" t="str">
        <f t="shared" si="122"/>
        <v>Выкидной нефтепровод Скв 863 – ГЗУ 31, водонефтяная эмульсия</v>
      </c>
      <c r="O114" s="31" t="str">
        <f t="shared" si="123"/>
        <v>Полное-ликвидация</v>
      </c>
      <c r="P114" s="31" t="s">
        <v>46</v>
      </c>
      <c r="Q114" s="31" t="s">
        <v>46</v>
      </c>
      <c r="R114" s="31" t="s">
        <v>46</v>
      </c>
      <c r="S114" s="31" t="s">
        <v>46</v>
      </c>
      <c r="T114" s="31" t="s">
        <v>46</v>
      </c>
      <c r="U114" s="31" t="s">
        <v>46</v>
      </c>
      <c r="V114" s="31" t="s">
        <v>46</v>
      </c>
      <c r="W114" s="31" t="s">
        <v>46</v>
      </c>
      <c r="X114" s="31" t="s">
        <v>46</v>
      </c>
      <c r="Y114" s="31" t="s">
        <v>46</v>
      </c>
      <c r="Z114" s="31" t="s">
        <v>46</v>
      </c>
      <c r="AA114" s="31" t="s">
        <v>46</v>
      </c>
      <c r="AB114" s="31" t="s">
        <v>46</v>
      </c>
      <c r="AC114" s="31" t="s">
        <v>46</v>
      </c>
      <c r="AD114" s="31" t="s">
        <v>46</v>
      </c>
      <c r="AE114" s="31" t="s">
        <v>46</v>
      </c>
      <c r="AF114" s="31" t="s">
        <v>46</v>
      </c>
      <c r="AG114" s="31" t="s">
        <v>46</v>
      </c>
      <c r="AH114" s="31" t="s">
        <v>46</v>
      </c>
      <c r="AI114" s="31" t="s">
        <v>46</v>
      </c>
      <c r="AJ114" s="31">
        <v>0</v>
      </c>
      <c r="AK114" s="31">
        <v>0</v>
      </c>
      <c r="AL114" s="31">
        <f>AL112</f>
        <v>0.75</v>
      </c>
      <c r="AM114" s="31">
        <f>AM112</f>
        <v>2.7E-2</v>
      </c>
      <c r="AN114" s="31">
        <f>AN112</f>
        <v>3</v>
      </c>
      <c r="AO114" s="31"/>
      <c r="AP114" s="31"/>
      <c r="AQ114" s="32">
        <f>AM114*I114*0.1+AL114</f>
        <v>0.75566999999999995</v>
      </c>
      <c r="AR114" s="32">
        <f t="shared" si="124"/>
        <v>7.5566999999999995E-2</v>
      </c>
      <c r="AS114" s="33">
        <f t="shared" si="125"/>
        <v>0</v>
      </c>
      <c r="AT114" s="33">
        <f t="shared" si="126"/>
        <v>0.20780925</v>
      </c>
      <c r="AU114" s="32">
        <f>1333*J113*POWER(10,-6)</f>
        <v>1.4108471999999997E-5</v>
      </c>
      <c r="AV114" s="33">
        <f t="shared" si="127"/>
        <v>1.039060358472</v>
      </c>
      <c r="AW114" s="34">
        <f t="shared" si="128"/>
        <v>0</v>
      </c>
      <c r="AX114" s="34">
        <f t="shared" si="129"/>
        <v>0</v>
      </c>
      <c r="AY114" s="34">
        <f t="shared" si="130"/>
        <v>2.4875104981819673E-4</v>
      </c>
      <c r="AZ114" s="288">
        <f>AW114/DB!$B$23</f>
        <v>0</v>
      </c>
      <c r="BA114" s="288">
        <f>AX114/DB!$B$23</f>
        <v>0</v>
      </c>
    </row>
    <row r="115" spans="1:53" x14ac:dyDescent="0.3">
      <c r="A115" s="8" t="s">
        <v>558</v>
      </c>
      <c r="B115" s="8" t="str">
        <f>B112</f>
        <v>Выкидной нефтепровод Скв 863 – ГЗУ 31, водонефтяная эмульсия</v>
      </c>
      <c r="C115" s="79" t="s">
        <v>109</v>
      </c>
      <c r="D115" s="9" t="s">
        <v>47</v>
      </c>
      <c r="E115" s="66">
        <v>1.9999999999999999E-6</v>
      </c>
      <c r="F115" s="68">
        <f>F112</f>
        <v>1050</v>
      </c>
      <c r="G115" s="8">
        <v>0.2</v>
      </c>
      <c r="H115" s="10">
        <f t="shared" si="120"/>
        <v>4.2000000000000002E-4</v>
      </c>
      <c r="I115" s="62">
        <f>0.15*I112</f>
        <v>0.315</v>
      </c>
      <c r="J115" s="69">
        <f>I115</f>
        <v>0.315</v>
      </c>
      <c r="K115" s="74" t="s">
        <v>126</v>
      </c>
      <c r="L115" s="78">
        <v>45390</v>
      </c>
      <c r="M115" s="31" t="str">
        <f t="shared" si="121"/>
        <v>C70</v>
      </c>
      <c r="N115" s="31" t="str">
        <f t="shared" si="122"/>
        <v>Выкидной нефтепровод Скв 863 – ГЗУ 31, водонефтяная эмульсия</v>
      </c>
      <c r="O115" s="31" t="str">
        <f t="shared" si="123"/>
        <v>Частичное-пожар</v>
      </c>
      <c r="P115" s="31">
        <v>3.5</v>
      </c>
      <c r="Q115" s="31">
        <v>5.0999999999999996</v>
      </c>
      <c r="R115" s="31">
        <v>7.6</v>
      </c>
      <c r="S115" s="31">
        <v>13.8</v>
      </c>
      <c r="T115" s="31" t="s">
        <v>46</v>
      </c>
      <c r="U115" s="31" t="s">
        <v>46</v>
      </c>
      <c r="V115" s="31" t="s">
        <v>46</v>
      </c>
      <c r="W115" s="31" t="s">
        <v>46</v>
      </c>
      <c r="X115" s="31" t="s">
        <v>46</v>
      </c>
      <c r="Y115" s="31" t="s">
        <v>46</v>
      </c>
      <c r="Z115" s="31" t="s">
        <v>46</v>
      </c>
      <c r="AA115" s="31" t="s">
        <v>46</v>
      </c>
      <c r="AB115" s="31" t="s">
        <v>46</v>
      </c>
      <c r="AC115" s="31" t="s">
        <v>46</v>
      </c>
      <c r="AD115" s="31" t="s">
        <v>46</v>
      </c>
      <c r="AE115" s="31" t="s">
        <v>46</v>
      </c>
      <c r="AF115" s="31" t="s">
        <v>46</v>
      </c>
      <c r="AG115" s="31" t="s">
        <v>46</v>
      </c>
      <c r="AH115" s="31" t="s">
        <v>46</v>
      </c>
      <c r="AI115" s="31" t="s">
        <v>46</v>
      </c>
      <c r="AJ115" s="31">
        <v>0</v>
      </c>
      <c r="AK115" s="31">
        <v>2</v>
      </c>
      <c r="AL115" s="31">
        <f>0.1*$AL$2</f>
        <v>7.5000000000000011E-2</v>
      </c>
      <c r="AM115" s="31">
        <f>AM112</f>
        <v>2.7E-2</v>
      </c>
      <c r="AN115" s="31">
        <f>ROUNDUP(AN112/3,0)</f>
        <v>1</v>
      </c>
      <c r="AO115" s="31"/>
      <c r="AP115" s="31"/>
      <c r="AQ115" s="32">
        <f>AM115*I115+AL115</f>
        <v>8.350500000000001E-2</v>
      </c>
      <c r="AR115" s="32">
        <f t="shared" si="124"/>
        <v>8.350500000000002E-3</v>
      </c>
      <c r="AS115" s="33">
        <f t="shared" si="125"/>
        <v>0.5</v>
      </c>
      <c r="AT115" s="33">
        <f t="shared" si="126"/>
        <v>0.14796387499999999</v>
      </c>
      <c r="AU115" s="32">
        <f>10068.2*J115*POWER(10,-6)</f>
        <v>3.1714830000000001E-3</v>
      </c>
      <c r="AV115" s="33">
        <f t="shared" si="127"/>
        <v>0.74299085800000009</v>
      </c>
      <c r="AW115" s="34">
        <f t="shared" si="128"/>
        <v>0</v>
      </c>
      <c r="AX115" s="34">
        <f t="shared" si="129"/>
        <v>8.4000000000000003E-4</v>
      </c>
      <c r="AY115" s="34">
        <f t="shared" si="130"/>
        <v>3.1205616036000003E-4</v>
      </c>
      <c r="AZ115" s="288">
        <f>AW115/DB!$B$23</f>
        <v>0</v>
      </c>
      <c r="BA115" s="288">
        <f>AX115/DB!$B$23</f>
        <v>4.307692307692308E-7</v>
      </c>
    </row>
    <row r="116" spans="1:53" x14ac:dyDescent="0.3">
      <c r="A116" s="8" t="s">
        <v>559</v>
      </c>
      <c r="B116" s="8" t="str">
        <f>B112</f>
        <v>Выкидной нефтепровод Скв 863 – ГЗУ 31, водонефтяная эмульсия</v>
      </c>
      <c r="C116" s="79" t="s">
        <v>110</v>
      </c>
      <c r="D116" s="9" t="s">
        <v>112</v>
      </c>
      <c r="E116" s="67">
        <f>E115</f>
        <v>1.9999999999999999E-6</v>
      </c>
      <c r="F116" s="68">
        <f>F112</f>
        <v>1050</v>
      </c>
      <c r="G116" s="8">
        <v>0.04</v>
      </c>
      <c r="H116" s="10">
        <f t="shared" si="120"/>
        <v>8.3999999999999995E-5</v>
      </c>
      <c r="I116" s="62">
        <f>0.15*I112</f>
        <v>0.315</v>
      </c>
      <c r="J116" s="69">
        <f>0.5*J113</f>
        <v>5.291999999999999E-3</v>
      </c>
      <c r="K116" s="74" t="s">
        <v>127</v>
      </c>
      <c r="L116" s="78">
        <v>3</v>
      </c>
      <c r="M116" s="31" t="str">
        <f t="shared" si="121"/>
        <v>C71</v>
      </c>
      <c r="N116" s="31" t="str">
        <f t="shared" si="122"/>
        <v>Выкидной нефтепровод Скв 863 – ГЗУ 31, водонефтяная эмульсия</v>
      </c>
      <c r="O116" s="31" t="str">
        <f t="shared" si="123"/>
        <v>Частичное-пожар-вспышка</v>
      </c>
      <c r="P116" s="31" t="s">
        <v>46</v>
      </c>
      <c r="Q116" s="31" t="s">
        <v>46</v>
      </c>
      <c r="R116" s="31" t="s">
        <v>46</v>
      </c>
      <c r="S116" s="31" t="s">
        <v>46</v>
      </c>
      <c r="T116" s="31" t="s">
        <v>46</v>
      </c>
      <c r="U116" s="31" t="s">
        <v>46</v>
      </c>
      <c r="V116" s="31" t="s">
        <v>46</v>
      </c>
      <c r="W116" s="31" t="s">
        <v>46</v>
      </c>
      <c r="X116" s="31" t="s">
        <v>46</v>
      </c>
      <c r="Y116" s="31" t="s">
        <v>46</v>
      </c>
      <c r="Z116" s="31" t="s">
        <v>46</v>
      </c>
      <c r="AA116" s="31">
        <v>5.94</v>
      </c>
      <c r="AB116" s="31">
        <v>7.13</v>
      </c>
      <c r="AC116" s="31" t="s">
        <v>46</v>
      </c>
      <c r="AD116" s="31" t="s">
        <v>46</v>
      </c>
      <c r="AE116" s="31" t="s">
        <v>46</v>
      </c>
      <c r="AF116" s="31" t="s">
        <v>46</v>
      </c>
      <c r="AG116" s="31" t="s">
        <v>46</v>
      </c>
      <c r="AH116" s="31" t="s">
        <v>46</v>
      </c>
      <c r="AI116" s="31" t="s">
        <v>46</v>
      </c>
      <c r="AJ116" s="31">
        <v>0</v>
      </c>
      <c r="AK116" s="31">
        <v>1</v>
      </c>
      <c r="AL116" s="31">
        <f>0.1*$AL$2</f>
        <v>7.5000000000000011E-2</v>
      </c>
      <c r="AM116" s="31">
        <f>AM112</f>
        <v>2.7E-2</v>
      </c>
      <c r="AN116" s="31">
        <f>ROUNDUP(AN112/3,0)</f>
        <v>1</v>
      </c>
      <c r="AO116" s="31"/>
      <c r="AP116" s="31"/>
      <c r="AQ116" s="32">
        <f>AM116*I116+AL116</f>
        <v>8.350500000000001E-2</v>
      </c>
      <c r="AR116" s="32">
        <f t="shared" si="124"/>
        <v>8.350500000000002E-3</v>
      </c>
      <c r="AS116" s="33">
        <f t="shared" si="125"/>
        <v>0.25</v>
      </c>
      <c r="AT116" s="33">
        <f t="shared" si="126"/>
        <v>8.5463874999999995E-2</v>
      </c>
      <c r="AU116" s="32">
        <f>10068.2*J116*POWER(10,-6)*10</f>
        <v>5.3280914399999994E-4</v>
      </c>
      <c r="AV116" s="33">
        <f t="shared" si="127"/>
        <v>0.42785218414399995</v>
      </c>
      <c r="AW116" s="34">
        <f t="shared" si="128"/>
        <v>0</v>
      </c>
      <c r="AX116" s="34">
        <f t="shared" si="129"/>
        <v>8.3999999999999995E-5</v>
      </c>
      <c r="AY116" s="34">
        <f t="shared" si="130"/>
        <v>3.5939583468095991E-5</v>
      </c>
      <c r="AZ116" s="288">
        <f>AW116/DB!$B$23</f>
        <v>0</v>
      </c>
      <c r="BA116" s="288">
        <f>AX116/DB!$B$23</f>
        <v>4.3076923076923073E-8</v>
      </c>
    </row>
    <row r="117" spans="1:53" x14ac:dyDescent="0.3">
      <c r="A117" s="170" t="s">
        <v>560</v>
      </c>
      <c r="B117" s="170" t="str">
        <f>B112</f>
        <v>Выкидной нефтепровод Скв 863 – ГЗУ 31, водонефтяная эмульсия</v>
      </c>
      <c r="C117" s="171" t="s">
        <v>111</v>
      </c>
      <c r="D117" s="172" t="s">
        <v>27</v>
      </c>
      <c r="E117" s="173">
        <f>E115</f>
        <v>1.9999999999999999E-6</v>
      </c>
      <c r="F117" s="174">
        <f>F112</f>
        <v>1050</v>
      </c>
      <c r="G117" s="170">
        <v>0.76</v>
      </c>
      <c r="H117" s="175">
        <f t="shared" si="120"/>
        <v>1.596E-3</v>
      </c>
      <c r="I117" s="176">
        <f>0.15*I112</f>
        <v>0.315</v>
      </c>
      <c r="J117" s="177">
        <v>0</v>
      </c>
      <c r="K117" s="178" t="s">
        <v>138</v>
      </c>
      <c r="L117" s="179">
        <v>1</v>
      </c>
      <c r="M117" s="31" t="str">
        <f t="shared" si="121"/>
        <v>C72</v>
      </c>
      <c r="N117" s="31" t="str">
        <f t="shared" si="122"/>
        <v>Выкидной нефтепровод Скв 863 – ГЗУ 31, водонефтяная эмульсия</v>
      </c>
      <c r="O117" s="31" t="str">
        <f t="shared" si="123"/>
        <v>Частичное-ликвидация</v>
      </c>
      <c r="P117" s="31" t="s">
        <v>46</v>
      </c>
      <c r="Q117" s="31" t="s">
        <v>46</v>
      </c>
      <c r="R117" s="31" t="s">
        <v>46</v>
      </c>
      <c r="S117" s="31" t="s">
        <v>46</v>
      </c>
      <c r="T117" s="31" t="s">
        <v>46</v>
      </c>
      <c r="U117" s="31" t="s">
        <v>46</v>
      </c>
      <c r="V117" s="31" t="s">
        <v>46</v>
      </c>
      <c r="W117" s="31" t="s">
        <v>46</v>
      </c>
      <c r="X117" s="31" t="s">
        <v>46</v>
      </c>
      <c r="Y117" s="31" t="s">
        <v>46</v>
      </c>
      <c r="Z117" s="31" t="s">
        <v>46</v>
      </c>
      <c r="AA117" s="31" t="s">
        <v>46</v>
      </c>
      <c r="AB117" s="31" t="s">
        <v>46</v>
      </c>
      <c r="AC117" s="31" t="s">
        <v>46</v>
      </c>
      <c r="AD117" s="31" t="s">
        <v>46</v>
      </c>
      <c r="AE117" s="31" t="s">
        <v>46</v>
      </c>
      <c r="AF117" s="31" t="s">
        <v>46</v>
      </c>
      <c r="AG117" s="31" t="s">
        <v>46</v>
      </c>
      <c r="AH117" s="31" t="s">
        <v>46</v>
      </c>
      <c r="AI117" s="31" t="s">
        <v>46</v>
      </c>
      <c r="AJ117" s="31">
        <v>0</v>
      </c>
      <c r="AK117" s="31">
        <v>0</v>
      </c>
      <c r="AL117" s="31">
        <f>0.1*$AL$2</f>
        <v>7.5000000000000011E-2</v>
      </c>
      <c r="AM117" s="31">
        <f>AM112</f>
        <v>2.7E-2</v>
      </c>
      <c r="AN117" s="31">
        <f>ROUNDUP(AN112/3,0)</f>
        <v>1</v>
      </c>
      <c r="AO117" s="31"/>
      <c r="AP117" s="31"/>
      <c r="AQ117" s="32">
        <f>AM117*I117*0.1+AL117</f>
        <v>7.5850500000000015E-2</v>
      </c>
      <c r="AR117" s="32">
        <f t="shared" si="124"/>
        <v>7.585050000000002E-3</v>
      </c>
      <c r="AS117" s="33">
        <f t="shared" si="125"/>
        <v>0</v>
      </c>
      <c r="AT117" s="33">
        <f t="shared" si="126"/>
        <v>2.0858887500000003E-2</v>
      </c>
      <c r="AU117" s="32">
        <f>1333*J116*POWER(10,-6)</f>
        <v>7.0542359999999986E-6</v>
      </c>
      <c r="AV117" s="33">
        <f t="shared" si="127"/>
        <v>0.10430149173600002</v>
      </c>
      <c r="AW117" s="34">
        <f t="shared" si="128"/>
        <v>0</v>
      </c>
      <c r="AX117" s="34">
        <f t="shared" si="129"/>
        <v>0</v>
      </c>
      <c r="AY117" s="34">
        <f t="shared" si="130"/>
        <v>1.6646518081065602E-4</v>
      </c>
      <c r="AZ117" s="288">
        <f>AW117/DB!$B$23</f>
        <v>0</v>
      </c>
      <c r="BA117" s="288">
        <f>AX117/DB!$B$23</f>
        <v>0</v>
      </c>
    </row>
    <row r="118" spans="1:53" s="180" customForma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207" t="s">
        <v>466</v>
      </c>
      <c r="L118" s="287" t="s">
        <v>601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</row>
    <row r="119" spans="1:53" s="180" customForma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3" s="180" customForma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</row>
    <row r="121" spans="1:53" ht="15" thickBot="1" x14ac:dyDescent="0.35"/>
    <row r="122" spans="1:53" ht="15" thickBot="1" x14ac:dyDescent="0.35">
      <c r="A122" s="323" t="s">
        <v>561</v>
      </c>
      <c r="B122" s="63" t="s">
        <v>662</v>
      </c>
      <c r="C122" s="79" t="s">
        <v>106</v>
      </c>
      <c r="D122" s="9" t="s">
        <v>25</v>
      </c>
      <c r="E122" s="66">
        <v>2.9999999999999999E-7</v>
      </c>
      <c r="F122" s="63">
        <v>640</v>
      </c>
      <c r="G122" s="8">
        <v>0.2</v>
      </c>
      <c r="H122" s="10">
        <f t="shared" ref="H122:H127" si="131">E122*F122*G122</f>
        <v>3.8400000000000005E-5</v>
      </c>
      <c r="I122" s="64">
        <v>2.59</v>
      </c>
      <c r="J122" s="69">
        <f>I122</f>
        <v>2.59</v>
      </c>
      <c r="K122" s="72" t="s">
        <v>122</v>
      </c>
      <c r="L122" s="77">
        <f>40*I122</f>
        <v>103.6</v>
      </c>
      <c r="M122" s="31" t="str">
        <f t="shared" ref="M122:M127" si="132">A122</f>
        <v>C73</v>
      </c>
      <c r="N122" s="31" t="str">
        <f t="shared" ref="N122:N127" si="133">B122</f>
        <v>Выкидной нефтепровод Скв 864 – ГЗУ 30, водонефтяная эмульсия</v>
      </c>
      <c r="O122" s="31" t="str">
        <f t="shared" ref="O122:O127" si="134">D122</f>
        <v>Полное-пожар</v>
      </c>
      <c r="P122" s="31">
        <v>8.3000000000000007</v>
      </c>
      <c r="Q122" s="31">
        <v>11.7</v>
      </c>
      <c r="R122" s="31">
        <v>17.399999999999999</v>
      </c>
      <c r="S122" s="31">
        <v>34.1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 t="s">
        <v>46</v>
      </c>
      <c r="Z122" s="31" t="s">
        <v>46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1</v>
      </c>
      <c r="AK122" s="12">
        <v>1</v>
      </c>
      <c r="AL122" s="65">
        <v>0.75</v>
      </c>
      <c r="AM122" s="65">
        <v>2.7E-2</v>
      </c>
      <c r="AN122" s="65">
        <v>3</v>
      </c>
      <c r="AO122" s="31"/>
      <c r="AP122" s="31"/>
      <c r="AQ122" s="32">
        <f>AM122*I122+AL122</f>
        <v>0.81993000000000005</v>
      </c>
      <c r="AR122" s="32">
        <f t="shared" ref="AR122:AR127" si="135">0.1*AQ122</f>
        <v>8.199300000000001E-2</v>
      </c>
      <c r="AS122" s="33">
        <f t="shared" ref="AS122:AS127" si="136">AJ122*3+0.25*AK122</f>
        <v>3.25</v>
      </c>
      <c r="AT122" s="33">
        <f t="shared" ref="AT122:AT127" si="137">SUM(AQ122:AS122)/4</f>
        <v>1.03798075</v>
      </c>
      <c r="AU122" s="32">
        <f>10068.2*J122*POWER(10,-6)</f>
        <v>2.6076637999999999E-2</v>
      </c>
      <c r="AV122" s="33">
        <f t="shared" ref="AV122:AV127" si="138">AU122+AT122+AS122+AR122+AQ122</f>
        <v>5.2159803880000002</v>
      </c>
      <c r="AW122" s="34">
        <f t="shared" ref="AW122:AW127" si="139">AJ122*H122</f>
        <v>3.8400000000000005E-5</v>
      </c>
      <c r="AX122" s="34">
        <f t="shared" ref="AX122:AX127" si="140">H122*AK122</f>
        <v>3.8400000000000005E-5</v>
      </c>
      <c r="AY122" s="34">
        <f t="shared" ref="AY122:AY127" si="141">H122*AV122</f>
        <v>2.0029364689920002E-4</v>
      </c>
      <c r="AZ122" s="288">
        <f>AW122/DB!$B$23</f>
        <v>1.9692307692307696E-8</v>
      </c>
      <c r="BA122" s="288">
        <f>AX122/DB!$B$23</f>
        <v>1.9692307692307696E-8</v>
      </c>
    </row>
    <row r="123" spans="1:53" ht="15" thickBot="1" x14ac:dyDescent="0.35">
      <c r="A123" s="8" t="s">
        <v>562</v>
      </c>
      <c r="B123" s="8" t="str">
        <f>B122</f>
        <v>Выкидной нефтепровод Скв 864 – ГЗУ 30, водонефтяная эмульсия</v>
      </c>
      <c r="C123" s="79" t="s">
        <v>107</v>
      </c>
      <c r="D123" s="9" t="s">
        <v>28</v>
      </c>
      <c r="E123" s="67">
        <f>E122</f>
        <v>2.9999999999999999E-7</v>
      </c>
      <c r="F123" s="68">
        <f>F122</f>
        <v>640</v>
      </c>
      <c r="G123" s="8">
        <v>0.04</v>
      </c>
      <c r="H123" s="10">
        <f t="shared" si="131"/>
        <v>7.680000000000001E-6</v>
      </c>
      <c r="I123" s="62">
        <f>I122</f>
        <v>2.59</v>
      </c>
      <c r="J123" s="298">
        <f>POWER(10,-6)*35*SQRT(100)*3600*L122/1000*0.1</f>
        <v>1.3053599999999999E-2</v>
      </c>
      <c r="K123" s="72" t="s">
        <v>123</v>
      </c>
      <c r="L123" s="77">
        <v>0</v>
      </c>
      <c r="M123" s="31" t="str">
        <f t="shared" si="132"/>
        <v>C74</v>
      </c>
      <c r="N123" s="31" t="str">
        <f t="shared" si="133"/>
        <v>Выкидной нефтепровод Скв 864 – ГЗУ 30, водонефтяная эмульсия</v>
      </c>
      <c r="O123" s="31" t="str">
        <f t="shared" si="134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0</v>
      </c>
      <c r="W123" s="31">
        <v>0</v>
      </c>
      <c r="X123" s="31">
        <v>12.1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1</v>
      </c>
      <c r="AK123" s="12">
        <v>1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0.81993000000000005</v>
      </c>
      <c r="AR123" s="32">
        <f t="shared" si="135"/>
        <v>8.199300000000001E-2</v>
      </c>
      <c r="AS123" s="33">
        <f t="shared" si="136"/>
        <v>3.25</v>
      </c>
      <c r="AT123" s="33">
        <f t="shared" si="137"/>
        <v>1.03798075</v>
      </c>
      <c r="AU123" s="32">
        <f>10068.2*J123*POWER(10,-6)*10</f>
        <v>1.3142625551999998E-3</v>
      </c>
      <c r="AV123" s="33">
        <f t="shared" si="138"/>
        <v>5.1912180125552005</v>
      </c>
      <c r="AW123" s="34">
        <f t="shared" si="139"/>
        <v>7.680000000000001E-6</v>
      </c>
      <c r="AX123" s="34">
        <f t="shared" si="140"/>
        <v>7.680000000000001E-6</v>
      </c>
      <c r="AY123" s="34">
        <f t="shared" si="141"/>
        <v>3.9868554336423944E-5</v>
      </c>
      <c r="AZ123" s="288">
        <f>AW123/DB!$B$23</f>
        <v>3.9384615384615387E-9</v>
      </c>
      <c r="BA123" s="288">
        <f>AX123/DB!$B$23</f>
        <v>3.9384615384615387E-9</v>
      </c>
    </row>
    <row r="124" spans="1:53" x14ac:dyDescent="0.3">
      <c r="A124" s="8" t="s">
        <v>563</v>
      </c>
      <c r="B124" s="8" t="str">
        <f>B122</f>
        <v>Выкидной нефтепровод Скв 864 – ГЗУ 30, водонефтяная эмульсия</v>
      </c>
      <c r="C124" s="79" t="s">
        <v>108</v>
      </c>
      <c r="D124" s="9" t="s">
        <v>26</v>
      </c>
      <c r="E124" s="67">
        <f>E122</f>
        <v>2.9999999999999999E-7</v>
      </c>
      <c r="F124" s="68">
        <f>F122</f>
        <v>640</v>
      </c>
      <c r="G124" s="8">
        <v>0.76</v>
      </c>
      <c r="H124" s="10">
        <f t="shared" si="131"/>
        <v>1.4592000000000001E-4</v>
      </c>
      <c r="I124" s="62">
        <f>I122</f>
        <v>2.59</v>
      </c>
      <c r="J124" s="71">
        <v>0</v>
      </c>
      <c r="K124" s="72" t="s">
        <v>124</v>
      </c>
      <c r="L124" s="77">
        <v>0</v>
      </c>
      <c r="M124" s="31" t="str">
        <f t="shared" si="132"/>
        <v>C75</v>
      </c>
      <c r="N124" s="31" t="str">
        <f t="shared" si="133"/>
        <v>Выкидной нефтепровод Скв 864 – ГЗУ 30, водонефтяная эмульсия</v>
      </c>
      <c r="O124" s="31" t="str">
        <f t="shared" si="134"/>
        <v>Полное-ликвидация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 t="s">
        <v>46</v>
      </c>
      <c r="AB124" s="31" t="s">
        <v>46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0.75699300000000003</v>
      </c>
      <c r="AR124" s="32">
        <f t="shared" si="135"/>
        <v>7.5699300000000011E-2</v>
      </c>
      <c r="AS124" s="33">
        <f t="shared" si="136"/>
        <v>0</v>
      </c>
      <c r="AT124" s="33">
        <f t="shared" si="137"/>
        <v>0.20817307500000001</v>
      </c>
      <c r="AU124" s="32">
        <f>1333*J123*POWER(10,-6)</f>
        <v>1.7400448799999998E-5</v>
      </c>
      <c r="AV124" s="33">
        <f t="shared" si="138"/>
        <v>1.0408827754488001</v>
      </c>
      <c r="AW124" s="34">
        <f t="shared" si="139"/>
        <v>0</v>
      </c>
      <c r="AX124" s="34">
        <f t="shared" si="140"/>
        <v>0</v>
      </c>
      <c r="AY124" s="34">
        <f t="shared" si="141"/>
        <v>1.5188561459348894E-4</v>
      </c>
      <c r="AZ124" s="288">
        <f>AW124/DB!$B$23</f>
        <v>0</v>
      </c>
      <c r="BA124" s="288">
        <f>AX124/DB!$B$23</f>
        <v>0</v>
      </c>
    </row>
    <row r="125" spans="1:53" x14ac:dyDescent="0.3">
      <c r="A125" s="8" t="s">
        <v>564</v>
      </c>
      <c r="B125" s="8" t="str">
        <f>B122</f>
        <v>Выкидной нефтепровод Скв 864 – ГЗУ 30, водонефтяная эмульсия</v>
      </c>
      <c r="C125" s="79" t="s">
        <v>109</v>
      </c>
      <c r="D125" s="9" t="s">
        <v>47</v>
      </c>
      <c r="E125" s="66">
        <v>1.9999999999999999E-6</v>
      </c>
      <c r="F125" s="68">
        <f>F122</f>
        <v>640</v>
      </c>
      <c r="G125" s="8">
        <v>0.2</v>
      </c>
      <c r="H125" s="10">
        <f t="shared" si="131"/>
        <v>2.5599999999999999E-4</v>
      </c>
      <c r="I125" s="62">
        <f>0.15*I122</f>
        <v>0.38849999999999996</v>
      </c>
      <c r="J125" s="69">
        <f>I125</f>
        <v>0.38849999999999996</v>
      </c>
      <c r="K125" s="74" t="s">
        <v>126</v>
      </c>
      <c r="L125" s="78">
        <v>45390</v>
      </c>
      <c r="M125" s="31" t="str">
        <f t="shared" si="132"/>
        <v>C76</v>
      </c>
      <c r="N125" s="31" t="str">
        <f t="shared" si="133"/>
        <v>Выкидной нефтепровод Скв 864 – ГЗУ 30, водонефтяная эмульсия</v>
      </c>
      <c r="O125" s="31" t="str">
        <f t="shared" si="134"/>
        <v>Частичное-пожар</v>
      </c>
      <c r="P125" s="31">
        <v>3.8</v>
      </c>
      <c r="Q125" s="31">
        <v>5.5</v>
      </c>
      <c r="R125" s="31">
        <v>8.1999999999999993</v>
      </c>
      <c r="S125" s="31">
        <v>14.9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2</v>
      </c>
      <c r="AL125" s="31">
        <f>0.1*$AL$2</f>
        <v>7.5000000000000011E-2</v>
      </c>
      <c r="AM125" s="31">
        <f>AM122</f>
        <v>2.7E-2</v>
      </c>
      <c r="AN125" s="31">
        <f>ROUNDUP(AN122/3,0)</f>
        <v>1</v>
      </c>
      <c r="AO125" s="31"/>
      <c r="AP125" s="31"/>
      <c r="AQ125" s="32">
        <f>AM125*I125+AL125</f>
        <v>8.548950000000001E-2</v>
      </c>
      <c r="AR125" s="32">
        <f t="shared" si="135"/>
        <v>8.5489500000000013E-3</v>
      </c>
      <c r="AS125" s="33">
        <f t="shared" si="136"/>
        <v>0.5</v>
      </c>
      <c r="AT125" s="33">
        <f t="shared" si="137"/>
        <v>0.1485096125</v>
      </c>
      <c r="AU125" s="32">
        <f>10068.2*J125*POWER(10,-6)</f>
        <v>3.9114956999999999E-3</v>
      </c>
      <c r="AV125" s="33">
        <f t="shared" si="138"/>
        <v>0.74645955819999998</v>
      </c>
      <c r="AW125" s="34">
        <f t="shared" si="139"/>
        <v>0</v>
      </c>
      <c r="AX125" s="34">
        <f t="shared" si="140"/>
        <v>5.1199999999999998E-4</v>
      </c>
      <c r="AY125" s="34">
        <f t="shared" si="141"/>
        <v>1.9109364689919999E-4</v>
      </c>
      <c r="AZ125" s="288">
        <f>AW125/DB!$B$23</f>
        <v>0</v>
      </c>
      <c r="BA125" s="288">
        <f>AX125/DB!$B$23</f>
        <v>2.6256410256410255E-7</v>
      </c>
    </row>
    <row r="126" spans="1:53" x14ac:dyDescent="0.3">
      <c r="A126" s="8" t="s">
        <v>565</v>
      </c>
      <c r="B126" s="8" t="str">
        <f>B122</f>
        <v>Выкидной нефтепровод Скв 864 – ГЗУ 30, водонефтяная эмульсия</v>
      </c>
      <c r="C126" s="79" t="s">
        <v>110</v>
      </c>
      <c r="D126" s="9" t="s">
        <v>112</v>
      </c>
      <c r="E126" s="67">
        <f>E125</f>
        <v>1.9999999999999999E-6</v>
      </c>
      <c r="F126" s="68">
        <f>F122</f>
        <v>640</v>
      </c>
      <c r="G126" s="8">
        <v>0.04</v>
      </c>
      <c r="H126" s="10">
        <f t="shared" si="131"/>
        <v>5.1199999999999998E-5</v>
      </c>
      <c r="I126" s="62">
        <f>0.15*I122</f>
        <v>0.38849999999999996</v>
      </c>
      <c r="J126" s="69">
        <f>0.5*J123</f>
        <v>6.5267999999999993E-3</v>
      </c>
      <c r="K126" s="74" t="s">
        <v>127</v>
      </c>
      <c r="L126" s="78">
        <v>3</v>
      </c>
      <c r="M126" s="31" t="str">
        <f t="shared" si="132"/>
        <v>C77</v>
      </c>
      <c r="N126" s="31" t="str">
        <f t="shared" si="133"/>
        <v>Выкидной нефтепровод Скв 864 – ГЗУ 30, водонефтяная эмульсия</v>
      </c>
      <c r="O126" s="31" t="str">
        <f t="shared" si="134"/>
        <v>Частичное-пожар-вспышка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 t="s">
        <v>46</v>
      </c>
      <c r="Z126" s="31" t="s">
        <v>46</v>
      </c>
      <c r="AA126" s="31">
        <v>6.37</v>
      </c>
      <c r="AB126" s="31">
        <v>7.64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1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8.548950000000001E-2</v>
      </c>
      <c r="AR126" s="32">
        <f t="shared" si="135"/>
        <v>8.5489500000000013E-3</v>
      </c>
      <c r="AS126" s="33">
        <f t="shared" si="136"/>
        <v>0.25</v>
      </c>
      <c r="AT126" s="33">
        <f t="shared" si="137"/>
        <v>8.6009612499999999E-2</v>
      </c>
      <c r="AU126" s="32">
        <f>10068.2*J126*POWER(10,-6)*10</f>
        <v>6.5713127759999988E-4</v>
      </c>
      <c r="AV126" s="33">
        <f t="shared" si="138"/>
        <v>0.43070519377759997</v>
      </c>
      <c r="AW126" s="34">
        <f t="shared" si="139"/>
        <v>0</v>
      </c>
      <c r="AX126" s="34">
        <f t="shared" si="140"/>
        <v>5.1199999999999998E-5</v>
      </c>
      <c r="AY126" s="34">
        <f t="shared" si="141"/>
        <v>2.2052105921413118E-5</v>
      </c>
      <c r="AZ126" s="288">
        <f>AW126/DB!$B$23</f>
        <v>0</v>
      </c>
      <c r="BA126" s="288">
        <f>AX126/DB!$B$23</f>
        <v>2.6256410256410256E-8</v>
      </c>
    </row>
    <row r="127" spans="1:53" x14ac:dyDescent="0.3">
      <c r="A127" s="170" t="s">
        <v>566</v>
      </c>
      <c r="B127" s="170" t="str">
        <f>B122</f>
        <v>Выкидной нефтепровод Скв 864 – ГЗУ 30, водонефтяная эмульсия</v>
      </c>
      <c r="C127" s="171" t="s">
        <v>111</v>
      </c>
      <c r="D127" s="172" t="s">
        <v>27</v>
      </c>
      <c r="E127" s="173">
        <f>E125</f>
        <v>1.9999999999999999E-6</v>
      </c>
      <c r="F127" s="174">
        <f>F122</f>
        <v>640</v>
      </c>
      <c r="G127" s="170">
        <v>0.76</v>
      </c>
      <c r="H127" s="175">
        <f t="shared" si="131"/>
        <v>9.727999999999999E-4</v>
      </c>
      <c r="I127" s="176">
        <f>0.15*I122</f>
        <v>0.38849999999999996</v>
      </c>
      <c r="J127" s="177">
        <v>0</v>
      </c>
      <c r="K127" s="178" t="s">
        <v>138</v>
      </c>
      <c r="L127" s="179">
        <v>1</v>
      </c>
      <c r="M127" s="31" t="str">
        <f t="shared" si="132"/>
        <v>C78</v>
      </c>
      <c r="N127" s="31" t="str">
        <f t="shared" si="133"/>
        <v>Выкидной нефтепровод Скв 864 – ГЗУ 30, водонефтяная эмульсия</v>
      </c>
      <c r="O127" s="31" t="str">
        <f t="shared" si="134"/>
        <v>Частичное-ликвидация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 t="s">
        <v>46</v>
      </c>
      <c r="U127" s="31" t="s">
        <v>46</v>
      </c>
      <c r="V127" s="31" t="s">
        <v>46</v>
      </c>
      <c r="W127" s="31" t="s">
        <v>46</v>
      </c>
      <c r="X127" s="31" t="s">
        <v>46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0</v>
      </c>
      <c r="AL127" s="31">
        <f>0.1*$AL$2</f>
        <v>7.5000000000000011E-2</v>
      </c>
      <c r="AM127" s="31">
        <f>AM122</f>
        <v>2.7E-2</v>
      </c>
      <c r="AN127" s="31">
        <f>ROUNDUP(AN122/3,0)</f>
        <v>1</v>
      </c>
      <c r="AO127" s="31"/>
      <c r="AP127" s="31"/>
      <c r="AQ127" s="32">
        <f>AM127*I127*0.1+AL127</f>
        <v>7.6048950000000004E-2</v>
      </c>
      <c r="AR127" s="32">
        <f t="shared" si="135"/>
        <v>7.6048950000000004E-3</v>
      </c>
      <c r="AS127" s="33">
        <f t="shared" si="136"/>
        <v>0</v>
      </c>
      <c r="AT127" s="33">
        <f t="shared" si="137"/>
        <v>2.0913461250000001E-2</v>
      </c>
      <c r="AU127" s="32">
        <f>1333*J126*POWER(10,-6)</f>
        <v>8.7002243999999989E-6</v>
      </c>
      <c r="AV127" s="33">
        <f t="shared" si="138"/>
        <v>0.1045760064744</v>
      </c>
      <c r="AW127" s="34">
        <f t="shared" si="139"/>
        <v>0</v>
      </c>
      <c r="AX127" s="34">
        <f t="shared" si="140"/>
        <v>0</v>
      </c>
      <c r="AY127" s="34">
        <f t="shared" si="141"/>
        <v>1.0173153909829631E-4</v>
      </c>
      <c r="AZ127" s="288">
        <f>AW127/DB!$B$23</f>
        <v>0</v>
      </c>
      <c r="BA127" s="288">
        <f>AX127/DB!$B$23</f>
        <v>0</v>
      </c>
    </row>
    <row r="128" spans="1:53" s="180" customForma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207" t="s">
        <v>466</v>
      </c>
      <c r="L128" s="287" t="s">
        <v>601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spans="1:53" s="180" customForma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spans="1:53" s="180" customForma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spans="1:53" ht="15" thickBot="1" x14ac:dyDescent="0.35"/>
    <row r="132" spans="1:53" ht="15" thickBot="1" x14ac:dyDescent="0.35">
      <c r="A132" s="323" t="s">
        <v>567</v>
      </c>
      <c r="B132" s="63" t="s">
        <v>663</v>
      </c>
      <c r="C132" s="79" t="s">
        <v>106</v>
      </c>
      <c r="D132" s="9" t="s">
        <v>25</v>
      </c>
      <c r="E132" s="66">
        <v>2.9999999999999999E-7</v>
      </c>
      <c r="F132" s="63">
        <v>900</v>
      </c>
      <c r="G132" s="8">
        <v>0.2</v>
      </c>
      <c r="H132" s="10">
        <f t="shared" ref="H132:H137" si="142">E132*F132*G132</f>
        <v>5.4000000000000005E-5</v>
      </c>
      <c r="I132" s="64">
        <v>3.69</v>
      </c>
      <c r="J132" s="69">
        <f>I132</f>
        <v>3.69</v>
      </c>
      <c r="K132" s="72" t="s">
        <v>122</v>
      </c>
      <c r="L132" s="77">
        <f>40*I132</f>
        <v>147.6</v>
      </c>
      <c r="M132" s="31" t="str">
        <f t="shared" ref="M132:M137" si="143">A132</f>
        <v>C79</v>
      </c>
      <c r="N132" s="31" t="str">
        <f t="shared" ref="N132:N137" si="144">B132</f>
        <v>Выкидной нефтепровод Скв 869 – ГЗУ 28, водонефтяная эмульсия</v>
      </c>
      <c r="O132" s="31" t="str">
        <f t="shared" ref="O132:O137" si="145">D132</f>
        <v>Полное-пожар</v>
      </c>
      <c r="P132" s="31">
        <v>9.8000000000000007</v>
      </c>
      <c r="Q132" s="31">
        <v>13.9</v>
      </c>
      <c r="R132" s="31">
        <v>20.5</v>
      </c>
      <c r="S132" s="31">
        <v>39.799999999999997</v>
      </c>
      <c r="T132" s="31" t="s">
        <v>46</v>
      </c>
      <c r="U132" s="31" t="s">
        <v>46</v>
      </c>
      <c r="V132" s="31" t="s">
        <v>46</v>
      </c>
      <c r="W132" s="31" t="s">
        <v>46</v>
      </c>
      <c r="X132" s="31" t="s">
        <v>46</v>
      </c>
      <c r="Y132" s="31" t="s">
        <v>46</v>
      </c>
      <c r="Z132" s="31" t="s">
        <v>46</v>
      </c>
      <c r="AA132" s="31" t="s">
        <v>46</v>
      </c>
      <c r="AB132" s="31" t="s">
        <v>46</v>
      </c>
      <c r="AC132" s="31" t="s">
        <v>46</v>
      </c>
      <c r="AD132" s="31" t="s">
        <v>46</v>
      </c>
      <c r="AE132" s="31" t="s">
        <v>46</v>
      </c>
      <c r="AF132" s="31" t="s">
        <v>46</v>
      </c>
      <c r="AG132" s="31" t="s">
        <v>46</v>
      </c>
      <c r="AH132" s="31" t="s">
        <v>46</v>
      </c>
      <c r="AI132" s="31" t="s">
        <v>46</v>
      </c>
      <c r="AJ132" s="12">
        <v>1</v>
      </c>
      <c r="AK132" s="12">
        <v>1</v>
      </c>
      <c r="AL132" s="65">
        <v>0.75</v>
      </c>
      <c r="AM132" s="65">
        <v>2.7E-2</v>
      </c>
      <c r="AN132" s="65">
        <v>3</v>
      </c>
      <c r="AO132" s="31"/>
      <c r="AP132" s="31"/>
      <c r="AQ132" s="32">
        <f>AM132*I132+AL132</f>
        <v>0.84963</v>
      </c>
      <c r="AR132" s="32">
        <f t="shared" ref="AR132:AR137" si="146">0.1*AQ132</f>
        <v>8.4963000000000011E-2</v>
      </c>
      <c r="AS132" s="33">
        <f t="shared" ref="AS132:AS137" si="147">AJ132*3+0.25*AK132</f>
        <v>3.25</v>
      </c>
      <c r="AT132" s="33">
        <f t="shared" ref="AT132:AT137" si="148">SUM(AQ132:AS132)/4</f>
        <v>1.0461482499999999</v>
      </c>
      <c r="AU132" s="32">
        <f>10068.2*J132*POWER(10,-6)</f>
        <v>3.7151658000000004E-2</v>
      </c>
      <c r="AV132" s="33">
        <f t="shared" ref="AV132:AV137" si="149">AU132+AT132+AS132+AR132+AQ132</f>
        <v>5.2678929080000003</v>
      </c>
      <c r="AW132" s="34">
        <f t="shared" ref="AW132:AW137" si="150">AJ132*H132</f>
        <v>5.4000000000000005E-5</v>
      </c>
      <c r="AX132" s="34">
        <f t="shared" ref="AX132:AX137" si="151">H132*AK132</f>
        <v>5.4000000000000005E-5</v>
      </c>
      <c r="AY132" s="34">
        <f t="shared" ref="AY132:AY137" si="152">H132*AV132</f>
        <v>2.8446621703200005E-4</v>
      </c>
      <c r="AZ132" s="288">
        <f>AW132/DB!$B$23</f>
        <v>2.7692307692307695E-8</v>
      </c>
      <c r="BA132" s="288">
        <f>AX132/DB!$B$23</f>
        <v>2.7692307692307695E-8</v>
      </c>
    </row>
    <row r="133" spans="1:53" ht="15" thickBot="1" x14ac:dyDescent="0.35">
      <c r="A133" s="8" t="s">
        <v>568</v>
      </c>
      <c r="B133" s="8" t="str">
        <f>B132</f>
        <v>Выкидной нефтепровод Скв 869 – ГЗУ 28, водонефтяная эмульсия</v>
      </c>
      <c r="C133" s="79" t="s">
        <v>107</v>
      </c>
      <c r="D133" s="9" t="s">
        <v>28</v>
      </c>
      <c r="E133" s="67">
        <f>E132</f>
        <v>2.9999999999999999E-7</v>
      </c>
      <c r="F133" s="68">
        <f>F132</f>
        <v>900</v>
      </c>
      <c r="G133" s="8">
        <v>0.04</v>
      </c>
      <c r="H133" s="10">
        <f t="shared" si="142"/>
        <v>1.08E-5</v>
      </c>
      <c r="I133" s="62">
        <f>I132</f>
        <v>3.69</v>
      </c>
      <c r="J133" s="298">
        <f>POWER(10,-6)*35*SQRT(100)*3600*L132/1000*0.1</f>
        <v>1.8597599999999999E-2</v>
      </c>
      <c r="K133" s="72" t="s">
        <v>123</v>
      </c>
      <c r="L133" s="77">
        <v>0</v>
      </c>
      <c r="M133" s="31" t="str">
        <f t="shared" si="143"/>
        <v>C80</v>
      </c>
      <c r="N133" s="31" t="str">
        <f t="shared" si="144"/>
        <v>Выкидной нефтепровод Скв 869 – ГЗУ 28, водонефтяная эмульсия</v>
      </c>
      <c r="O133" s="31" t="str">
        <f t="shared" si="145"/>
        <v>Полное-взрыв</v>
      </c>
      <c r="P133" s="31" t="s">
        <v>46</v>
      </c>
      <c r="Q133" s="31" t="s">
        <v>46</v>
      </c>
      <c r="R133" s="31" t="s">
        <v>46</v>
      </c>
      <c r="S133" s="31" t="s">
        <v>46</v>
      </c>
      <c r="T133" s="31">
        <v>0</v>
      </c>
      <c r="U133" s="31">
        <v>0</v>
      </c>
      <c r="V133" s="31">
        <v>0</v>
      </c>
      <c r="W133" s="31">
        <v>0</v>
      </c>
      <c r="X133" s="31">
        <v>16.600000000000001</v>
      </c>
      <c r="Y133" s="31" t="s">
        <v>46</v>
      </c>
      <c r="Z133" s="31" t="s">
        <v>46</v>
      </c>
      <c r="AA133" s="31" t="s">
        <v>46</v>
      </c>
      <c r="AB133" s="31" t="s">
        <v>46</v>
      </c>
      <c r="AC133" s="31" t="s">
        <v>46</v>
      </c>
      <c r="AD133" s="31" t="s">
        <v>46</v>
      </c>
      <c r="AE133" s="31" t="s">
        <v>46</v>
      </c>
      <c r="AF133" s="31" t="s">
        <v>46</v>
      </c>
      <c r="AG133" s="31" t="s">
        <v>46</v>
      </c>
      <c r="AH133" s="31" t="s">
        <v>46</v>
      </c>
      <c r="AI133" s="31" t="s">
        <v>46</v>
      </c>
      <c r="AJ133" s="12">
        <v>1</v>
      </c>
      <c r="AK133" s="12">
        <v>1</v>
      </c>
      <c r="AL133" s="31">
        <f>AL132</f>
        <v>0.75</v>
      </c>
      <c r="AM133" s="31">
        <f>AM132</f>
        <v>2.7E-2</v>
      </c>
      <c r="AN133" s="31">
        <f>AN132</f>
        <v>3</v>
      </c>
      <c r="AO133" s="31"/>
      <c r="AP133" s="31"/>
      <c r="AQ133" s="32">
        <f>AM133*I133+AL133</f>
        <v>0.84963</v>
      </c>
      <c r="AR133" s="32">
        <f t="shared" si="146"/>
        <v>8.4963000000000011E-2</v>
      </c>
      <c r="AS133" s="33">
        <f t="shared" si="147"/>
        <v>3.25</v>
      </c>
      <c r="AT133" s="33">
        <f t="shared" si="148"/>
        <v>1.0461482499999999</v>
      </c>
      <c r="AU133" s="32">
        <f>10068.2*J133*POWER(10,-6)*10</f>
        <v>1.8724435632E-3</v>
      </c>
      <c r="AV133" s="33">
        <f t="shared" si="149"/>
        <v>5.2326136935632004</v>
      </c>
      <c r="AW133" s="34">
        <f t="shared" si="150"/>
        <v>1.08E-5</v>
      </c>
      <c r="AX133" s="34">
        <f t="shared" si="151"/>
        <v>1.08E-5</v>
      </c>
      <c r="AY133" s="34">
        <f t="shared" si="152"/>
        <v>5.6512227890482564E-5</v>
      </c>
      <c r="AZ133" s="288">
        <f>AW133/DB!$B$23</f>
        <v>5.5384615384615381E-9</v>
      </c>
      <c r="BA133" s="288">
        <f>AX133/DB!$B$23</f>
        <v>5.5384615384615381E-9</v>
      </c>
    </row>
    <row r="134" spans="1:53" x14ac:dyDescent="0.3">
      <c r="A134" s="8" t="s">
        <v>569</v>
      </c>
      <c r="B134" s="8" t="str">
        <f>B132</f>
        <v>Выкидной нефтепровод Скв 869 – ГЗУ 28, водонефтяная эмульсия</v>
      </c>
      <c r="C134" s="79" t="s">
        <v>108</v>
      </c>
      <c r="D134" s="9" t="s">
        <v>26</v>
      </c>
      <c r="E134" s="67">
        <f>E132</f>
        <v>2.9999999999999999E-7</v>
      </c>
      <c r="F134" s="68">
        <f>F132</f>
        <v>900</v>
      </c>
      <c r="G134" s="8">
        <v>0.76</v>
      </c>
      <c r="H134" s="10">
        <f t="shared" si="142"/>
        <v>2.052E-4</v>
      </c>
      <c r="I134" s="62">
        <f>I132</f>
        <v>3.69</v>
      </c>
      <c r="J134" s="71">
        <v>0</v>
      </c>
      <c r="K134" s="72" t="s">
        <v>124</v>
      </c>
      <c r="L134" s="77">
        <v>0</v>
      </c>
      <c r="M134" s="31" t="str">
        <f t="shared" si="143"/>
        <v>C81</v>
      </c>
      <c r="N134" s="31" t="str">
        <f t="shared" si="144"/>
        <v>Выкидной нефтепровод Скв 869 – ГЗУ 28, водонефтяная эмульсия</v>
      </c>
      <c r="O134" s="31" t="str">
        <f t="shared" si="145"/>
        <v>Полное-ликвидация</v>
      </c>
      <c r="P134" s="31" t="s">
        <v>46</v>
      </c>
      <c r="Q134" s="31" t="s">
        <v>46</v>
      </c>
      <c r="R134" s="31" t="s">
        <v>46</v>
      </c>
      <c r="S134" s="31" t="s">
        <v>46</v>
      </c>
      <c r="T134" s="31" t="s">
        <v>46</v>
      </c>
      <c r="U134" s="31" t="s">
        <v>46</v>
      </c>
      <c r="V134" s="31" t="s">
        <v>46</v>
      </c>
      <c r="W134" s="31" t="s">
        <v>46</v>
      </c>
      <c r="X134" s="31" t="s">
        <v>46</v>
      </c>
      <c r="Y134" s="31" t="s">
        <v>46</v>
      </c>
      <c r="Z134" s="31" t="s">
        <v>46</v>
      </c>
      <c r="AA134" s="31" t="s">
        <v>46</v>
      </c>
      <c r="AB134" s="31" t="s">
        <v>46</v>
      </c>
      <c r="AC134" s="31" t="s">
        <v>46</v>
      </c>
      <c r="AD134" s="31" t="s">
        <v>46</v>
      </c>
      <c r="AE134" s="31" t="s">
        <v>46</v>
      </c>
      <c r="AF134" s="31" t="s">
        <v>46</v>
      </c>
      <c r="AG134" s="31" t="s">
        <v>46</v>
      </c>
      <c r="AH134" s="31" t="s">
        <v>46</v>
      </c>
      <c r="AI134" s="31" t="s">
        <v>46</v>
      </c>
      <c r="AJ134" s="31">
        <v>0</v>
      </c>
      <c r="AK134" s="31">
        <v>0</v>
      </c>
      <c r="AL134" s="31">
        <f>AL132</f>
        <v>0.75</v>
      </c>
      <c r="AM134" s="31">
        <f>AM132</f>
        <v>2.7E-2</v>
      </c>
      <c r="AN134" s="31">
        <f>AN132</f>
        <v>3</v>
      </c>
      <c r="AO134" s="31"/>
      <c r="AP134" s="31"/>
      <c r="AQ134" s="32">
        <f>AM134*I134*0.1+AL134</f>
        <v>0.75996299999999994</v>
      </c>
      <c r="AR134" s="32">
        <f t="shared" si="146"/>
        <v>7.5996300000000003E-2</v>
      </c>
      <c r="AS134" s="33">
        <f t="shared" si="147"/>
        <v>0</v>
      </c>
      <c r="AT134" s="33">
        <f t="shared" si="148"/>
        <v>0.20898982499999999</v>
      </c>
      <c r="AU134" s="32">
        <f>1333*J133*POWER(10,-6)</f>
        <v>2.4790600799999999E-5</v>
      </c>
      <c r="AV134" s="33">
        <f t="shared" si="149"/>
        <v>1.0449739156008</v>
      </c>
      <c r="AW134" s="34">
        <f t="shared" si="150"/>
        <v>0</v>
      </c>
      <c r="AX134" s="34">
        <f t="shared" si="151"/>
        <v>0</v>
      </c>
      <c r="AY134" s="34">
        <f t="shared" si="152"/>
        <v>2.1442864748128415E-4</v>
      </c>
      <c r="AZ134" s="288">
        <f>AW134/DB!$B$23</f>
        <v>0</v>
      </c>
      <c r="BA134" s="288">
        <f>AX134/DB!$B$23</f>
        <v>0</v>
      </c>
    </row>
    <row r="135" spans="1:53" x14ac:dyDescent="0.3">
      <c r="A135" s="8" t="s">
        <v>570</v>
      </c>
      <c r="B135" s="8" t="str">
        <f>B132</f>
        <v>Выкидной нефтепровод Скв 869 – ГЗУ 28, водонефтяная эмульсия</v>
      </c>
      <c r="C135" s="79" t="s">
        <v>109</v>
      </c>
      <c r="D135" s="9" t="s">
        <v>47</v>
      </c>
      <c r="E135" s="66">
        <v>1.9999999999999999E-6</v>
      </c>
      <c r="F135" s="68">
        <f>F132</f>
        <v>900</v>
      </c>
      <c r="G135" s="8">
        <v>0.2</v>
      </c>
      <c r="H135" s="10">
        <f t="shared" si="142"/>
        <v>3.6000000000000002E-4</v>
      </c>
      <c r="I135" s="62">
        <f>0.15*I132</f>
        <v>0.55349999999999999</v>
      </c>
      <c r="J135" s="69">
        <f>I135</f>
        <v>0.55349999999999999</v>
      </c>
      <c r="K135" s="74" t="s">
        <v>126</v>
      </c>
      <c r="L135" s="78">
        <v>45390</v>
      </c>
      <c r="M135" s="31" t="str">
        <f t="shared" si="143"/>
        <v>C82</v>
      </c>
      <c r="N135" s="31" t="str">
        <f t="shared" si="144"/>
        <v>Выкидной нефтепровод Скв 869 – ГЗУ 28, водонефтяная эмульсия</v>
      </c>
      <c r="O135" s="31" t="str">
        <f t="shared" si="145"/>
        <v>Частичное-пожар</v>
      </c>
      <c r="P135" s="31">
        <v>4.2</v>
      </c>
      <c r="Q135" s="31">
        <v>6.2</v>
      </c>
      <c r="R135" s="31">
        <v>9.1</v>
      </c>
      <c r="S135" s="31">
        <v>16.899999999999999</v>
      </c>
      <c r="T135" s="31" t="s">
        <v>46</v>
      </c>
      <c r="U135" s="31" t="s">
        <v>46</v>
      </c>
      <c r="V135" s="31" t="s">
        <v>46</v>
      </c>
      <c r="W135" s="31" t="s">
        <v>46</v>
      </c>
      <c r="X135" s="31" t="s">
        <v>46</v>
      </c>
      <c r="Y135" s="31" t="s">
        <v>46</v>
      </c>
      <c r="Z135" s="31" t="s">
        <v>46</v>
      </c>
      <c r="AA135" s="31" t="s">
        <v>46</v>
      </c>
      <c r="AB135" s="31" t="s">
        <v>46</v>
      </c>
      <c r="AC135" s="31" t="s">
        <v>46</v>
      </c>
      <c r="AD135" s="31" t="s">
        <v>46</v>
      </c>
      <c r="AE135" s="31" t="s">
        <v>46</v>
      </c>
      <c r="AF135" s="31" t="s">
        <v>46</v>
      </c>
      <c r="AG135" s="31" t="s">
        <v>46</v>
      </c>
      <c r="AH135" s="31" t="s">
        <v>46</v>
      </c>
      <c r="AI135" s="31" t="s">
        <v>46</v>
      </c>
      <c r="AJ135" s="31">
        <v>0</v>
      </c>
      <c r="AK135" s="31">
        <v>2</v>
      </c>
      <c r="AL135" s="31">
        <f>0.1*$AL$2</f>
        <v>7.5000000000000011E-2</v>
      </c>
      <c r="AM135" s="31">
        <f>AM132</f>
        <v>2.7E-2</v>
      </c>
      <c r="AN135" s="31">
        <f>ROUNDUP(AN132/3,0)</f>
        <v>1</v>
      </c>
      <c r="AO135" s="31"/>
      <c r="AP135" s="31"/>
      <c r="AQ135" s="32">
        <f>AM135*I135+AL135</f>
        <v>8.9944500000000011E-2</v>
      </c>
      <c r="AR135" s="32">
        <f t="shared" si="146"/>
        <v>8.9944500000000011E-3</v>
      </c>
      <c r="AS135" s="33">
        <f t="shared" si="147"/>
        <v>0.5</v>
      </c>
      <c r="AT135" s="33">
        <f t="shared" si="148"/>
        <v>0.14973473749999999</v>
      </c>
      <c r="AU135" s="32">
        <f>10068.2*J135*POWER(10,-6)</f>
        <v>5.5727486999999996E-3</v>
      </c>
      <c r="AV135" s="33">
        <f t="shared" si="149"/>
        <v>0.75424643619999998</v>
      </c>
      <c r="AW135" s="34">
        <f t="shared" si="150"/>
        <v>0</v>
      </c>
      <c r="AX135" s="34">
        <f t="shared" si="151"/>
        <v>7.2000000000000005E-4</v>
      </c>
      <c r="AY135" s="34">
        <f t="shared" si="152"/>
        <v>2.7152871703200001E-4</v>
      </c>
      <c r="AZ135" s="288">
        <f>AW135/DB!$B$23</f>
        <v>0</v>
      </c>
      <c r="BA135" s="288">
        <f>AX135/DB!$B$23</f>
        <v>3.6923076923076927E-7</v>
      </c>
    </row>
    <row r="136" spans="1:53" x14ac:dyDescent="0.3">
      <c r="A136" s="8" t="s">
        <v>571</v>
      </c>
      <c r="B136" s="8" t="str">
        <f>B132</f>
        <v>Выкидной нефтепровод Скв 869 – ГЗУ 28, водонефтяная эмульсия</v>
      </c>
      <c r="C136" s="79" t="s">
        <v>110</v>
      </c>
      <c r="D136" s="9" t="s">
        <v>112</v>
      </c>
      <c r="E136" s="67">
        <f>E135</f>
        <v>1.9999999999999999E-6</v>
      </c>
      <c r="F136" s="68">
        <f>F132</f>
        <v>900</v>
      </c>
      <c r="G136" s="8">
        <v>0.04</v>
      </c>
      <c r="H136" s="10">
        <f t="shared" si="142"/>
        <v>7.2000000000000002E-5</v>
      </c>
      <c r="I136" s="62">
        <f>0.15*I132</f>
        <v>0.55349999999999999</v>
      </c>
      <c r="J136" s="69">
        <f>0.5*J133</f>
        <v>9.2987999999999994E-3</v>
      </c>
      <c r="K136" s="74" t="s">
        <v>127</v>
      </c>
      <c r="L136" s="78">
        <v>3</v>
      </c>
      <c r="M136" s="31" t="str">
        <f t="shared" si="143"/>
        <v>C83</v>
      </c>
      <c r="N136" s="31" t="str">
        <f t="shared" si="144"/>
        <v>Выкидной нефтепровод Скв 869 – ГЗУ 28, водонефтяная эмульсия</v>
      </c>
      <c r="O136" s="31" t="str">
        <f t="shared" si="145"/>
        <v>Частичное-пожар-вспышка</v>
      </c>
      <c r="P136" s="31" t="s">
        <v>46</v>
      </c>
      <c r="Q136" s="31" t="s">
        <v>46</v>
      </c>
      <c r="R136" s="31" t="s">
        <v>46</v>
      </c>
      <c r="S136" s="31" t="s">
        <v>46</v>
      </c>
      <c r="T136" s="31" t="s">
        <v>46</v>
      </c>
      <c r="U136" s="31" t="s">
        <v>46</v>
      </c>
      <c r="V136" s="31" t="s">
        <v>46</v>
      </c>
      <c r="W136" s="31" t="s">
        <v>46</v>
      </c>
      <c r="X136" s="31" t="s">
        <v>46</v>
      </c>
      <c r="Y136" s="31" t="s">
        <v>46</v>
      </c>
      <c r="Z136" s="31" t="s">
        <v>46</v>
      </c>
      <c r="AA136" s="31">
        <v>7.16</v>
      </c>
      <c r="AB136" s="31">
        <v>8.59</v>
      </c>
      <c r="AC136" s="31" t="s">
        <v>46</v>
      </c>
      <c r="AD136" s="31" t="s">
        <v>46</v>
      </c>
      <c r="AE136" s="31" t="s">
        <v>46</v>
      </c>
      <c r="AF136" s="31" t="s">
        <v>46</v>
      </c>
      <c r="AG136" s="31" t="s">
        <v>46</v>
      </c>
      <c r="AH136" s="31" t="s">
        <v>46</v>
      </c>
      <c r="AI136" s="31" t="s">
        <v>46</v>
      </c>
      <c r="AJ136" s="31">
        <v>0</v>
      </c>
      <c r="AK136" s="31">
        <v>1</v>
      </c>
      <c r="AL136" s="31">
        <f>0.1*$AL$2</f>
        <v>7.5000000000000011E-2</v>
      </c>
      <c r="AM136" s="31">
        <f>AM132</f>
        <v>2.7E-2</v>
      </c>
      <c r="AN136" s="31">
        <f>ROUNDUP(AN132/3,0)</f>
        <v>1</v>
      </c>
      <c r="AO136" s="31"/>
      <c r="AP136" s="31"/>
      <c r="AQ136" s="32">
        <f>AM136*I136+AL136</f>
        <v>8.9944500000000011E-2</v>
      </c>
      <c r="AR136" s="32">
        <f t="shared" si="146"/>
        <v>8.9944500000000011E-3</v>
      </c>
      <c r="AS136" s="33">
        <f t="shared" si="147"/>
        <v>0.25</v>
      </c>
      <c r="AT136" s="33">
        <f t="shared" si="148"/>
        <v>8.7234737500000006E-2</v>
      </c>
      <c r="AU136" s="32">
        <f>10068.2*J136*POWER(10,-6)*10</f>
        <v>9.3622178159999999E-4</v>
      </c>
      <c r="AV136" s="33">
        <f t="shared" si="149"/>
        <v>0.43710990928159998</v>
      </c>
      <c r="AW136" s="34">
        <f t="shared" si="150"/>
        <v>0</v>
      </c>
      <c r="AX136" s="34">
        <f t="shared" si="151"/>
        <v>7.2000000000000002E-5</v>
      </c>
      <c r="AY136" s="34">
        <f t="shared" si="152"/>
        <v>3.14719134682752E-5</v>
      </c>
      <c r="AZ136" s="288">
        <f>AW136/DB!$B$23</f>
        <v>0</v>
      </c>
      <c r="BA136" s="288">
        <f>AX136/DB!$B$23</f>
        <v>3.6923076923076922E-8</v>
      </c>
    </row>
    <row r="137" spans="1:53" x14ac:dyDescent="0.3">
      <c r="A137" s="170" t="s">
        <v>572</v>
      </c>
      <c r="B137" s="170" t="str">
        <f>B132</f>
        <v>Выкидной нефтепровод Скв 869 – ГЗУ 28, водонефтяная эмульсия</v>
      </c>
      <c r="C137" s="171" t="s">
        <v>111</v>
      </c>
      <c r="D137" s="172" t="s">
        <v>27</v>
      </c>
      <c r="E137" s="173">
        <f>E135</f>
        <v>1.9999999999999999E-6</v>
      </c>
      <c r="F137" s="174">
        <f>F132</f>
        <v>900</v>
      </c>
      <c r="G137" s="170">
        <v>0.76</v>
      </c>
      <c r="H137" s="175">
        <f t="shared" si="142"/>
        <v>1.3680000000000001E-3</v>
      </c>
      <c r="I137" s="176">
        <f>0.15*I132</f>
        <v>0.55349999999999999</v>
      </c>
      <c r="J137" s="177">
        <v>0</v>
      </c>
      <c r="K137" s="178" t="s">
        <v>138</v>
      </c>
      <c r="L137" s="179">
        <v>1</v>
      </c>
      <c r="M137" s="31" t="str">
        <f t="shared" si="143"/>
        <v>C84</v>
      </c>
      <c r="N137" s="31" t="str">
        <f t="shared" si="144"/>
        <v>Выкидной нефтепровод Скв 869 – ГЗУ 28, водонефтяная эмульсия</v>
      </c>
      <c r="O137" s="31" t="str">
        <f t="shared" si="145"/>
        <v>Частичное-ликвидация</v>
      </c>
      <c r="P137" s="31" t="s">
        <v>46</v>
      </c>
      <c r="Q137" s="31" t="s">
        <v>46</v>
      </c>
      <c r="R137" s="31" t="s">
        <v>46</v>
      </c>
      <c r="S137" s="31" t="s">
        <v>46</v>
      </c>
      <c r="T137" s="31" t="s">
        <v>46</v>
      </c>
      <c r="U137" s="31" t="s">
        <v>46</v>
      </c>
      <c r="V137" s="31" t="s">
        <v>46</v>
      </c>
      <c r="W137" s="31" t="s">
        <v>46</v>
      </c>
      <c r="X137" s="31" t="s">
        <v>46</v>
      </c>
      <c r="Y137" s="31" t="s">
        <v>46</v>
      </c>
      <c r="Z137" s="31" t="s">
        <v>46</v>
      </c>
      <c r="AA137" s="31" t="s">
        <v>46</v>
      </c>
      <c r="AB137" s="31" t="s">
        <v>46</v>
      </c>
      <c r="AC137" s="31" t="s">
        <v>46</v>
      </c>
      <c r="AD137" s="31" t="s">
        <v>46</v>
      </c>
      <c r="AE137" s="31" t="s">
        <v>46</v>
      </c>
      <c r="AF137" s="31" t="s">
        <v>46</v>
      </c>
      <c r="AG137" s="31" t="s">
        <v>46</v>
      </c>
      <c r="AH137" s="31" t="s">
        <v>46</v>
      </c>
      <c r="AI137" s="31" t="s">
        <v>46</v>
      </c>
      <c r="AJ137" s="31">
        <v>0</v>
      </c>
      <c r="AK137" s="31">
        <v>0</v>
      </c>
      <c r="AL137" s="31">
        <f>0.1*$AL$2</f>
        <v>7.5000000000000011E-2</v>
      </c>
      <c r="AM137" s="31">
        <f>AM132</f>
        <v>2.7E-2</v>
      </c>
      <c r="AN137" s="31">
        <f>ROUNDUP(AN132/3,0)</f>
        <v>1</v>
      </c>
      <c r="AO137" s="31"/>
      <c r="AP137" s="31"/>
      <c r="AQ137" s="32">
        <f>AM137*I137*0.1+AL137</f>
        <v>7.6494450000000005E-2</v>
      </c>
      <c r="AR137" s="32">
        <f t="shared" si="146"/>
        <v>7.6494450000000012E-3</v>
      </c>
      <c r="AS137" s="33">
        <f t="shared" si="147"/>
        <v>0</v>
      </c>
      <c r="AT137" s="33">
        <f t="shared" si="148"/>
        <v>2.1035973750000003E-2</v>
      </c>
      <c r="AU137" s="32">
        <f>1333*J136*POWER(10,-6)</f>
        <v>1.2395300399999999E-5</v>
      </c>
      <c r="AV137" s="33">
        <f t="shared" si="149"/>
        <v>0.10519226405040001</v>
      </c>
      <c r="AW137" s="34">
        <f t="shared" si="150"/>
        <v>0</v>
      </c>
      <c r="AX137" s="34">
        <f t="shared" si="151"/>
        <v>0</v>
      </c>
      <c r="AY137" s="34">
        <f t="shared" si="152"/>
        <v>1.4390301722094721E-4</v>
      </c>
      <c r="AZ137" s="288">
        <f>AW137/DB!$B$23</f>
        <v>0</v>
      </c>
      <c r="BA137" s="288">
        <f>AX137/DB!$B$23</f>
        <v>0</v>
      </c>
    </row>
    <row r="138" spans="1:53" s="180" customForma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207" t="s">
        <v>466</v>
      </c>
      <c r="L138" s="287" t="s">
        <v>601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spans="1:53" s="180" customForma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spans="1:53" s="180" customForma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spans="1:53" ht="15" thickBot="1" x14ac:dyDescent="0.35"/>
    <row r="142" spans="1:53" ht="15" thickBot="1" x14ac:dyDescent="0.35">
      <c r="A142" s="323" t="s">
        <v>573</v>
      </c>
      <c r="B142" s="63" t="s">
        <v>664</v>
      </c>
      <c r="C142" s="79" t="s">
        <v>106</v>
      </c>
      <c r="D142" s="9" t="s">
        <v>25</v>
      </c>
      <c r="E142" s="66">
        <v>2.9999999999999999E-7</v>
      </c>
      <c r="F142" s="63">
        <v>500</v>
      </c>
      <c r="G142" s="8">
        <v>0.2</v>
      </c>
      <c r="H142" s="10">
        <f t="shared" ref="H142:H147" si="153">E142*F142*G142</f>
        <v>2.9999999999999997E-5</v>
      </c>
      <c r="I142" s="64">
        <v>2.33</v>
      </c>
      <c r="J142" s="69">
        <f>I142</f>
        <v>2.33</v>
      </c>
      <c r="K142" s="72" t="s">
        <v>122</v>
      </c>
      <c r="L142" s="77">
        <f>40*I142</f>
        <v>93.2</v>
      </c>
      <c r="M142" s="31" t="str">
        <f t="shared" ref="M142:M147" si="154">A142</f>
        <v>C85</v>
      </c>
      <c r="N142" s="31" t="str">
        <f t="shared" ref="N142:N147" si="155">B142</f>
        <v>Выкидной нефтепровод Скв 878 – (Скв 875 - ГЗУ 31), водонефтяная эмульсия</v>
      </c>
      <c r="O142" s="31" t="str">
        <f t="shared" ref="O142:O147" si="156">D142</f>
        <v>Полное-пожар</v>
      </c>
      <c r="P142" s="31">
        <v>7.8</v>
      </c>
      <c r="Q142" s="31">
        <v>11.1</v>
      </c>
      <c r="R142" s="31">
        <v>16.5</v>
      </c>
      <c r="S142" s="31">
        <v>32.5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1</v>
      </c>
      <c r="AK142" s="12">
        <v>1</v>
      </c>
      <c r="AL142" s="65">
        <v>0.75</v>
      </c>
      <c r="AM142" s="65">
        <v>2.7E-2</v>
      </c>
      <c r="AN142" s="65">
        <v>3</v>
      </c>
      <c r="AO142" s="31"/>
      <c r="AP142" s="31"/>
      <c r="AQ142" s="32">
        <f>AM142*I142+AL142</f>
        <v>0.81291000000000002</v>
      </c>
      <c r="AR142" s="32">
        <f t="shared" ref="AR142:AR147" si="157">0.1*AQ142</f>
        <v>8.1291000000000002E-2</v>
      </c>
      <c r="AS142" s="33">
        <f t="shared" ref="AS142:AS147" si="158">AJ142*3+0.25*AK142</f>
        <v>3.25</v>
      </c>
      <c r="AT142" s="33">
        <f t="shared" ref="AT142:AT147" si="159">SUM(AQ142:AS142)/4</f>
        <v>1.03605025</v>
      </c>
      <c r="AU142" s="32">
        <f>10068.2*J142*POWER(10,-6)</f>
        <v>2.3458906000000002E-2</v>
      </c>
      <c r="AV142" s="33">
        <f t="shared" ref="AV142:AV147" si="160">AU142+AT142+AS142+AR142+AQ142</f>
        <v>5.2037101559999996</v>
      </c>
      <c r="AW142" s="34">
        <f t="shared" ref="AW142:AW147" si="161">AJ142*H142</f>
        <v>2.9999999999999997E-5</v>
      </c>
      <c r="AX142" s="34">
        <f t="shared" ref="AX142:AX147" si="162">H142*AK142</f>
        <v>2.9999999999999997E-5</v>
      </c>
      <c r="AY142" s="34">
        <f t="shared" ref="AY142:AY147" si="163">H142*AV142</f>
        <v>1.5611130467999996E-4</v>
      </c>
      <c r="AZ142" s="288">
        <f>AW142/DB!$B$23</f>
        <v>1.5384615384615382E-8</v>
      </c>
      <c r="BA142" s="288">
        <f>AX142/DB!$B$23</f>
        <v>1.5384615384615382E-8</v>
      </c>
    </row>
    <row r="143" spans="1:53" ht="15" thickBot="1" x14ac:dyDescent="0.35">
      <c r="A143" s="8" t="s">
        <v>574</v>
      </c>
      <c r="B143" s="8" t="str">
        <f>B142</f>
        <v>Выкидной нефтепровод Скв 878 – (Скв 875 - ГЗУ 31), водонефтяная эмульсия</v>
      </c>
      <c r="C143" s="79" t="s">
        <v>107</v>
      </c>
      <c r="D143" s="9" t="s">
        <v>28</v>
      </c>
      <c r="E143" s="67">
        <f>E142</f>
        <v>2.9999999999999999E-7</v>
      </c>
      <c r="F143" s="68">
        <f>F142</f>
        <v>500</v>
      </c>
      <c r="G143" s="8">
        <v>0.04</v>
      </c>
      <c r="H143" s="10">
        <f t="shared" si="153"/>
        <v>5.9999999999999993E-6</v>
      </c>
      <c r="I143" s="62">
        <f>I142</f>
        <v>2.33</v>
      </c>
      <c r="J143" s="298">
        <f>POWER(10,-6)*35*SQRT(100)*3600*L142/1000*0.1</f>
        <v>1.1743200000000001E-2</v>
      </c>
      <c r="K143" s="72" t="s">
        <v>123</v>
      </c>
      <c r="L143" s="77">
        <v>0</v>
      </c>
      <c r="M143" s="31" t="str">
        <f t="shared" si="154"/>
        <v>C86</v>
      </c>
      <c r="N143" s="31" t="str">
        <f t="shared" si="155"/>
        <v>Выкидной нефтепровод Скв 878 – (Скв 875 - ГЗУ 31), водонефтяная эмульсия</v>
      </c>
      <c r="O143" s="31" t="str">
        <f t="shared" si="156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0</v>
      </c>
      <c r="W143" s="31">
        <v>0</v>
      </c>
      <c r="X143" s="31">
        <v>10.6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1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0.81291000000000002</v>
      </c>
      <c r="AR143" s="32">
        <f t="shared" si="157"/>
        <v>8.1291000000000002E-2</v>
      </c>
      <c r="AS143" s="33">
        <f t="shared" si="158"/>
        <v>3.25</v>
      </c>
      <c r="AT143" s="33">
        <f t="shared" si="159"/>
        <v>1.03605025</v>
      </c>
      <c r="AU143" s="32">
        <f>10068.2*J143*POWER(10,-6)*10</f>
        <v>1.1823288624E-3</v>
      </c>
      <c r="AV143" s="33">
        <f t="shared" si="160"/>
        <v>5.1814335788624</v>
      </c>
      <c r="AW143" s="34">
        <f t="shared" si="161"/>
        <v>5.9999999999999993E-6</v>
      </c>
      <c r="AX143" s="34">
        <f t="shared" si="162"/>
        <v>5.9999999999999993E-6</v>
      </c>
      <c r="AY143" s="34">
        <f t="shared" si="163"/>
        <v>3.1088601473174399E-5</v>
      </c>
      <c r="AZ143" s="288">
        <f>AW143/DB!$B$23</f>
        <v>3.0769230769230765E-9</v>
      </c>
      <c r="BA143" s="288">
        <f>AX143/DB!$B$23</f>
        <v>3.0769230769230765E-9</v>
      </c>
    </row>
    <row r="144" spans="1:53" x14ac:dyDescent="0.3">
      <c r="A144" s="8" t="s">
        <v>575</v>
      </c>
      <c r="B144" s="8" t="str">
        <f>B142</f>
        <v>Выкидной нефтепровод Скв 878 – (Скв 875 - ГЗУ 31), водонефтяная эмульсия</v>
      </c>
      <c r="C144" s="79" t="s">
        <v>108</v>
      </c>
      <c r="D144" s="9" t="s">
        <v>26</v>
      </c>
      <c r="E144" s="67">
        <f>E142</f>
        <v>2.9999999999999999E-7</v>
      </c>
      <c r="F144" s="68">
        <f>F142</f>
        <v>500</v>
      </c>
      <c r="G144" s="8">
        <v>0.76</v>
      </c>
      <c r="H144" s="10">
        <f t="shared" si="153"/>
        <v>1.1399999999999999E-4</v>
      </c>
      <c r="I144" s="62">
        <f>I142</f>
        <v>2.33</v>
      </c>
      <c r="J144" s="71">
        <v>0</v>
      </c>
      <c r="K144" s="72" t="s">
        <v>124</v>
      </c>
      <c r="L144" s="77">
        <v>0</v>
      </c>
      <c r="M144" s="31" t="str">
        <f t="shared" si="154"/>
        <v>C87</v>
      </c>
      <c r="N144" s="31" t="str">
        <f t="shared" si="155"/>
        <v>Выкидной нефтепровод Скв 878 – (Скв 875 - ГЗУ 31), водонефтяная эмульсия</v>
      </c>
      <c r="O144" s="31" t="str">
        <f t="shared" si="156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0.75629100000000005</v>
      </c>
      <c r="AR144" s="32">
        <f t="shared" si="157"/>
        <v>7.5629100000000005E-2</v>
      </c>
      <c r="AS144" s="33">
        <f t="shared" si="158"/>
        <v>0</v>
      </c>
      <c r="AT144" s="33">
        <f t="shared" si="159"/>
        <v>0.20798002500000001</v>
      </c>
      <c r="AU144" s="32">
        <f>1333*J143*POWER(10,-6)</f>
        <v>1.5653685600000001E-5</v>
      </c>
      <c r="AV144" s="33">
        <f t="shared" si="160"/>
        <v>1.0399157786856001</v>
      </c>
      <c r="AW144" s="34">
        <f t="shared" si="161"/>
        <v>0</v>
      </c>
      <c r="AX144" s="34">
        <f t="shared" si="162"/>
        <v>0</v>
      </c>
      <c r="AY144" s="34">
        <f t="shared" si="163"/>
        <v>1.1855039877015841E-4</v>
      </c>
      <c r="AZ144" s="288">
        <f>AW144/DB!$B$23</f>
        <v>0</v>
      </c>
      <c r="BA144" s="288">
        <f>AX144/DB!$B$23</f>
        <v>0</v>
      </c>
    </row>
    <row r="145" spans="1:53" x14ac:dyDescent="0.3">
      <c r="A145" s="8" t="s">
        <v>576</v>
      </c>
      <c r="B145" s="8" t="str">
        <f>B142</f>
        <v>Выкидной нефтепровод Скв 878 – (Скв 875 - ГЗУ 31), водонефтяная эмульсия</v>
      </c>
      <c r="C145" s="79" t="s">
        <v>109</v>
      </c>
      <c r="D145" s="9" t="s">
        <v>47</v>
      </c>
      <c r="E145" s="66">
        <v>1.9999999999999999E-6</v>
      </c>
      <c r="F145" s="68">
        <f>F142</f>
        <v>500</v>
      </c>
      <c r="G145" s="8">
        <v>0.2</v>
      </c>
      <c r="H145" s="10">
        <f t="shared" si="153"/>
        <v>2.0000000000000001E-4</v>
      </c>
      <c r="I145" s="62">
        <f>0.15*I142</f>
        <v>0.34949999999999998</v>
      </c>
      <c r="J145" s="69">
        <f>I145</f>
        <v>0.34949999999999998</v>
      </c>
      <c r="K145" s="74" t="s">
        <v>126</v>
      </c>
      <c r="L145" s="78">
        <v>45390</v>
      </c>
      <c r="M145" s="31" t="str">
        <f t="shared" si="154"/>
        <v>C88</v>
      </c>
      <c r="N145" s="31" t="str">
        <f t="shared" si="155"/>
        <v>Выкидной нефтепровод Скв 878 – (Скв 875 - ГЗУ 31), водонефтяная эмульсия</v>
      </c>
      <c r="O145" s="31" t="str">
        <f t="shared" si="156"/>
        <v>Частичное-пожар</v>
      </c>
      <c r="P145" s="31">
        <v>3.6</v>
      </c>
      <c r="Q145" s="31">
        <v>5.3</v>
      </c>
      <c r="R145" s="31">
        <v>7.9</v>
      </c>
      <c r="S145" s="31">
        <v>14.4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2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8.4436500000000012E-2</v>
      </c>
      <c r="AR145" s="32">
        <f t="shared" si="157"/>
        <v>8.4436500000000022E-3</v>
      </c>
      <c r="AS145" s="33">
        <f t="shared" si="158"/>
        <v>0.5</v>
      </c>
      <c r="AT145" s="33">
        <f t="shared" si="159"/>
        <v>0.14822003750000001</v>
      </c>
      <c r="AU145" s="32">
        <f>10068.2*J145*POWER(10,-6)</f>
        <v>3.5188359E-3</v>
      </c>
      <c r="AV145" s="33">
        <f t="shared" si="160"/>
        <v>0.74461902340000008</v>
      </c>
      <c r="AW145" s="34">
        <f t="shared" si="161"/>
        <v>0</v>
      </c>
      <c r="AX145" s="34">
        <f t="shared" si="162"/>
        <v>4.0000000000000002E-4</v>
      </c>
      <c r="AY145" s="34">
        <f t="shared" si="163"/>
        <v>1.4892380468000001E-4</v>
      </c>
      <c r="AZ145" s="288">
        <f>AW145/DB!$B$23</f>
        <v>0</v>
      </c>
      <c r="BA145" s="288">
        <f>AX145/DB!$B$23</f>
        <v>2.0512820512820514E-7</v>
      </c>
    </row>
    <row r="146" spans="1:53" x14ac:dyDescent="0.3">
      <c r="A146" s="8" t="s">
        <v>577</v>
      </c>
      <c r="B146" s="8" t="str">
        <f>B142</f>
        <v>Выкидной нефтепровод Скв 878 – (Скв 875 - ГЗУ 31), водонефтяная эмульсия</v>
      </c>
      <c r="C146" s="79" t="s">
        <v>110</v>
      </c>
      <c r="D146" s="9" t="s">
        <v>112</v>
      </c>
      <c r="E146" s="67">
        <f>E145</f>
        <v>1.9999999999999999E-6</v>
      </c>
      <c r="F146" s="68">
        <f>F142</f>
        <v>500</v>
      </c>
      <c r="G146" s="8">
        <v>0.04</v>
      </c>
      <c r="H146" s="10">
        <f t="shared" si="153"/>
        <v>4.0000000000000003E-5</v>
      </c>
      <c r="I146" s="62">
        <f>0.15*I142</f>
        <v>0.34949999999999998</v>
      </c>
      <c r="J146" s="69">
        <f>0.5*J143</f>
        <v>5.8716000000000003E-3</v>
      </c>
      <c r="K146" s="74" t="s">
        <v>127</v>
      </c>
      <c r="L146" s="78">
        <v>3</v>
      </c>
      <c r="M146" s="31" t="str">
        <f t="shared" si="154"/>
        <v>C89</v>
      </c>
      <c r="N146" s="31" t="str">
        <f t="shared" si="155"/>
        <v>Выкидной нефтепровод Скв 878 – (Скв 875 - ГЗУ 31), водонефтяная эмульсия</v>
      </c>
      <c r="O146" s="31" t="str">
        <f t="shared" si="156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6.15</v>
      </c>
      <c r="AB146" s="31">
        <v>7.38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8.4436500000000012E-2</v>
      </c>
      <c r="AR146" s="32">
        <f t="shared" si="157"/>
        <v>8.4436500000000022E-3</v>
      </c>
      <c r="AS146" s="33">
        <f t="shared" si="158"/>
        <v>0.25</v>
      </c>
      <c r="AT146" s="33">
        <f t="shared" si="159"/>
        <v>8.5720037499999999E-2</v>
      </c>
      <c r="AU146" s="32">
        <f>10068.2*J146*POWER(10,-6)*10</f>
        <v>5.911644312E-4</v>
      </c>
      <c r="AV146" s="33">
        <f t="shared" si="160"/>
        <v>0.42919135193120006</v>
      </c>
      <c r="AW146" s="34">
        <f t="shared" si="161"/>
        <v>0</v>
      </c>
      <c r="AX146" s="34">
        <f t="shared" si="162"/>
        <v>4.0000000000000003E-5</v>
      </c>
      <c r="AY146" s="34">
        <f t="shared" si="163"/>
        <v>1.7167654077248005E-5</v>
      </c>
      <c r="AZ146" s="288">
        <f>AW146/DB!$B$23</f>
        <v>0</v>
      </c>
      <c r="BA146" s="288">
        <f>AX146/DB!$B$23</f>
        <v>2.0512820512820516E-8</v>
      </c>
    </row>
    <row r="147" spans="1:53" x14ac:dyDescent="0.3">
      <c r="A147" s="170" t="s">
        <v>578</v>
      </c>
      <c r="B147" s="170" t="str">
        <f>B142</f>
        <v>Выкидной нефтепровод Скв 878 – (Скв 875 - ГЗУ 31), водонефтяная эмульсия</v>
      </c>
      <c r="C147" s="171" t="s">
        <v>111</v>
      </c>
      <c r="D147" s="172" t="s">
        <v>27</v>
      </c>
      <c r="E147" s="173">
        <f>E145</f>
        <v>1.9999999999999999E-6</v>
      </c>
      <c r="F147" s="174">
        <f>F142</f>
        <v>500</v>
      </c>
      <c r="G147" s="170">
        <v>0.76</v>
      </c>
      <c r="H147" s="175">
        <f t="shared" si="153"/>
        <v>7.6000000000000004E-4</v>
      </c>
      <c r="I147" s="176">
        <f>0.15*I142</f>
        <v>0.34949999999999998</v>
      </c>
      <c r="J147" s="177">
        <v>0</v>
      </c>
      <c r="K147" s="178" t="s">
        <v>138</v>
      </c>
      <c r="L147" s="179">
        <v>1</v>
      </c>
      <c r="M147" s="31" t="str">
        <f t="shared" si="154"/>
        <v>C90</v>
      </c>
      <c r="N147" s="31" t="str">
        <f t="shared" si="155"/>
        <v>Выкидной нефтепровод Скв 878 – (Скв 875 - ГЗУ 31), водонефтяная эмульсия</v>
      </c>
      <c r="O147" s="31" t="str">
        <f t="shared" si="156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7.5943650000000015E-2</v>
      </c>
      <c r="AR147" s="32">
        <f t="shared" si="157"/>
        <v>7.5943650000000022E-3</v>
      </c>
      <c r="AS147" s="33">
        <f t="shared" si="158"/>
        <v>0</v>
      </c>
      <c r="AT147" s="33">
        <f t="shared" si="159"/>
        <v>2.0884503750000005E-2</v>
      </c>
      <c r="AU147" s="32">
        <f>1333*J146*POWER(10,-6)</f>
        <v>7.8268428000000004E-6</v>
      </c>
      <c r="AV147" s="33">
        <f t="shared" si="160"/>
        <v>0.10443034559280003</v>
      </c>
      <c r="AW147" s="34">
        <f t="shared" si="161"/>
        <v>0</v>
      </c>
      <c r="AX147" s="34">
        <f t="shared" si="162"/>
        <v>0</v>
      </c>
      <c r="AY147" s="34">
        <f t="shared" si="163"/>
        <v>7.9367062650528023E-5</v>
      </c>
      <c r="AZ147" s="288">
        <f>AW147/DB!$B$23</f>
        <v>0</v>
      </c>
      <c r="BA147" s="288">
        <f>AX147/DB!$B$23</f>
        <v>0</v>
      </c>
    </row>
    <row r="148" spans="1:53" s="180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07" t="s">
        <v>466</v>
      </c>
      <c r="L148" s="287" t="s">
        <v>601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80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80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579</v>
      </c>
      <c r="B152" s="63" t="s">
        <v>665</v>
      </c>
      <c r="C152" s="79" t="s">
        <v>106</v>
      </c>
      <c r="D152" s="9" t="s">
        <v>25</v>
      </c>
      <c r="E152" s="66">
        <v>2.9999999999999999E-7</v>
      </c>
      <c r="F152" s="63">
        <v>1200</v>
      </c>
      <c r="G152" s="8">
        <v>0.2</v>
      </c>
      <c r="H152" s="10">
        <f t="shared" ref="H152:H157" si="164">E152*F152*G152</f>
        <v>7.2000000000000002E-5</v>
      </c>
      <c r="I152" s="64">
        <v>3.06</v>
      </c>
      <c r="J152" s="69">
        <f>I152</f>
        <v>3.06</v>
      </c>
      <c r="K152" s="72" t="s">
        <v>122</v>
      </c>
      <c r="L152" s="77">
        <f>40*I152</f>
        <v>122.4</v>
      </c>
      <c r="M152" s="31" t="str">
        <f t="shared" ref="M152:M157" si="165">A152</f>
        <v>C91</v>
      </c>
      <c r="N152" s="31" t="str">
        <f t="shared" ref="N152:N157" si="166">B152</f>
        <v>Выкидной нефтепровод Скв 879 - ГЗУ 27, водонефтяная эмульсия</v>
      </c>
      <c r="O152" s="31" t="str">
        <f t="shared" ref="O152:O157" si="167">D152</f>
        <v>Полное-пожар</v>
      </c>
      <c r="P152" s="31">
        <v>9</v>
      </c>
      <c r="Q152" s="31">
        <v>12.7</v>
      </c>
      <c r="R152" s="31">
        <v>18.8</v>
      </c>
      <c r="S152" s="31">
        <v>36.6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1</v>
      </c>
      <c r="AK152" s="12">
        <v>1</v>
      </c>
      <c r="AL152" s="65">
        <v>0.75</v>
      </c>
      <c r="AM152" s="65">
        <v>2.7E-2</v>
      </c>
      <c r="AN152" s="65">
        <v>3</v>
      </c>
      <c r="AO152" s="31"/>
      <c r="AP152" s="31"/>
      <c r="AQ152" s="32">
        <f>AM152*I152+AL152</f>
        <v>0.83262000000000003</v>
      </c>
      <c r="AR152" s="32">
        <f t="shared" ref="AR152:AR157" si="168">0.1*AQ152</f>
        <v>8.3262000000000003E-2</v>
      </c>
      <c r="AS152" s="33">
        <f t="shared" ref="AS152:AS157" si="169">AJ152*3+0.25*AK152</f>
        <v>3.25</v>
      </c>
      <c r="AT152" s="33">
        <f t="shared" ref="AT152:AT157" si="170">SUM(AQ152:AS152)/4</f>
        <v>1.0414705</v>
      </c>
      <c r="AU152" s="32">
        <f>10068.2*J152*POWER(10,-6)</f>
        <v>3.0808692000000002E-2</v>
      </c>
      <c r="AV152" s="33">
        <f t="shared" ref="AV152:AV157" si="171">AU152+AT152+AS152+AR152+AQ152</f>
        <v>5.2381611920000006</v>
      </c>
      <c r="AW152" s="34">
        <f t="shared" ref="AW152:AW157" si="172">AJ152*H152</f>
        <v>7.2000000000000002E-5</v>
      </c>
      <c r="AX152" s="34">
        <f t="shared" ref="AX152:AX157" si="173">H152*AK152</f>
        <v>7.2000000000000002E-5</v>
      </c>
      <c r="AY152" s="34">
        <f t="shared" ref="AY152:AY157" si="174">H152*AV152</f>
        <v>3.7714760582400006E-4</v>
      </c>
      <c r="AZ152" s="288">
        <f>AW152/DB!$B$23</f>
        <v>3.6923076923076922E-8</v>
      </c>
      <c r="BA152" s="288">
        <f>AX152/DB!$B$23</f>
        <v>3.6923076923076922E-8</v>
      </c>
    </row>
    <row r="153" spans="1:53" ht="15" thickBot="1" x14ac:dyDescent="0.35">
      <c r="A153" s="8" t="s">
        <v>580</v>
      </c>
      <c r="B153" s="8" t="str">
        <f>B152</f>
        <v>Выкидной нефтепровод Скв 879 - ГЗУ 27, водонефтяная эмульсия</v>
      </c>
      <c r="C153" s="79" t="s">
        <v>107</v>
      </c>
      <c r="D153" s="9" t="s">
        <v>28</v>
      </c>
      <c r="E153" s="67">
        <f>E152</f>
        <v>2.9999999999999999E-7</v>
      </c>
      <c r="F153" s="68">
        <f>F152</f>
        <v>1200</v>
      </c>
      <c r="G153" s="8">
        <v>0.04</v>
      </c>
      <c r="H153" s="10">
        <f t="shared" si="164"/>
        <v>1.4399999999999999E-5</v>
      </c>
      <c r="I153" s="62">
        <f>I152</f>
        <v>3.06</v>
      </c>
      <c r="J153" s="298">
        <f>POWER(10,-6)*35*SQRT(100)*3600*L152/1000*0.1</f>
        <v>1.5422400000000001E-2</v>
      </c>
      <c r="K153" s="72" t="s">
        <v>123</v>
      </c>
      <c r="L153" s="77">
        <v>0</v>
      </c>
      <c r="M153" s="31" t="str">
        <f t="shared" si="165"/>
        <v>C92</v>
      </c>
      <c r="N153" s="31" t="str">
        <f t="shared" si="166"/>
        <v>Выкидной нефтепровод Скв 879 - ГЗУ 27, водонефтяная эмульсия</v>
      </c>
      <c r="O153" s="31" t="str">
        <f t="shared" si="167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0</v>
      </c>
      <c r="W153" s="31">
        <v>0</v>
      </c>
      <c r="X153" s="31">
        <v>14.1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1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0.83262000000000003</v>
      </c>
      <c r="AR153" s="32">
        <f t="shared" si="168"/>
        <v>8.3262000000000003E-2</v>
      </c>
      <c r="AS153" s="33">
        <f t="shared" si="169"/>
        <v>3.25</v>
      </c>
      <c r="AT153" s="33">
        <f t="shared" si="170"/>
        <v>1.0414705</v>
      </c>
      <c r="AU153" s="32">
        <f>10068.2*J153*POWER(10,-6)*10</f>
        <v>1.5527580768E-3</v>
      </c>
      <c r="AV153" s="33">
        <f t="shared" si="171"/>
        <v>5.2089052580768005</v>
      </c>
      <c r="AW153" s="34">
        <f t="shared" si="172"/>
        <v>1.4399999999999999E-5</v>
      </c>
      <c r="AX153" s="34">
        <f t="shared" si="173"/>
        <v>1.4399999999999999E-5</v>
      </c>
      <c r="AY153" s="34">
        <f t="shared" si="174"/>
        <v>7.5008235716305928E-5</v>
      </c>
      <c r="AZ153" s="288">
        <f>AW153/DB!$B$23</f>
        <v>7.3846153846153847E-9</v>
      </c>
      <c r="BA153" s="288">
        <f>AX153/DB!$B$23</f>
        <v>7.3846153846153847E-9</v>
      </c>
    </row>
    <row r="154" spans="1:53" x14ac:dyDescent="0.3">
      <c r="A154" s="8" t="s">
        <v>581</v>
      </c>
      <c r="B154" s="8" t="str">
        <f>B152</f>
        <v>Выкидной нефтепровод Скв 879 - ГЗУ 27, водонефтяная эмульсия</v>
      </c>
      <c r="C154" s="79" t="s">
        <v>108</v>
      </c>
      <c r="D154" s="9" t="s">
        <v>26</v>
      </c>
      <c r="E154" s="67">
        <f>E152</f>
        <v>2.9999999999999999E-7</v>
      </c>
      <c r="F154" s="68">
        <f>F152</f>
        <v>1200</v>
      </c>
      <c r="G154" s="8">
        <v>0.76</v>
      </c>
      <c r="H154" s="10">
        <f t="shared" si="164"/>
        <v>2.7359999999999998E-4</v>
      </c>
      <c r="I154" s="62">
        <f>I152</f>
        <v>3.06</v>
      </c>
      <c r="J154" s="71">
        <v>0</v>
      </c>
      <c r="K154" s="72" t="s">
        <v>124</v>
      </c>
      <c r="L154" s="77">
        <v>0</v>
      </c>
      <c r="M154" s="31" t="str">
        <f t="shared" si="165"/>
        <v>C93</v>
      </c>
      <c r="N154" s="31" t="str">
        <f t="shared" si="166"/>
        <v>Выкидной нефтепровод Скв 879 - ГЗУ 27, водонефтяная эмульсия</v>
      </c>
      <c r="O154" s="31" t="str">
        <f t="shared" si="167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0.75826199999999999</v>
      </c>
      <c r="AR154" s="32">
        <f t="shared" si="168"/>
        <v>7.582620000000001E-2</v>
      </c>
      <c r="AS154" s="33">
        <f t="shared" si="169"/>
        <v>0</v>
      </c>
      <c r="AT154" s="33">
        <f t="shared" si="170"/>
        <v>0.20852205000000001</v>
      </c>
      <c r="AU154" s="32">
        <f>1333*J153*POWER(10,-6)</f>
        <v>2.05580592E-5</v>
      </c>
      <c r="AV154" s="33">
        <f t="shared" si="171"/>
        <v>1.0426308080591999</v>
      </c>
      <c r="AW154" s="34">
        <f t="shared" si="172"/>
        <v>0</v>
      </c>
      <c r="AX154" s="34">
        <f t="shared" si="173"/>
        <v>0</v>
      </c>
      <c r="AY154" s="34">
        <f t="shared" si="174"/>
        <v>2.8526378908499706E-4</v>
      </c>
      <c r="AZ154" s="288">
        <f>AW154/DB!$B$23</f>
        <v>0</v>
      </c>
      <c r="BA154" s="288">
        <f>AX154/DB!$B$23</f>
        <v>0</v>
      </c>
    </row>
    <row r="155" spans="1:53" x14ac:dyDescent="0.3">
      <c r="A155" s="8" t="s">
        <v>582</v>
      </c>
      <c r="B155" s="8" t="str">
        <f>B152</f>
        <v>Выкидной нефтепровод Скв 879 - ГЗУ 27, водонефтяная эмульсия</v>
      </c>
      <c r="C155" s="79" t="s">
        <v>109</v>
      </c>
      <c r="D155" s="9" t="s">
        <v>47</v>
      </c>
      <c r="E155" s="66">
        <v>1.9999999999999999E-6</v>
      </c>
      <c r="F155" s="68">
        <f>F152</f>
        <v>1200</v>
      </c>
      <c r="G155" s="8">
        <v>0.2</v>
      </c>
      <c r="H155" s="10">
        <f t="shared" si="164"/>
        <v>4.7999999999999996E-4</v>
      </c>
      <c r="I155" s="62">
        <f>0.15*I152</f>
        <v>0.45899999999999996</v>
      </c>
      <c r="J155" s="69">
        <f>I155</f>
        <v>0.45899999999999996</v>
      </c>
      <c r="K155" s="74" t="s">
        <v>126</v>
      </c>
      <c r="L155" s="78">
        <v>45390</v>
      </c>
      <c r="M155" s="31" t="str">
        <f t="shared" si="165"/>
        <v>C94</v>
      </c>
      <c r="N155" s="31" t="str">
        <f t="shared" si="166"/>
        <v>Выкидной нефтепровод Скв 879 - ГЗУ 27, водонефтяная эмульсия</v>
      </c>
      <c r="O155" s="31" t="str">
        <f t="shared" si="167"/>
        <v>Частичное-пожар</v>
      </c>
      <c r="P155" s="31">
        <v>4</v>
      </c>
      <c r="Q155" s="31">
        <v>5.8</v>
      </c>
      <c r="R155" s="31">
        <v>8.6</v>
      </c>
      <c r="S155" s="31">
        <v>15.8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2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8.7393000000000012E-2</v>
      </c>
      <c r="AR155" s="32">
        <f t="shared" si="168"/>
        <v>8.7393000000000019E-3</v>
      </c>
      <c r="AS155" s="33">
        <f t="shared" si="169"/>
        <v>0.5</v>
      </c>
      <c r="AT155" s="33">
        <f t="shared" si="170"/>
        <v>0.14903307500000001</v>
      </c>
      <c r="AU155" s="32">
        <f>10068.2*J155*POWER(10,-6)</f>
        <v>4.6213037999999996E-3</v>
      </c>
      <c r="AV155" s="33">
        <f t="shared" si="171"/>
        <v>0.74978667880000005</v>
      </c>
      <c r="AW155" s="34">
        <f t="shared" si="172"/>
        <v>0</v>
      </c>
      <c r="AX155" s="34">
        <f t="shared" si="173"/>
        <v>9.5999999999999992E-4</v>
      </c>
      <c r="AY155" s="34">
        <f t="shared" si="174"/>
        <v>3.5989760582399999E-4</v>
      </c>
      <c r="AZ155" s="288">
        <f>AW155/DB!$B$23</f>
        <v>0</v>
      </c>
      <c r="BA155" s="288">
        <f>AX155/DB!$B$23</f>
        <v>4.9230769230769222E-7</v>
      </c>
    </row>
    <row r="156" spans="1:53" x14ac:dyDescent="0.3">
      <c r="A156" s="8" t="s">
        <v>583</v>
      </c>
      <c r="B156" s="8" t="str">
        <f>B152</f>
        <v>Выкидной нефтепровод Скв 879 - ГЗУ 27, водонефтяная эмульсия</v>
      </c>
      <c r="C156" s="79" t="s">
        <v>110</v>
      </c>
      <c r="D156" s="9" t="s">
        <v>112</v>
      </c>
      <c r="E156" s="67">
        <f>E155</f>
        <v>1.9999999999999999E-6</v>
      </c>
      <c r="F156" s="68">
        <f>F152</f>
        <v>1200</v>
      </c>
      <c r="G156" s="8">
        <v>0.04</v>
      </c>
      <c r="H156" s="10">
        <f t="shared" si="164"/>
        <v>9.5999999999999989E-5</v>
      </c>
      <c r="I156" s="62">
        <f>0.15*I152</f>
        <v>0.45899999999999996</v>
      </c>
      <c r="J156" s="69">
        <f>0.5*J153</f>
        <v>7.7112000000000005E-3</v>
      </c>
      <c r="K156" s="74" t="s">
        <v>127</v>
      </c>
      <c r="L156" s="78">
        <v>3</v>
      </c>
      <c r="M156" s="31" t="str">
        <f t="shared" si="165"/>
        <v>C95</v>
      </c>
      <c r="N156" s="31" t="str">
        <f t="shared" si="166"/>
        <v>Выкидной нефтепровод Скв 879 - ГЗУ 27, водонефтяная эмульсия</v>
      </c>
      <c r="O156" s="31" t="str">
        <f t="shared" si="167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6.73</v>
      </c>
      <c r="AB156" s="31">
        <v>8.08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8.7393000000000012E-2</v>
      </c>
      <c r="AR156" s="32">
        <f t="shared" si="168"/>
        <v>8.7393000000000019E-3</v>
      </c>
      <c r="AS156" s="33">
        <f t="shared" si="169"/>
        <v>0.25</v>
      </c>
      <c r="AT156" s="33">
        <f t="shared" si="170"/>
        <v>8.6533075000000001E-2</v>
      </c>
      <c r="AU156" s="32">
        <f>10068.2*J156*POWER(10,-6)*10</f>
        <v>7.7637903839999998E-4</v>
      </c>
      <c r="AV156" s="33">
        <f t="shared" si="171"/>
        <v>0.43344175403840002</v>
      </c>
      <c r="AW156" s="34">
        <f t="shared" si="172"/>
        <v>0</v>
      </c>
      <c r="AX156" s="34">
        <f t="shared" si="173"/>
        <v>9.5999999999999989E-5</v>
      </c>
      <c r="AY156" s="34">
        <f t="shared" si="174"/>
        <v>4.1610408387686396E-5</v>
      </c>
      <c r="AZ156" s="288">
        <f>AW156/DB!$B$23</f>
        <v>0</v>
      </c>
      <c r="BA156" s="288">
        <f>AX156/DB!$B$23</f>
        <v>4.9230769230769225E-8</v>
      </c>
    </row>
    <row r="157" spans="1:53" x14ac:dyDescent="0.3">
      <c r="A157" s="170" t="s">
        <v>584</v>
      </c>
      <c r="B157" s="170" t="str">
        <f>B152</f>
        <v>Выкидной нефтепровод Скв 879 - ГЗУ 27, водонефтяная эмульсия</v>
      </c>
      <c r="C157" s="171" t="s">
        <v>111</v>
      </c>
      <c r="D157" s="172" t="s">
        <v>27</v>
      </c>
      <c r="E157" s="173">
        <f>E155</f>
        <v>1.9999999999999999E-6</v>
      </c>
      <c r="F157" s="174">
        <f>F152</f>
        <v>1200</v>
      </c>
      <c r="G157" s="170">
        <v>0.76</v>
      </c>
      <c r="H157" s="175">
        <f t="shared" si="164"/>
        <v>1.8239999999999999E-3</v>
      </c>
      <c r="I157" s="176">
        <f>0.15*I152</f>
        <v>0.45899999999999996</v>
      </c>
      <c r="J157" s="177">
        <v>0</v>
      </c>
      <c r="K157" s="178" t="s">
        <v>138</v>
      </c>
      <c r="L157" s="179">
        <v>1</v>
      </c>
      <c r="M157" s="31" t="str">
        <f t="shared" si="165"/>
        <v>C96</v>
      </c>
      <c r="N157" s="31" t="str">
        <f t="shared" si="166"/>
        <v>Выкидной нефтепровод Скв 879 - ГЗУ 27, водонефтяная эмульсия</v>
      </c>
      <c r="O157" s="31" t="str">
        <f t="shared" si="167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7.623930000000001E-2</v>
      </c>
      <c r="AR157" s="32">
        <f t="shared" si="168"/>
        <v>7.623930000000001E-3</v>
      </c>
      <c r="AS157" s="33">
        <f t="shared" si="169"/>
        <v>0</v>
      </c>
      <c r="AT157" s="33">
        <f t="shared" si="170"/>
        <v>2.0965807500000003E-2</v>
      </c>
      <c r="AU157" s="32">
        <f>1333*J156*POWER(10,-6)</f>
        <v>1.02790296E-5</v>
      </c>
      <c r="AV157" s="33">
        <f t="shared" si="171"/>
        <v>0.10483931652960002</v>
      </c>
      <c r="AW157" s="34">
        <f t="shared" si="172"/>
        <v>0</v>
      </c>
      <c r="AX157" s="34">
        <f t="shared" si="173"/>
        <v>0</v>
      </c>
      <c r="AY157" s="34">
        <f t="shared" si="174"/>
        <v>1.9122691334999041E-4</v>
      </c>
      <c r="AZ157" s="288">
        <f>AW157/DB!$B$23</f>
        <v>0</v>
      </c>
      <c r="BA157" s="288">
        <f>AX157/DB!$B$23</f>
        <v>0</v>
      </c>
    </row>
    <row r="158" spans="1:53" s="180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07" t="s">
        <v>466</v>
      </c>
      <c r="L158" s="287" t="s">
        <v>601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80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80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ht="15" thickBot="1" x14ac:dyDescent="0.35">
      <c r="A162" s="323" t="s">
        <v>585</v>
      </c>
      <c r="B162" s="63" t="s">
        <v>666</v>
      </c>
      <c r="C162" s="79" t="s">
        <v>106</v>
      </c>
      <c r="D162" s="9" t="s">
        <v>25</v>
      </c>
      <c r="E162" s="66">
        <v>2.9999999999999999E-7</v>
      </c>
      <c r="F162" s="63">
        <v>1334</v>
      </c>
      <c r="G162" s="8">
        <v>0.2</v>
      </c>
      <c r="H162" s="10">
        <f t="shared" ref="H162:H167" si="175">E162*F162*G162</f>
        <v>8.0039999999999999E-5</v>
      </c>
      <c r="I162" s="64">
        <v>5.99</v>
      </c>
      <c r="J162" s="69">
        <f>I162</f>
        <v>5.99</v>
      </c>
      <c r="K162" s="72" t="s">
        <v>122</v>
      </c>
      <c r="L162" s="77">
        <f>40*I162</f>
        <v>239.60000000000002</v>
      </c>
      <c r="M162" s="31" t="str">
        <f t="shared" ref="M162:M167" si="176">A162</f>
        <v>C97</v>
      </c>
      <c r="N162" s="31" t="str">
        <f t="shared" ref="N162:N167" si="177">B162</f>
        <v>Выкидной нефтепровод Скв 880 – ГЗУ 27, водонефтяная эмульсия</v>
      </c>
      <c r="O162" s="31" t="str">
        <f t="shared" ref="O162:O167" si="178">D162</f>
        <v>Полное-пожар</v>
      </c>
      <c r="P162" s="31">
        <v>12.5</v>
      </c>
      <c r="Q162" s="31">
        <v>17.600000000000001</v>
      </c>
      <c r="R162" s="31">
        <v>25.6</v>
      </c>
      <c r="S162" s="31">
        <v>49.1</v>
      </c>
      <c r="T162" s="31" t="s">
        <v>46</v>
      </c>
      <c r="U162" s="31" t="s">
        <v>46</v>
      </c>
      <c r="V162" s="31" t="s">
        <v>46</v>
      </c>
      <c r="W162" s="31" t="s">
        <v>46</v>
      </c>
      <c r="X162" s="31" t="s">
        <v>46</v>
      </c>
      <c r="Y162" s="31" t="s">
        <v>46</v>
      </c>
      <c r="Z162" s="31" t="s">
        <v>46</v>
      </c>
      <c r="AA162" s="31" t="s">
        <v>46</v>
      </c>
      <c r="AB162" s="31" t="s">
        <v>46</v>
      </c>
      <c r="AC162" s="31" t="s">
        <v>46</v>
      </c>
      <c r="AD162" s="31" t="s">
        <v>46</v>
      </c>
      <c r="AE162" s="31" t="s">
        <v>46</v>
      </c>
      <c r="AF162" s="31" t="s">
        <v>46</v>
      </c>
      <c r="AG162" s="31" t="s">
        <v>46</v>
      </c>
      <c r="AH162" s="31" t="s">
        <v>46</v>
      </c>
      <c r="AI162" s="31" t="s">
        <v>46</v>
      </c>
      <c r="AJ162" s="12">
        <v>1</v>
      </c>
      <c r="AK162" s="12">
        <v>1</v>
      </c>
      <c r="AL162" s="65">
        <v>0.75</v>
      </c>
      <c r="AM162" s="65">
        <v>2.7E-2</v>
      </c>
      <c r="AN162" s="65">
        <v>3</v>
      </c>
      <c r="AO162" s="31"/>
      <c r="AP162" s="31"/>
      <c r="AQ162" s="32">
        <f>AM162*I162+AL162</f>
        <v>0.91173000000000004</v>
      </c>
      <c r="AR162" s="32">
        <f t="shared" ref="AR162:AR167" si="179">0.1*AQ162</f>
        <v>9.1173000000000004E-2</v>
      </c>
      <c r="AS162" s="33">
        <f t="shared" ref="AS162:AS167" si="180">AJ162*3+0.25*AK162</f>
        <v>3.25</v>
      </c>
      <c r="AT162" s="33">
        <f t="shared" ref="AT162:AT167" si="181">SUM(AQ162:AS162)/4</f>
        <v>1.06322575</v>
      </c>
      <c r="AU162" s="32">
        <f>10068.2*J162*POWER(10,-6)</f>
        <v>6.0308517999999998E-2</v>
      </c>
      <c r="AV162" s="33">
        <f t="shared" ref="AV162:AV167" si="182">AU162+AT162+AS162+AR162+AQ162</f>
        <v>5.376437268000001</v>
      </c>
      <c r="AW162" s="34">
        <f t="shared" ref="AW162:AW167" si="183">AJ162*H162</f>
        <v>8.0039999999999999E-5</v>
      </c>
      <c r="AX162" s="34">
        <f t="shared" ref="AX162:AX167" si="184">H162*AK162</f>
        <v>8.0039999999999999E-5</v>
      </c>
      <c r="AY162" s="34">
        <f t="shared" ref="AY162:AY167" si="185">H162*AV162</f>
        <v>4.3033003893072007E-4</v>
      </c>
      <c r="AZ162" s="288">
        <f>AW162/DB!$B$23</f>
        <v>4.1046153846153848E-8</v>
      </c>
      <c r="BA162" s="288">
        <f>AX162/DB!$B$23</f>
        <v>4.1046153846153848E-8</v>
      </c>
    </row>
    <row r="163" spans="1:53" ht="15" thickBot="1" x14ac:dyDescent="0.35">
      <c r="A163" s="8" t="s">
        <v>586</v>
      </c>
      <c r="B163" s="8" t="str">
        <f>B162</f>
        <v>Выкидной нефтепровод Скв 880 – ГЗУ 27, водонефтяная эмульсия</v>
      </c>
      <c r="C163" s="79" t="s">
        <v>107</v>
      </c>
      <c r="D163" s="9" t="s">
        <v>28</v>
      </c>
      <c r="E163" s="67">
        <f>E162</f>
        <v>2.9999999999999999E-7</v>
      </c>
      <c r="F163" s="68">
        <f>F162</f>
        <v>1334</v>
      </c>
      <c r="G163" s="8">
        <v>0.04</v>
      </c>
      <c r="H163" s="10">
        <f t="shared" si="175"/>
        <v>1.6008E-5</v>
      </c>
      <c r="I163" s="62">
        <f>I162</f>
        <v>5.99</v>
      </c>
      <c r="J163" s="298">
        <f>POWER(10,-6)*35*SQRT(100)*3600*L162/1000*0.1</f>
        <v>3.0189599999999997E-2</v>
      </c>
      <c r="K163" s="72" t="s">
        <v>123</v>
      </c>
      <c r="L163" s="77">
        <v>0</v>
      </c>
      <c r="M163" s="31" t="str">
        <f t="shared" si="176"/>
        <v>C98</v>
      </c>
      <c r="N163" s="31" t="str">
        <f t="shared" si="177"/>
        <v>Выкидной нефтепровод Скв 880 – ГЗУ 27, водонефтяная эмульсия</v>
      </c>
      <c r="O163" s="31" t="str">
        <f t="shared" si="178"/>
        <v>Полное-взрыв</v>
      </c>
      <c r="P163" s="31" t="s">
        <v>46</v>
      </c>
      <c r="Q163" s="31" t="s">
        <v>46</v>
      </c>
      <c r="R163" s="31" t="s">
        <v>46</v>
      </c>
      <c r="S163" s="31" t="s">
        <v>46</v>
      </c>
      <c r="T163" s="31">
        <v>0</v>
      </c>
      <c r="U163" s="31">
        <v>0</v>
      </c>
      <c r="V163" s="31">
        <v>0</v>
      </c>
      <c r="W163" s="31">
        <v>13.6</v>
      </c>
      <c r="X163" s="31">
        <v>24.6</v>
      </c>
      <c r="Y163" s="31" t="s">
        <v>46</v>
      </c>
      <c r="Z163" s="31" t="s">
        <v>46</v>
      </c>
      <c r="AA163" s="31" t="s">
        <v>46</v>
      </c>
      <c r="AB163" s="31" t="s">
        <v>46</v>
      </c>
      <c r="AC163" s="31" t="s">
        <v>46</v>
      </c>
      <c r="AD163" s="31" t="s">
        <v>46</v>
      </c>
      <c r="AE163" s="31" t="s">
        <v>46</v>
      </c>
      <c r="AF163" s="31" t="s">
        <v>46</v>
      </c>
      <c r="AG163" s="31" t="s">
        <v>46</v>
      </c>
      <c r="AH163" s="31" t="s">
        <v>46</v>
      </c>
      <c r="AI163" s="31" t="s">
        <v>46</v>
      </c>
      <c r="AJ163" s="12">
        <v>1</v>
      </c>
      <c r="AK163" s="12">
        <v>1</v>
      </c>
      <c r="AL163" s="31">
        <f>AL162</f>
        <v>0.75</v>
      </c>
      <c r="AM163" s="31">
        <f>AM162</f>
        <v>2.7E-2</v>
      </c>
      <c r="AN163" s="31">
        <f>AN162</f>
        <v>3</v>
      </c>
      <c r="AO163" s="31"/>
      <c r="AP163" s="31"/>
      <c r="AQ163" s="32">
        <f>AM163*I163+AL163</f>
        <v>0.91173000000000004</v>
      </c>
      <c r="AR163" s="32">
        <f t="shared" si="179"/>
        <v>9.1173000000000004E-2</v>
      </c>
      <c r="AS163" s="33">
        <f t="shared" si="180"/>
        <v>3.25</v>
      </c>
      <c r="AT163" s="33">
        <f t="shared" si="181"/>
        <v>1.06322575</v>
      </c>
      <c r="AU163" s="32">
        <f>10068.2*J163*POWER(10,-6)*10</f>
        <v>3.0395493071999997E-3</v>
      </c>
      <c r="AV163" s="33">
        <f t="shared" si="182"/>
        <v>5.3191682993072007</v>
      </c>
      <c r="AW163" s="34">
        <f t="shared" si="183"/>
        <v>1.6008E-5</v>
      </c>
      <c r="AX163" s="34">
        <f t="shared" si="184"/>
        <v>1.6008E-5</v>
      </c>
      <c r="AY163" s="34">
        <f t="shared" si="185"/>
        <v>8.5149246135309665E-5</v>
      </c>
      <c r="AZ163" s="288">
        <f>AW163/DB!$B$23</f>
        <v>8.2092307692307689E-9</v>
      </c>
      <c r="BA163" s="288">
        <f>AX163/DB!$B$23</f>
        <v>8.2092307692307689E-9</v>
      </c>
    </row>
    <row r="164" spans="1:53" x14ac:dyDescent="0.3">
      <c r="A164" s="8" t="s">
        <v>587</v>
      </c>
      <c r="B164" s="8" t="str">
        <f>B162</f>
        <v>Выкидной нефтепровод Скв 880 – ГЗУ 27, водонефтяная эмульсия</v>
      </c>
      <c r="C164" s="79" t="s">
        <v>108</v>
      </c>
      <c r="D164" s="9" t="s">
        <v>26</v>
      </c>
      <c r="E164" s="67">
        <f>E162</f>
        <v>2.9999999999999999E-7</v>
      </c>
      <c r="F164" s="68">
        <f>F162</f>
        <v>1334</v>
      </c>
      <c r="G164" s="8">
        <v>0.76</v>
      </c>
      <c r="H164" s="10">
        <f t="shared" si="175"/>
        <v>3.0415199999999997E-4</v>
      </c>
      <c r="I164" s="62">
        <f>I162</f>
        <v>5.99</v>
      </c>
      <c r="J164" s="71">
        <v>0</v>
      </c>
      <c r="K164" s="72" t="s">
        <v>124</v>
      </c>
      <c r="L164" s="77">
        <v>0</v>
      </c>
      <c r="M164" s="31" t="str">
        <f t="shared" si="176"/>
        <v>C99</v>
      </c>
      <c r="N164" s="31" t="str">
        <f t="shared" si="177"/>
        <v>Выкидной нефтепровод Скв 880 – ГЗУ 27, водонефтяная эмульсия</v>
      </c>
      <c r="O164" s="31" t="str">
        <f t="shared" si="178"/>
        <v>Полное-ликвидация</v>
      </c>
      <c r="P164" s="31" t="s">
        <v>46</v>
      </c>
      <c r="Q164" s="31" t="s">
        <v>46</v>
      </c>
      <c r="R164" s="31" t="s">
        <v>46</v>
      </c>
      <c r="S164" s="31" t="s">
        <v>46</v>
      </c>
      <c r="T164" s="31" t="s">
        <v>46</v>
      </c>
      <c r="U164" s="31" t="s">
        <v>46</v>
      </c>
      <c r="V164" s="31" t="s">
        <v>46</v>
      </c>
      <c r="W164" s="31" t="s">
        <v>46</v>
      </c>
      <c r="X164" s="31" t="s">
        <v>46</v>
      </c>
      <c r="Y164" s="31" t="s">
        <v>46</v>
      </c>
      <c r="Z164" s="31" t="s">
        <v>46</v>
      </c>
      <c r="AA164" s="31" t="s">
        <v>46</v>
      </c>
      <c r="AB164" s="31" t="s">
        <v>46</v>
      </c>
      <c r="AC164" s="31" t="s">
        <v>46</v>
      </c>
      <c r="AD164" s="31" t="s">
        <v>46</v>
      </c>
      <c r="AE164" s="31" t="s">
        <v>46</v>
      </c>
      <c r="AF164" s="31" t="s">
        <v>46</v>
      </c>
      <c r="AG164" s="31" t="s">
        <v>46</v>
      </c>
      <c r="AH164" s="31" t="s">
        <v>46</v>
      </c>
      <c r="AI164" s="31" t="s">
        <v>46</v>
      </c>
      <c r="AJ164" s="31">
        <v>0</v>
      </c>
      <c r="AK164" s="31">
        <v>0</v>
      </c>
      <c r="AL164" s="31">
        <f>AL162</f>
        <v>0.75</v>
      </c>
      <c r="AM164" s="31">
        <f>AM162</f>
        <v>2.7E-2</v>
      </c>
      <c r="AN164" s="31">
        <f>AN162</f>
        <v>3</v>
      </c>
      <c r="AO164" s="31"/>
      <c r="AP164" s="31"/>
      <c r="AQ164" s="32">
        <f>AM164*I164*0.1+AL164</f>
        <v>0.76617299999999999</v>
      </c>
      <c r="AR164" s="32">
        <f t="shared" si="179"/>
        <v>7.6617299999999999E-2</v>
      </c>
      <c r="AS164" s="33">
        <f t="shared" si="180"/>
        <v>0</v>
      </c>
      <c r="AT164" s="33">
        <f t="shared" si="181"/>
        <v>0.210697575</v>
      </c>
      <c r="AU164" s="32">
        <f>1333*J163*POWER(10,-6)</f>
        <v>4.0242736799999991E-5</v>
      </c>
      <c r="AV164" s="33">
        <f t="shared" si="182"/>
        <v>1.0535281177367999</v>
      </c>
      <c r="AW164" s="34">
        <f t="shared" si="183"/>
        <v>0</v>
      </c>
      <c r="AX164" s="34">
        <f t="shared" si="184"/>
        <v>0</v>
      </c>
      <c r="AY164" s="34">
        <f t="shared" si="185"/>
        <v>3.2043268406588315E-4</v>
      </c>
      <c r="AZ164" s="288">
        <f>AW164/DB!$B$23</f>
        <v>0</v>
      </c>
      <c r="BA164" s="288">
        <f>AX164/DB!$B$23</f>
        <v>0</v>
      </c>
    </row>
    <row r="165" spans="1:53" x14ac:dyDescent="0.3">
      <c r="A165" s="8" t="s">
        <v>588</v>
      </c>
      <c r="B165" s="8" t="str">
        <f>B162</f>
        <v>Выкидной нефтепровод Скв 880 – ГЗУ 27, водонефтяная эмульсия</v>
      </c>
      <c r="C165" s="79" t="s">
        <v>109</v>
      </c>
      <c r="D165" s="9" t="s">
        <v>47</v>
      </c>
      <c r="E165" s="66">
        <v>1.9999999999999999E-6</v>
      </c>
      <c r="F165" s="68">
        <f>F162</f>
        <v>1334</v>
      </c>
      <c r="G165" s="8">
        <v>0.2</v>
      </c>
      <c r="H165" s="10">
        <f t="shared" si="175"/>
        <v>5.3359999999999996E-4</v>
      </c>
      <c r="I165" s="62">
        <f>0.15*I162</f>
        <v>0.89849999999999997</v>
      </c>
      <c r="J165" s="69">
        <f>I165</f>
        <v>0.89849999999999997</v>
      </c>
      <c r="K165" s="74" t="s">
        <v>126</v>
      </c>
      <c r="L165" s="78">
        <v>45390</v>
      </c>
      <c r="M165" s="31" t="str">
        <f t="shared" si="176"/>
        <v>C100</v>
      </c>
      <c r="N165" s="31" t="str">
        <f t="shared" si="177"/>
        <v>Выкидной нефтепровод Скв 880 – ГЗУ 27, водонефтяная эмульсия</v>
      </c>
      <c r="O165" s="31" t="str">
        <f t="shared" si="178"/>
        <v>Частичное-пожар</v>
      </c>
      <c r="P165" s="31">
        <v>4.9000000000000004</v>
      </c>
      <c r="Q165" s="31">
        <v>7.1</v>
      </c>
      <c r="R165" s="31">
        <v>10.5</v>
      </c>
      <c r="S165" s="31">
        <v>19.899999999999999</v>
      </c>
      <c r="T165" s="31" t="s">
        <v>46</v>
      </c>
      <c r="U165" s="31" t="s">
        <v>46</v>
      </c>
      <c r="V165" s="31" t="s">
        <v>46</v>
      </c>
      <c r="W165" s="31" t="s">
        <v>46</v>
      </c>
      <c r="X165" s="31" t="s">
        <v>46</v>
      </c>
      <c r="Y165" s="31" t="s">
        <v>46</v>
      </c>
      <c r="Z165" s="31" t="s">
        <v>46</v>
      </c>
      <c r="AA165" s="31" t="s">
        <v>46</v>
      </c>
      <c r="AB165" s="31" t="s">
        <v>46</v>
      </c>
      <c r="AC165" s="31" t="s">
        <v>46</v>
      </c>
      <c r="AD165" s="31" t="s">
        <v>46</v>
      </c>
      <c r="AE165" s="31" t="s">
        <v>46</v>
      </c>
      <c r="AF165" s="31" t="s">
        <v>46</v>
      </c>
      <c r="AG165" s="31" t="s">
        <v>46</v>
      </c>
      <c r="AH165" s="31" t="s">
        <v>46</v>
      </c>
      <c r="AI165" s="31" t="s">
        <v>46</v>
      </c>
      <c r="AJ165" s="31">
        <v>0</v>
      </c>
      <c r="AK165" s="31">
        <v>2</v>
      </c>
      <c r="AL165" s="31">
        <f>0.1*$AL$2</f>
        <v>7.5000000000000011E-2</v>
      </c>
      <c r="AM165" s="31">
        <f>AM162</f>
        <v>2.7E-2</v>
      </c>
      <c r="AN165" s="31">
        <f>ROUNDUP(AN162/3,0)</f>
        <v>1</v>
      </c>
      <c r="AO165" s="31"/>
      <c r="AP165" s="31"/>
      <c r="AQ165" s="32">
        <f>AM165*I165+AL165</f>
        <v>9.9259500000000014E-2</v>
      </c>
      <c r="AR165" s="32">
        <f t="shared" si="179"/>
        <v>9.9259500000000028E-3</v>
      </c>
      <c r="AS165" s="33">
        <f t="shared" si="180"/>
        <v>0.5</v>
      </c>
      <c r="AT165" s="33">
        <f t="shared" si="181"/>
        <v>0.1522963625</v>
      </c>
      <c r="AU165" s="32">
        <f>10068.2*J165*POWER(10,-6)</f>
        <v>9.0462777000000008E-3</v>
      </c>
      <c r="AV165" s="33">
        <f t="shared" si="182"/>
        <v>0.77052809020000002</v>
      </c>
      <c r="AW165" s="34">
        <f t="shared" si="183"/>
        <v>0</v>
      </c>
      <c r="AX165" s="34">
        <f t="shared" si="184"/>
        <v>1.0671999999999999E-3</v>
      </c>
      <c r="AY165" s="34">
        <f t="shared" si="185"/>
        <v>4.1115378893072E-4</v>
      </c>
      <c r="AZ165" s="288">
        <f>AW165/DB!$B$23</f>
        <v>0</v>
      </c>
      <c r="BA165" s="288">
        <f>AX165/DB!$B$23</f>
        <v>5.4728205128205121E-7</v>
      </c>
    </row>
    <row r="166" spans="1:53" x14ac:dyDescent="0.3">
      <c r="A166" s="8" t="s">
        <v>589</v>
      </c>
      <c r="B166" s="8" t="str">
        <f>B162</f>
        <v>Выкидной нефтепровод Скв 880 – ГЗУ 27, водонефтяная эмульсия</v>
      </c>
      <c r="C166" s="79" t="s">
        <v>110</v>
      </c>
      <c r="D166" s="9" t="s">
        <v>112</v>
      </c>
      <c r="E166" s="67">
        <f>E165</f>
        <v>1.9999999999999999E-6</v>
      </c>
      <c r="F166" s="68">
        <f>F162</f>
        <v>1334</v>
      </c>
      <c r="G166" s="8">
        <v>0.04</v>
      </c>
      <c r="H166" s="10">
        <f t="shared" si="175"/>
        <v>1.0671999999999999E-4</v>
      </c>
      <c r="I166" s="62">
        <f>0.15*I162</f>
        <v>0.89849999999999997</v>
      </c>
      <c r="J166" s="69">
        <f>0.9*J163</f>
        <v>2.7170639999999999E-2</v>
      </c>
      <c r="K166" s="74" t="s">
        <v>127</v>
      </c>
      <c r="L166" s="78">
        <v>3</v>
      </c>
      <c r="M166" s="31" t="str">
        <f t="shared" si="176"/>
        <v>C101</v>
      </c>
      <c r="N166" s="31" t="str">
        <f t="shared" si="177"/>
        <v>Выкидной нефтепровод Скв 880 – ГЗУ 27, водонефтяная эмульсия</v>
      </c>
      <c r="O166" s="31" t="str">
        <f t="shared" si="178"/>
        <v>Частичное-пожар-вспышка</v>
      </c>
      <c r="P166" s="31" t="s">
        <v>46</v>
      </c>
      <c r="Q166" s="31" t="s">
        <v>46</v>
      </c>
      <c r="R166" s="31" t="s">
        <v>46</v>
      </c>
      <c r="S166" s="31" t="s">
        <v>46</v>
      </c>
      <c r="T166" s="31" t="s">
        <v>46</v>
      </c>
      <c r="U166" s="31" t="s">
        <v>46</v>
      </c>
      <c r="V166" s="31" t="s">
        <v>46</v>
      </c>
      <c r="W166" s="31" t="s">
        <v>46</v>
      </c>
      <c r="X166" s="31" t="s">
        <v>46</v>
      </c>
      <c r="Y166" s="31" t="s">
        <v>46</v>
      </c>
      <c r="Z166" s="31" t="s">
        <v>46</v>
      </c>
      <c r="AA166" s="31">
        <v>10.199999999999999</v>
      </c>
      <c r="AB166" s="31">
        <v>12.24</v>
      </c>
      <c r="AC166" s="31" t="s">
        <v>46</v>
      </c>
      <c r="AD166" s="31" t="s">
        <v>46</v>
      </c>
      <c r="AE166" s="31" t="s">
        <v>46</v>
      </c>
      <c r="AF166" s="31" t="s">
        <v>46</v>
      </c>
      <c r="AG166" s="31" t="s">
        <v>46</v>
      </c>
      <c r="AH166" s="31" t="s">
        <v>46</v>
      </c>
      <c r="AI166" s="31" t="s">
        <v>46</v>
      </c>
      <c r="AJ166" s="31">
        <v>0</v>
      </c>
      <c r="AK166" s="31">
        <v>1</v>
      </c>
      <c r="AL166" s="31">
        <f>0.1*$AL$2</f>
        <v>7.5000000000000011E-2</v>
      </c>
      <c r="AM166" s="31">
        <f>AM162</f>
        <v>2.7E-2</v>
      </c>
      <c r="AN166" s="31">
        <f>ROUNDUP(AN162/3,0)</f>
        <v>1</v>
      </c>
      <c r="AO166" s="31"/>
      <c r="AP166" s="31"/>
      <c r="AQ166" s="32">
        <f>AM166*I166+AL166</f>
        <v>9.9259500000000014E-2</v>
      </c>
      <c r="AR166" s="32">
        <f t="shared" si="179"/>
        <v>9.9259500000000028E-3</v>
      </c>
      <c r="AS166" s="33">
        <f t="shared" si="180"/>
        <v>0.25</v>
      </c>
      <c r="AT166" s="33">
        <f t="shared" si="181"/>
        <v>8.9796362500000004E-2</v>
      </c>
      <c r="AU166" s="32">
        <f>10068.2*J166*POWER(10,-6)*10</f>
        <v>2.73559437648E-3</v>
      </c>
      <c r="AV166" s="33">
        <f t="shared" si="182"/>
        <v>0.45171740687647999</v>
      </c>
      <c r="AW166" s="34">
        <f t="shared" si="183"/>
        <v>0</v>
      </c>
      <c r="AX166" s="34">
        <f t="shared" si="184"/>
        <v>1.0671999999999999E-4</v>
      </c>
      <c r="AY166" s="34">
        <f t="shared" si="185"/>
        <v>4.8207281661857941E-5</v>
      </c>
      <c r="AZ166" s="288">
        <f>AW166/DB!$B$23</f>
        <v>0</v>
      </c>
      <c r="BA166" s="288">
        <f>AX166/DB!$B$23</f>
        <v>5.4728205128205128E-8</v>
      </c>
    </row>
    <row r="167" spans="1:53" x14ac:dyDescent="0.3">
      <c r="A167" s="170" t="s">
        <v>590</v>
      </c>
      <c r="B167" s="170" t="str">
        <f>B162</f>
        <v>Выкидной нефтепровод Скв 880 – ГЗУ 27, водонефтяная эмульсия</v>
      </c>
      <c r="C167" s="171" t="s">
        <v>111</v>
      </c>
      <c r="D167" s="172" t="s">
        <v>27</v>
      </c>
      <c r="E167" s="173">
        <f>E165</f>
        <v>1.9999999999999999E-6</v>
      </c>
      <c r="F167" s="174">
        <f>F162</f>
        <v>1334</v>
      </c>
      <c r="G167" s="170">
        <v>0.76</v>
      </c>
      <c r="H167" s="175">
        <f t="shared" si="175"/>
        <v>2.02768E-3</v>
      </c>
      <c r="I167" s="176">
        <f>0.15*I162</f>
        <v>0.89849999999999997</v>
      </c>
      <c r="J167" s="177">
        <v>0</v>
      </c>
      <c r="K167" s="178" t="s">
        <v>138</v>
      </c>
      <c r="L167" s="179">
        <v>1</v>
      </c>
      <c r="M167" s="31" t="str">
        <f t="shared" si="176"/>
        <v>C102</v>
      </c>
      <c r="N167" s="31" t="str">
        <f t="shared" si="177"/>
        <v>Выкидной нефтепровод Скв 880 – ГЗУ 27, водонефтяная эмульсия</v>
      </c>
      <c r="O167" s="31" t="str">
        <f t="shared" si="178"/>
        <v>Частичное-ликвидация</v>
      </c>
      <c r="P167" s="31" t="s">
        <v>46</v>
      </c>
      <c r="Q167" s="31" t="s">
        <v>46</v>
      </c>
      <c r="R167" s="31" t="s">
        <v>46</v>
      </c>
      <c r="S167" s="31" t="s">
        <v>46</v>
      </c>
      <c r="T167" s="31" t="s">
        <v>46</v>
      </c>
      <c r="U167" s="31" t="s">
        <v>46</v>
      </c>
      <c r="V167" s="31" t="s">
        <v>46</v>
      </c>
      <c r="W167" s="31" t="s">
        <v>46</v>
      </c>
      <c r="X167" s="31" t="s">
        <v>46</v>
      </c>
      <c r="Y167" s="31" t="s">
        <v>46</v>
      </c>
      <c r="Z167" s="31" t="s">
        <v>46</v>
      </c>
      <c r="AA167" s="31" t="s">
        <v>46</v>
      </c>
      <c r="AB167" s="31" t="s">
        <v>46</v>
      </c>
      <c r="AC167" s="31" t="s">
        <v>46</v>
      </c>
      <c r="AD167" s="31" t="s">
        <v>46</v>
      </c>
      <c r="AE167" s="31" t="s">
        <v>46</v>
      </c>
      <c r="AF167" s="31" t="s">
        <v>46</v>
      </c>
      <c r="AG167" s="31" t="s">
        <v>46</v>
      </c>
      <c r="AH167" s="31" t="s">
        <v>46</v>
      </c>
      <c r="AI167" s="31" t="s">
        <v>46</v>
      </c>
      <c r="AJ167" s="31">
        <v>0</v>
      </c>
      <c r="AK167" s="31">
        <v>0</v>
      </c>
      <c r="AL167" s="31">
        <f>0.1*$AL$2</f>
        <v>7.5000000000000011E-2</v>
      </c>
      <c r="AM167" s="31">
        <f>AM162</f>
        <v>2.7E-2</v>
      </c>
      <c r="AN167" s="31">
        <f>ROUNDUP(AN162/3,0)</f>
        <v>1</v>
      </c>
      <c r="AO167" s="31"/>
      <c r="AP167" s="31"/>
      <c r="AQ167" s="32">
        <f>AM167*I167*0.1+AL167</f>
        <v>7.7425950000000007E-2</v>
      </c>
      <c r="AR167" s="32">
        <f t="shared" si="179"/>
        <v>7.7425950000000014E-3</v>
      </c>
      <c r="AS167" s="33">
        <f t="shared" si="180"/>
        <v>0</v>
      </c>
      <c r="AT167" s="33">
        <f t="shared" si="181"/>
        <v>2.1292136250000003E-2</v>
      </c>
      <c r="AU167" s="32">
        <f>1333*J166*POWER(10,-6)</f>
        <v>3.6218463120000002E-5</v>
      </c>
      <c r="AV167" s="33">
        <f t="shared" si="182"/>
        <v>0.10649689971312001</v>
      </c>
      <c r="AW167" s="34">
        <f t="shared" si="183"/>
        <v>0</v>
      </c>
      <c r="AX167" s="34">
        <f t="shared" si="184"/>
        <v>0</v>
      </c>
      <c r="AY167" s="34">
        <f t="shared" si="185"/>
        <v>2.1594163361029919E-4</v>
      </c>
      <c r="AZ167" s="288">
        <f>AW167/DB!$B$23</f>
        <v>0</v>
      </c>
      <c r="BA167" s="288">
        <f>AX167/DB!$B$23</f>
        <v>0</v>
      </c>
    </row>
    <row r="168" spans="1:53" s="180" customForma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207" t="s">
        <v>466</v>
      </c>
      <c r="L168" s="287" t="s">
        <v>601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3" s="180" customForma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3" s="180" customForma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3" ht="15" thickBot="1" x14ac:dyDescent="0.35"/>
    <row r="172" spans="1:53" ht="15" thickBot="1" x14ac:dyDescent="0.35">
      <c r="A172" s="8" t="s">
        <v>671</v>
      </c>
      <c r="B172" s="63" t="s">
        <v>667</v>
      </c>
      <c r="C172" s="79" t="s">
        <v>106</v>
      </c>
      <c r="D172" s="9" t="s">
        <v>25</v>
      </c>
      <c r="E172" s="66">
        <v>2.9999999999999999E-7</v>
      </c>
      <c r="F172" s="63">
        <v>500</v>
      </c>
      <c r="G172" s="8">
        <v>0.2</v>
      </c>
      <c r="H172" s="10">
        <f t="shared" ref="H172:H177" si="186">E172*F172*G172</f>
        <v>2.9999999999999997E-5</v>
      </c>
      <c r="I172" s="64">
        <v>2.11</v>
      </c>
      <c r="J172" s="69">
        <f>I172</f>
        <v>2.11</v>
      </c>
      <c r="K172" s="72" t="s">
        <v>122</v>
      </c>
      <c r="L172" s="77">
        <f>40*I172</f>
        <v>84.399999999999991</v>
      </c>
      <c r="M172" s="31" t="str">
        <f t="shared" ref="M172:M177" si="187">A172</f>
        <v>C103</v>
      </c>
      <c r="N172" s="31" t="str">
        <f t="shared" ref="N172:N177" si="188">B172</f>
        <v>Выкидной нефтепровод Скв 887 – ГЗУ 30, водонефтяная эмульсия</v>
      </c>
      <c r="O172" s="31" t="str">
        <f t="shared" ref="O172:O177" si="189">D172</f>
        <v>Полное-пожар</v>
      </c>
      <c r="P172" s="31">
        <v>7.5</v>
      </c>
      <c r="Q172" s="31">
        <v>10.6</v>
      </c>
      <c r="R172" s="31">
        <v>15.8</v>
      </c>
      <c r="S172" s="31">
        <v>31.2</v>
      </c>
      <c r="T172" s="31" t="s">
        <v>46</v>
      </c>
      <c r="U172" s="31" t="s">
        <v>46</v>
      </c>
      <c r="V172" s="31" t="s">
        <v>46</v>
      </c>
      <c r="W172" s="31" t="s">
        <v>46</v>
      </c>
      <c r="X172" s="31" t="s">
        <v>46</v>
      </c>
      <c r="Y172" s="31" t="s">
        <v>46</v>
      </c>
      <c r="Z172" s="31" t="s">
        <v>46</v>
      </c>
      <c r="AA172" s="31" t="s">
        <v>46</v>
      </c>
      <c r="AB172" s="31" t="s">
        <v>46</v>
      </c>
      <c r="AC172" s="31" t="s">
        <v>46</v>
      </c>
      <c r="AD172" s="31" t="s">
        <v>46</v>
      </c>
      <c r="AE172" s="31" t="s">
        <v>46</v>
      </c>
      <c r="AF172" s="31" t="s">
        <v>46</v>
      </c>
      <c r="AG172" s="31" t="s">
        <v>46</v>
      </c>
      <c r="AH172" s="31" t="s">
        <v>46</v>
      </c>
      <c r="AI172" s="31" t="s">
        <v>46</v>
      </c>
      <c r="AJ172" s="12">
        <v>1</v>
      </c>
      <c r="AK172" s="12">
        <v>1</v>
      </c>
      <c r="AL172" s="65">
        <v>0.75</v>
      </c>
      <c r="AM172" s="65">
        <v>2.7E-2</v>
      </c>
      <c r="AN172" s="65">
        <v>3</v>
      </c>
      <c r="AO172" s="31"/>
      <c r="AP172" s="31"/>
      <c r="AQ172" s="32">
        <f>AM172*I172+AL172</f>
        <v>0.80696999999999997</v>
      </c>
      <c r="AR172" s="32">
        <f t="shared" ref="AR172:AR177" si="190">0.1*AQ172</f>
        <v>8.0697000000000005E-2</v>
      </c>
      <c r="AS172" s="33">
        <f t="shared" ref="AS172:AS177" si="191">AJ172*3+0.25*AK172</f>
        <v>3.25</v>
      </c>
      <c r="AT172" s="33">
        <f t="shared" ref="AT172:AT177" si="192">SUM(AQ172:AS172)/4</f>
        <v>1.0344167500000001</v>
      </c>
      <c r="AU172" s="32">
        <f>10068.2*J172*POWER(10,-6)</f>
        <v>2.1243902000000002E-2</v>
      </c>
      <c r="AV172" s="33">
        <f t="shared" ref="AV172:AV177" si="193">AU172+AT172+AS172+AR172+AQ172</f>
        <v>5.1933276519999998</v>
      </c>
      <c r="AW172" s="34">
        <f t="shared" ref="AW172:AW177" si="194">AJ172*H172</f>
        <v>2.9999999999999997E-5</v>
      </c>
      <c r="AX172" s="34">
        <f t="shared" ref="AX172:AX177" si="195">H172*AK172</f>
        <v>2.9999999999999997E-5</v>
      </c>
      <c r="AY172" s="34">
        <f t="shared" ref="AY172:AY177" si="196">H172*AV172</f>
        <v>1.5579982955999999E-4</v>
      </c>
      <c r="AZ172" s="288">
        <f>AW172/DB!$B$23</f>
        <v>1.5384615384615382E-8</v>
      </c>
      <c r="BA172" s="288">
        <f>AX172/DB!$B$23</f>
        <v>1.5384615384615382E-8</v>
      </c>
    </row>
    <row r="173" spans="1:53" ht="15" thickBot="1" x14ac:dyDescent="0.35">
      <c r="A173" s="8" t="s">
        <v>672</v>
      </c>
      <c r="B173" s="8" t="str">
        <f>B172</f>
        <v>Выкидной нефтепровод Скв 887 – ГЗУ 30, водонефтяная эмульсия</v>
      </c>
      <c r="C173" s="79" t="s">
        <v>107</v>
      </c>
      <c r="D173" s="9" t="s">
        <v>28</v>
      </c>
      <c r="E173" s="67">
        <f>E172</f>
        <v>2.9999999999999999E-7</v>
      </c>
      <c r="F173" s="68">
        <f>F172</f>
        <v>500</v>
      </c>
      <c r="G173" s="8">
        <v>0.04</v>
      </c>
      <c r="H173" s="10">
        <f t="shared" si="186"/>
        <v>5.9999999999999993E-6</v>
      </c>
      <c r="I173" s="62">
        <f>I172</f>
        <v>2.11</v>
      </c>
      <c r="J173" s="298">
        <f>POWER(10,-6)*35*SQRT(100)*3600*L172/1000*0.1</f>
        <v>1.0634399999999997E-2</v>
      </c>
      <c r="K173" s="72" t="s">
        <v>123</v>
      </c>
      <c r="L173" s="77">
        <v>0</v>
      </c>
      <c r="M173" s="31" t="str">
        <f t="shared" si="187"/>
        <v>C104</v>
      </c>
      <c r="N173" s="31" t="str">
        <f t="shared" si="188"/>
        <v>Выкидной нефтепровод Скв 887 – ГЗУ 30, водонефтяная эмульсия</v>
      </c>
      <c r="O173" s="31" t="str">
        <f t="shared" si="189"/>
        <v>Полное-взрыв</v>
      </c>
      <c r="P173" s="31" t="s">
        <v>46</v>
      </c>
      <c r="Q173" s="31" t="s">
        <v>46</v>
      </c>
      <c r="R173" s="31" t="s">
        <v>46</v>
      </c>
      <c r="S173" s="31" t="s">
        <v>46</v>
      </c>
      <c r="T173" s="31">
        <v>0</v>
      </c>
      <c r="U173" s="31">
        <v>0</v>
      </c>
      <c r="V173" s="31">
        <v>0</v>
      </c>
      <c r="W173" s="31">
        <v>0</v>
      </c>
      <c r="X173" s="31">
        <v>9.6</v>
      </c>
      <c r="Y173" s="31" t="s">
        <v>46</v>
      </c>
      <c r="Z173" s="31" t="s">
        <v>46</v>
      </c>
      <c r="AA173" s="31" t="s">
        <v>46</v>
      </c>
      <c r="AB173" s="31" t="s">
        <v>46</v>
      </c>
      <c r="AC173" s="31" t="s">
        <v>46</v>
      </c>
      <c r="AD173" s="31" t="s">
        <v>46</v>
      </c>
      <c r="AE173" s="31" t="s">
        <v>46</v>
      </c>
      <c r="AF173" s="31" t="s">
        <v>46</v>
      </c>
      <c r="AG173" s="31" t="s">
        <v>46</v>
      </c>
      <c r="AH173" s="31" t="s">
        <v>46</v>
      </c>
      <c r="AI173" s="31" t="s">
        <v>46</v>
      </c>
      <c r="AJ173" s="12">
        <v>1</v>
      </c>
      <c r="AK173" s="12">
        <v>1</v>
      </c>
      <c r="AL173" s="31">
        <f>AL172</f>
        <v>0.75</v>
      </c>
      <c r="AM173" s="31">
        <f>AM172</f>
        <v>2.7E-2</v>
      </c>
      <c r="AN173" s="31">
        <f>AN172</f>
        <v>3</v>
      </c>
      <c r="AO173" s="31"/>
      <c r="AP173" s="31"/>
      <c r="AQ173" s="32">
        <f>AM173*I173+AL173</f>
        <v>0.80696999999999997</v>
      </c>
      <c r="AR173" s="32">
        <f t="shared" si="190"/>
        <v>8.0697000000000005E-2</v>
      </c>
      <c r="AS173" s="33">
        <f t="shared" si="191"/>
        <v>3.25</v>
      </c>
      <c r="AT173" s="33">
        <f t="shared" si="192"/>
        <v>1.0344167500000001</v>
      </c>
      <c r="AU173" s="32">
        <f>10068.2*J173*POWER(10,-6)*10</f>
        <v>1.0706926607999996E-3</v>
      </c>
      <c r="AV173" s="33">
        <f t="shared" si="193"/>
        <v>5.1731544426607998</v>
      </c>
      <c r="AW173" s="34">
        <f t="shared" si="194"/>
        <v>5.9999999999999993E-6</v>
      </c>
      <c r="AX173" s="34">
        <f t="shared" si="195"/>
        <v>5.9999999999999993E-6</v>
      </c>
      <c r="AY173" s="34">
        <f t="shared" si="196"/>
        <v>3.1038926655964794E-5</v>
      </c>
      <c r="AZ173" s="288">
        <f>AW173/DB!$B$23</f>
        <v>3.0769230769230765E-9</v>
      </c>
      <c r="BA173" s="288">
        <f>AX173/DB!$B$23</f>
        <v>3.0769230769230765E-9</v>
      </c>
    </row>
    <row r="174" spans="1:53" x14ac:dyDescent="0.3">
      <c r="A174" s="8" t="s">
        <v>673</v>
      </c>
      <c r="B174" s="8" t="str">
        <f>B172</f>
        <v>Выкидной нефтепровод Скв 887 – ГЗУ 30, водонефтяная эмульсия</v>
      </c>
      <c r="C174" s="79" t="s">
        <v>108</v>
      </c>
      <c r="D174" s="9" t="s">
        <v>26</v>
      </c>
      <c r="E174" s="67">
        <f>E172</f>
        <v>2.9999999999999999E-7</v>
      </c>
      <c r="F174" s="68">
        <f>F172</f>
        <v>500</v>
      </c>
      <c r="G174" s="8">
        <v>0.76</v>
      </c>
      <c r="H174" s="10">
        <f t="shared" si="186"/>
        <v>1.1399999999999999E-4</v>
      </c>
      <c r="I174" s="62">
        <f>I172</f>
        <v>2.11</v>
      </c>
      <c r="J174" s="71">
        <v>0</v>
      </c>
      <c r="K174" s="72" t="s">
        <v>124</v>
      </c>
      <c r="L174" s="77">
        <v>0</v>
      </c>
      <c r="M174" s="31" t="str">
        <f t="shared" si="187"/>
        <v>C105</v>
      </c>
      <c r="N174" s="31" t="str">
        <f t="shared" si="188"/>
        <v>Выкидной нефтепровод Скв 887 – ГЗУ 30, водонефтяная эмульсия</v>
      </c>
      <c r="O174" s="31" t="str">
        <f t="shared" si="189"/>
        <v>Полное-ликвидация</v>
      </c>
      <c r="P174" s="31" t="s">
        <v>46</v>
      </c>
      <c r="Q174" s="31" t="s">
        <v>46</v>
      </c>
      <c r="R174" s="31" t="s">
        <v>46</v>
      </c>
      <c r="S174" s="31" t="s">
        <v>46</v>
      </c>
      <c r="T174" s="31" t="s">
        <v>46</v>
      </c>
      <c r="U174" s="31" t="s">
        <v>46</v>
      </c>
      <c r="V174" s="31" t="s">
        <v>46</v>
      </c>
      <c r="W174" s="31" t="s">
        <v>46</v>
      </c>
      <c r="X174" s="31" t="s">
        <v>46</v>
      </c>
      <c r="Y174" s="31" t="s">
        <v>46</v>
      </c>
      <c r="Z174" s="31" t="s">
        <v>46</v>
      </c>
      <c r="AA174" s="31" t="s">
        <v>46</v>
      </c>
      <c r="AB174" s="31" t="s">
        <v>46</v>
      </c>
      <c r="AC174" s="31" t="s">
        <v>46</v>
      </c>
      <c r="AD174" s="31" t="s">
        <v>46</v>
      </c>
      <c r="AE174" s="31" t="s">
        <v>46</v>
      </c>
      <c r="AF174" s="31" t="s">
        <v>46</v>
      </c>
      <c r="AG174" s="31" t="s">
        <v>46</v>
      </c>
      <c r="AH174" s="31" t="s">
        <v>46</v>
      </c>
      <c r="AI174" s="31" t="s">
        <v>46</v>
      </c>
      <c r="AJ174" s="31">
        <v>0</v>
      </c>
      <c r="AK174" s="31">
        <v>0</v>
      </c>
      <c r="AL174" s="31">
        <f>AL172</f>
        <v>0.75</v>
      </c>
      <c r="AM174" s="31">
        <f>AM172</f>
        <v>2.7E-2</v>
      </c>
      <c r="AN174" s="31">
        <f>AN172</f>
        <v>3</v>
      </c>
      <c r="AO174" s="31"/>
      <c r="AP174" s="31"/>
      <c r="AQ174" s="32">
        <f>AM174*I174*0.1+AL174</f>
        <v>0.75569699999999995</v>
      </c>
      <c r="AR174" s="32">
        <f t="shared" si="190"/>
        <v>7.5569700000000004E-2</v>
      </c>
      <c r="AS174" s="33">
        <f t="shared" si="191"/>
        <v>0</v>
      </c>
      <c r="AT174" s="33">
        <f t="shared" si="192"/>
        <v>0.20781667499999998</v>
      </c>
      <c r="AU174" s="32">
        <f>1333*J173*POWER(10,-6)</f>
        <v>1.4175655199999996E-5</v>
      </c>
      <c r="AV174" s="33">
        <f t="shared" si="193"/>
        <v>1.0390975506552</v>
      </c>
      <c r="AW174" s="34">
        <f t="shared" si="194"/>
        <v>0</v>
      </c>
      <c r="AX174" s="34">
        <f t="shared" si="195"/>
        <v>0</v>
      </c>
      <c r="AY174" s="34">
        <f t="shared" si="196"/>
        <v>1.184571207746928E-4</v>
      </c>
      <c r="AZ174" s="288">
        <f>AW174/DB!$B$23</f>
        <v>0</v>
      </c>
      <c r="BA174" s="288">
        <f>AX174/DB!$B$23</f>
        <v>0</v>
      </c>
    </row>
    <row r="175" spans="1:53" x14ac:dyDescent="0.3">
      <c r="A175" s="8" t="s">
        <v>674</v>
      </c>
      <c r="B175" s="8" t="str">
        <f>B172</f>
        <v>Выкидной нефтепровод Скв 887 – ГЗУ 30, водонефтяная эмульсия</v>
      </c>
      <c r="C175" s="79" t="s">
        <v>109</v>
      </c>
      <c r="D175" s="9" t="s">
        <v>47</v>
      </c>
      <c r="E175" s="66">
        <v>1.9999999999999999E-6</v>
      </c>
      <c r="F175" s="68">
        <f>F172</f>
        <v>500</v>
      </c>
      <c r="G175" s="8">
        <v>0.2</v>
      </c>
      <c r="H175" s="10">
        <f t="shared" si="186"/>
        <v>2.0000000000000001E-4</v>
      </c>
      <c r="I175" s="62">
        <f>0.15*I172</f>
        <v>0.31649999999999995</v>
      </c>
      <c r="J175" s="69">
        <f>I175</f>
        <v>0.31649999999999995</v>
      </c>
      <c r="K175" s="74" t="s">
        <v>126</v>
      </c>
      <c r="L175" s="78">
        <v>45390</v>
      </c>
      <c r="M175" s="31" t="str">
        <f t="shared" si="187"/>
        <v>C106</v>
      </c>
      <c r="N175" s="31" t="str">
        <f t="shared" si="188"/>
        <v>Выкидной нефтепровод Скв 887 – ГЗУ 30, водонефтяная эмульсия</v>
      </c>
      <c r="O175" s="31" t="str">
        <f t="shared" si="189"/>
        <v>Частичное-пожар</v>
      </c>
      <c r="P175" s="31">
        <v>3.5</v>
      </c>
      <c r="Q175" s="31">
        <v>5.0999999999999996</v>
      </c>
      <c r="R175" s="31">
        <v>7.6</v>
      </c>
      <c r="S175" s="31">
        <v>13.9</v>
      </c>
      <c r="T175" s="31" t="s">
        <v>46</v>
      </c>
      <c r="U175" s="31" t="s">
        <v>46</v>
      </c>
      <c r="V175" s="31" t="s">
        <v>46</v>
      </c>
      <c r="W175" s="31" t="s">
        <v>46</v>
      </c>
      <c r="X175" s="31" t="s">
        <v>46</v>
      </c>
      <c r="Y175" s="31" t="s">
        <v>46</v>
      </c>
      <c r="Z175" s="31" t="s">
        <v>46</v>
      </c>
      <c r="AA175" s="31" t="s">
        <v>46</v>
      </c>
      <c r="AB175" s="31" t="s">
        <v>46</v>
      </c>
      <c r="AC175" s="31" t="s">
        <v>46</v>
      </c>
      <c r="AD175" s="31" t="s">
        <v>46</v>
      </c>
      <c r="AE175" s="31" t="s">
        <v>46</v>
      </c>
      <c r="AF175" s="31" t="s">
        <v>46</v>
      </c>
      <c r="AG175" s="31" t="s">
        <v>46</v>
      </c>
      <c r="AH175" s="31" t="s">
        <v>46</v>
      </c>
      <c r="AI175" s="31" t="s">
        <v>46</v>
      </c>
      <c r="AJ175" s="31">
        <v>0</v>
      </c>
      <c r="AK175" s="31">
        <v>2</v>
      </c>
      <c r="AL175" s="31">
        <f>0.1*$AL$2</f>
        <v>7.5000000000000011E-2</v>
      </c>
      <c r="AM175" s="31">
        <f>AM172</f>
        <v>2.7E-2</v>
      </c>
      <c r="AN175" s="31">
        <f>ROUNDUP(AN172/3,0)</f>
        <v>1</v>
      </c>
      <c r="AO175" s="31"/>
      <c r="AP175" s="31"/>
      <c r="AQ175" s="32">
        <f>AM175*I175+AL175</f>
        <v>8.3545500000000009E-2</v>
      </c>
      <c r="AR175" s="32">
        <f t="shared" si="190"/>
        <v>8.3545500000000005E-3</v>
      </c>
      <c r="AS175" s="33">
        <f t="shared" si="191"/>
        <v>0.5</v>
      </c>
      <c r="AT175" s="33">
        <f t="shared" si="192"/>
        <v>0.1479750125</v>
      </c>
      <c r="AU175" s="32">
        <f>10068.2*J175*POWER(10,-6)</f>
        <v>3.1865852999999997E-3</v>
      </c>
      <c r="AV175" s="33">
        <f t="shared" si="193"/>
        <v>0.74306164780000006</v>
      </c>
      <c r="AW175" s="34">
        <f t="shared" si="194"/>
        <v>0</v>
      </c>
      <c r="AX175" s="34">
        <f t="shared" si="195"/>
        <v>4.0000000000000002E-4</v>
      </c>
      <c r="AY175" s="34">
        <f t="shared" si="196"/>
        <v>1.4861232956000001E-4</v>
      </c>
      <c r="AZ175" s="288">
        <f>AW175/DB!$B$23</f>
        <v>0</v>
      </c>
      <c r="BA175" s="288">
        <f>AX175/DB!$B$23</f>
        <v>2.0512820512820514E-7</v>
      </c>
    </row>
    <row r="176" spans="1:53" x14ac:dyDescent="0.3">
      <c r="A176" s="8" t="s">
        <v>675</v>
      </c>
      <c r="B176" s="8" t="str">
        <f>B172</f>
        <v>Выкидной нефтепровод Скв 887 – ГЗУ 30, водонефтяная эмульсия</v>
      </c>
      <c r="C176" s="79" t="s">
        <v>110</v>
      </c>
      <c r="D176" s="9" t="s">
        <v>112</v>
      </c>
      <c r="E176" s="67">
        <f>E175</f>
        <v>1.9999999999999999E-6</v>
      </c>
      <c r="F176" s="68">
        <f>F172</f>
        <v>500</v>
      </c>
      <c r="G176" s="8">
        <v>0.04</v>
      </c>
      <c r="H176" s="10">
        <f t="shared" si="186"/>
        <v>4.0000000000000003E-5</v>
      </c>
      <c r="I176" s="62">
        <f>0.15*I172</f>
        <v>0.31649999999999995</v>
      </c>
      <c r="J176" s="69">
        <f>0.9*J173</f>
        <v>9.5709599999999981E-3</v>
      </c>
      <c r="K176" s="74" t="s">
        <v>127</v>
      </c>
      <c r="L176" s="78">
        <v>3</v>
      </c>
      <c r="M176" s="31" t="str">
        <f t="shared" si="187"/>
        <v>C107</v>
      </c>
      <c r="N176" s="31" t="str">
        <f t="shared" si="188"/>
        <v>Выкидной нефтепровод Скв 887 – ГЗУ 30, водонефтяная эмульсия</v>
      </c>
      <c r="O176" s="31" t="str">
        <f t="shared" si="189"/>
        <v>Частичное-пожар-вспышка</v>
      </c>
      <c r="P176" s="31" t="s">
        <v>46</v>
      </c>
      <c r="Q176" s="31" t="s">
        <v>46</v>
      </c>
      <c r="R176" s="31" t="s">
        <v>46</v>
      </c>
      <c r="S176" s="31" t="s">
        <v>46</v>
      </c>
      <c r="T176" s="31" t="s">
        <v>46</v>
      </c>
      <c r="U176" s="31" t="s">
        <v>46</v>
      </c>
      <c r="V176" s="31" t="s">
        <v>46</v>
      </c>
      <c r="W176" s="31" t="s">
        <v>46</v>
      </c>
      <c r="X176" s="31" t="s">
        <v>46</v>
      </c>
      <c r="Y176" s="31" t="s">
        <v>46</v>
      </c>
      <c r="Z176" s="31" t="s">
        <v>46</v>
      </c>
      <c r="AA176" s="31">
        <v>7.23</v>
      </c>
      <c r="AB176" s="31">
        <v>8.68</v>
      </c>
      <c r="AC176" s="31" t="s">
        <v>46</v>
      </c>
      <c r="AD176" s="31" t="s">
        <v>46</v>
      </c>
      <c r="AE176" s="31" t="s">
        <v>46</v>
      </c>
      <c r="AF176" s="31" t="s">
        <v>46</v>
      </c>
      <c r="AG176" s="31" t="s">
        <v>46</v>
      </c>
      <c r="AH176" s="31" t="s">
        <v>46</v>
      </c>
      <c r="AI176" s="31" t="s">
        <v>46</v>
      </c>
      <c r="AJ176" s="31">
        <v>0</v>
      </c>
      <c r="AK176" s="31">
        <v>1</v>
      </c>
      <c r="AL176" s="31">
        <f>0.1*$AL$2</f>
        <v>7.5000000000000011E-2</v>
      </c>
      <c r="AM176" s="31">
        <f>AM172</f>
        <v>2.7E-2</v>
      </c>
      <c r="AN176" s="31">
        <f>ROUNDUP(AN172/3,0)</f>
        <v>1</v>
      </c>
      <c r="AO176" s="31"/>
      <c r="AP176" s="31"/>
      <c r="AQ176" s="32">
        <f>AM176*I176+AL176</f>
        <v>8.3545500000000009E-2</v>
      </c>
      <c r="AR176" s="32">
        <f t="shared" si="190"/>
        <v>8.3545500000000005E-3</v>
      </c>
      <c r="AS176" s="33">
        <f t="shared" si="191"/>
        <v>0.25</v>
      </c>
      <c r="AT176" s="33">
        <f t="shared" si="192"/>
        <v>8.5475012500000003E-2</v>
      </c>
      <c r="AU176" s="32">
        <f>10068.2*J176*POWER(10,-6)*10</f>
        <v>9.6362339471999989E-4</v>
      </c>
      <c r="AV176" s="33">
        <f t="shared" si="193"/>
        <v>0.42833868589472002</v>
      </c>
      <c r="AW176" s="34">
        <f t="shared" si="194"/>
        <v>0</v>
      </c>
      <c r="AX176" s="34">
        <f t="shared" si="195"/>
        <v>4.0000000000000003E-5</v>
      </c>
      <c r="AY176" s="34">
        <f t="shared" si="196"/>
        <v>1.7133547435788802E-5</v>
      </c>
      <c r="AZ176" s="288">
        <f>AW176/DB!$B$23</f>
        <v>0</v>
      </c>
      <c r="BA176" s="288">
        <f>AX176/DB!$B$23</f>
        <v>2.0512820512820516E-8</v>
      </c>
    </row>
    <row r="177" spans="1:53" x14ac:dyDescent="0.3">
      <c r="A177" s="170" t="s">
        <v>676</v>
      </c>
      <c r="B177" s="170" t="str">
        <f>B172</f>
        <v>Выкидной нефтепровод Скв 887 – ГЗУ 30, водонефтяная эмульсия</v>
      </c>
      <c r="C177" s="171" t="s">
        <v>111</v>
      </c>
      <c r="D177" s="172" t="s">
        <v>27</v>
      </c>
      <c r="E177" s="173">
        <f>E175</f>
        <v>1.9999999999999999E-6</v>
      </c>
      <c r="F177" s="174">
        <f>F172</f>
        <v>500</v>
      </c>
      <c r="G177" s="170">
        <v>0.76</v>
      </c>
      <c r="H177" s="175">
        <f t="shared" si="186"/>
        <v>7.6000000000000004E-4</v>
      </c>
      <c r="I177" s="176">
        <f>0.15*I172</f>
        <v>0.31649999999999995</v>
      </c>
      <c r="J177" s="177">
        <v>0</v>
      </c>
      <c r="K177" s="178" t="s">
        <v>138</v>
      </c>
      <c r="L177" s="179">
        <v>1</v>
      </c>
      <c r="M177" s="31" t="str">
        <f t="shared" si="187"/>
        <v>C108</v>
      </c>
      <c r="N177" s="31" t="str">
        <f t="shared" si="188"/>
        <v>Выкидной нефтепровод Скв 887 – ГЗУ 30, водонефтяная эмульсия</v>
      </c>
      <c r="O177" s="31" t="str">
        <f t="shared" si="189"/>
        <v>Частичное-ликвидация</v>
      </c>
      <c r="P177" s="31" t="s">
        <v>46</v>
      </c>
      <c r="Q177" s="31" t="s">
        <v>46</v>
      </c>
      <c r="R177" s="31" t="s">
        <v>46</v>
      </c>
      <c r="S177" s="31" t="s">
        <v>46</v>
      </c>
      <c r="T177" s="31" t="s">
        <v>46</v>
      </c>
      <c r="U177" s="31" t="s">
        <v>46</v>
      </c>
      <c r="V177" s="31" t="s">
        <v>46</v>
      </c>
      <c r="W177" s="31" t="s">
        <v>46</v>
      </c>
      <c r="X177" s="31" t="s">
        <v>46</v>
      </c>
      <c r="Y177" s="31" t="s">
        <v>46</v>
      </c>
      <c r="Z177" s="31" t="s">
        <v>46</v>
      </c>
      <c r="AA177" s="31" t="s">
        <v>46</v>
      </c>
      <c r="AB177" s="31" t="s">
        <v>46</v>
      </c>
      <c r="AC177" s="31" t="s">
        <v>46</v>
      </c>
      <c r="AD177" s="31" t="s">
        <v>46</v>
      </c>
      <c r="AE177" s="31" t="s">
        <v>46</v>
      </c>
      <c r="AF177" s="31" t="s">
        <v>46</v>
      </c>
      <c r="AG177" s="31" t="s">
        <v>46</v>
      </c>
      <c r="AH177" s="31" t="s">
        <v>46</v>
      </c>
      <c r="AI177" s="31" t="s">
        <v>46</v>
      </c>
      <c r="AJ177" s="31">
        <v>0</v>
      </c>
      <c r="AK177" s="31">
        <v>0</v>
      </c>
      <c r="AL177" s="31">
        <f>0.1*$AL$2</f>
        <v>7.5000000000000011E-2</v>
      </c>
      <c r="AM177" s="31">
        <f>AM172</f>
        <v>2.7E-2</v>
      </c>
      <c r="AN177" s="31">
        <f>ROUNDUP(AN172/3,0)</f>
        <v>1</v>
      </c>
      <c r="AO177" s="31"/>
      <c r="AP177" s="31"/>
      <c r="AQ177" s="32">
        <f>AM177*I177*0.1+AL177</f>
        <v>7.5854550000000007E-2</v>
      </c>
      <c r="AR177" s="32">
        <f t="shared" si="190"/>
        <v>7.5854550000000014E-3</v>
      </c>
      <c r="AS177" s="33">
        <f t="shared" si="191"/>
        <v>0</v>
      </c>
      <c r="AT177" s="33">
        <f t="shared" si="192"/>
        <v>2.0860001250000003E-2</v>
      </c>
      <c r="AU177" s="32">
        <f>1333*J176*POWER(10,-6)</f>
        <v>1.2758089679999997E-5</v>
      </c>
      <c r="AV177" s="33">
        <f t="shared" si="193"/>
        <v>0.10431276433968001</v>
      </c>
      <c r="AW177" s="34">
        <f t="shared" si="194"/>
        <v>0</v>
      </c>
      <c r="AX177" s="34">
        <f t="shared" si="195"/>
        <v>0</v>
      </c>
      <c r="AY177" s="34">
        <f t="shared" si="196"/>
        <v>7.9277700898156808E-5</v>
      </c>
      <c r="AZ177" s="288">
        <f>AW177/DB!$B$23</f>
        <v>0</v>
      </c>
      <c r="BA177" s="288">
        <f>AX177/DB!$B$23</f>
        <v>0</v>
      </c>
    </row>
    <row r="178" spans="1:53" s="180" customForma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207" t="s">
        <v>466</v>
      </c>
      <c r="L178" s="287" t="s">
        <v>601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3" s="180" customForma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3" s="180" customForma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3" ht="15" thickBot="1" x14ac:dyDescent="0.35"/>
    <row r="182" spans="1:53" ht="15" thickBot="1" x14ac:dyDescent="0.35">
      <c r="A182" s="8" t="s">
        <v>677</v>
      </c>
      <c r="B182" s="63" t="s">
        <v>668</v>
      </c>
      <c r="C182" s="79" t="s">
        <v>106</v>
      </c>
      <c r="D182" s="9" t="s">
        <v>25</v>
      </c>
      <c r="E182" s="66">
        <v>2.9999999999999999E-7</v>
      </c>
      <c r="F182" s="63">
        <v>970</v>
      </c>
      <c r="G182" s="8">
        <v>0.2</v>
      </c>
      <c r="H182" s="10">
        <f t="shared" ref="H182:H187" si="197">E182*F182*G182</f>
        <v>5.8199999999999998E-5</v>
      </c>
      <c r="I182" s="64">
        <v>4.08</v>
      </c>
      <c r="J182" s="69">
        <f>I182</f>
        <v>4.08</v>
      </c>
      <c r="K182" s="72" t="s">
        <v>122</v>
      </c>
      <c r="L182" s="77">
        <f>40*I182</f>
        <v>163.19999999999999</v>
      </c>
      <c r="M182" s="31" t="str">
        <f t="shared" ref="M182:M187" si="198">A182</f>
        <v>C109</v>
      </c>
      <c r="N182" s="31" t="str">
        <f t="shared" ref="N182:N187" si="199">B182</f>
        <v>Выкидной нефтепровод Скв 890 – БГ 29, водонефтяная эмульсия</v>
      </c>
      <c r="O182" s="31" t="str">
        <f t="shared" ref="O182:O187" si="200">D182</f>
        <v>Полное-пожар</v>
      </c>
      <c r="P182" s="31">
        <v>10.3</v>
      </c>
      <c r="Q182" s="31">
        <v>14.6</v>
      </c>
      <c r="R182" s="31">
        <v>21.5</v>
      </c>
      <c r="S182" s="31">
        <v>41.5</v>
      </c>
      <c r="T182" s="31" t="s">
        <v>46</v>
      </c>
      <c r="U182" s="31" t="s">
        <v>46</v>
      </c>
      <c r="V182" s="31" t="s">
        <v>46</v>
      </c>
      <c r="W182" s="31" t="s">
        <v>46</v>
      </c>
      <c r="X182" s="31" t="s">
        <v>46</v>
      </c>
      <c r="Y182" s="31" t="s">
        <v>46</v>
      </c>
      <c r="Z182" s="31" t="s">
        <v>46</v>
      </c>
      <c r="AA182" s="31" t="s">
        <v>46</v>
      </c>
      <c r="AB182" s="31" t="s">
        <v>46</v>
      </c>
      <c r="AC182" s="31" t="s">
        <v>46</v>
      </c>
      <c r="AD182" s="31" t="s">
        <v>46</v>
      </c>
      <c r="AE182" s="31" t="s">
        <v>46</v>
      </c>
      <c r="AF182" s="31" t="s">
        <v>46</v>
      </c>
      <c r="AG182" s="31" t="s">
        <v>46</v>
      </c>
      <c r="AH182" s="31" t="s">
        <v>46</v>
      </c>
      <c r="AI182" s="31" t="s">
        <v>46</v>
      </c>
      <c r="AJ182" s="12">
        <v>1</v>
      </c>
      <c r="AK182" s="12">
        <v>1</v>
      </c>
      <c r="AL182" s="65">
        <v>0.75</v>
      </c>
      <c r="AM182" s="65">
        <v>2.7E-2</v>
      </c>
      <c r="AN182" s="65">
        <v>3</v>
      </c>
      <c r="AO182" s="31"/>
      <c r="AP182" s="31"/>
      <c r="AQ182" s="32">
        <f>AM182*I182+AL182</f>
        <v>0.86016000000000004</v>
      </c>
      <c r="AR182" s="32">
        <f t="shared" ref="AR182:AR187" si="201">0.1*AQ182</f>
        <v>8.6016000000000009E-2</v>
      </c>
      <c r="AS182" s="33">
        <f t="shared" ref="AS182:AS187" si="202">AJ182*3+0.25*AK182</f>
        <v>3.25</v>
      </c>
      <c r="AT182" s="33">
        <f t="shared" ref="AT182:AT187" si="203">SUM(AQ182:AS182)/4</f>
        <v>1.0490440000000001</v>
      </c>
      <c r="AU182" s="32">
        <f>10068.2*J182*POWER(10,-6)</f>
        <v>4.1078256E-2</v>
      </c>
      <c r="AV182" s="33">
        <f t="shared" ref="AV182:AV187" si="204">AU182+AT182+AS182+AR182+AQ182</f>
        <v>5.2862982560000003</v>
      </c>
      <c r="AW182" s="34">
        <f t="shared" ref="AW182:AW187" si="205">AJ182*H182</f>
        <v>5.8199999999999998E-5</v>
      </c>
      <c r="AX182" s="34">
        <f t="shared" ref="AX182:AX187" si="206">H182*AK182</f>
        <v>5.8199999999999998E-5</v>
      </c>
      <c r="AY182" s="34">
        <f t="shared" ref="AY182:AY187" si="207">H182*AV182</f>
        <v>3.0766255849920001E-4</v>
      </c>
      <c r="AZ182" s="288">
        <f>AW182/DB!$B$23</f>
        <v>2.9846153846153847E-8</v>
      </c>
      <c r="BA182" s="288">
        <f>AX182/DB!$B$23</f>
        <v>2.9846153846153847E-8</v>
      </c>
    </row>
    <row r="183" spans="1:53" ht="15" thickBot="1" x14ac:dyDescent="0.35">
      <c r="A183" s="8" t="s">
        <v>678</v>
      </c>
      <c r="B183" s="8" t="str">
        <f>B182</f>
        <v>Выкидной нефтепровод Скв 890 – БГ 29, водонефтяная эмульсия</v>
      </c>
      <c r="C183" s="79" t="s">
        <v>107</v>
      </c>
      <c r="D183" s="9" t="s">
        <v>28</v>
      </c>
      <c r="E183" s="67">
        <f>E182</f>
        <v>2.9999999999999999E-7</v>
      </c>
      <c r="F183" s="68">
        <f>F182</f>
        <v>970</v>
      </c>
      <c r="G183" s="8">
        <v>0.04</v>
      </c>
      <c r="H183" s="10">
        <f t="shared" si="197"/>
        <v>1.1639999999999999E-5</v>
      </c>
      <c r="I183" s="62">
        <f>I182</f>
        <v>4.08</v>
      </c>
      <c r="J183" s="298">
        <f>POWER(10,-6)*35*SQRT(100)*3600*L182/1000*0.1</f>
        <v>2.0563199999999997E-2</v>
      </c>
      <c r="K183" s="72" t="s">
        <v>123</v>
      </c>
      <c r="L183" s="77">
        <v>0</v>
      </c>
      <c r="M183" s="31" t="str">
        <f t="shared" si="198"/>
        <v>C110</v>
      </c>
      <c r="N183" s="31" t="str">
        <f t="shared" si="199"/>
        <v>Выкидной нефтепровод Скв 890 – БГ 29, водонефтяная эмульсия</v>
      </c>
      <c r="O183" s="31" t="str">
        <f t="shared" si="200"/>
        <v>Полное-взрыв</v>
      </c>
      <c r="P183" s="31" t="s">
        <v>46</v>
      </c>
      <c r="Q183" s="31" t="s">
        <v>46</v>
      </c>
      <c r="R183" s="31" t="s">
        <v>46</v>
      </c>
      <c r="S183" s="31" t="s">
        <v>46</v>
      </c>
      <c r="T183" s="31">
        <v>0</v>
      </c>
      <c r="U183" s="31">
        <v>0</v>
      </c>
      <c r="V183" s="31">
        <v>0</v>
      </c>
      <c r="W183" s="31">
        <v>0</v>
      </c>
      <c r="X183" s="31">
        <v>18.100000000000001</v>
      </c>
      <c r="Y183" s="31" t="s">
        <v>46</v>
      </c>
      <c r="Z183" s="31" t="s">
        <v>46</v>
      </c>
      <c r="AA183" s="31" t="s">
        <v>46</v>
      </c>
      <c r="AB183" s="31" t="s">
        <v>46</v>
      </c>
      <c r="AC183" s="31" t="s">
        <v>46</v>
      </c>
      <c r="AD183" s="31" t="s">
        <v>46</v>
      </c>
      <c r="AE183" s="31" t="s">
        <v>46</v>
      </c>
      <c r="AF183" s="31" t="s">
        <v>46</v>
      </c>
      <c r="AG183" s="31" t="s">
        <v>46</v>
      </c>
      <c r="AH183" s="31" t="s">
        <v>46</v>
      </c>
      <c r="AI183" s="31" t="s">
        <v>46</v>
      </c>
      <c r="AJ183" s="12">
        <v>1</v>
      </c>
      <c r="AK183" s="12">
        <v>1</v>
      </c>
      <c r="AL183" s="31">
        <f>AL182</f>
        <v>0.75</v>
      </c>
      <c r="AM183" s="31">
        <f>AM182</f>
        <v>2.7E-2</v>
      </c>
      <c r="AN183" s="31">
        <f>AN182</f>
        <v>3</v>
      </c>
      <c r="AO183" s="31"/>
      <c r="AP183" s="31"/>
      <c r="AQ183" s="32">
        <f>AM183*I183+AL183</f>
        <v>0.86016000000000004</v>
      </c>
      <c r="AR183" s="32">
        <f t="shared" si="201"/>
        <v>8.6016000000000009E-2</v>
      </c>
      <c r="AS183" s="33">
        <f t="shared" si="202"/>
        <v>3.25</v>
      </c>
      <c r="AT183" s="33">
        <f t="shared" si="203"/>
        <v>1.0490440000000001</v>
      </c>
      <c r="AU183" s="32">
        <f>10068.2*J183*POWER(10,-6)*10</f>
        <v>2.0703441023999995E-3</v>
      </c>
      <c r="AV183" s="33">
        <f t="shared" si="204"/>
        <v>5.2472903441023995</v>
      </c>
      <c r="AW183" s="34">
        <f t="shared" si="205"/>
        <v>1.1639999999999999E-5</v>
      </c>
      <c r="AX183" s="34">
        <f t="shared" si="206"/>
        <v>1.1639999999999999E-5</v>
      </c>
      <c r="AY183" s="34">
        <f t="shared" si="207"/>
        <v>6.1078459605351919E-5</v>
      </c>
      <c r="AZ183" s="288">
        <f>AW183/DB!$B$23</f>
        <v>5.9692307692307683E-9</v>
      </c>
      <c r="BA183" s="288">
        <f>AX183/DB!$B$23</f>
        <v>5.9692307692307683E-9</v>
      </c>
    </row>
    <row r="184" spans="1:53" x14ac:dyDescent="0.3">
      <c r="A184" s="8" t="s">
        <v>679</v>
      </c>
      <c r="B184" s="8" t="str">
        <f>B182</f>
        <v>Выкидной нефтепровод Скв 890 – БГ 29, водонефтяная эмульсия</v>
      </c>
      <c r="C184" s="79" t="s">
        <v>108</v>
      </c>
      <c r="D184" s="9" t="s">
        <v>26</v>
      </c>
      <c r="E184" s="67">
        <f>E182</f>
        <v>2.9999999999999999E-7</v>
      </c>
      <c r="F184" s="68">
        <f>F182</f>
        <v>970</v>
      </c>
      <c r="G184" s="8">
        <v>0.76</v>
      </c>
      <c r="H184" s="10">
        <f t="shared" si="197"/>
        <v>2.2115999999999998E-4</v>
      </c>
      <c r="I184" s="62">
        <f>I182</f>
        <v>4.08</v>
      </c>
      <c r="J184" s="71">
        <v>0</v>
      </c>
      <c r="K184" s="72" t="s">
        <v>124</v>
      </c>
      <c r="L184" s="77">
        <v>0</v>
      </c>
      <c r="M184" s="31" t="str">
        <f t="shared" si="198"/>
        <v>C111</v>
      </c>
      <c r="N184" s="31" t="str">
        <f t="shared" si="199"/>
        <v>Выкидной нефтепровод Скв 890 – БГ 29, водонефтяная эмульсия</v>
      </c>
      <c r="O184" s="31" t="str">
        <f t="shared" si="200"/>
        <v>Полное-ликвидация</v>
      </c>
      <c r="P184" s="31" t="s">
        <v>46</v>
      </c>
      <c r="Q184" s="31" t="s">
        <v>46</v>
      </c>
      <c r="R184" s="31" t="s">
        <v>46</v>
      </c>
      <c r="S184" s="31" t="s">
        <v>46</v>
      </c>
      <c r="T184" s="31" t="s">
        <v>46</v>
      </c>
      <c r="U184" s="31" t="s">
        <v>46</v>
      </c>
      <c r="V184" s="31" t="s">
        <v>46</v>
      </c>
      <c r="W184" s="31" t="s">
        <v>46</v>
      </c>
      <c r="X184" s="31" t="s">
        <v>46</v>
      </c>
      <c r="Y184" s="31" t="s">
        <v>46</v>
      </c>
      <c r="Z184" s="31" t="s">
        <v>46</v>
      </c>
      <c r="AA184" s="31" t="s">
        <v>46</v>
      </c>
      <c r="AB184" s="31" t="s">
        <v>46</v>
      </c>
      <c r="AC184" s="31" t="s">
        <v>46</v>
      </c>
      <c r="AD184" s="31" t="s">
        <v>46</v>
      </c>
      <c r="AE184" s="31" t="s">
        <v>46</v>
      </c>
      <c r="AF184" s="31" t="s">
        <v>46</v>
      </c>
      <c r="AG184" s="31" t="s">
        <v>46</v>
      </c>
      <c r="AH184" s="31" t="s">
        <v>46</v>
      </c>
      <c r="AI184" s="31" t="s">
        <v>46</v>
      </c>
      <c r="AJ184" s="31">
        <v>0</v>
      </c>
      <c r="AK184" s="31">
        <v>0</v>
      </c>
      <c r="AL184" s="31">
        <f>AL182</f>
        <v>0.75</v>
      </c>
      <c r="AM184" s="31">
        <f>AM182</f>
        <v>2.7E-2</v>
      </c>
      <c r="AN184" s="31">
        <f>AN182</f>
        <v>3</v>
      </c>
      <c r="AO184" s="31"/>
      <c r="AP184" s="31"/>
      <c r="AQ184" s="32">
        <f>AM184*I184*0.1+AL184</f>
        <v>0.76101600000000003</v>
      </c>
      <c r="AR184" s="32">
        <f t="shared" si="201"/>
        <v>7.6101600000000005E-2</v>
      </c>
      <c r="AS184" s="33">
        <f t="shared" si="202"/>
        <v>0</v>
      </c>
      <c r="AT184" s="33">
        <f t="shared" si="203"/>
        <v>0.2092794</v>
      </c>
      <c r="AU184" s="32">
        <f>1333*J183*POWER(10,-6)</f>
        <v>2.7410745599999994E-5</v>
      </c>
      <c r="AV184" s="33">
        <f t="shared" si="204"/>
        <v>1.0464244107456</v>
      </c>
      <c r="AW184" s="34">
        <f t="shared" si="205"/>
        <v>0</v>
      </c>
      <c r="AX184" s="34">
        <f t="shared" si="206"/>
        <v>0</v>
      </c>
      <c r="AY184" s="34">
        <f t="shared" si="207"/>
        <v>2.3142722268049688E-4</v>
      </c>
      <c r="AZ184" s="288">
        <f>AW184/DB!$B$23</f>
        <v>0</v>
      </c>
      <c r="BA184" s="288">
        <f>AX184/DB!$B$23</f>
        <v>0</v>
      </c>
    </row>
    <row r="185" spans="1:53" x14ac:dyDescent="0.3">
      <c r="A185" s="8" t="s">
        <v>680</v>
      </c>
      <c r="B185" s="8" t="str">
        <f>B182</f>
        <v>Выкидной нефтепровод Скв 890 – БГ 29, водонефтяная эмульсия</v>
      </c>
      <c r="C185" s="79" t="s">
        <v>109</v>
      </c>
      <c r="D185" s="9" t="s">
        <v>47</v>
      </c>
      <c r="E185" s="66">
        <v>1.9999999999999999E-6</v>
      </c>
      <c r="F185" s="68">
        <f>F182</f>
        <v>970</v>
      </c>
      <c r="G185" s="8">
        <v>0.2</v>
      </c>
      <c r="H185" s="10">
        <f t="shared" si="197"/>
        <v>3.88E-4</v>
      </c>
      <c r="I185" s="62">
        <f>0.15*I182</f>
        <v>0.61199999999999999</v>
      </c>
      <c r="J185" s="69">
        <f>I185</f>
        <v>0.61199999999999999</v>
      </c>
      <c r="K185" s="74" t="s">
        <v>126</v>
      </c>
      <c r="L185" s="78">
        <v>45390</v>
      </c>
      <c r="M185" s="31" t="str">
        <f t="shared" si="198"/>
        <v>C112</v>
      </c>
      <c r="N185" s="31" t="str">
        <f t="shared" si="199"/>
        <v>Выкидной нефтепровод Скв 890 – БГ 29, водонефтяная эмульсия</v>
      </c>
      <c r="O185" s="31" t="str">
        <f t="shared" si="200"/>
        <v>Частичное-пожар</v>
      </c>
      <c r="P185" s="31">
        <v>4.4000000000000004</v>
      </c>
      <c r="Q185" s="31">
        <v>6.4</v>
      </c>
      <c r="R185" s="31">
        <v>9.4</v>
      </c>
      <c r="S185" s="31">
        <v>17.5</v>
      </c>
      <c r="T185" s="31" t="s">
        <v>46</v>
      </c>
      <c r="U185" s="31" t="s">
        <v>46</v>
      </c>
      <c r="V185" s="31" t="s">
        <v>46</v>
      </c>
      <c r="W185" s="31" t="s">
        <v>46</v>
      </c>
      <c r="X185" s="31" t="s">
        <v>46</v>
      </c>
      <c r="Y185" s="31" t="s">
        <v>46</v>
      </c>
      <c r="Z185" s="31" t="s">
        <v>46</v>
      </c>
      <c r="AA185" s="31" t="s">
        <v>46</v>
      </c>
      <c r="AB185" s="31" t="s">
        <v>46</v>
      </c>
      <c r="AC185" s="31" t="s">
        <v>46</v>
      </c>
      <c r="AD185" s="31" t="s">
        <v>46</v>
      </c>
      <c r="AE185" s="31" t="s">
        <v>46</v>
      </c>
      <c r="AF185" s="31" t="s">
        <v>46</v>
      </c>
      <c r="AG185" s="31" t="s">
        <v>46</v>
      </c>
      <c r="AH185" s="31" t="s">
        <v>46</v>
      </c>
      <c r="AI185" s="31" t="s">
        <v>46</v>
      </c>
      <c r="AJ185" s="31">
        <v>0</v>
      </c>
      <c r="AK185" s="31">
        <v>2</v>
      </c>
      <c r="AL185" s="31">
        <f>0.1*$AL$2</f>
        <v>7.5000000000000011E-2</v>
      </c>
      <c r="AM185" s="31">
        <f>AM182</f>
        <v>2.7E-2</v>
      </c>
      <c r="AN185" s="31">
        <f>ROUNDUP(AN182/3,0)</f>
        <v>1</v>
      </c>
      <c r="AO185" s="31"/>
      <c r="AP185" s="31"/>
      <c r="AQ185" s="32">
        <f>AM185*I185+AL185</f>
        <v>9.1524000000000008E-2</v>
      </c>
      <c r="AR185" s="32">
        <f t="shared" si="201"/>
        <v>9.1524000000000015E-3</v>
      </c>
      <c r="AS185" s="33">
        <f t="shared" si="202"/>
        <v>0.5</v>
      </c>
      <c r="AT185" s="33">
        <f t="shared" si="203"/>
        <v>0.1501691</v>
      </c>
      <c r="AU185" s="32">
        <f>10068.2*J185*POWER(10,-6)</f>
        <v>6.1617384000000001E-3</v>
      </c>
      <c r="AV185" s="33">
        <f t="shared" si="204"/>
        <v>0.75700723839999995</v>
      </c>
      <c r="AW185" s="34">
        <f t="shared" si="205"/>
        <v>0</v>
      </c>
      <c r="AX185" s="34">
        <f t="shared" si="206"/>
        <v>7.76E-4</v>
      </c>
      <c r="AY185" s="34">
        <f t="shared" si="207"/>
        <v>2.9371880849919998E-4</v>
      </c>
      <c r="AZ185" s="288">
        <f>AW185/DB!$B$23</f>
        <v>0</v>
      </c>
      <c r="BA185" s="288">
        <f>AX185/DB!$B$23</f>
        <v>3.9794871794871797E-7</v>
      </c>
    </row>
    <row r="186" spans="1:53" x14ac:dyDescent="0.3">
      <c r="A186" s="8" t="s">
        <v>681</v>
      </c>
      <c r="B186" s="8" t="str">
        <f>B182</f>
        <v>Выкидной нефтепровод Скв 890 – БГ 29, водонефтяная эмульсия</v>
      </c>
      <c r="C186" s="79" t="s">
        <v>110</v>
      </c>
      <c r="D186" s="9" t="s">
        <v>112</v>
      </c>
      <c r="E186" s="67">
        <f>E185</f>
        <v>1.9999999999999999E-6</v>
      </c>
      <c r="F186" s="68">
        <f>F182</f>
        <v>970</v>
      </c>
      <c r="G186" s="8">
        <v>0.04</v>
      </c>
      <c r="H186" s="10">
        <f t="shared" si="197"/>
        <v>7.7600000000000002E-5</v>
      </c>
      <c r="I186" s="62">
        <f>0.15*I182</f>
        <v>0.61199999999999999</v>
      </c>
      <c r="J186" s="69">
        <f>0.9*J183</f>
        <v>1.8506879999999996E-2</v>
      </c>
      <c r="K186" s="74" t="s">
        <v>127</v>
      </c>
      <c r="L186" s="78">
        <v>3</v>
      </c>
      <c r="M186" s="31" t="str">
        <f t="shared" si="198"/>
        <v>C113</v>
      </c>
      <c r="N186" s="31" t="str">
        <f t="shared" si="199"/>
        <v>Выкидной нефтепровод Скв 890 – БГ 29, водонефтяная эмульсия</v>
      </c>
      <c r="O186" s="31" t="str">
        <f t="shared" si="200"/>
        <v>Частичное-пожар-вспышка</v>
      </c>
      <c r="P186" s="31" t="s">
        <v>46</v>
      </c>
      <c r="Q186" s="31" t="s">
        <v>46</v>
      </c>
      <c r="R186" s="31" t="s">
        <v>46</v>
      </c>
      <c r="S186" s="31" t="s">
        <v>46</v>
      </c>
      <c r="T186" s="31" t="s">
        <v>46</v>
      </c>
      <c r="U186" s="31" t="s">
        <v>46</v>
      </c>
      <c r="V186" s="31" t="s">
        <v>46</v>
      </c>
      <c r="W186" s="31" t="s">
        <v>46</v>
      </c>
      <c r="X186" s="31" t="s">
        <v>46</v>
      </c>
      <c r="Y186" s="31" t="s">
        <v>46</v>
      </c>
      <c r="Z186" s="31" t="s">
        <v>46</v>
      </c>
      <c r="AA186" s="31">
        <v>8.98</v>
      </c>
      <c r="AB186" s="31">
        <v>10.78</v>
      </c>
      <c r="AC186" s="31" t="s">
        <v>46</v>
      </c>
      <c r="AD186" s="31" t="s">
        <v>46</v>
      </c>
      <c r="AE186" s="31" t="s">
        <v>46</v>
      </c>
      <c r="AF186" s="31" t="s">
        <v>46</v>
      </c>
      <c r="AG186" s="31" t="s">
        <v>46</v>
      </c>
      <c r="AH186" s="31" t="s">
        <v>46</v>
      </c>
      <c r="AI186" s="31" t="s">
        <v>46</v>
      </c>
      <c r="AJ186" s="31">
        <v>0</v>
      </c>
      <c r="AK186" s="31">
        <v>1</v>
      </c>
      <c r="AL186" s="31">
        <f>0.1*$AL$2</f>
        <v>7.5000000000000011E-2</v>
      </c>
      <c r="AM186" s="31">
        <f>AM182</f>
        <v>2.7E-2</v>
      </c>
      <c r="AN186" s="31">
        <f>ROUNDUP(AN182/3,0)</f>
        <v>1</v>
      </c>
      <c r="AO186" s="31"/>
      <c r="AP186" s="31"/>
      <c r="AQ186" s="32">
        <f>AM186*I186+AL186</f>
        <v>9.1524000000000008E-2</v>
      </c>
      <c r="AR186" s="32">
        <f t="shared" si="201"/>
        <v>9.1524000000000015E-3</v>
      </c>
      <c r="AS186" s="33">
        <f t="shared" si="202"/>
        <v>0.25</v>
      </c>
      <c r="AT186" s="33">
        <f t="shared" si="203"/>
        <v>8.76691E-2</v>
      </c>
      <c r="AU186" s="32">
        <f>10068.2*J186*POWER(10,-6)*10</f>
        <v>1.8633096921599995E-3</v>
      </c>
      <c r="AV186" s="33">
        <f t="shared" si="204"/>
        <v>0.44020880969216003</v>
      </c>
      <c r="AW186" s="34">
        <f t="shared" si="205"/>
        <v>0</v>
      </c>
      <c r="AX186" s="34">
        <f t="shared" si="206"/>
        <v>7.7600000000000002E-5</v>
      </c>
      <c r="AY186" s="34">
        <f t="shared" si="207"/>
        <v>3.4160203632111619E-5</v>
      </c>
      <c r="AZ186" s="288">
        <f>AW186/DB!$B$23</f>
        <v>0</v>
      </c>
      <c r="BA186" s="288">
        <f>AX186/DB!$B$23</f>
        <v>3.9794871794871793E-8</v>
      </c>
    </row>
    <row r="187" spans="1:53" x14ac:dyDescent="0.3">
      <c r="A187" s="170" t="s">
        <v>682</v>
      </c>
      <c r="B187" s="170" t="str">
        <f>B182</f>
        <v>Выкидной нефтепровод Скв 890 – БГ 29, водонефтяная эмульсия</v>
      </c>
      <c r="C187" s="171" t="s">
        <v>111</v>
      </c>
      <c r="D187" s="172" t="s">
        <v>27</v>
      </c>
      <c r="E187" s="173">
        <f>E185</f>
        <v>1.9999999999999999E-6</v>
      </c>
      <c r="F187" s="174">
        <f>F182</f>
        <v>970</v>
      </c>
      <c r="G187" s="170">
        <v>0.76</v>
      </c>
      <c r="H187" s="175">
        <f t="shared" si="197"/>
        <v>1.4743999999999998E-3</v>
      </c>
      <c r="I187" s="176">
        <f>0.15*I182</f>
        <v>0.61199999999999999</v>
      </c>
      <c r="J187" s="177">
        <v>0</v>
      </c>
      <c r="K187" s="178" t="s">
        <v>138</v>
      </c>
      <c r="L187" s="179">
        <v>1</v>
      </c>
      <c r="M187" s="31" t="str">
        <f t="shared" si="198"/>
        <v>C114</v>
      </c>
      <c r="N187" s="31" t="str">
        <f t="shared" si="199"/>
        <v>Выкидной нефтепровод Скв 890 – БГ 29, водонефтяная эмульсия</v>
      </c>
      <c r="O187" s="31" t="str">
        <f t="shared" si="200"/>
        <v>Частичное-ликвидация</v>
      </c>
      <c r="P187" s="31" t="s">
        <v>46</v>
      </c>
      <c r="Q187" s="31" t="s">
        <v>46</v>
      </c>
      <c r="R187" s="31" t="s">
        <v>46</v>
      </c>
      <c r="S187" s="31" t="s">
        <v>46</v>
      </c>
      <c r="T187" s="31" t="s">
        <v>46</v>
      </c>
      <c r="U187" s="31" t="s">
        <v>46</v>
      </c>
      <c r="V187" s="31" t="s">
        <v>46</v>
      </c>
      <c r="W187" s="31" t="s">
        <v>46</v>
      </c>
      <c r="X187" s="31" t="s">
        <v>46</v>
      </c>
      <c r="Y187" s="31" t="s">
        <v>46</v>
      </c>
      <c r="Z187" s="31" t="s">
        <v>46</v>
      </c>
      <c r="AA187" s="31" t="s">
        <v>46</v>
      </c>
      <c r="AB187" s="31" t="s">
        <v>46</v>
      </c>
      <c r="AC187" s="31" t="s">
        <v>46</v>
      </c>
      <c r="AD187" s="31" t="s">
        <v>46</v>
      </c>
      <c r="AE187" s="31" t="s">
        <v>46</v>
      </c>
      <c r="AF187" s="31" t="s">
        <v>46</v>
      </c>
      <c r="AG187" s="31" t="s">
        <v>46</v>
      </c>
      <c r="AH187" s="31" t="s">
        <v>46</v>
      </c>
      <c r="AI187" s="31" t="s">
        <v>46</v>
      </c>
      <c r="AJ187" s="31">
        <v>0</v>
      </c>
      <c r="AK187" s="31">
        <v>0</v>
      </c>
      <c r="AL187" s="31">
        <f>0.1*$AL$2</f>
        <v>7.5000000000000011E-2</v>
      </c>
      <c r="AM187" s="31">
        <f>AM182</f>
        <v>2.7E-2</v>
      </c>
      <c r="AN187" s="31">
        <f>ROUNDUP(AN182/3,0)</f>
        <v>1</v>
      </c>
      <c r="AO187" s="31"/>
      <c r="AP187" s="31"/>
      <c r="AQ187" s="32">
        <f>AM187*I187*0.1+AL187</f>
        <v>7.6652400000000009E-2</v>
      </c>
      <c r="AR187" s="32">
        <f t="shared" si="201"/>
        <v>7.6652400000000011E-3</v>
      </c>
      <c r="AS187" s="33">
        <f t="shared" si="202"/>
        <v>0</v>
      </c>
      <c r="AT187" s="33">
        <f t="shared" si="203"/>
        <v>2.1079410000000003E-2</v>
      </c>
      <c r="AU187" s="32">
        <f>1333*J186*POWER(10,-6)</f>
        <v>2.4669671039999992E-5</v>
      </c>
      <c r="AV187" s="33">
        <f t="shared" si="204"/>
        <v>0.10542171967104001</v>
      </c>
      <c r="AW187" s="34">
        <f t="shared" si="205"/>
        <v>0</v>
      </c>
      <c r="AX187" s="34">
        <f t="shared" si="206"/>
        <v>0</v>
      </c>
      <c r="AY187" s="34">
        <f t="shared" si="207"/>
        <v>1.5543378348298139E-4</v>
      </c>
      <c r="AZ187" s="288">
        <f>AW187/DB!$B$23</f>
        <v>0</v>
      </c>
      <c r="BA187" s="288">
        <f>AX187/DB!$B$23</f>
        <v>0</v>
      </c>
    </row>
    <row r="188" spans="1:53" s="180" customForma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207" t="s">
        <v>466</v>
      </c>
      <c r="L188" s="287" t="s">
        <v>601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3" s="180" customForma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3" s="180" customForma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3" ht="15" thickBot="1" x14ac:dyDescent="0.35"/>
    <row r="192" spans="1:53" ht="15" thickBot="1" x14ac:dyDescent="0.35">
      <c r="A192" s="8" t="s">
        <v>683</v>
      </c>
      <c r="B192" s="63" t="s">
        <v>669</v>
      </c>
      <c r="C192" s="79" t="s">
        <v>106</v>
      </c>
      <c r="D192" s="9" t="s">
        <v>25</v>
      </c>
      <c r="E192" s="66">
        <v>2.9999999999999999E-7</v>
      </c>
      <c r="F192" s="63">
        <v>1120</v>
      </c>
      <c r="G192" s="8">
        <v>0.2</v>
      </c>
      <c r="H192" s="10">
        <f t="shared" ref="H192:H197" si="208">E192*F192*G192</f>
        <v>6.7199999999999994E-5</v>
      </c>
      <c r="I192" s="64">
        <v>4.59</v>
      </c>
      <c r="J192" s="69">
        <f>I192</f>
        <v>4.59</v>
      </c>
      <c r="K192" s="72" t="s">
        <v>122</v>
      </c>
      <c r="L192" s="77">
        <f>40*I192</f>
        <v>183.6</v>
      </c>
      <c r="M192" s="31" t="str">
        <f t="shared" ref="M192:M197" si="209">A192</f>
        <v>C115</v>
      </c>
      <c r="N192" s="31" t="str">
        <f t="shared" ref="N192:N197" si="210">B192</f>
        <v>Выкидной нефтепровод Скв 894– ГЗУ 28, водонефтяная эмульсия</v>
      </c>
      <c r="O192" s="31" t="str">
        <f t="shared" ref="O192:O197" si="211">D192</f>
        <v>Полное-пожар</v>
      </c>
      <c r="P192" s="31">
        <v>11</v>
      </c>
      <c r="Q192" s="31">
        <v>15.4</v>
      </c>
      <c r="R192" s="31">
        <v>22.7</v>
      </c>
      <c r="S192" s="31">
        <v>43.7</v>
      </c>
      <c r="T192" s="31" t="s">
        <v>46</v>
      </c>
      <c r="U192" s="31" t="s">
        <v>46</v>
      </c>
      <c r="V192" s="31" t="s">
        <v>46</v>
      </c>
      <c r="W192" s="31" t="s">
        <v>46</v>
      </c>
      <c r="X192" s="31" t="s">
        <v>46</v>
      </c>
      <c r="Y192" s="31" t="s">
        <v>46</v>
      </c>
      <c r="Z192" s="31" t="s">
        <v>46</v>
      </c>
      <c r="AA192" s="31" t="s">
        <v>46</v>
      </c>
      <c r="AB192" s="31" t="s">
        <v>46</v>
      </c>
      <c r="AC192" s="31" t="s">
        <v>46</v>
      </c>
      <c r="AD192" s="31" t="s">
        <v>46</v>
      </c>
      <c r="AE192" s="31" t="s">
        <v>46</v>
      </c>
      <c r="AF192" s="31" t="s">
        <v>46</v>
      </c>
      <c r="AG192" s="31" t="s">
        <v>46</v>
      </c>
      <c r="AH192" s="31" t="s">
        <v>46</v>
      </c>
      <c r="AI192" s="31" t="s">
        <v>46</v>
      </c>
      <c r="AJ192" s="12">
        <v>1</v>
      </c>
      <c r="AK192" s="12">
        <v>1</v>
      </c>
      <c r="AL192" s="65">
        <v>0.75</v>
      </c>
      <c r="AM192" s="65">
        <v>2.7E-2</v>
      </c>
      <c r="AN192" s="65">
        <v>3</v>
      </c>
      <c r="AO192" s="31"/>
      <c r="AP192" s="31"/>
      <c r="AQ192" s="32">
        <f>AM192*I192+AL192</f>
        <v>0.87392999999999998</v>
      </c>
      <c r="AR192" s="32">
        <f t="shared" ref="AR192:AR197" si="212">0.1*AQ192</f>
        <v>8.7392999999999998E-2</v>
      </c>
      <c r="AS192" s="33">
        <f t="shared" ref="AS192:AS197" si="213">AJ192*3+0.25*AK192</f>
        <v>3.25</v>
      </c>
      <c r="AT192" s="33">
        <f t="shared" ref="AT192:AT197" si="214">SUM(AQ192:AS192)/4</f>
        <v>1.05283075</v>
      </c>
      <c r="AU192" s="32">
        <f>10068.2*J192*POWER(10,-6)</f>
        <v>4.6213037999999998E-2</v>
      </c>
      <c r="AV192" s="33">
        <f t="shared" ref="AV192:AV197" si="215">AU192+AT192+AS192+AR192+AQ192</f>
        <v>5.3103667879999996</v>
      </c>
      <c r="AW192" s="34">
        <f t="shared" ref="AW192:AW197" si="216">AJ192*H192</f>
        <v>6.7199999999999994E-5</v>
      </c>
      <c r="AX192" s="34">
        <f t="shared" ref="AX192:AX197" si="217">H192*AK192</f>
        <v>6.7199999999999994E-5</v>
      </c>
      <c r="AY192" s="34">
        <f t="shared" ref="AY192:AY197" si="218">H192*AV192</f>
        <v>3.5685664815359992E-4</v>
      </c>
      <c r="AZ192" s="288">
        <f>AW192/DB!$B$23</f>
        <v>3.4461538461538459E-8</v>
      </c>
      <c r="BA192" s="288">
        <f>AX192/DB!$B$23</f>
        <v>3.4461538461538459E-8</v>
      </c>
    </row>
    <row r="193" spans="1:53" ht="15" thickBot="1" x14ac:dyDescent="0.35">
      <c r="A193" s="8" t="s">
        <v>684</v>
      </c>
      <c r="B193" s="8" t="str">
        <f>B192</f>
        <v>Выкидной нефтепровод Скв 894– ГЗУ 28, водонефтяная эмульсия</v>
      </c>
      <c r="C193" s="79" t="s">
        <v>107</v>
      </c>
      <c r="D193" s="9" t="s">
        <v>28</v>
      </c>
      <c r="E193" s="67">
        <f>E192</f>
        <v>2.9999999999999999E-7</v>
      </c>
      <c r="F193" s="68">
        <f>F192</f>
        <v>1120</v>
      </c>
      <c r="G193" s="8">
        <v>0.04</v>
      </c>
      <c r="H193" s="10">
        <f t="shared" si="208"/>
        <v>1.344E-5</v>
      </c>
      <c r="I193" s="62">
        <f>I192</f>
        <v>4.59</v>
      </c>
      <c r="J193" s="298">
        <f>POWER(10,-6)*35*SQRT(100)*3600*L192/1000*0.1</f>
        <v>2.3133599999999997E-2</v>
      </c>
      <c r="K193" s="72" t="s">
        <v>123</v>
      </c>
      <c r="L193" s="77">
        <v>0</v>
      </c>
      <c r="M193" s="31" t="str">
        <f t="shared" si="209"/>
        <v>C116</v>
      </c>
      <c r="N193" s="31" t="str">
        <f t="shared" si="210"/>
        <v>Выкидной нефтепровод Скв 894– ГЗУ 28, водонефтяная эмульсия</v>
      </c>
      <c r="O193" s="31" t="str">
        <f t="shared" si="211"/>
        <v>Полное-взрыв</v>
      </c>
      <c r="P193" s="31" t="s">
        <v>46</v>
      </c>
      <c r="Q193" s="31" t="s">
        <v>46</v>
      </c>
      <c r="R193" s="31" t="s">
        <v>46</v>
      </c>
      <c r="S193" s="31" t="s">
        <v>46</v>
      </c>
      <c r="T193" s="31">
        <v>0</v>
      </c>
      <c r="U193" s="31">
        <v>0</v>
      </c>
      <c r="V193" s="31">
        <v>0</v>
      </c>
      <c r="W193" s="31">
        <v>0</v>
      </c>
      <c r="X193" s="31">
        <v>19.600000000000001</v>
      </c>
      <c r="Y193" s="31" t="s">
        <v>46</v>
      </c>
      <c r="Z193" s="31" t="s">
        <v>46</v>
      </c>
      <c r="AA193" s="31" t="s">
        <v>46</v>
      </c>
      <c r="AB193" s="31" t="s">
        <v>46</v>
      </c>
      <c r="AC193" s="31" t="s">
        <v>46</v>
      </c>
      <c r="AD193" s="31" t="s">
        <v>46</v>
      </c>
      <c r="AE193" s="31" t="s">
        <v>46</v>
      </c>
      <c r="AF193" s="31" t="s">
        <v>46</v>
      </c>
      <c r="AG193" s="31" t="s">
        <v>46</v>
      </c>
      <c r="AH193" s="31" t="s">
        <v>46</v>
      </c>
      <c r="AI193" s="31" t="s">
        <v>46</v>
      </c>
      <c r="AJ193" s="12">
        <v>1</v>
      </c>
      <c r="AK193" s="12">
        <v>1</v>
      </c>
      <c r="AL193" s="31">
        <f>AL192</f>
        <v>0.75</v>
      </c>
      <c r="AM193" s="31">
        <f>AM192</f>
        <v>2.7E-2</v>
      </c>
      <c r="AN193" s="31">
        <f>AN192</f>
        <v>3</v>
      </c>
      <c r="AO193" s="31"/>
      <c r="AP193" s="31"/>
      <c r="AQ193" s="32">
        <f>AM193*I193+AL193</f>
        <v>0.87392999999999998</v>
      </c>
      <c r="AR193" s="32">
        <f t="shared" si="212"/>
        <v>8.7392999999999998E-2</v>
      </c>
      <c r="AS193" s="33">
        <f t="shared" si="213"/>
        <v>3.25</v>
      </c>
      <c r="AT193" s="33">
        <f t="shared" si="214"/>
        <v>1.05283075</v>
      </c>
      <c r="AU193" s="32">
        <f>10068.2*J193*POWER(10,-6)*10</f>
        <v>2.3291371151999999E-3</v>
      </c>
      <c r="AV193" s="33">
        <f t="shared" si="215"/>
        <v>5.2664828871151999</v>
      </c>
      <c r="AW193" s="34">
        <f t="shared" si="216"/>
        <v>1.344E-5</v>
      </c>
      <c r="AX193" s="34">
        <f t="shared" si="217"/>
        <v>1.344E-5</v>
      </c>
      <c r="AY193" s="34">
        <f t="shared" si="218"/>
        <v>7.0781530002828286E-5</v>
      </c>
      <c r="AZ193" s="288">
        <f>AW193/DB!$B$23</f>
        <v>6.892307692307692E-9</v>
      </c>
      <c r="BA193" s="288">
        <f>AX193/DB!$B$23</f>
        <v>6.892307692307692E-9</v>
      </c>
    </row>
    <row r="194" spans="1:53" x14ac:dyDescent="0.3">
      <c r="A194" s="8" t="s">
        <v>685</v>
      </c>
      <c r="B194" s="8" t="str">
        <f>B192</f>
        <v>Выкидной нефтепровод Скв 894– ГЗУ 28, водонефтяная эмульсия</v>
      </c>
      <c r="C194" s="79" t="s">
        <v>108</v>
      </c>
      <c r="D194" s="9" t="s">
        <v>26</v>
      </c>
      <c r="E194" s="67">
        <f>E192</f>
        <v>2.9999999999999999E-7</v>
      </c>
      <c r="F194" s="68">
        <f>F192</f>
        <v>1120</v>
      </c>
      <c r="G194" s="8">
        <v>0.76</v>
      </c>
      <c r="H194" s="10">
        <f t="shared" si="208"/>
        <v>2.5535999999999999E-4</v>
      </c>
      <c r="I194" s="62">
        <f>I192</f>
        <v>4.59</v>
      </c>
      <c r="J194" s="71">
        <v>0</v>
      </c>
      <c r="K194" s="72" t="s">
        <v>124</v>
      </c>
      <c r="L194" s="77">
        <v>0</v>
      </c>
      <c r="M194" s="31" t="str">
        <f t="shared" si="209"/>
        <v>C117</v>
      </c>
      <c r="N194" s="31" t="str">
        <f t="shared" si="210"/>
        <v>Выкидной нефтепровод Скв 894– ГЗУ 28, водонефтяная эмульсия</v>
      </c>
      <c r="O194" s="31" t="str">
        <f t="shared" si="211"/>
        <v>Полное-ликвидация</v>
      </c>
      <c r="P194" s="31" t="s">
        <v>46</v>
      </c>
      <c r="Q194" s="31" t="s">
        <v>46</v>
      </c>
      <c r="R194" s="31" t="s">
        <v>46</v>
      </c>
      <c r="S194" s="31" t="s">
        <v>46</v>
      </c>
      <c r="T194" s="31" t="s">
        <v>46</v>
      </c>
      <c r="U194" s="31" t="s">
        <v>46</v>
      </c>
      <c r="V194" s="31" t="s">
        <v>46</v>
      </c>
      <c r="W194" s="31" t="s">
        <v>46</v>
      </c>
      <c r="X194" s="31" t="s">
        <v>46</v>
      </c>
      <c r="Y194" s="31" t="s">
        <v>46</v>
      </c>
      <c r="Z194" s="31" t="s">
        <v>46</v>
      </c>
      <c r="AA194" s="31" t="s">
        <v>46</v>
      </c>
      <c r="AB194" s="31" t="s">
        <v>46</v>
      </c>
      <c r="AC194" s="31" t="s">
        <v>46</v>
      </c>
      <c r="AD194" s="31" t="s">
        <v>46</v>
      </c>
      <c r="AE194" s="31" t="s">
        <v>46</v>
      </c>
      <c r="AF194" s="31" t="s">
        <v>46</v>
      </c>
      <c r="AG194" s="31" t="s">
        <v>46</v>
      </c>
      <c r="AH194" s="31" t="s">
        <v>46</v>
      </c>
      <c r="AI194" s="31" t="s">
        <v>46</v>
      </c>
      <c r="AJ194" s="31">
        <v>0</v>
      </c>
      <c r="AK194" s="31">
        <v>0</v>
      </c>
      <c r="AL194" s="31">
        <f>AL192</f>
        <v>0.75</v>
      </c>
      <c r="AM194" s="31">
        <f>AM192</f>
        <v>2.7E-2</v>
      </c>
      <c r="AN194" s="31">
        <f>AN192</f>
        <v>3</v>
      </c>
      <c r="AO194" s="31"/>
      <c r="AP194" s="31"/>
      <c r="AQ194" s="32">
        <f>AM194*I194*0.1+AL194</f>
        <v>0.76239299999999999</v>
      </c>
      <c r="AR194" s="32">
        <f t="shared" si="212"/>
        <v>7.623930000000001E-2</v>
      </c>
      <c r="AS194" s="33">
        <f t="shared" si="213"/>
        <v>0</v>
      </c>
      <c r="AT194" s="33">
        <f t="shared" si="214"/>
        <v>0.209658075</v>
      </c>
      <c r="AU194" s="32">
        <f>1333*J193*POWER(10,-6)</f>
        <v>3.0837088799999997E-5</v>
      </c>
      <c r="AV194" s="33">
        <f t="shared" si="215"/>
        <v>1.0483212120887999</v>
      </c>
      <c r="AW194" s="34">
        <f t="shared" si="216"/>
        <v>0</v>
      </c>
      <c r="AX194" s="34">
        <f t="shared" si="217"/>
        <v>0</v>
      </c>
      <c r="AY194" s="34">
        <f t="shared" si="218"/>
        <v>2.6769930471899595E-4</v>
      </c>
      <c r="AZ194" s="288">
        <f>AW194/DB!$B$23</f>
        <v>0</v>
      </c>
      <c r="BA194" s="288">
        <f>AX194/DB!$B$23</f>
        <v>0</v>
      </c>
    </row>
    <row r="195" spans="1:53" x14ac:dyDescent="0.3">
      <c r="A195" s="8" t="s">
        <v>686</v>
      </c>
      <c r="B195" s="8" t="str">
        <f>B192</f>
        <v>Выкидной нефтепровод Скв 894– ГЗУ 28, водонефтяная эмульсия</v>
      </c>
      <c r="C195" s="79" t="s">
        <v>109</v>
      </c>
      <c r="D195" s="9" t="s">
        <v>47</v>
      </c>
      <c r="E195" s="66">
        <v>1.9999999999999999E-6</v>
      </c>
      <c r="F195" s="68">
        <f>F192</f>
        <v>1120</v>
      </c>
      <c r="G195" s="8">
        <v>0.2</v>
      </c>
      <c r="H195" s="10">
        <f t="shared" si="208"/>
        <v>4.4799999999999999E-4</v>
      </c>
      <c r="I195" s="62">
        <f>0.15*I192</f>
        <v>0.6885</v>
      </c>
      <c r="J195" s="69">
        <f>I195</f>
        <v>0.6885</v>
      </c>
      <c r="K195" s="74" t="s">
        <v>126</v>
      </c>
      <c r="L195" s="78">
        <v>45390</v>
      </c>
      <c r="M195" s="31" t="str">
        <f t="shared" si="209"/>
        <v>C118</v>
      </c>
      <c r="N195" s="31" t="str">
        <f t="shared" si="210"/>
        <v>Выкидной нефтепровод Скв 894– ГЗУ 28, водонефтяная эмульсия</v>
      </c>
      <c r="O195" s="31" t="str">
        <f t="shared" si="211"/>
        <v>Частичное-пожар</v>
      </c>
      <c r="P195" s="31">
        <v>4.5</v>
      </c>
      <c r="Q195" s="31">
        <v>6.6</v>
      </c>
      <c r="R195" s="31">
        <v>9.8000000000000007</v>
      </c>
      <c r="S195" s="31">
        <v>18.2</v>
      </c>
      <c r="T195" s="31" t="s">
        <v>46</v>
      </c>
      <c r="U195" s="31" t="s">
        <v>46</v>
      </c>
      <c r="V195" s="31" t="s">
        <v>46</v>
      </c>
      <c r="W195" s="31" t="s">
        <v>46</v>
      </c>
      <c r="X195" s="31" t="s">
        <v>46</v>
      </c>
      <c r="Y195" s="31" t="s">
        <v>46</v>
      </c>
      <c r="Z195" s="31" t="s">
        <v>46</v>
      </c>
      <c r="AA195" s="31" t="s">
        <v>46</v>
      </c>
      <c r="AB195" s="31" t="s">
        <v>46</v>
      </c>
      <c r="AC195" s="31" t="s">
        <v>46</v>
      </c>
      <c r="AD195" s="31" t="s">
        <v>46</v>
      </c>
      <c r="AE195" s="31" t="s">
        <v>46</v>
      </c>
      <c r="AF195" s="31" t="s">
        <v>46</v>
      </c>
      <c r="AG195" s="31" t="s">
        <v>46</v>
      </c>
      <c r="AH195" s="31" t="s">
        <v>46</v>
      </c>
      <c r="AI195" s="31" t="s">
        <v>46</v>
      </c>
      <c r="AJ195" s="31">
        <v>0</v>
      </c>
      <c r="AK195" s="31">
        <v>2</v>
      </c>
      <c r="AL195" s="31">
        <f>0.1*$AL$2</f>
        <v>7.5000000000000011E-2</v>
      </c>
      <c r="AM195" s="31">
        <f>AM192</f>
        <v>2.7E-2</v>
      </c>
      <c r="AN195" s="31">
        <f>ROUNDUP(AN192/3,0)</f>
        <v>1</v>
      </c>
      <c r="AO195" s="31"/>
      <c r="AP195" s="31"/>
      <c r="AQ195" s="32">
        <f>AM195*I195+AL195</f>
        <v>9.3589500000000006E-2</v>
      </c>
      <c r="AR195" s="32">
        <f t="shared" si="212"/>
        <v>9.3589500000000013E-3</v>
      </c>
      <c r="AS195" s="33">
        <f t="shared" si="213"/>
        <v>0.5</v>
      </c>
      <c r="AT195" s="33">
        <f t="shared" si="214"/>
        <v>0.15073711249999999</v>
      </c>
      <c r="AU195" s="32">
        <f>10068.2*J195*POWER(10,-6)</f>
        <v>6.9319556999999999E-3</v>
      </c>
      <c r="AV195" s="33">
        <f t="shared" si="215"/>
        <v>0.7606175181999999</v>
      </c>
      <c r="AW195" s="34">
        <f t="shared" si="216"/>
        <v>0</v>
      </c>
      <c r="AX195" s="34">
        <f t="shared" si="217"/>
        <v>8.9599999999999999E-4</v>
      </c>
      <c r="AY195" s="34">
        <f t="shared" si="218"/>
        <v>3.4075664815359997E-4</v>
      </c>
      <c r="AZ195" s="288">
        <f>AW195/DB!$B$23</f>
        <v>0</v>
      </c>
      <c r="BA195" s="288">
        <f>AX195/DB!$B$23</f>
        <v>4.594871794871795E-7</v>
      </c>
    </row>
    <row r="196" spans="1:53" x14ac:dyDescent="0.3">
      <c r="A196" s="8" t="s">
        <v>687</v>
      </c>
      <c r="B196" s="8" t="str">
        <f>B192</f>
        <v>Выкидной нефтепровод Скв 894– ГЗУ 28, водонефтяная эмульсия</v>
      </c>
      <c r="C196" s="79" t="s">
        <v>110</v>
      </c>
      <c r="D196" s="9" t="s">
        <v>112</v>
      </c>
      <c r="E196" s="67">
        <f>E195</f>
        <v>1.9999999999999999E-6</v>
      </c>
      <c r="F196" s="68">
        <f>F192</f>
        <v>1120</v>
      </c>
      <c r="G196" s="8">
        <v>0.04</v>
      </c>
      <c r="H196" s="10">
        <f t="shared" si="208"/>
        <v>8.9599999999999996E-5</v>
      </c>
      <c r="I196" s="62">
        <f>0.15*I192</f>
        <v>0.6885</v>
      </c>
      <c r="J196" s="69">
        <f>0.9*J193</f>
        <v>2.0820239999999997E-2</v>
      </c>
      <c r="K196" s="74" t="s">
        <v>127</v>
      </c>
      <c r="L196" s="78">
        <v>3</v>
      </c>
      <c r="M196" s="31" t="str">
        <f t="shared" si="209"/>
        <v>C119</v>
      </c>
      <c r="N196" s="31" t="str">
        <f t="shared" si="210"/>
        <v>Выкидной нефтепровод Скв 894– ГЗУ 28, водонефтяная эмульсия</v>
      </c>
      <c r="O196" s="31" t="str">
        <f t="shared" si="211"/>
        <v>Частичное-пожар-вспышка</v>
      </c>
      <c r="P196" s="31" t="s">
        <v>46</v>
      </c>
      <c r="Q196" s="31" t="s">
        <v>46</v>
      </c>
      <c r="R196" s="31" t="s">
        <v>46</v>
      </c>
      <c r="S196" s="31" t="s">
        <v>46</v>
      </c>
      <c r="T196" s="31" t="s">
        <v>46</v>
      </c>
      <c r="U196" s="31" t="s">
        <v>46</v>
      </c>
      <c r="V196" s="31" t="s">
        <v>46</v>
      </c>
      <c r="W196" s="31" t="s">
        <v>46</v>
      </c>
      <c r="X196" s="31" t="s">
        <v>46</v>
      </c>
      <c r="Y196" s="31" t="s">
        <v>46</v>
      </c>
      <c r="Z196" s="31" t="s">
        <v>46</v>
      </c>
      <c r="AA196" s="31">
        <v>9.34</v>
      </c>
      <c r="AB196" s="31">
        <v>11.21</v>
      </c>
      <c r="AC196" s="31" t="s">
        <v>46</v>
      </c>
      <c r="AD196" s="31" t="s">
        <v>46</v>
      </c>
      <c r="AE196" s="31" t="s">
        <v>46</v>
      </c>
      <c r="AF196" s="31" t="s">
        <v>46</v>
      </c>
      <c r="AG196" s="31" t="s">
        <v>46</v>
      </c>
      <c r="AH196" s="31" t="s">
        <v>46</v>
      </c>
      <c r="AI196" s="31" t="s">
        <v>46</v>
      </c>
      <c r="AJ196" s="31">
        <v>0</v>
      </c>
      <c r="AK196" s="31">
        <v>1</v>
      </c>
      <c r="AL196" s="31">
        <f>0.1*$AL$2</f>
        <v>7.5000000000000011E-2</v>
      </c>
      <c r="AM196" s="31">
        <f>AM192</f>
        <v>2.7E-2</v>
      </c>
      <c r="AN196" s="31">
        <f>ROUNDUP(AN192/3,0)</f>
        <v>1</v>
      </c>
      <c r="AO196" s="31"/>
      <c r="AP196" s="31"/>
      <c r="AQ196" s="32">
        <f>AM196*I196+AL196</f>
        <v>9.3589500000000006E-2</v>
      </c>
      <c r="AR196" s="32">
        <f t="shared" si="212"/>
        <v>9.3589500000000013E-3</v>
      </c>
      <c r="AS196" s="33">
        <f t="shared" si="213"/>
        <v>0.25</v>
      </c>
      <c r="AT196" s="33">
        <f t="shared" si="214"/>
        <v>8.8237112500000006E-2</v>
      </c>
      <c r="AU196" s="32">
        <f>10068.2*J196*POWER(10,-6)*10</f>
        <v>2.0962234036799995E-3</v>
      </c>
      <c r="AV196" s="33">
        <f t="shared" si="215"/>
        <v>0.44328178590367995</v>
      </c>
      <c r="AW196" s="34">
        <f t="shared" si="216"/>
        <v>0</v>
      </c>
      <c r="AX196" s="34">
        <f t="shared" si="217"/>
        <v>8.9599999999999996E-5</v>
      </c>
      <c r="AY196" s="34">
        <f t="shared" si="218"/>
        <v>3.9718048016969722E-5</v>
      </c>
      <c r="AZ196" s="288">
        <f>AW196/DB!$B$23</f>
        <v>0</v>
      </c>
      <c r="BA196" s="288">
        <f>AX196/DB!$B$23</f>
        <v>4.5948717948717945E-8</v>
      </c>
    </row>
    <row r="197" spans="1:53" x14ac:dyDescent="0.3">
      <c r="A197" s="170" t="s">
        <v>688</v>
      </c>
      <c r="B197" s="170" t="str">
        <f>B192</f>
        <v>Выкидной нефтепровод Скв 894– ГЗУ 28, водонефтяная эмульсия</v>
      </c>
      <c r="C197" s="171" t="s">
        <v>111</v>
      </c>
      <c r="D197" s="172" t="s">
        <v>27</v>
      </c>
      <c r="E197" s="173">
        <f>E195</f>
        <v>1.9999999999999999E-6</v>
      </c>
      <c r="F197" s="174">
        <f>F192</f>
        <v>1120</v>
      </c>
      <c r="G197" s="170">
        <v>0.76</v>
      </c>
      <c r="H197" s="175">
        <f t="shared" si="208"/>
        <v>1.7024E-3</v>
      </c>
      <c r="I197" s="176">
        <f>0.15*I192</f>
        <v>0.6885</v>
      </c>
      <c r="J197" s="177">
        <v>0</v>
      </c>
      <c r="K197" s="178" t="s">
        <v>138</v>
      </c>
      <c r="L197" s="179">
        <v>1</v>
      </c>
      <c r="M197" s="31" t="str">
        <f t="shared" si="209"/>
        <v>C120</v>
      </c>
      <c r="N197" s="31" t="str">
        <f t="shared" si="210"/>
        <v>Выкидной нефтепровод Скв 894– ГЗУ 28, водонефтяная эмульсия</v>
      </c>
      <c r="O197" s="31" t="str">
        <f t="shared" si="211"/>
        <v>Частичное-ликвидация</v>
      </c>
      <c r="P197" s="31" t="s">
        <v>46</v>
      </c>
      <c r="Q197" s="31" t="s">
        <v>46</v>
      </c>
      <c r="R197" s="31" t="s">
        <v>46</v>
      </c>
      <c r="S197" s="31" t="s">
        <v>46</v>
      </c>
      <c r="T197" s="31" t="s">
        <v>46</v>
      </c>
      <c r="U197" s="31" t="s">
        <v>46</v>
      </c>
      <c r="V197" s="31" t="s">
        <v>46</v>
      </c>
      <c r="W197" s="31" t="s">
        <v>46</v>
      </c>
      <c r="X197" s="31" t="s">
        <v>46</v>
      </c>
      <c r="Y197" s="31" t="s">
        <v>46</v>
      </c>
      <c r="Z197" s="31" t="s">
        <v>46</v>
      </c>
      <c r="AA197" s="31" t="s">
        <v>46</v>
      </c>
      <c r="AB197" s="31" t="s">
        <v>46</v>
      </c>
      <c r="AC197" s="31" t="s">
        <v>46</v>
      </c>
      <c r="AD197" s="31" t="s">
        <v>46</v>
      </c>
      <c r="AE197" s="31" t="s">
        <v>46</v>
      </c>
      <c r="AF197" s="31" t="s">
        <v>46</v>
      </c>
      <c r="AG197" s="31" t="s">
        <v>46</v>
      </c>
      <c r="AH197" s="31" t="s">
        <v>46</v>
      </c>
      <c r="AI197" s="31" t="s">
        <v>46</v>
      </c>
      <c r="AJ197" s="31">
        <v>0</v>
      </c>
      <c r="AK197" s="31">
        <v>0</v>
      </c>
      <c r="AL197" s="31">
        <f>0.1*$AL$2</f>
        <v>7.5000000000000011E-2</v>
      </c>
      <c r="AM197" s="31">
        <f>AM192</f>
        <v>2.7E-2</v>
      </c>
      <c r="AN197" s="31">
        <f>ROUNDUP(AN192/3,0)</f>
        <v>1</v>
      </c>
      <c r="AO197" s="31"/>
      <c r="AP197" s="31"/>
      <c r="AQ197" s="32">
        <f>AM197*I197*0.1+AL197</f>
        <v>7.6858950000000009E-2</v>
      </c>
      <c r="AR197" s="32">
        <f t="shared" si="212"/>
        <v>7.6858950000000016E-3</v>
      </c>
      <c r="AS197" s="33">
        <f t="shared" si="213"/>
        <v>0</v>
      </c>
      <c r="AT197" s="33">
        <f t="shared" si="214"/>
        <v>2.1136211250000002E-2</v>
      </c>
      <c r="AU197" s="32">
        <f>1333*J196*POWER(10,-6)</f>
        <v>2.7753379919999994E-5</v>
      </c>
      <c r="AV197" s="33">
        <f t="shared" si="215"/>
        <v>0.10570880962992002</v>
      </c>
      <c r="AW197" s="34">
        <f t="shared" si="216"/>
        <v>0</v>
      </c>
      <c r="AX197" s="34">
        <f t="shared" si="217"/>
        <v>0</v>
      </c>
      <c r="AY197" s="34">
        <f t="shared" si="218"/>
        <v>1.7995867751397583E-4</v>
      </c>
      <c r="AZ197" s="288">
        <f>AW197/DB!$B$23</f>
        <v>0</v>
      </c>
      <c r="BA197" s="288">
        <f>AX197/DB!$B$23</f>
        <v>0</v>
      </c>
    </row>
    <row r="198" spans="1:53" s="180" customForma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207" t="s">
        <v>466</v>
      </c>
      <c r="L198" s="287" t="s">
        <v>601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</row>
    <row r="199" spans="1:53" s="180" customForma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</row>
    <row r="200" spans="1:53" s="180" customForma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</row>
    <row r="201" spans="1:53" ht="15" thickBot="1" x14ac:dyDescent="0.35"/>
    <row r="202" spans="1:53" ht="15" thickBot="1" x14ac:dyDescent="0.35">
      <c r="A202" s="8" t="s">
        <v>689</v>
      </c>
      <c r="B202" s="63" t="s">
        <v>670</v>
      </c>
      <c r="C202" s="79" t="s">
        <v>106</v>
      </c>
      <c r="D202" s="9" t="s">
        <v>25</v>
      </c>
      <c r="E202" s="66">
        <v>2.9999999999999999E-7</v>
      </c>
      <c r="F202" s="63">
        <v>660</v>
      </c>
      <c r="G202" s="8">
        <v>0.2</v>
      </c>
      <c r="H202" s="10">
        <f t="shared" ref="H202:H207" si="219">E202*F202*G202</f>
        <v>3.96E-5</v>
      </c>
      <c r="I202" s="64">
        <v>2.69</v>
      </c>
      <c r="J202" s="69">
        <f>I202</f>
        <v>2.69</v>
      </c>
      <c r="K202" s="72" t="s">
        <v>122</v>
      </c>
      <c r="L202" s="77">
        <f>40*I202</f>
        <v>107.6</v>
      </c>
      <c r="M202" s="31" t="str">
        <f t="shared" ref="M202:M207" si="220">A202</f>
        <v>C121</v>
      </c>
      <c r="N202" s="31" t="str">
        <f t="shared" ref="N202:N207" si="221">B202</f>
        <v>Выкидной нефтепровод Скв 896– ГЗУ 31, водонефтяная эмульсия</v>
      </c>
      <c r="O202" s="31" t="str">
        <f t="shared" ref="O202:O207" si="222">D202</f>
        <v>Полное-пожар</v>
      </c>
      <c r="P202" s="31">
        <v>8.4</v>
      </c>
      <c r="Q202" s="31">
        <v>11.9</v>
      </c>
      <c r="R202" s="31">
        <v>17.7</v>
      </c>
      <c r="S202" s="31">
        <v>34.6</v>
      </c>
      <c r="T202" s="31" t="s">
        <v>46</v>
      </c>
      <c r="U202" s="31" t="s">
        <v>46</v>
      </c>
      <c r="V202" s="31" t="s">
        <v>46</v>
      </c>
      <c r="W202" s="31" t="s">
        <v>46</v>
      </c>
      <c r="X202" s="31" t="s">
        <v>46</v>
      </c>
      <c r="Y202" s="31" t="s">
        <v>46</v>
      </c>
      <c r="Z202" s="31" t="s">
        <v>46</v>
      </c>
      <c r="AA202" s="31" t="s">
        <v>46</v>
      </c>
      <c r="AB202" s="31" t="s">
        <v>46</v>
      </c>
      <c r="AC202" s="31" t="s">
        <v>46</v>
      </c>
      <c r="AD202" s="31" t="s">
        <v>46</v>
      </c>
      <c r="AE202" s="31" t="s">
        <v>46</v>
      </c>
      <c r="AF202" s="31" t="s">
        <v>46</v>
      </c>
      <c r="AG202" s="31" t="s">
        <v>46</v>
      </c>
      <c r="AH202" s="31" t="s">
        <v>46</v>
      </c>
      <c r="AI202" s="31" t="s">
        <v>46</v>
      </c>
      <c r="AJ202" s="12">
        <v>1</v>
      </c>
      <c r="AK202" s="12">
        <v>1</v>
      </c>
      <c r="AL202" s="65">
        <v>0.75</v>
      </c>
      <c r="AM202" s="65">
        <v>2.7E-2</v>
      </c>
      <c r="AN202" s="65">
        <v>3</v>
      </c>
      <c r="AO202" s="31"/>
      <c r="AP202" s="31"/>
      <c r="AQ202" s="32">
        <f>AM202*I202+AL202</f>
        <v>0.82262999999999997</v>
      </c>
      <c r="AR202" s="32">
        <f t="shared" ref="AR202:AR207" si="223">0.1*AQ202</f>
        <v>8.2263000000000003E-2</v>
      </c>
      <c r="AS202" s="33">
        <f t="shared" ref="AS202:AS207" si="224">AJ202*3+0.25*AK202</f>
        <v>3.25</v>
      </c>
      <c r="AT202" s="33">
        <f t="shared" ref="AT202:AT207" si="225">SUM(AQ202:AS202)/4</f>
        <v>1.0387232499999999</v>
      </c>
      <c r="AU202" s="32">
        <f>10068.2*J202*POWER(10,-6)</f>
        <v>2.7083458000000001E-2</v>
      </c>
      <c r="AV202" s="33">
        <f t="shared" ref="AV202:AV207" si="226">AU202+AT202+AS202+AR202+AQ202</f>
        <v>5.2206997080000006</v>
      </c>
      <c r="AW202" s="34">
        <f t="shared" ref="AW202:AW207" si="227">AJ202*H202</f>
        <v>3.96E-5</v>
      </c>
      <c r="AX202" s="34">
        <f t="shared" ref="AX202:AX207" si="228">H202*AK202</f>
        <v>3.96E-5</v>
      </c>
      <c r="AY202" s="34">
        <f t="shared" ref="AY202:AY207" si="229">H202*AV202</f>
        <v>2.0673970843680003E-4</v>
      </c>
      <c r="AZ202" s="288">
        <f>AW202/DB!$B$23</f>
        <v>2.0307692307692308E-8</v>
      </c>
      <c r="BA202" s="288">
        <f>AX202/DB!$B$23</f>
        <v>2.0307692307692308E-8</v>
      </c>
    </row>
    <row r="203" spans="1:53" ht="15" thickBot="1" x14ac:dyDescent="0.35">
      <c r="A203" s="8" t="s">
        <v>690</v>
      </c>
      <c r="B203" s="8" t="str">
        <f>B202</f>
        <v>Выкидной нефтепровод Скв 896– ГЗУ 31, водонефтяная эмульсия</v>
      </c>
      <c r="C203" s="79" t="s">
        <v>107</v>
      </c>
      <c r="D203" s="9" t="s">
        <v>28</v>
      </c>
      <c r="E203" s="67">
        <f>E202</f>
        <v>2.9999999999999999E-7</v>
      </c>
      <c r="F203" s="68">
        <f>F202</f>
        <v>660</v>
      </c>
      <c r="G203" s="8">
        <v>0.04</v>
      </c>
      <c r="H203" s="10">
        <f t="shared" si="219"/>
        <v>7.9200000000000004E-6</v>
      </c>
      <c r="I203" s="62">
        <f>I202</f>
        <v>2.69</v>
      </c>
      <c r="J203" s="298">
        <f>POWER(10,-6)*35*SQRT(100)*3600*L202/1000*0.1</f>
        <v>1.3557599999999998E-2</v>
      </c>
      <c r="K203" s="72" t="s">
        <v>123</v>
      </c>
      <c r="L203" s="77">
        <v>0</v>
      </c>
      <c r="M203" s="31" t="str">
        <f t="shared" si="220"/>
        <v>C122</v>
      </c>
      <c r="N203" s="31" t="str">
        <f t="shared" si="221"/>
        <v>Выкидной нефтепровод Скв 896– ГЗУ 31, водонефтяная эмульсия</v>
      </c>
      <c r="O203" s="31" t="str">
        <f t="shared" si="222"/>
        <v>Полное-взрыв</v>
      </c>
      <c r="P203" s="31" t="s">
        <v>46</v>
      </c>
      <c r="Q203" s="31" t="s">
        <v>46</v>
      </c>
      <c r="R203" s="31" t="s">
        <v>46</v>
      </c>
      <c r="S203" s="31" t="s">
        <v>46</v>
      </c>
      <c r="T203" s="31">
        <v>0</v>
      </c>
      <c r="U203" s="31">
        <v>0</v>
      </c>
      <c r="V203" s="31">
        <v>0</v>
      </c>
      <c r="W203" s="31">
        <v>0</v>
      </c>
      <c r="X203" s="31">
        <v>12.6</v>
      </c>
      <c r="Y203" s="31" t="s">
        <v>46</v>
      </c>
      <c r="Z203" s="31" t="s">
        <v>46</v>
      </c>
      <c r="AA203" s="31" t="s">
        <v>46</v>
      </c>
      <c r="AB203" s="31" t="s">
        <v>46</v>
      </c>
      <c r="AC203" s="31" t="s">
        <v>46</v>
      </c>
      <c r="AD203" s="31" t="s">
        <v>46</v>
      </c>
      <c r="AE203" s="31" t="s">
        <v>46</v>
      </c>
      <c r="AF203" s="31" t="s">
        <v>46</v>
      </c>
      <c r="AG203" s="31" t="s">
        <v>46</v>
      </c>
      <c r="AH203" s="31" t="s">
        <v>46</v>
      </c>
      <c r="AI203" s="31" t="s">
        <v>46</v>
      </c>
      <c r="AJ203" s="12">
        <v>1</v>
      </c>
      <c r="AK203" s="12">
        <v>1</v>
      </c>
      <c r="AL203" s="31">
        <f>AL202</f>
        <v>0.75</v>
      </c>
      <c r="AM203" s="31">
        <f>AM202</f>
        <v>2.7E-2</v>
      </c>
      <c r="AN203" s="31">
        <f>AN202</f>
        <v>3</v>
      </c>
      <c r="AO203" s="31"/>
      <c r="AP203" s="31"/>
      <c r="AQ203" s="32">
        <f>AM203*I203+AL203</f>
        <v>0.82262999999999997</v>
      </c>
      <c r="AR203" s="32">
        <f t="shared" si="223"/>
        <v>8.2263000000000003E-2</v>
      </c>
      <c r="AS203" s="33">
        <f t="shared" si="224"/>
        <v>3.25</v>
      </c>
      <c r="AT203" s="33">
        <f t="shared" si="225"/>
        <v>1.0387232499999999</v>
      </c>
      <c r="AU203" s="32">
        <f>10068.2*J203*POWER(10,-6)*10</f>
        <v>1.3650062831999997E-3</v>
      </c>
      <c r="AV203" s="33">
        <f t="shared" si="226"/>
        <v>5.1949812562832003</v>
      </c>
      <c r="AW203" s="34">
        <f t="shared" si="227"/>
        <v>7.9200000000000004E-6</v>
      </c>
      <c r="AX203" s="34">
        <f t="shared" si="228"/>
        <v>7.9200000000000004E-6</v>
      </c>
      <c r="AY203" s="34">
        <f t="shared" si="229"/>
        <v>4.1144251549762951E-5</v>
      </c>
      <c r="AZ203" s="288">
        <f>AW203/DB!$B$23</f>
        <v>4.0615384615384618E-9</v>
      </c>
      <c r="BA203" s="288">
        <f>AX203/DB!$B$23</f>
        <v>4.0615384615384618E-9</v>
      </c>
    </row>
    <row r="204" spans="1:53" x14ac:dyDescent="0.3">
      <c r="A204" s="8" t="s">
        <v>691</v>
      </c>
      <c r="B204" s="8" t="str">
        <f>B202</f>
        <v>Выкидной нефтепровод Скв 896– ГЗУ 31, водонефтяная эмульсия</v>
      </c>
      <c r="C204" s="79" t="s">
        <v>108</v>
      </c>
      <c r="D204" s="9" t="s">
        <v>26</v>
      </c>
      <c r="E204" s="67">
        <f>E202</f>
        <v>2.9999999999999999E-7</v>
      </c>
      <c r="F204" s="68">
        <f>F202</f>
        <v>660</v>
      </c>
      <c r="G204" s="8">
        <v>0.76</v>
      </c>
      <c r="H204" s="10">
        <f t="shared" si="219"/>
        <v>1.5047999999999998E-4</v>
      </c>
      <c r="I204" s="62">
        <f>I202</f>
        <v>2.69</v>
      </c>
      <c r="J204" s="71">
        <v>0</v>
      </c>
      <c r="K204" s="72" t="s">
        <v>124</v>
      </c>
      <c r="L204" s="77">
        <v>0</v>
      </c>
      <c r="M204" s="31" t="str">
        <f t="shared" si="220"/>
        <v>C123</v>
      </c>
      <c r="N204" s="31" t="str">
        <f t="shared" si="221"/>
        <v>Выкидной нефтепровод Скв 896– ГЗУ 31, водонефтяная эмульсия</v>
      </c>
      <c r="O204" s="31" t="str">
        <f t="shared" si="222"/>
        <v>Полное-ликвидация</v>
      </c>
      <c r="P204" s="31" t="s">
        <v>46</v>
      </c>
      <c r="Q204" s="31" t="s">
        <v>46</v>
      </c>
      <c r="R204" s="31" t="s">
        <v>46</v>
      </c>
      <c r="S204" s="31" t="s">
        <v>46</v>
      </c>
      <c r="T204" s="31" t="s">
        <v>46</v>
      </c>
      <c r="U204" s="31" t="s">
        <v>46</v>
      </c>
      <c r="V204" s="31" t="s">
        <v>46</v>
      </c>
      <c r="W204" s="31" t="s">
        <v>46</v>
      </c>
      <c r="X204" s="31" t="s">
        <v>46</v>
      </c>
      <c r="Y204" s="31" t="s">
        <v>46</v>
      </c>
      <c r="Z204" s="31" t="s">
        <v>46</v>
      </c>
      <c r="AA204" s="31" t="s">
        <v>46</v>
      </c>
      <c r="AB204" s="31" t="s">
        <v>46</v>
      </c>
      <c r="AC204" s="31" t="s">
        <v>46</v>
      </c>
      <c r="AD204" s="31" t="s">
        <v>46</v>
      </c>
      <c r="AE204" s="31" t="s">
        <v>46</v>
      </c>
      <c r="AF204" s="31" t="s">
        <v>46</v>
      </c>
      <c r="AG204" s="31" t="s">
        <v>46</v>
      </c>
      <c r="AH204" s="31" t="s">
        <v>46</v>
      </c>
      <c r="AI204" s="31" t="s">
        <v>46</v>
      </c>
      <c r="AJ204" s="31">
        <v>0</v>
      </c>
      <c r="AK204" s="31">
        <v>0</v>
      </c>
      <c r="AL204" s="31">
        <f>AL202</f>
        <v>0.75</v>
      </c>
      <c r="AM204" s="31">
        <f>AM202</f>
        <v>2.7E-2</v>
      </c>
      <c r="AN204" s="31">
        <f>AN202</f>
        <v>3</v>
      </c>
      <c r="AO204" s="31"/>
      <c r="AP204" s="31"/>
      <c r="AQ204" s="32">
        <f>AM204*I204*0.1+AL204</f>
        <v>0.75726300000000002</v>
      </c>
      <c r="AR204" s="32">
        <f t="shared" si="223"/>
        <v>7.572630000000001E-2</v>
      </c>
      <c r="AS204" s="33">
        <f t="shared" si="224"/>
        <v>0</v>
      </c>
      <c r="AT204" s="33">
        <f t="shared" si="225"/>
        <v>0.20824732500000001</v>
      </c>
      <c r="AU204" s="32">
        <f>1333*J203*POWER(10,-6)</f>
        <v>1.8072280799999998E-5</v>
      </c>
      <c r="AV204" s="33">
        <f t="shared" si="226"/>
        <v>1.0412546972808001</v>
      </c>
      <c r="AW204" s="34">
        <f t="shared" si="227"/>
        <v>0</v>
      </c>
      <c r="AX204" s="34">
        <f t="shared" si="228"/>
        <v>0</v>
      </c>
      <c r="AY204" s="34">
        <f t="shared" si="229"/>
        <v>1.5668800684681477E-4</v>
      </c>
      <c r="AZ204" s="288">
        <f>AW204/DB!$B$23</f>
        <v>0</v>
      </c>
      <c r="BA204" s="288">
        <f>AX204/DB!$B$23</f>
        <v>0</v>
      </c>
    </row>
    <row r="205" spans="1:53" x14ac:dyDescent="0.3">
      <c r="A205" s="8" t="s">
        <v>692</v>
      </c>
      <c r="B205" s="8" t="str">
        <f>B202</f>
        <v>Выкидной нефтепровод Скв 896– ГЗУ 31, водонефтяная эмульсия</v>
      </c>
      <c r="C205" s="79" t="s">
        <v>109</v>
      </c>
      <c r="D205" s="9" t="s">
        <v>47</v>
      </c>
      <c r="E205" s="66">
        <v>1.9999999999999999E-6</v>
      </c>
      <c r="F205" s="68">
        <f>F202</f>
        <v>660</v>
      </c>
      <c r="G205" s="8">
        <v>0.2</v>
      </c>
      <c r="H205" s="10">
        <f t="shared" si="219"/>
        <v>2.6400000000000002E-4</v>
      </c>
      <c r="I205" s="62">
        <f>0.15*I202</f>
        <v>0.40349999999999997</v>
      </c>
      <c r="J205" s="69">
        <f>I205</f>
        <v>0.40349999999999997</v>
      </c>
      <c r="K205" s="74" t="s">
        <v>126</v>
      </c>
      <c r="L205" s="78">
        <v>45390</v>
      </c>
      <c r="M205" s="31" t="str">
        <f t="shared" si="220"/>
        <v>C124</v>
      </c>
      <c r="N205" s="31" t="str">
        <f t="shared" si="221"/>
        <v>Выкидной нефтепровод Скв 896– ГЗУ 31, водонефтяная эмульсия</v>
      </c>
      <c r="O205" s="31" t="str">
        <f t="shared" si="222"/>
        <v>Частичное-пожар</v>
      </c>
      <c r="P205" s="31">
        <v>3.8</v>
      </c>
      <c r="Q205" s="31">
        <v>5.6</v>
      </c>
      <c r="R205" s="31">
        <v>8.3000000000000007</v>
      </c>
      <c r="S205" s="31">
        <v>15.1</v>
      </c>
      <c r="T205" s="31" t="s">
        <v>46</v>
      </c>
      <c r="U205" s="31" t="s">
        <v>46</v>
      </c>
      <c r="V205" s="31" t="s">
        <v>46</v>
      </c>
      <c r="W205" s="31" t="s">
        <v>46</v>
      </c>
      <c r="X205" s="31" t="s">
        <v>46</v>
      </c>
      <c r="Y205" s="31" t="s">
        <v>46</v>
      </c>
      <c r="Z205" s="31" t="s">
        <v>46</v>
      </c>
      <c r="AA205" s="31" t="s">
        <v>46</v>
      </c>
      <c r="AB205" s="31" t="s">
        <v>46</v>
      </c>
      <c r="AC205" s="31" t="s">
        <v>46</v>
      </c>
      <c r="AD205" s="31" t="s">
        <v>46</v>
      </c>
      <c r="AE205" s="31" t="s">
        <v>46</v>
      </c>
      <c r="AF205" s="31" t="s">
        <v>46</v>
      </c>
      <c r="AG205" s="31" t="s">
        <v>46</v>
      </c>
      <c r="AH205" s="31" t="s">
        <v>46</v>
      </c>
      <c r="AI205" s="31" t="s">
        <v>46</v>
      </c>
      <c r="AJ205" s="31">
        <v>0</v>
      </c>
      <c r="AK205" s="31">
        <v>2</v>
      </c>
      <c r="AL205" s="31">
        <f>0.1*$AL$2</f>
        <v>7.5000000000000011E-2</v>
      </c>
      <c r="AM205" s="31">
        <f>AM202</f>
        <v>2.7E-2</v>
      </c>
      <c r="AN205" s="31">
        <f>ROUNDUP(AN202/3,0)</f>
        <v>1</v>
      </c>
      <c r="AO205" s="31"/>
      <c r="AP205" s="31"/>
      <c r="AQ205" s="32">
        <f>AM205*I205+AL205</f>
        <v>8.5894500000000013E-2</v>
      </c>
      <c r="AR205" s="32">
        <f t="shared" si="223"/>
        <v>8.5894500000000019E-3</v>
      </c>
      <c r="AS205" s="33">
        <f t="shared" si="224"/>
        <v>0.5</v>
      </c>
      <c r="AT205" s="33">
        <f t="shared" si="225"/>
        <v>0.1486209875</v>
      </c>
      <c r="AU205" s="32">
        <f>10068.2*J205*POWER(10,-6)</f>
        <v>4.0625187E-3</v>
      </c>
      <c r="AV205" s="33">
        <f t="shared" si="226"/>
        <v>0.74716745620000002</v>
      </c>
      <c r="AW205" s="34">
        <f t="shared" si="227"/>
        <v>0</v>
      </c>
      <c r="AX205" s="34">
        <f t="shared" si="228"/>
        <v>5.2800000000000004E-4</v>
      </c>
      <c r="AY205" s="34">
        <f t="shared" si="229"/>
        <v>1.9725220843680002E-4</v>
      </c>
      <c r="AZ205" s="288">
        <f>AW205/DB!$B$23</f>
        <v>0</v>
      </c>
      <c r="BA205" s="288">
        <f>AX205/DB!$B$23</f>
        <v>2.707692307692308E-7</v>
      </c>
    </row>
    <row r="206" spans="1:53" x14ac:dyDescent="0.3">
      <c r="A206" s="8" t="s">
        <v>693</v>
      </c>
      <c r="B206" s="8" t="str">
        <f>B202</f>
        <v>Выкидной нефтепровод Скв 896– ГЗУ 31, водонефтяная эмульсия</v>
      </c>
      <c r="C206" s="79" t="s">
        <v>110</v>
      </c>
      <c r="D206" s="9" t="s">
        <v>112</v>
      </c>
      <c r="E206" s="67">
        <f>E205</f>
        <v>1.9999999999999999E-6</v>
      </c>
      <c r="F206" s="68">
        <f>F202</f>
        <v>660</v>
      </c>
      <c r="G206" s="8">
        <v>0.04</v>
      </c>
      <c r="H206" s="10">
        <f t="shared" si="219"/>
        <v>5.2800000000000003E-5</v>
      </c>
      <c r="I206" s="62">
        <f>0.15*I202</f>
        <v>0.40349999999999997</v>
      </c>
      <c r="J206" s="69">
        <f>0.9*J203</f>
        <v>1.2201839999999999E-2</v>
      </c>
      <c r="K206" s="74" t="s">
        <v>127</v>
      </c>
      <c r="L206" s="78">
        <v>3</v>
      </c>
      <c r="M206" s="31" t="str">
        <f t="shared" si="220"/>
        <v>C125</v>
      </c>
      <c r="N206" s="31" t="str">
        <f t="shared" si="221"/>
        <v>Выкидной нефтепровод Скв 896– ГЗУ 31, водонефтяная эмульсия</v>
      </c>
      <c r="O206" s="31" t="str">
        <f t="shared" si="222"/>
        <v>Частичное-пожар-вспышка</v>
      </c>
      <c r="P206" s="31" t="s">
        <v>46</v>
      </c>
      <c r="Q206" s="31" t="s">
        <v>46</v>
      </c>
      <c r="R206" s="31" t="s">
        <v>46</v>
      </c>
      <c r="S206" s="31" t="s">
        <v>46</v>
      </c>
      <c r="T206" s="31" t="s">
        <v>46</v>
      </c>
      <c r="U206" s="31" t="s">
        <v>46</v>
      </c>
      <c r="V206" s="31" t="s">
        <v>46</v>
      </c>
      <c r="W206" s="31" t="s">
        <v>46</v>
      </c>
      <c r="X206" s="31" t="s">
        <v>46</v>
      </c>
      <c r="Y206" s="31" t="s">
        <v>46</v>
      </c>
      <c r="Z206" s="31" t="s">
        <v>46</v>
      </c>
      <c r="AA206" s="31">
        <v>7.83</v>
      </c>
      <c r="AB206" s="31">
        <v>9.4</v>
      </c>
      <c r="AC206" s="31" t="s">
        <v>46</v>
      </c>
      <c r="AD206" s="31" t="s">
        <v>46</v>
      </c>
      <c r="AE206" s="31" t="s">
        <v>46</v>
      </c>
      <c r="AF206" s="31" t="s">
        <v>46</v>
      </c>
      <c r="AG206" s="31" t="s">
        <v>46</v>
      </c>
      <c r="AH206" s="31" t="s">
        <v>46</v>
      </c>
      <c r="AI206" s="31" t="s">
        <v>46</v>
      </c>
      <c r="AJ206" s="31">
        <v>0</v>
      </c>
      <c r="AK206" s="31">
        <v>1</v>
      </c>
      <c r="AL206" s="31">
        <f>0.1*$AL$2</f>
        <v>7.5000000000000011E-2</v>
      </c>
      <c r="AM206" s="31">
        <f>AM202</f>
        <v>2.7E-2</v>
      </c>
      <c r="AN206" s="31">
        <f>ROUNDUP(AN202/3,0)</f>
        <v>1</v>
      </c>
      <c r="AO206" s="31"/>
      <c r="AP206" s="31"/>
      <c r="AQ206" s="32">
        <f>AM206*I206+AL206</f>
        <v>8.5894500000000013E-2</v>
      </c>
      <c r="AR206" s="32">
        <f t="shared" si="223"/>
        <v>8.5894500000000019E-3</v>
      </c>
      <c r="AS206" s="33">
        <f t="shared" si="224"/>
        <v>0.25</v>
      </c>
      <c r="AT206" s="33">
        <f t="shared" si="225"/>
        <v>8.6120987499999996E-2</v>
      </c>
      <c r="AU206" s="32">
        <f>10068.2*J206*POWER(10,-6)*10</f>
        <v>1.22850565488E-3</v>
      </c>
      <c r="AV206" s="33">
        <f t="shared" si="226"/>
        <v>0.43183344315488004</v>
      </c>
      <c r="AW206" s="34">
        <f t="shared" si="227"/>
        <v>0</v>
      </c>
      <c r="AX206" s="34">
        <f t="shared" si="228"/>
        <v>5.2800000000000003E-5</v>
      </c>
      <c r="AY206" s="34">
        <f t="shared" si="229"/>
        <v>2.2800805798577666E-5</v>
      </c>
      <c r="AZ206" s="288">
        <f>AW206/DB!$B$23</f>
        <v>0</v>
      </c>
      <c r="BA206" s="288">
        <f>AX206/DB!$B$23</f>
        <v>2.7076923076923079E-8</v>
      </c>
    </row>
    <row r="207" spans="1:53" x14ac:dyDescent="0.3">
      <c r="A207" s="170" t="s">
        <v>694</v>
      </c>
      <c r="B207" s="170" t="str">
        <f>B202</f>
        <v>Выкидной нефтепровод Скв 896– ГЗУ 31, водонефтяная эмульсия</v>
      </c>
      <c r="C207" s="171" t="s">
        <v>111</v>
      </c>
      <c r="D207" s="172" t="s">
        <v>27</v>
      </c>
      <c r="E207" s="173">
        <f>E205</f>
        <v>1.9999999999999999E-6</v>
      </c>
      <c r="F207" s="174">
        <f>F202</f>
        <v>660</v>
      </c>
      <c r="G207" s="170">
        <v>0.76</v>
      </c>
      <c r="H207" s="175">
        <f t="shared" si="219"/>
        <v>1.0032000000000001E-3</v>
      </c>
      <c r="I207" s="176">
        <f>0.15*I202</f>
        <v>0.40349999999999997</v>
      </c>
      <c r="J207" s="177">
        <v>0</v>
      </c>
      <c r="K207" s="178" t="s">
        <v>138</v>
      </c>
      <c r="L207" s="179">
        <v>1</v>
      </c>
      <c r="M207" s="31" t="str">
        <f t="shared" si="220"/>
        <v>C126</v>
      </c>
      <c r="N207" s="31" t="str">
        <f t="shared" si="221"/>
        <v>Выкидной нефтепровод Скв 896– ГЗУ 31, водонефтяная эмульсия</v>
      </c>
      <c r="O207" s="31" t="str">
        <f t="shared" si="222"/>
        <v>Частичное-ликвидация</v>
      </c>
      <c r="P207" s="31" t="s">
        <v>46</v>
      </c>
      <c r="Q207" s="31" t="s">
        <v>46</v>
      </c>
      <c r="R207" s="31" t="s">
        <v>46</v>
      </c>
      <c r="S207" s="31" t="s">
        <v>46</v>
      </c>
      <c r="T207" s="31" t="s">
        <v>46</v>
      </c>
      <c r="U207" s="31" t="s">
        <v>46</v>
      </c>
      <c r="V207" s="31" t="s">
        <v>46</v>
      </c>
      <c r="W207" s="31" t="s">
        <v>46</v>
      </c>
      <c r="X207" s="31" t="s">
        <v>46</v>
      </c>
      <c r="Y207" s="31" t="s">
        <v>46</v>
      </c>
      <c r="Z207" s="31" t="s">
        <v>46</v>
      </c>
      <c r="AA207" s="31" t="s">
        <v>46</v>
      </c>
      <c r="AB207" s="31" t="s">
        <v>46</v>
      </c>
      <c r="AC207" s="31" t="s">
        <v>46</v>
      </c>
      <c r="AD207" s="31" t="s">
        <v>46</v>
      </c>
      <c r="AE207" s="31" t="s">
        <v>46</v>
      </c>
      <c r="AF207" s="31" t="s">
        <v>46</v>
      </c>
      <c r="AG207" s="31" t="s">
        <v>46</v>
      </c>
      <c r="AH207" s="31" t="s">
        <v>46</v>
      </c>
      <c r="AI207" s="31" t="s">
        <v>46</v>
      </c>
      <c r="AJ207" s="31">
        <v>0</v>
      </c>
      <c r="AK207" s="31">
        <v>0</v>
      </c>
      <c r="AL207" s="31">
        <f>0.1*$AL$2</f>
        <v>7.5000000000000011E-2</v>
      </c>
      <c r="AM207" s="31">
        <f>AM202</f>
        <v>2.7E-2</v>
      </c>
      <c r="AN207" s="31">
        <f>ROUNDUP(AN202/3,0)</f>
        <v>1</v>
      </c>
      <c r="AO207" s="31"/>
      <c r="AP207" s="31"/>
      <c r="AQ207" s="32">
        <f>AM207*I207*0.1+AL207</f>
        <v>7.6089450000000017E-2</v>
      </c>
      <c r="AR207" s="32">
        <f t="shared" si="223"/>
        <v>7.6089450000000024E-3</v>
      </c>
      <c r="AS207" s="33">
        <f t="shared" si="224"/>
        <v>0</v>
      </c>
      <c r="AT207" s="33">
        <f t="shared" si="225"/>
        <v>2.0924598750000006E-2</v>
      </c>
      <c r="AU207" s="32">
        <f>1333*J206*POWER(10,-6)</f>
        <v>1.6265052719999994E-5</v>
      </c>
      <c r="AV207" s="33">
        <f t="shared" si="226"/>
        <v>0.10463925880272003</v>
      </c>
      <c r="AW207" s="34">
        <f t="shared" si="227"/>
        <v>0</v>
      </c>
      <c r="AX207" s="34">
        <f t="shared" si="228"/>
        <v>0</v>
      </c>
      <c r="AY207" s="34">
        <f t="shared" si="229"/>
        <v>1.0497410443088874E-4</v>
      </c>
      <c r="AZ207" s="288">
        <f>AW207/DB!$B$23</f>
        <v>0</v>
      </c>
      <c r="BA207" s="288">
        <f>AX207/DB!$B$23</f>
        <v>0</v>
      </c>
    </row>
    <row r="208" spans="1:53" s="180" customForma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207" t="s">
        <v>466</v>
      </c>
      <c r="L208" s="287" t="s">
        <v>601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</row>
    <row r="209" spans="1:51" s="180" customForma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</row>
    <row r="210" spans="1:51" s="180" customForma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6.6000000000000005E-5</v>
      </c>
      <c r="B2">
        <v>1</v>
      </c>
      <c r="D2" s="37">
        <v>6.6000000000000005E-5</v>
      </c>
      <c r="E2" s="3">
        <v>5.3075351959999999</v>
      </c>
    </row>
    <row r="3" spans="1:32" x14ac:dyDescent="0.3">
      <c r="A3" s="37">
        <v>1.3200000000000001E-5</v>
      </c>
      <c r="B3">
        <v>1</v>
      </c>
      <c r="D3" s="37">
        <v>1.3200000000000001E-5</v>
      </c>
      <c r="E3" s="3">
        <v>5.2642249408783997</v>
      </c>
    </row>
    <row r="4" spans="1:32" x14ac:dyDescent="0.3">
      <c r="A4" s="37">
        <v>2.5080000000000002E-4</v>
      </c>
      <c r="B4">
        <v>0</v>
      </c>
      <c r="D4" s="37">
        <v>2.5080000000000002E-4</v>
      </c>
      <c r="E4" s="3">
        <v>1.0480980589896001</v>
      </c>
      <c r="AE4" s="37"/>
      <c r="AF4" s="3"/>
    </row>
    <row r="5" spans="1:32" x14ac:dyDescent="0.3">
      <c r="A5" s="37">
        <v>4.3999999999999996E-4</v>
      </c>
      <c r="B5">
        <v>0</v>
      </c>
      <c r="D5" s="37">
        <v>4.3999999999999996E-4</v>
      </c>
      <c r="E5" s="3">
        <v>0.76019277939999996</v>
      </c>
      <c r="AE5" s="37"/>
      <c r="AF5" s="3"/>
    </row>
    <row r="6" spans="1:32" x14ac:dyDescent="0.3">
      <c r="A6" s="37">
        <v>8.7999999999999984E-5</v>
      </c>
      <c r="B6">
        <v>0</v>
      </c>
      <c r="D6" s="37">
        <v>8.7999999999999984E-5</v>
      </c>
      <c r="E6" s="3">
        <v>0.44200078293919998</v>
      </c>
      <c r="AE6" s="37"/>
      <c r="AF6" s="3"/>
    </row>
    <row r="7" spans="1:32" x14ac:dyDescent="0.3">
      <c r="A7" s="37">
        <v>1.6719999999999999E-3</v>
      </c>
      <c r="B7">
        <v>0</v>
      </c>
      <c r="D7" s="37">
        <v>1.6719999999999999E-3</v>
      </c>
      <c r="E7" s="3">
        <v>0.10566286074480001</v>
      </c>
      <c r="AE7" s="37"/>
      <c r="AF7" s="3"/>
    </row>
    <row r="8" spans="1:32" x14ac:dyDescent="0.3">
      <c r="A8" s="37">
        <v>9.7579999999999997E-5</v>
      </c>
      <c r="B8">
        <v>1</v>
      </c>
      <c r="D8" s="37">
        <v>9.7579999999999997E-5</v>
      </c>
      <c r="E8" s="3">
        <v>6.9314532079999998</v>
      </c>
      <c r="AE8" s="37"/>
      <c r="AF8" s="3"/>
    </row>
    <row r="9" spans="1:32" x14ac:dyDescent="0.3">
      <c r="A9" s="37">
        <v>1.9516000000000001E-5</v>
      </c>
      <c r="B9">
        <v>2</v>
      </c>
      <c r="D9" s="37">
        <v>1.9516000000000001E-5</v>
      </c>
      <c r="E9" s="3">
        <v>10.3091571076832</v>
      </c>
      <c r="AE9" s="37"/>
      <c r="AF9" s="3"/>
    </row>
    <row r="10" spans="1:32" x14ac:dyDescent="0.3">
      <c r="A10" s="37">
        <v>3.7080399999999997E-4</v>
      </c>
      <c r="B10">
        <v>0</v>
      </c>
      <c r="D10" s="37">
        <v>3.7080399999999997E-4</v>
      </c>
      <c r="E10" s="3">
        <v>1.1760763613808001</v>
      </c>
      <c r="AE10" s="37"/>
      <c r="AF10" s="3"/>
    </row>
    <row r="11" spans="1:32" x14ac:dyDescent="0.3">
      <c r="A11" s="37">
        <v>4.8789999999999999E-4</v>
      </c>
      <c r="B11">
        <v>0</v>
      </c>
      <c r="D11" s="37">
        <v>4.8789999999999999E-4</v>
      </c>
      <c r="E11" s="3">
        <v>1.0037804812</v>
      </c>
      <c r="AE11" s="37"/>
      <c r="AF11" s="3"/>
    </row>
    <row r="12" spans="1:32" x14ac:dyDescent="0.3">
      <c r="A12" s="37">
        <v>9.7579999999999997E-5</v>
      </c>
      <c r="B12">
        <v>0</v>
      </c>
      <c r="D12" s="37">
        <v>9.7579999999999997E-5</v>
      </c>
      <c r="E12" s="3">
        <v>0.64235192884159997</v>
      </c>
      <c r="AE12" s="37"/>
      <c r="AF12" s="3"/>
    </row>
    <row r="13" spans="1:32" x14ac:dyDescent="0.3">
      <c r="A13" s="37">
        <v>1.8540199999999998E-3</v>
      </c>
      <c r="B13">
        <v>0</v>
      </c>
      <c r="D13" s="37">
        <v>1.8540199999999998E-3</v>
      </c>
      <c r="E13" s="3">
        <v>0.12494051819040002</v>
      </c>
      <c r="AE13" s="37"/>
      <c r="AF13" s="3"/>
    </row>
    <row r="14" spans="1:32" x14ac:dyDescent="0.3">
      <c r="A14" s="37">
        <v>6.6000000000000005E-5</v>
      </c>
      <c r="B14">
        <v>1</v>
      </c>
      <c r="D14" s="37">
        <v>6.6000000000000005E-5</v>
      </c>
      <c r="E14" s="3">
        <v>6.2117569079999999</v>
      </c>
      <c r="AE14" s="37"/>
      <c r="AF14" s="3"/>
    </row>
    <row r="15" spans="1:32" x14ac:dyDescent="0.3">
      <c r="A15" s="37">
        <v>1.3200000000000001E-5</v>
      </c>
      <c r="B15">
        <v>1</v>
      </c>
      <c r="D15" s="37">
        <v>1.3200000000000001E-5</v>
      </c>
      <c r="E15" s="3">
        <v>5.9852624391632006</v>
      </c>
      <c r="AE15" s="37"/>
      <c r="AF15" s="3"/>
    </row>
    <row r="16" spans="1:32" x14ac:dyDescent="0.3">
      <c r="A16" s="37">
        <v>2.5080000000000002E-4</v>
      </c>
      <c r="B16">
        <v>0</v>
      </c>
      <c r="D16" s="37">
        <v>2.5080000000000002E-4</v>
      </c>
      <c r="E16" s="3">
        <v>1.1193582820008001</v>
      </c>
      <c r="AE16" s="37"/>
      <c r="AF16" s="3"/>
    </row>
    <row r="17" spans="1:32" x14ac:dyDescent="0.3">
      <c r="A17" s="37">
        <v>3.3E-4</v>
      </c>
      <c r="B17">
        <v>0</v>
      </c>
      <c r="D17" s="37">
        <v>3.3E-4</v>
      </c>
      <c r="E17" s="3">
        <v>0.8958260361999999</v>
      </c>
      <c r="AE17" s="37"/>
      <c r="AF17" s="3"/>
    </row>
    <row r="18" spans="1:32" x14ac:dyDescent="0.3">
      <c r="A18" s="37">
        <v>6.6000000000000005E-5</v>
      </c>
      <c r="B18">
        <v>0</v>
      </c>
      <c r="D18" s="37">
        <v>6.6000000000000005E-5</v>
      </c>
      <c r="E18" s="3">
        <v>0.55355928208159999</v>
      </c>
      <c r="AE18" s="37"/>
      <c r="AF18" s="3"/>
    </row>
    <row r="19" spans="1:32" x14ac:dyDescent="0.3">
      <c r="A19" s="37">
        <v>1.2539999999999999E-3</v>
      </c>
      <c r="B19">
        <v>0</v>
      </c>
      <c r="D19" s="37">
        <v>1.2539999999999999E-3</v>
      </c>
      <c r="E19" s="3">
        <v>0.11639694725040002</v>
      </c>
      <c r="AE19" s="37"/>
      <c r="AF19" s="3"/>
    </row>
    <row r="20" spans="1:32" x14ac:dyDescent="0.3">
      <c r="A20" s="37">
        <v>8.1000000000000004E-5</v>
      </c>
      <c r="B20">
        <v>1</v>
      </c>
      <c r="D20" s="37">
        <v>8.1000000000000004E-5</v>
      </c>
      <c r="E20" s="3">
        <v>5.9460591919999999</v>
      </c>
      <c r="AE20" s="37"/>
      <c r="AF20" s="3"/>
    </row>
    <row r="21" spans="1:32" x14ac:dyDescent="0.3">
      <c r="A21" s="37">
        <v>1.6200000000000001E-5</v>
      </c>
      <c r="B21">
        <v>1</v>
      </c>
      <c r="D21" s="37">
        <v>1.6200000000000001E-5</v>
      </c>
      <c r="E21" s="3">
        <v>5.7733918172768002</v>
      </c>
      <c r="AE21" s="37"/>
      <c r="AF21" s="3"/>
    </row>
    <row r="22" spans="1:32" x14ac:dyDescent="0.3">
      <c r="A22" s="37">
        <v>3.078E-4</v>
      </c>
      <c r="B22">
        <v>0</v>
      </c>
      <c r="D22" s="37">
        <v>3.078E-4</v>
      </c>
      <c r="E22" s="3">
        <v>1.0984190828592</v>
      </c>
      <c r="AE22" s="37"/>
      <c r="AF22" s="3"/>
    </row>
    <row r="23" spans="1:32" x14ac:dyDescent="0.3">
      <c r="A23" s="37">
        <v>4.0499999999999998E-4</v>
      </c>
      <c r="B23">
        <v>0</v>
      </c>
      <c r="D23" s="37">
        <v>4.0499999999999998E-4</v>
      </c>
      <c r="E23" s="3">
        <v>0.85597137879999996</v>
      </c>
      <c r="AE23" s="37"/>
      <c r="AF23" s="3"/>
    </row>
    <row r="24" spans="1:32" x14ac:dyDescent="0.3">
      <c r="A24" s="37">
        <v>8.1000000000000004E-5</v>
      </c>
      <c r="B24">
        <v>0</v>
      </c>
      <c r="D24" s="37">
        <v>8.1000000000000004E-5</v>
      </c>
      <c r="E24" s="3">
        <v>0.52077878363840002</v>
      </c>
      <c r="AE24" s="37"/>
      <c r="AF24" s="3"/>
    </row>
    <row r="25" spans="1:32" x14ac:dyDescent="0.3">
      <c r="A25" s="37">
        <v>1.539E-3</v>
      </c>
      <c r="B25">
        <v>0</v>
      </c>
      <c r="D25" s="37">
        <v>1.539E-3</v>
      </c>
      <c r="E25" s="3">
        <v>0.11324282892960001</v>
      </c>
      <c r="AE25" s="37"/>
      <c r="AF25" s="3"/>
    </row>
    <row r="26" spans="1:32" x14ac:dyDescent="0.3">
      <c r="A26" s="37">
        <v>1.9999999999999998E-5</v>
      </c>
      <c r="B26">
        <v>1</v>
      </c>
      <c r="D26" s="37">
        <v>1.9999999999999998E-5</v>
      </c>
      <c r="E26" s="3">
        <v>5.4703517360000005</v>
      </c>
      <c r="AE26" s="37"/>
      <c r="AF26" s="3"/>
    </row>
    <row r="27" spans="1:32" x14ac:dyDescent="0.3">
      <c r="A27" s="37">
        <v>3.9999999999999998E-6</v>
      </c>
      <c r="B27">
        <v>1</v>
      </c>
      <c r="D27" s="37">
        <v>3.9999999999999998E-6</v>
      </c>
      <c r="E27" s="3">
        <v>5.3940568494944001</v>
      </c>
      <c r="AE27" s="37"/>
      <c r="AF27" s="3"/>
    </row>
    <row r="28" spans="1:32" x14ac:dyDescent="0.3">
      <c r="A28" s="37">
        <v>7.5999999999999991E-5</v>
      </c>
      <c r="B28">
        <v>0</v>
      </c>
      <c r="D28" s="37">
        <v>7.5999999999999991E-5</v>
      </c>
      <c r="E28" s="3">
        <v>1.0609293621936</v>
      </c>
      <c r="AE28" s="37"/>
      <c r="AF28" s="3"/>
    </row>
    <row r="29" spans="1:32" x14ac:dyDescent="0.3">
      <c r="A29" s="37">
        <v>1E-4</v>
      </c>
      <c r="B29">
        <v>0</v>
      </c>
      <c r="D29" s="37">
        <v>1E-4</v>
      </c>
      <c r="E29" s="3">
        <v>0.78461526040000007</v>
      </c>
      <c r="AE29" s="37"/>
      <c r="AF29" s="3"/>
    </row>
    <row r="30" spans="1:32" x14ac:dyDescent="0.3">
      <c r="A30" s="37">
        <v>2.0000000000000002E-5</v>
      </c>
      <c r="B30">
        <v>0</v>
      </c>
      <c r="D30" s="37">
        <v>2.0000000000000002E-5</v>
      </c>
      <c r="E30" s="3">
        <v>0.4620882997472</v>
      </c>
      <c r="AE30" s="37"/>
      <c r="AF30" s="3"/>
    </row>
    <row r="31" spans="1:32" x14ac:dyDescent="0.3">
      <c r="A31" s="37">
        <v>3.8000000000000002E-4</v>
      </c>
      <c r="B31">
        <v>0</v>
      </c>
      <c r="D31" s="37">
        <v>3.8000000000000002E-4</v>
      </c>
      <c r="E31" s="3">
        <v>0.1075956685968</v>
      </c>
      <c r="AE31" s="37"/>
      <c r="AF31" s="3"/>
    </row>
    <row r="32" spans="1:32" x14ac:dyDescent="0.3">
      <c r="A32" s="37">
        <v>3.4E-5</v>
      </c>
      <c r="B32">
        <v>1</v>
      </c>
      <c r="D32" s="37">
        <v>3.4E-5</v>
      </c>
      <c r="E32" s="3">
        <v>5.4505305919999998</v>
      </c>
      <c r="AE32" s="37"/>
      <c r="AF32" s="3"/>
    </row>
    <row r="33" spans="1:32" x14ac:dyDescent="0.3">
      <c r="A33" s="37">
        <v>6.7999999999999993E-6</v>
      </c>
      <c r="B33">
        <v>1</v>
      </c>
      <c r="D33" s="37">
        <v>6.7999999999999993E-6</v>
      </c>
      <c r="E33" s="3">
        <v>5.3782512258367996</v>
      </c>
      <c r="AE33" s="37"/>
      <c r="AF33" s="3"/>
    </row>
    <row r="34" spans="1:32" x14ac:dyDescent="0.3">
      <c r="A34" s="37">
        <v>1.292E-4</v>
      </c>
      <c r="B34">
        <v>0</v>
      </c>
      <c r="D34" s="37">
        <v>1.292E-4</v>
      </c>
      <c r="E34" s="3">
        <v>1.0593672904992</v>
      </c>
      <c r="AE34" s="37"/>
      <c r="AF34" s="3"/>
    </row>
    <row r="35" spans="1:32" x14ac:dyDescent="0.3">
      <c r="A35" s="37">
        <v>1.7000000000000001E-4</v>
      </c>
      <c r="B35">
        <v>0</v>
      </c>
      <c r="D35" s="37">
        <v>1.7000000000000001E-4</v>
      </c>
      <c r="E35" s="3">
        <v>0.78164208879999997</v>
      </c>
      <c r="AE35" s="37"/>
      <c r="AF35" s="3"/>
    </row>
    <row r="36" spans="1:32" x14ac:dyDescent="0.3">
      <c r="A36" s="37">
        <v>3.4E-5</v>
      </c>
      <c r="B36">
        <v>0</v>
      </c>
      <c r="D36" s="37">
        <v>3.4E-5</v>
      </c>
      <c r="E36" s="3">
        <v>0.45964286291840001</v>
      </c>
      <c r="AE36" s="37"/>
      <c r="AF36" s="3"/>
    </row>
    <row r="37" spans="1:32" x14ac:dyDescent="0.3">
      <c r="A37" s="37">
        <v>6.4599999999999998E-4</v>
      </c>
      <c r="B37">
        <v>0</v>
      </c>
      <c r="D37" s="37">
        <v>6.4599999999999998E-4</v>
      </c>
      <c r="E37" s="3">
        <v>0.10736037024960002</v>
      </c>
      <c r="AE37" s="37"/>
      <c r="AF37" s="3"/>
    </row>
    <row r="38" spans="1:32" x14ac:dyDescent="0.3">
      <c r="A38" s="37">
        <v>4.1784E-4</v>
      </c>
      <c r="B38">
        <v>1</v>
      </c>
      <c r="D38" s="37">
        <v>4.1784E-4</v>
      </c>
      <c r="E38" s="3">
        <v>6.5213443</v>
      </c>
      <c r="AE38" s="37"/>
      <c r="AF38" s="3"/>
    </row>
    <row r="39" spans="1:32" x14ac:dyDescent="0.3">
      <c r="A39" s="37">
        <v>8.3567999999999997E-5</v>
      </c>
      <c r="B39">
        <v>1</v>
      </c>
      <c r="D39" s="37">
        <v>8.3567999999999997E-5</v>
      </c>
      <c r="E39" s="3">
        <v>6.2321312277199992</v>
      </c>
      <c r="AE39" s="37"/>
      <c r="AF39" s="3"/>
    </row>
    <row r="40" spans="1:32" x14ac:dyDescent="0.3">
      <c r="A40" s="37">
        <v>1.587792E-3</v>
      </c>
      <c r="B40">
        <v>0</v>
      </c>
      <c r="D40" s="37">
        <v>1.587792E-3</v>
      </c>
      <c r="E40" s="3">
        <v>1.14375635418</v>
      </c>
      <c r="AE40" s="37"/>
      <c r="AF40" s="3"/>
    </row>
    <row r="41" spans="1:32" x14ac:dyDescent="0.3">
      <c r="A41" s="37">
        <v>2.7856000000000001E-3</v>
      </c>
      <c r="B41">
        <v>0</v>
      </c>
      <c r="D41" s="37">
        <v>2.7856000000000001E-3</v>
      </c>
      <c r="E41" s="3">
        <v>0.942264145</v>
      </c>
      <c r="AE41" s="37"/>
      <c r="AF41" s="3"/>
    </row>
    <row r="42" spans="1:32" x14ac:dyDescent="0.3">
      <c r="A42" s="37">
        <v>5.5712000000000003E-4</v>
      </c>
      <c r="B42">
        <v>0</v>
      </c>
      <c r="D42" s="37">
        <v>5.5712000000000003E-4</v>
      </c>
      <c r="E42" s="3">
        <v>0.5917546763599999</v>
      </c>
      <c r="AE42" s="37"/>
      <c r="AF42" s="3"/>
    </row>
    <row r="43" spans="1:32" x14ac:dyDescent="0.3">
      <c r="A43" s="37">
        <v>1.0585279999999999E-2</v>
      </c>
      <c r="B43">
        <v>0</v>
      </c>
      <c r="D43" s="37">
        <v>1.0585279999999999E-2</v>
      </c>
      <c r="E43" s="3">
        <v>0.12007208334</v>
      </c>
      <c r="AE43" s="37"/>
      <c r="AF43" s="3"/>
    </row>
    <row r="44" spans="1:32" x14ac:dyDescent="0.3">
      <c r="A44" s="37">
        <v>5.1600000000000001E-5</v>
      </c>
      <c r="B44">
        <v>1</v>
      </c>
      <c r="D44" s="37">
        <v>5.1600000000000001E-5</v>
      </c>
      <c r="E44" s="3">
        <v>5.2560946079999997</v>
      </c>
      <c r="AE44" s="37"/>
      <c r="AF44" s="3"/>
    </row>
    <row r="45" spans="1:32" x14ac:dyDescent="0.3">
      <c r="A45" s="37">
        <v>1.0319999999999999E-5</v>
      </c>
      <c r="B45">
        <v>1</v>
      </c>
      <c r="D45" s="37">
        <v>1.0319999999999999E-5</v>
      </c>
      <c r="E45" s="3">
        <v>5.2232055842431997</v>
      </c>
      <c r="AE45" s="37"/>
      <c r="AF45" s="3"/>
    </row>
    <row r="46" spans="1:32" x14ac:dyDescent="0.3">
      <c r="A46" s="37">
        <v>1.9607999999999998E-4</v>
      </c>
      <c r="B46">
        <v>0</v>
      </c>
      <c r="D46" s="37">
        <v>1.9607999999999998E-4</v>
      </c>
      <c r="E46" s="3">
        <v>1.0440441110208001</v>
      </c>
      <c r="AE46" s="37"/>
      <c r="AF46" s="3"/>
    </row>
    <row r="47" spans="1:32" x14ac:dyDescent="0.3">
      <c r="A47" s="37">
        <v>3.4400000000000001E-4</v>
      </c>
      <c r="B47">
        <v>0</v>
      </c>
      <c r="D47" s="37">
        <v>3.4400000000000001E-4</v>
      </c>
      <c r="E47" s="3">
        <v>0.75247669120000005</v>
      </c>
      <c r="AE47" s="37"/>
      <c r="AF47" s="3"/>
    </row>
    <row r="48" spans="1:32" x14ac:dyDescent="0.3">
      <c r="A48" s="37">
        <v>6.8800000000000005E-5</v>
      </c>
      <c r="B48">
        <v>0</v>
      </c>
      <c r="D48" s="37">
        <v>6.8800000000000005E-5</v>
      </c>
      <c r="E48" s="3">
        <v>0.43565429212160001</v>
      </c>
      <c r="AE48" s="37"/>
      <c r="AF48" s="3"/>
    </row>
    <row r="49" spans="1:32" x14ac:dyDescent="0.3">
      <c r="A49" s="37">
        <v>1.3071999999999999E-3</v>
      </c>
      <c r="B49">
        <v>0</v>
      </c>
      <c r="D49" s="37">
        <v>1.3071999999999999E-3</v>
      </c>
      <c r="E49" s="3">
        <v>0.10505220551040001</v>
      </c>
      <c r="AE49" s="37"/>
      <c r="AF49" s="3"/>
    </row>
    <row r="50" spans="1:32" x14ac:dyDescent="0.3">
      <c r="A50" s="37">
        <v>4.9199999999999997E-5</v>
      </c>
      <c r="B50">
        <v>1</v>
      </c>
      <c r="D50" s="37">
        <v>4.9199999999999997E-5</v>
      </c>
      <c r="E50" s="3">
        <v>5.2051259519999995</v>
      </c>
      <c r="AE50" s="37"/>
      <c r="AF50" s="3"/>
    </row>
    <row r="51" spans="1:32" x14ac:dyDescent="0.3">
      <c r="A51" s="37">
        <v>9.839999999999999E-6</v>
      </c>
      <c r="B51">
        <v>1</v>
      </c>
      <c r="D51" s="37">
        <v>9.839999999999999E-6</v>
      </c>
      <c r="E51" s="3">
        <v>5.1825625519807996</v>
      </c>
      <c r="AE51" s="37"/>
      <c r="AF51" s="3"/>
    </row>
    <row r="52" spans="1:32" x14ac:dyDescent="0.3">
      <c r="A52" s="37">
        <v>1.8695999999999999E-4</v>
      </c>
      <c r="B52">
        <v>0</v>
      </c>
      <c r="D52" s="37">
        <v>1.8695999999999999E-4</v>
      </c>
      <c r="E52" s="3">
        <v>1.0400273552352002</v>
      </c>
      <c r="AE52" s="37"/>
      <c r="AF52" s="3"/>
    </row>
    <row r="53" spans="1:32" x14ac:dyDescent="0.3">
      <c r="A53" s="37">
        <v>3.28E-4</v>
      </c>
      <c r="B53">
        <v>0</v>
      </c>
      <c r="D53" s="37">
        <v>3.28E-4</v>
      </c>
      <c r="E53" s="3">
        <v>0.7448313928000001</v>
      </c>
      <c r="AE53" s="37"/>
      <c r="AF53" s="3"/>
    </row>
    <row r="54" spans="1:32" x14ac:dyDescent="0.3">
      <c r="A54" s="37">
        <v>6.5599999999999995E-5</v>
      </c>
      <c r="B54">
        <v>0</v>
      </c>
      <c r="D54" s="37">
        <v>6.5599999999999995E-5</v>
      </c>
      <c r="E54" s="3">
        <v>0.42936602599040002</v>
      </c>
      <c r="AE54" s="37"/>
      <c r="AF54" s="3"/>
    </row>
    <row r="55" spans="1:32" x14ac:dyDescent="0.3">
      <c r="A55" s="37">
        <v>1.2463999999999999E-3</v>
      </c>
      <c r="B55">
        <v>0</v>
      </c>
      <c r="D55" s="37">
        <v>1.2463999999999999E-3</v>
      </c>
      <c r="E55" s="3">
        <v>0.10444715261760003</v>
      </c>
      <c r="AE55" s="37"/>
      <c r="AF55" s="3"/>
    </row>
    <row r="56" spans="1:32" x14ac:dyDescent="0.3">
      <c r="A56" s="37">
        <v>4.1999999999999998E-5</v>
      </c>
      <c r="B56">
        <v>1</v>
      </c>
      <c r="D56">
        <v>4.1999999999999998E-5</v>
      </c>
      <c r="E56">
        <v>5.2471278999999997</v>
      </c>
      <c r="AE56" s="37"/>
      <c r="AF56" s="3"/>
    </row>
    <row r="57" spans="1:32" x14ac:dyDescent="0.3">
      <c r="A57" s="37">
        <v>8.3999999999999992E-6</v>
      </c>
      <c r="B57">
        <v>1</v>
      </c>
      <c r="D57">
        <v>8.3999999999999992E-6</v>
      </c>
      <c r="E57">
        <v>5.2160554211600001</v>
      </c>
      <c r="AE57" s="37"/>
      <c r="AF57" s="3"/>
    </row>
    <row r="58" spans="1:32" x14ac:dyDescent="0.3">
      <c r="A58" s="37">
        <v>1.5959999999999998E-4</v>
      </c>
      <c r="B58">
        <v>0</v>
      </c>
      <c r="D58">
        <v>1.5959999999999998E-4</v>
      </c>
      <c r="E58">
        <v>1.04333745954</v>
      </c>
    </row>
    <row r="59" spans="1:32" x14ac:dyDescent="0.3">
      <c r="A59" s="37">
        <v>2.8000000000000003E-4</v>
      </c>
      <c r="B59">
        <v>0</v>
      </c>
      <c r="D59">
        <v>2.8000000000000003E-4</v>
      </c>
      <c r="E59">
        <v>0.75113168499999994</v>
      </c>
    </row>
    <row r="60" spans="1:32" x14ac:dyDescent="0.3">
      <c r="A60" s="37">
        <v>5.5999999999999999E-5</v>
      </c>
      <c r="B60">
        <v>0</v>
      </c>
      <c r="D60">
        <v>5.5999999999999999E-5</v>
      </c>
      <c r="E60">
        <v>0.43454802308000007</v>
      </c>
    </row>
    <row r="61" spans="1:32" x14ac:dyDescent="0.3">
      <c r="A61" s="37">
        <v>1.0640000000000001E-3</v>
      </c>
      <c r="B61">
        <v>0</v>
      </c>
      <c r="D61">
        <v>1.0640000000000001E-3</v>
      </c>
      <c r="E61">
        <v>0.10494576102000003</v>
      </c>
    </row>
    <row r="62" spans="1:32" x14ac:dyDescent="0.3">
      <c r="A62" s="37">
        <v>4.6799999999999999E-5</v>
      </c>
      <c r="B62">
        <v>1</v>
      </c>
      <c r="D62">
        <v>4.6799999999999999E-5</v>
      </c>
      <c r="E62">
        <v>5.2763876840000004</v>
      </c>
    </row>
    <row r="63" spans="1:32" x14ac:dyDescent="0.3">
      <c r="A63" s="37">
        <v>9.3600000000000002E-6</v>
      </c>
      <c r="B63">
        <v>1</v>
      </c>
      <c r="D63">
        <v>9.3600000000000002E-6</v>
      </c>
      <c r="E63">
        <v>5.2393875322736001</v>
      </c>
    </row>
    <row r="64" spans="1:32" x14ac:dyDescent="0.3">
      <c r="A64" s="37">
        <v>1.7783999999999999E-4</v>
      </c>
      <c r="B64">
        <v>0</v>
      </c>
      <c r="D64">
        <v>1.7783999999999999E-4</v>
      </c>
      <c r="E64">
        <v>1.0456433748984</v>
      </c>
    </row>
    <row r="65" spans="1:5" x14ac:dyDescent="0.3">
      <c r="A65" s="37">
        <v>3.1199999999999999E-4</v>
      </c>
      <c r="B65">
        <v>0</v>
      </c>
      <c r="D65">
        <v>3.1199999999999999E-4</v>
      </c>
      <c r="E65">
        <v>0.75552065260000001</v>
      </c>
    </row>
    <row r="66" spans="1:5" x14ac:dyDescent="0.3">
      <c r="A66" s="37">
        <v>6.2399999999999999E-5</v>
      </c>
      <c r="B66">
        <v>0</v>
      </c>
      <c r="D66">
        <v>6.2399999999999999E-5</v>
      </c>
      <c r="E66">
        <v>0.43815795363680005</v>
      </c>
    </row>
    <row r="67" spans="1:5" x14ac:dyDescent="0.3">
      <c r="A67" s="37">
        <v>1.1856E-3</v>
      </c>
      <c r="B67">
        <v>0</v>
      </c>
      <c r="D67">
        <v>1.1856E-3</v>
      </c>
      <c r="E67">
        <v>0.10529310619920002</v>
      </c>
    </row>
    <row r="68" spans="1:5" x14ac:dyDescent="0.3">
      <c r="A68" s="37">
        <v>6.3E-5</v>
      </c>
      <c r="B68">
        <v>1</v>
      </c>
      <c r="D68">
        <v>6.3E-5</v>
      </c>
      <c r="E68">
        <v>5.1928557199999998</v>
      </c>
    </row>
    <row r="69" spans="1:5" x14ac:dyDescent="0.3">
      <c r="A69" s="37">
        <v>1.2599999999999998E-5</v>
      </c>
      <c r="B69">
        <v>1</v>
      </c>
      <c r="D69">
        <v>1.2599999999999998E-5</v>
      </c>
      <c r="E69">
        <v>5.1727781182879999</v>
      </c>
    </row>
    <row r="70" spans="1:5" x14ac:dyDescent="0.3">
      <c r="A70" s="37">
        <v>2.3939999999999996E-4</v>
      </c>
      <c r="B70">
        <v>0</v>
      </c>
      <c r="D70">
        <v>2.3939999999999996E-4</v>
      </c>
      <c r="E70">
        <v>1.039060358472</v>
      </c>
    </row>
    <row r="71" spans="1:5" x14ac:dyDescent="0.3">
      <c r="A71" s="37">
        <v>4.2000000000000002E-4</v>
      </c>
      <c r="B71">
        <v>0</v>
      </c>
      <c r="D71">
        <v>4.2000000000000002E-4</v>
      </c>
      <c r="E71">
        <v>0.74299085800000009</v>
      </c>
    </row>
    <row r="72" spans="1:5" x14ac:dyDescent="0.3">
      <c r="A72" s="37">
        <v>8.3999999999999995E-5</v>
      </c>
      <c r="B72">
        <v>0</v>
      </c>
      <c r="D72">
        <v>8.3999999999999995E-5</v>
      </c>
      <c r="E72">
        <v>0.42785218414399995</v>
      </c>
    </row>
    <row r="73" spans="1:5" x14ac:dyDescent="0.3">
      <c r="A73" s="37">
        <v>1.596E-3</v>
      </c>
      <c r="B73">
        <v>0</v>
      </c>
      <c r="D73">
        <v>1.596E-3</v>
      </c>
      <c r="E73">
        <v>0.10430149173600002</v>
      </c>
    </row>
    <row r="74" spans="1:5" x14ac:dyDescent="0.3">
      <c r="A74" s="37">
        <v>3.8400000000000005E-5</v>
      </c>
      <c r="B74">
        <v>1</v>
      </c>
      <c r="D74">
        <v>3.8400000000000005E-5</v>
      </c>
      <c r="E74">
        <v>5.2159803880000002</v>
      </c>
    </row>
    <row r="75" spans="1:5" x14ac:dyDescent="0.3">
      <c r="A75" s="37">
        <v>7.680000000000001E-6</v>
      </c>
      <c r="B75">
        <v>1</v>
      </c>
      <c r="D75">
        <v>7.680000000000001E-6</v>
      </c>
      <c r="E75">
        <v>5.1912180125552005</v>
      </c>
    </row>
    <row r="76" spans="1:5" x14ac:dyDescent="0.3">
      <c r="A76" s="37">
        <v>1.4592000000000001E-4</v>
      </c>
      <c r="B76">
        <v>0</v>
      </c>
      <c r="D76">
        <v>1.4592000000000001E-4</v>
      </c>
      <c r="E76">
        <v>1.0408827754488001</v>
      </c>
    </row>
    <row r="77" spans="1:5" x14ac:dyDescent="0.3">
      <c r="A77" s="37">
        <v>2.5599999999999999E-4</v>
      </c>
      <c r="B77">
        <v>0</v>
      </c>
      <c r="D77">
        <v>2.5599999999999999E-4</v>
      </c>
      <c r="E77">
        <v>0.74645955819999998</v>
      </c>
    </row>
    <row r="78" spans="1:5" x14ac:dyDescent="0.3">
      <c r="A78" s="37">
        <v>5.1199999999999998E-5</v>
      </c>
      <c r="B78">
        <v>0</v>
      </c>
      <c r="D78">
        <v>5.1199999999999998E-5</v>
      </c>
      <c r="E78">
        <v>0.43070519377759997</v>
      </c>
    </row>
    <row r="79" spans="1:5" x14ac:dyDescent="0.3">
      <c r="A79" s="37">
        <v>9.727999999999999E-4</v>
      </c>
      <c r="B79">
        <v>0</v>
      </c>
      <c r="D79">
        <v>9.727999999999999E-4</v>
      </c>
      <c r="E79">
        <v>0.1045760064744</v>
      </c>
    </row>
    <row r="80" spans="1:5" x14ac:dyDescent="0.3">
      <c r="A80" s="37">
        <v>5.4000000000000005E-5</v>
      </c>
      <c r="B80">
        <v>1</v>
      </c>
      <c r="D80">
        <v>5.4000000000000005E-5</v>
      </c>
      <c r="E80">
        <v>5.2678929080000003</v>
      </c>
    </row>
    <row r="81" spans="1:5" x14ac:dyDescent="0.3">
      <c r="A81" s="37">
        <v>1.08E-5</v>
      </c>
      <c r="B81">
        <v>1</v>
      </c>
      <c r="D81">
        <v>1.08E-5</v>
      </c>
      <c r="E81">
        <v>5.2326136935632004</v>
      </c>
    </row>
    <row r="82" spans="1:5" x14ac:dyDescent="0.3">
      <c r="A82" s="37">
        <v>2.052E-4</v>
      </c>
      <c r="B82">
        <v>0</v>
      </c>
      <c r="D82">
        <v>2.052E-4</v>
      </c>
      <c r="E82">
        <v>1.0449739156008</v>
      </c>
    </row>
    <row r="83" spans="1:5" x14ac:dyDescent="0.3">
      <c r="A83" s="37">
        <v>3.6000000000000002E-4</v>
      </c>
      <c r="B83">
        <v>0</v>
      </c>
      <c r="D83">
        <v>3.6000000000000002E-4</v>
      </c>
      <c r="E83">
        <v>0.75424643619999998</v>
      </c>
    </row>
    <row r="84" spans="1:5" x14ac:dyDescent="0.3">
      <c r="A84" s="37">
        <v>7.2000000000000002E-5</v>
      </c>
      <c r="B84">
        <v>0</v>
      </c>
      <c r="D84">
        <v>7.2000000000000002E-5</v>
      </c>
      <c r="E84">
        <v>0.43710990928159998</v>
      </c>
    </row>
    <row r="85" spans="1:5" x14ac:dyDescent="0.3">
      <c r="A85" s="37">
        <v>1.3680000000000001E-3</v>
      </c>
      <c r="B85">
        <v>0</v>
      </c>
      <c r="D85">
        <v>1.3680000000000001E-3</v>
      </c>
      <c r="E85">
        <v>0.10519226405040001</v>
      </c>
    </row>
    <row r="86" spans="1:5" x14ac:dyDescent="0.3">
      <c r="A86" s="37">
        <v>2.9999999999999997E-5</v>
      </c>
      <c r="B86">
        <v>1</v>
      </c>
      <c r="D86">
        <v>2.9999999999999997E-5</v>
      </c>
      <c r="E86">
        <v>5.2037101559999996</v>
      </c>
    </row>
    <row r="87" spans="1:5" x14ac:dyDescent="0.3">
      <c r="A87" s="37">
        <v>5.9999999999999993E-6</v>
      </c>
      <c r="B87">
        <v>1</v>
      </c>
      <c r="D87">
        <v>5.9999999999999993E-6</v>
      </c>
      <c r="E87">
        <v>5.1814335788624</v>
      </c>
    </row>
    <row r="88" spans="1:5" x14ac:dyDescent="0.3">
      <c r="A88" s="37">
        <v>1.1399999999999999E-4</v>
      </c>
      <c r="B88">
        <v>0</v>
      </c>
      <c r="D88">
        <v>1.1399999999999999E-4</v>
      </c>
      <c r="E88">
        <v>1.0399157786856001</v>
      </c>
    </row>
    <row r="89" spans="1:5" x14ac:dyDescent="0.3">
      <c r="A89" s="37">
        <v>2.0000000000000001E-4</v>
      </c>
      <c r="B89">
        <v>0</v>
      </c>
      <c r="D89">
        <v>2.0000000000000001E-4</v>
      </c>
      <c r="E89">
        <v>0.74461902340000008</v>
      </c>
    </row>
    <row r="90" spans="1:5" x14ac:dyDescent="0.3">
      <c r="A90" s="37">
        <v>4.0000000000000003E-5</v>
      </c>
      <c r="B90">
        <v>0</v>
      </c>
      <c r="D90">
        <v>4.0000000000000003E-5</v>
      </c>
      <c r="E90">
        <v>0.42919135193120006</v>
      </c>
    </row>
    <row r="91" spans="1:5" x14ac:dyDescent="0.3">
      <c r="A91" s="37">
        <v>7.6000000000000004E-4</v>
      </c>
      <c r="B91">
        <v>0</v>
      </c>
      <c r="D91">
        <v>7.6000000000000004E-4</v>
      </c>
      <c r="E91">
        <v>0.10443034559280003</v>
      </c>
    </row>
    <row r="92" spans="1:5" x14ac:dyDescent="0.3">
      <c r="A92" s="37">
        <v>7.2000000000000002E-5</v>
      </c>
      <c r="B92">
        <v>1</v>
      </c>
      <c r="D92">
        <v>7.2000000000000002E-5</v>
      </c>
      <c r="E92">
        <v>5.2381611920000006</v>
      </c>
    </row>
    <row r="93" spans="1:5" x14ac:dyDescent="0.3">
      <c r="A93" s="37">
        <v>1.4399999999999999E-5</v>
      </c>
      <c r="B93">
        <v>1</v>
      </c>
      <c r="D93">
        <v>1.4399999999999999E-5</v>
      </c>
      <c r="E93">
        <v>5.2089052580768005</v>
      </c>
    </row>
    <row r="94" spans="1:5" x14ac:dyDescent="0.3">
      <c r="A94" s="37">
        <v>2.7359999999999998E-4</v>
      </c>
      <c r="B94">
        <v>0</v>
      </c>
      <c r="D94">
        <v>2.7359999999999998E-4</v>
      </c>
      <c r="E94">
        <v>1.0426308080591999</v>
      </c>
    </row>
    <row r="95" spans="1:5" x14ac:dyDescent="0.3">
      <c r="A95" s="37">
        <v>4.7999999999999996E-4</v>
      </c>
      <c r="B95">
        <v>0</v>
      </c>
      <c r="D95">
        <v>4.7999999999999996E-4</v>
      </c>
      <c r="E95">
        <v>0.74978667880000005</v>
      </c>
    </row>
    <row r="96" spans="1:5" x14ac:dyDescent="0.3">
      <c r="A96" s="37">
        <v>9.5999999999999989E-5</v>
      </c>
      <c r="B96">
        <v>0</v>
      </c>
      <c r="D96">
        <v>9.5999999999999989E-5</v>
      </c>
      <c r="E96">
        <v>0.43344175403840002</v>
      </c>
    </row>
    <row r="97" spans="1:5" x14ac:dyDescent="0.3">
      <c r="A97" s="37">
        <v>1.8239999999999999E-3</v>
      </c>
      <c r="B97">
        <v>0</v>
      </c>
      <c r="D97">
        <v>1.8239999999999999E-3</v>
      </c>
      <c r="E97">
        <v>0.10483931652960002</v>
      </c>
    </row>
    <row r="98" spans="1:5" x14ac:dyDescent="0.3">
      <c r="A98" s="37">
        <v>8.0039999999999999E-5</v>
      </c>
      <c r="B98">
        <v>1</v>
      </c>
      <c r="D98">
        <v>8.0039999999999999E-5</v>
      </c>
      <c r="E98">
        <v>5.376437268000001</v>
      </c>
    </row>
    <row r="99" spans="1:5" x14ac:dyDescent="0.3">
      <c r="A99" s="37">
        <v>1.6008E-5</v>
      </c>
      <c r="B99">
        <v>1</v>
      </c>
      <c r="D99">
        <v>1.6008E-5</v>
      </c>
      <c r="E99">
        <v>5.3191682993072007</v>
      </c>
    </row>
    <row r="100" spans="1:5" x14ac:dyDescent="0.3">
      <c r="A100" s="37">
        <v>3.0415199999999997E-4</v>
      </c>
      <c r="B100">
        <v>0</v>
      </c>
      <c r="D100">
        <v>3.0415199999999997E-4</v>
      </c>
      <c r="E100">
        <v>1.0535281177367999</v>
      </c>
    </row>
    <row r="101" spans="1:5" x14ac:dyDescent="0.3">
      <c r="A101" s="37">
        <v>5.3359999999999996E-4</v>
      </c>
      <c r="B101">
        <v>0</v>
      </c>
      <c r="D101">
        <v>5.3359999999999996E-4</v>
      </c>
      <c r="E101">
        <v>0.77052809020000002</v>
      </c>
    </row>
    <row r="102" spans="1:5" x14ac:dyDescent="0.3">
      <c r="A102" s="37">
        <v>1.0671999999999999E-4</v>
      </c>
      <c r="B102">
        <v>0</v>
      </c>
      <c r="D102">
        <v>1.0671999999999999E-4</v>
      </c>
      <c r="E102">
        <v>0.45171740687647999</v>
      </c>
    </row>
    <row r="103" spans="1:5" x14ac:dyDescent="0.3">
      <c r="A103" s="37">
        <v>2.02768E-3</v>
      </c>
      <c r="B103">
        <v>0</v>
      </c>
      <c r="D103">
        <v>2.02768E-3</v>
      </c>
      <c r="E103">
        <v>0.10649689971312001</v>
      </c>
    </row>
    <row r="104" spans="1:5" x14ac:dyDescent="0.3">
      <c r="A104" s="37">
        <v>2.9999999999999997E-5</v>
      </c>
      <c r="B104">
        <v>1</v>
      </c>
      <c r="D104">
        <v>2.9999999999999997E-5</v>
      </c>
      <c r="E104">
        <v>5.1933276519999998</v>
      </c>
    </row>
    <row r="105" spans="1:5" x14ac:dyDescent="0.3">
      <c r="A105" s="37">
        <v>5.9999999999999993E-6</v>
      </c>
      <c r="B105">
        <v>1</v>
      </c>
      <c r="D105">
        <v>5.9999999999999993E-6</v>
      </c>
      <c r="E105">
        <v>5.1731544426607998</v>
      </c>
    </row>
    <row r="106" spans="1:5" x14ac:dyDescent="0.3">
      <c r="A106" s="37">
        <v>1.1399999999999999E-4</v>
      </c>
      <c r="B106">
        <v>0</v>
      </c>
      <c r="D106">
        <v>1.1399999999999999E-4</v>
      </c>
      <c r="E106">
        <v>1.0390975506552</v>
      </c>
    </row>
    <row r="107" spans="1:5" x14ac:dyDescent="0.3">
      <c r="A107" s="37">
        <v>2.0000000000000001E-4</v>
      </c>
      <c r="B107">
        <v>0</v>
      </c>
      <c r="D107">
        <v>2.0000000000000001E-4</v>
      </c>
      <c r="E107">
        <v>0.74306164780000006</v>
      </c>
    </row>
    <row r="108" spans="1:5" x14ac:dyDescent="0.3">
      <c r="A108" s="37">
        <v>4.0000000000000003E-5</v>
      </c>
      <c r="B108">
        <v>0</v>
      </c>
      <c r="D108">
        <v>4.0000000000000003E-5</v>
      </c>
      <c r="E108">
        <v>0.42833868589472002</v>
      </c>
    </row>
    <row r="109" spans="1:5" x14ac:dyDescent="0.3">
      <c r="A109" s="37">
        <v>7.6000000000000004E-4</v>
      </c>
      <c r="B109">
        <v>0</v>
      </c>
      <c r="D109">
        <v>7.6000000000000004E-4</v>
      </c>
      <c r="E109">
        <v>0.10431276433968001</v>
      </c>
    </row>
    <row r="110" spans="1:5" x14ac:dyDescent="0.3">
      <c r="A110" s="37">
        <v>5.8199999999999998E-5</v>
      </c>
      <c r="B110">
        <v>1</v>
      </c>
      <c r="D110">
        <v>5.8199999999999998E-5</v>
      </c>
      <c r="E110">
        <v>5.2862982560000003</v>
      </c>
    </row>
    <row r="111" spans="1:5" x14ac:dyDescent="0.3">
      <c r="A111" s="37">
        <v>1.1639999999999999E-5</v>
      </c>
      <c r="B111">
        <v>1</v>
      </c>
      <c r="D111">
        <v>1.1639999999999999E-5</v>
      </c>
      <c r="E111">
        <v>5.2472903441023995</v>
      </c>
    </row>
    <row r="112" spans="1:5" x14ac:dyDescent="0.3">
      <c r="A112" s="37">
        <v>2.2115999999999998E-4</v>
      </c>
      <c r="B112">
        <v>0</v>
      </c>
      <c r="D112">
        <v>2.2115999999999998E-4</v>
      </c>
      <c r="E112">
        <v>1.0464244107456</v>
      </c>
    </row>
    <row r="113" spans="1:5" x14ac:dyDescent="0.3">
      <c r="A113" s="37">
        <v>3.88E-4</v>
      </c>
      <c r="B113">
        <v>0</v>
      </c>
      <c r="D113">
        <v>3.88E-4</v>
      </c>
      <c r="E113">
        <v>0.75700723839999995</v>
      </c>
    </row>
    <row r="114" spans="1:5" x14ac:dyDescent="0.3">
      <c r="A114" s="37">
        <v>7.7600000000000002E-5</v>
      </c>
      <c r="B114">
        <v>0</v>
      </c>
      <c r="D114">
        <v>7.7600000000000002E-5</v>
      </c>
      <c r="E114">
        <v>0.44020880969216003</v>
      </c>
    </row>
    <row r="115" spans="1:5" x14ac:dyDescent="0.3">
      <c r="A115" s="37">
        <v>1.4743999999999998E-3</v>
      </c>
      <c r="B115">
        <v>0</v>
      </c>
      <c r="D115">
        <v>1.4743999999999998E-3</v>
      </c>
      <c r="E115">
        <v>0.10542171967104001</v>
      </c>
    </row>
    <row r="116" spans="1:5" x14ac:dyDescent="0.3">
      <c r="A116" s="37">
        <v>6.7199999999999994E-5</v>
      </c>
      <c r="B116">
        <v>1</v>
      </c>
      <c r="D116">
        <v>6.7199999999999994E-5</v>
      </c>
      <c r="E116">
        <v>5.3103667879999996</v>
      </c>
    </row>
    <row r="117" spans="1:5" x14ac:dyDescent="0.3">
      <c r="A117" s="37">
        <v>1.344E-5</v>
      </c>
      <c r="B117">
        <v>1</v>
      </c>
      <c r="D117">
        <v>1.344E-5</v>
      </c>
      <c r="E117">
        <v>5.2664828871151999</v>
      </c>
    </row>
    <row r="118" spans="1:5" x14ac:dyDescent="0.3">
      <c r="A118" s="37">
        <v>2.5535999999999999E-4</v>
      </c>
      <c r="B118">
        <v>0</v>
      </c>
      <c r="D118">
        <v>2.5535999999999999E-4</v>
      </c>
      <c r="E118">
        <v>1.0483212120887999</v>
      </c>
    </row>
    <row r="119" spans="1:5" x14ac:dyDescent="0.3">
      <c r="A119" s="37">
        <v>4.4799999999999999E-4</v>
      </c>
      <c r="B119">
        <v>0</v>
      </c>
      <c r="D119">
        <v>4.4799999999999999E-4</v>
      </c>
      <c r="E119">
        <v>0.7606175181999999</v>
      </c>
    </row>
    <row r="120" spans="1:5" x14ac:dyDescent="0.3">
      <c r="A120" s="37">
        <v>8.9599999999999996E-5</v>
      </c>
      <c r="B120">
        <v>0</v>
      </c>
      <c r="D120">
        <v>8.9599999999999996E-5</v>
      </c>
      <c r="E120">
        <v>0.44328178590367995</v>
      </c>
    </row>
    <row r="121" spans="1:5" x14ac:dyDescent="0.3">
      <c r="A121" s="37">
        <v>1.7024E-3</v>
      </c>
      <c r="B121">
        <v>0</v>
      </c>
      <c r="D121">
        <v>1.7024E-3</v>
      </c>
      <c r="E121">
        <v>0.10570880962992002</v>
      </c>
    </row>
    <row r="122" spans="1:5" x14ac:dyDescent="0.3">
      <c r="A122" s="37">
        <v>3.96E-5</v>
      </c>
      <c r="B122">
        <v>1</v>
      </c>
      <c r="D122">
        <v>3.96E-5</v>
      </c>
      <c r="E122">
        <v>5.2206997080000006</v>
      </c>
    </row>
    <row r="123" spans="1:5" x14ac:dyDescent="0.3">
      <c r="A123" s="37">
        <v>7.9200000000000004E-6</v>
      </c>
      <c r="B123">
        <v>1</v>
      </c>
      <c r="D123">
        <v>7.9200000000000004E-6</v>
      </c>
      <c r="E123">
        <v>5.1949812562832003</v>
      </c>
    </row>
    <row r="124" spans="1:5" x14ac:dyDescent="0.3">
      <c r="A124" s="37">
        <v>1.5047999999999998E-4</v>
      </c>
      <c r="B124">
        <v>0</v>
      </c>
      <c r="D124">
        <v>1.5047999999999998E-4</v>
      </c>
      <c r="E124">
        <v>1.0412546972808001</v>
      </c>
    </row>
    <row r="125" spans="1:5" x14ac:dyDescent="0.3">
      <c r="A125" s="37">
        <v>2.6400000000000002E-4</v>
      </c>
      <c r="B125">
        <v>0</v>
      </c>
      <c r="D125">
        <v>2.6400000000000002E-4</v>
      </c>
      <c r="E125">
        <v>0.74716745620000002</v>
      </c>
    </row>
    <row r="126" spans="1:5" x14ac:dyDescent="0.3">
      <c r="A126" s="37">
        <v>5.2800000000000003E-5</v>
      </c>
      <c r="B126">
        <v>0</v>
      </c>
      <c r="D126">
        <v>5.2800000000000003E-5</v>
      </c>
      <c r="E126">
        <v>0.43183344315488004</v>
      </c>
    </row>
    <row r="127" spans="1:5" x14ac:dyDescent="0.3">
      <c r="A127" s="37">
        <v>1.0032000000000001E-3</v>
      </c>
      <c r="B127">
        <v>0</v>
      </c>
      <c r="D127">
        <v>1.0032000000000001E-3</v>
      </c>
      <c r="E127">
        <v>0.10463925880272003</v>
      </c>
    </row>
    <row r="128" spans="1:5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50"/>
  <sheetViews>
    <sheetView zoomScale="85" zoomScaleNormal="85" workbookViewId="0">
      <pane ySplit="1" topLeftCell="A2" activePane="bottomLeft" state="frozen"/>
      <selection pane="bottomLeft" activeCell="A2" sqref="A2:XFD1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483</v>
      </c>
      <c r="BA1" s="5" t="s">
        <v>484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8">
        <f>AW2/DB!$B$23</f>
        <v>1.0256410256410258E-9</v>
      </c>
      <c r="BA2" s="288">
        <f>AX2/DB!$B$23</f>
        <v>2.0512820512820516E-9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8">
        <f>AW3/DB!$B$23</f>
        <v>4.102564102564103E-10</v>
      </c>
      <c r="BA3" s="288">
        <f>AX3/DB!$B$23</f>
        <v>4.102564102564103E-10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8">
        <f>AW4/DB!$B$23</f>
        <v>0</v>
      </c>
      <c r="BA4" s="288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8">
        <f>AW5/DB!$B$23</f>
        <v>0</v>
      </c>
      <c r="BA5" s="288">
        <f>AX5/DB!$B$23</f>
        <v>2.0512820512820516E-8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8">
        <f>AW6/DB!$B$23</f>
        <v>0</v>
      </c>
      <c r="BA6" s="288">
        <f>AX6/DB!$B$23</f>
        <v>2.0512820512820516E-9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8">
        <f>AW7/DB!$B$23</f>
        <v>0</v>
      </c>
      <c r="BA7" s="288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88">
        <f>AW12/DB!$B$23</f>
        <v>2.0923076923076919E-7</v>
      </c>
      <c r="BA12" s="288">
        <f>AX12/DB!$B$23</f>
        <v>4.1846153846153838E-7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88">
        <f>AW13/DB!$B$23</f>
        <v>8.3692307692307683E-8</v>
      </c>
      <c r="BA13" s="288">
        <f>AX13/DB!$B$23</f>
        <v>4.1846153846153842E-8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88">
        <f>AW14/DB!$B$23</f>
        <v>0</v>
      </c>
      <c r="BA14" s="288">
        <f>AX14/DB!$B$23</f>
        <v>7.9507692307692293E-7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88">
        <f>AW15/DB!$B$23</f>
        <v>0</v>
      </c>
      <c r="BA15" s="288">
        <f>AX15/DB!$B$23</f>
        <v>1.394871794871795E-6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88">
        <f>AW16/DB!$B$23</f>
        <v>0</v>
      </c>
      <c r="BA16" s="288">
        <f>AX16/DB!$B$23</f>
        <v>2.7897435897435899E-7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88">
        <f>AW17/DB!$B$23</f>
        <v>0</v>
      </c>
      <c r="BA17" s="288">
        <f>AX17/DB!$B$23</f>
        <v>5.3005128205128207E-6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8">
        <f>AW22/DB!$B$23</f>
        <v>1.0256410256410258E-9</v>
      </c>
      <c r="BA22" s="288">
        <f>AX22/DB!$B$23</f>
        <v>2.0512820512820516E-9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8">
        <f>AW23/DB!$B$23</f>
        <v>4.102564102564103E-10</v>
      </c>
      <c r="BA23" s="288">
        <f>AX23/DB!$B$23</f>
        <v>4.102564102564103E-10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8">
        <f>AW24/DB!$B$23</f>
        <v>0</v>
      </c>
      <c r="BA24" s="288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8">
        <f>AW25/DB!$B$23</f>
        <v>0</v>
      </c>
      <c r="BA25" s="288">
        <f>AX25/DB!$B$23</f>
        <v>2.0512820512820516E-8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8">
        <f>AW26/DB!$B$23</f>
        <v>0</v>
      </c>
      <c r="BA26" s="288">
        <f>AX26/DB!$B$23</f>
        <v>2.0512820512820516E-9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8">
        <f>AW27/DB!$B$23</f>
        <v>0</v>
      </c>
      <c r="BA27" s="288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8">
        <f>AW32/DB!$B$23</f>
        <v>1.0256410256410258E-9</v>
      </c>
      <c r="BA32" s="288">
        <f>AX32/DB!$B$23</f>
        <v>2.0512820512820516E-9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8">
        <f>AW33/DB!$B$23</f>
        <v>1.1815384615384616E-9</v>
      </c>
      <c r="BA33" s="288">
        <f>AX33/DB!$B$23</f>
        <v>1.1815384615384616E-9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8">
        <f>AW34/DB!$B$23</f>
        <v>0</v>
      </c>
      <c r="BA34" s="288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8">
        <f>AW35/DB!$B$23</f>
        <v>0</v>
      </c>
      <c r="BA35" s="288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8">
        <f>AW36/DB!$B$23</f>
        <v>0</v>
      </c>
      <c r="BA36" s="288">
        <f>AX36/DB!$B$23</f>
        <v>3.5897435897435903E-9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8">
        <f>AW37/DB!$B$23</f>
        <v>0</v>
      </c>
      <c r="BA37" s="288">
        <f>AX37/DB!$B$23</f>
        <v>4.2564102564102569E-10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8">
        <f>AW38/DB!$B$23</f>
        <v>0</v>
      </c>
      <c r="BA38" s="288">
        <f>AX38/DB!$B$23</f>
        <v>1.3538461538461539E-9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8">
        <f>AW39/DB!$B$23</f>
        <v>0</v>
      </c>
      <c r="BA39" s="288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8">
        <f>AW42/DB!$B$23</f>
        <v>1.0256410256410258E-9</v>
      </c>
      <c r="BA42" s="288">
        <f>AX42/DB!$B$23</f>
        <v>2.0512820512820516E-9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8">
        <f>AW43/DB!$B$23</f>
        <v>1.1815384615384616E-9</v>
      </c>
      <c r="BA43" s="288">
        <f>AX43/DB!$B$23</f>
        <v>1.1815384615384616E-9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8">
        <f>AW44/DB!$B$23</f>
        <v>0</v>
      </c>
      <c r="BA44" s="288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8">
        <f>AW45/DB!$B$23</f>
        <v>3.1179487179487179E-9</v>
      </c>
      <c r="BA45" s="288">
        <f>AX45/DB!$B$23</f>
        <v>3.1179487179487179E-9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8">
        <f>AW46/DB!$B$23</f>
        <v>0</v>
      </c>
      <c r="BA46" s="288">
        <f>AX46/DB!$B$23</f>
        <v>3.5897435897435903E-9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8">
        <f>AW47/DB!$B$23</f>
        <v>0</v>
      </c>
      <c r="BA47" s="288">
        <f>AX47/DB!$B$23</f>
        <v>8.5128205128205138E-10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8">
        <f>AW48/DB!$B$23</f>
        <v>0</v>
      </c>
      <c r="BA48" s="288">
        <f>AX48/DB!$B$23</f>
        <v>1.3538461538461539E-9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8">
        <f>AW49/DB!$B$23</f>
        <v>0</v>
      </c>
      <c r="BA49" s="288">
        <f>AX49/DB!$B$23</f>
        <v>4.7707692307692315E-8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88">
        <f>AW52/DB!$B$23</f>
        <v>8.9743589743589746E-10</v>
      </c>
      <c r="BA52" s="288">
        <f>AX52/DB!$B$23</f>
        <v>1.7948717948717949E-9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88">
        <f>AW53/DB!$B$23</f>
        <v>1.7051282051282052E-9</v>
      </c>
      <c r="BA53" s="288">
        <f>AX53/DB!$B$23</f>
        <v>1.7051282051282052E-9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88">
        <f>AW54/DB!$B$23</f>
        <v>0</v>
      </c>
      <c r="BA54" s="288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88">
        <f>AW55/DB!$B$23</f>
        <v>0</v>
      </c>
      <c r="BA55" s="288">
        <f>AX55/DB!$B$23</f>
        <v>1.1282051282051284E-8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88">
        <f>AW56/DB!$B$23</f>
        <v>0</v>
      </c>
      <c r="BA56" s="288">
        <f>AX56/DB!$B$23</f>
        <v>5.358974358974359E-9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88">
        <f>AW57/DB!$B$23</f>
        <v>0</v>
      </c>
      <c r="BA57" s="288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88">
        <f>AW62/DB!$B$23</f>
        <v>8.9743589743589746E-10</v>
      </c>
      <c r="BA62" s="288">
        <f>AX62/DB!$B$23</f>
        <v>1.7948717948717949E-9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88">
        <f>AW63/DB!$B$23</f>
        <v>1.7051282051282052E-9</v>
      </c>
      <c r="BA63" s="288">
        <f>AX63/DB!$B$23</f>
        <v>1.7051282051282052E-9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88">
        <f>AW64/DB!$B$23</f>
        <v>0</v>
      </c>
      <c r="BA64" s="288">
        <f>AX64/DB!$B$23</f>
        <v>1.6198717948717946E-8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88">
        <f>AW65/DB!$B$23</f>
        <v>0</v>
      </c>
      <c r="BA65" s="288">
        <f>AX65/DB!$B$23</f>
        <v>1.1282051282051284E-8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88">
        <f>AW66/DB!$B$23</f>
        <v>0</v>
      </c>
      <c r="BA66" s="288">
        <f>AX66/DB!$B$23</f>
        <v>5.358974358974359E-9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88">
        <f>AW67/DB!$B$23</f>
        <v>0</v>
      </c>
      <c r="BA67" s="288">
        <f>AX67/DB!$B$23</f>
        <v>1.0182051282051282E-7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88">
        <f>AW72/DB!$B$23</f>
        <v>8.9743589743589746E-10</v>
      </c>
      <c r="BA72" s="288">
        <f>AX72/DB!$B$23</f>
        <v>1.7948717948717949E-9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88">
        <f>AW73/DB!$B$23</f>
        <v>1.7051282051282052E-9</v>
      </c>
      <c r="BA73" s="288">
        <f>AX73/DB!$B$23</f>
        <v>1.7051282051282052E-9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88">
        <f>AW74/DB!$B$23</f>
        <v>0</v>
      </c>
      <c r="BA74" s="288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88">
        <f>AW75/DB!$B$23</f>
        <v>0</v>
      </c>
      <c r="BA75" s="288">
        <f>AX75/DB!$B$23</f>
        <v>1.1282051282051284E-8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88">
        <f>AW76/DB!$B$23</f>
        <v>0</v>
      </c>
      <c r="BA76" s="288">
        <f>AX76/DB!$B$23</f>
        <v>5.358974358974359E-9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88">
        <f>AW77/DB!$B$23</f>
        <v>0</v>
      </c>
      <c r="BA77" s="288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88">
        <f>AW82/DB!$B$23</f>
        <v>5.1282051282051289E-10</v>
      </c>
      <c r="BA82" s="288">
        <f>AX82/DB!$B$23</f>
        <v>1.0256410256410258E-9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591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88">
        <f>AW83/DB!$B$23</f>
        <v>1.8461538461538466E-9</v>
      </c>
      <c r="BA83" s="288">
        <f>AX83/DB!$B$23</f>
        <v>1.8461538461538466E-9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88">
        <f>AW84/DB!$B$23</f>
        <v>0</v>
      </c>
      <c r="BA84" s="288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88">
        <f>AW85/DB!$B$23</f>
        <v>0</v>
      </c>
      <c r="BA85" s="288">
        <f>AX85/DB!$B$23</f>
        <v>1.0256410256410258E-8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88">
        <f>AW86/DB!$B$23</f>
        <v>0</v>
      </c>
      <c r="BA86" s="288">
        <f>AX86/DB!$B$23</f>
        <v>2.307692307692308E-9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88">
        <f>AW87/DB!$B$23</f>
        <v>0</v>
      </c>
      <c r="BA87" s="288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88">
        <f>AW92/DB!$B$23</f>
        <v>5.1282051282051289E-10</v>
      </c>
      <c r="BA92" s="288">
        <f>AX92/DB!$B$23</f>
        <v>1.0256410256410258E-9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88">
        <f>AW93/DB!$B$23</f>
        <v>1.8461538461538466E-9</v>
      </c>
      <c r="BA93" s="288">
        <f>AX93/DB!$B$23</f>
        <v>1.8461538461538466E-9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88">
        <f>AW94/DB!$B$23</f>
        <v>0</v>
      </c>
      <c r="BA94" s="288">
        <f>AX94/DB!$B$23</f>
        <v>3.6923076923076932E-9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88">
        <f>AW95/DB!$B$23</f>
        <v>0</v>
      </c>
      <c r="BA95" s="288">
        <f>AX95/DB!$B$23</f>
        <v>1.0256410256410258E-8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88">
        <f>AW96/DB!$B$23</f>
        <v>0</v>
      </c>
      <c r="BA96" s="288">
        <f>AX96/DB!$B$23</f>
        <v>2.307692307692308E-9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88">
        <f>AW97/DB!$B$23</f>
        <v>0</v>
      </c>
      <c r="BA97" s="288">
        <f>AX97/DB!$B$23</f>
        <v>4.3846153846153846E-8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88">
        <f>AW102/DB!$B$23</f>
        <v>5.1282051282051289E-10</v>
      </c>
      <c r="BA102" s="288">
        <f>AX102/DB!$B$23</f>
        <v>1.0256410256410258E-9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88">
        <f>AW103/DB!$B$23</f>
        <v>1.8461538461538466E-9</v>
      </c>
      <c r="BA103" s="288">
        <f>AX103/DB!$B$23</f>
        <v>1.8461538461538466E-9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88">
        <f>AW104/DB!$B$23</f>
        <v>0</v>
      </c>
      <c r="BA104" s="288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88">
        <f>AW105/DB!$B$23</f>
        <v>0</v>
      </c>
      <c r="BA105" s="288">
        <f>AX105/DB!$B$23</f>
        <v>1.0256410256410258E-8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88">
        <f>AW106/DB!$B$23</f>
        <v>0</v>
      </c>
      <c r="BA106" s="288">
        <f>AX106/DB!$B$23</f>
        <v>2.307692307692308E-9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88">
        <f>AW107/DB!$B$23</f>
        <v>0</v>
      </c>
      <c r="BA107" s="288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88">
        <f>AW112/DB!$B$23</f>
        <v>2.564102564102564E-11</v>
      </c>
      <c r="BA112" s="288">
        <f>AX112/DB!$B$23</f>
        <v>5.128205128205128E-11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88">
        <f>AW113/DB!$B$23</f>
        <v>1.9487179487179484E-10</v>
      </c>
      <c r="BA113" s="288">
        <f>AX113/DB!$B$23</f>
        <v>1.9487179487179484E-10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88">
        <f>AW114/DB!$B$23</f>
        <v>0</v>
      </c>
      <c r="BA114" s="288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88">
        <f>AW115/DB!$B$23</f>
        <v>0</v>
      </c>
      <c r="BA115" s="288">
        <f>AX115/DB!$B$23</f>
        <v>2.0512820512820517E-10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88">
        <f>AW116/DB!$B$23</f>
        <v>0</v>
      </c>
      <c r="BA116" s="288">
        <f>AX116/DB!$B$23</f>
        <v>8.2051282051282069E-10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88">
        <f>AW117/DB!$B$23</f>
        <v>0</v>
      </c>
      <c r="BA117" s="288">
        <f>AX117/DB!$B$23</f>
        <v>2.0512820512820517E-10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88">
        <f>AW118/DB!$B$23</f>
        <v>0</v>
      </c>
      <c r="BA118" s="288">
        <f>AX118/DB!$B$23</f>
        <v>7.7948717948717967E-10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88">
        <f>AW119/DB!$B$23</f>
        <v>0</v>
      </c>
      <c r="BA119" s="288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88">
        <f>AW120/DB!$B$23</f>
        <v>1.2820512820512822E-8</v>
      </c>
      <c r="BA120" s="288">
        <f>AX120/DB!$B$23</f>
        <v>2.5641025641025643E-8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88">
        <f>AW122/DB!$B$23</f>
        <v>2.564102564102564E-11</v>
      </c>
      <c r="BA122" s="288">
        <f>AX122/DB!$B$23</f>
        <v>5.128205128205128E-11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88">
        <f>AW123/DB!$B$23</f>
        <v>2.923076923076923E-10</v>
      </c>
      <c r="BA123" s="288">
        <f>AX123/DB!$B$23</f>
        <v>3.8974358974358968E-10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88">
        <f>AW124/DB!$B$23</f>
        <v>0</v>
      </c>
      <c r="BA124" s="288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88">
        <f>AW125/DB!$B$23</f>
        <v>0</v>
      </c>
      <c r="BA125" s="288">
        <f>AX125/DB!$B$23</f>
        <v>2.0512820512820517E-10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88">
        <f>AW126/DB!$B$23</f>
        <v>0</v>
      </c>
      <c r="BA126" s="288">
        <f>AX126/DB!$B$23</f>
        <v>8.2051282051282069E-10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88">
        <f>AW127/DB!$B$23</f>
        <v>0</v>
      </c>
      <c r="BA127" s="288">
        <f>AX127/DB!$B$23</f>
        <v>2.0512820512820517E-10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88">
        <f>AW128/DB!$B$23</f>
        <v>0</v>
      </c>
      <c r="BA128" s="288">
        <f>AX128/DB!$B$23</f>
        <v>7.7948717948717967E-10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88">
        <f>AW129/DB!$B$23</f>
        <v>0</v>
      </c>
      <c r="BA129" s="288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88">
        <f>AW130/DB!$B$23</f>
        <v>1.2820512820512822E-8</v>
      </c>
      <c r="BA130" s="288">
        <f>AX130/DB!$B$23</f>
        <v>2.5641025641025643E-8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88">
        <f>AW132/DB!$B$23</f>
        <v>2.5641025641025645E-10</v>
      </c>
      <c r="BA132" s="288">
        <f>AX132/DB!$B$23</f>
        <v>5.1282051282051289E-10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88">
        <f>AW133/DB!$B$23</f>
        <v>4.8717948717948727E-10</v>
      </c>
      <c r="BA133" s="288">
        <f>AX133/DB!$B$23</f>
        <v>4.8717948717948727E-10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88">
        <f>AW134/DB!$B$23</f>
        <v>0</v>
      </c>
      <c r="BA134" s="288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88">
        <f>AW142/DB!$B$23</f>
        <v>2.5641025641025645E-10</v>
      </c>
      <c r="BA142" s="288">
        <f>AX142/DB!$B$23</f>
        <v>5.1282051282051289E-10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88">
        <f>AW143/DB!$B$23</f>
        <v>4.8717948717948727E-10</v>
      </c>
      <c r="BA143" s="288">
        <f>AX143/DB!$B$23</f>
        <v>4.8717948717948727E-10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88">
        <f>AW144/DB!$B$23</f>
        <v>0</v>
      </c>
      <c r="BA144" s="288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420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88">
        <f>AW152/DB!$B$23</f>
        <v>7.6923076923076937E-11</v>
      </c>
      <c r="BA152" s="288">
        <f>AX152/DB!$B$23</f>
        <v>7.6923076923076937E-11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88">
        <f>AW153/DB!$B$23</f>
        <v>7.3076923076923088E-11</v>
      </c>
      <c r="BA153" s="288">
        <f>AX153/DB!$B$23</f>
        <v>7.3076923076923088E-11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88">
        <f>AW154/DB!$B$23</f>
        <v>0</v>
      </c>
      <c r="BA154" s="288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88">
        <f>AW155/DB!$B$23</f>
        <v>0</v>
      </c>
      <c r="BA155" s="288">
        <f>AX155/DB!$B$23</f>
        <v>1.7948717948717947E-10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422</v>
      </c>
      <c r="D156" s="85" t="s">
        <v>421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88">
        <f>AW156/DB!$B$23</f>
        <v>0</v>
      </c>
      <c r="BA156" s="288">
        <f>AX156/DB!$B$23</f>
        <v>1.7051282051282051E-10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88">
        <f>AW157/DB!$B$23</f>
        <v>0</v>
      </c>
      <c r="BA157" s="288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88">
        <f>AW162/DB!$B$23</f>
        <v>7.6923076923076937E-11</v>
      </c>
      <c r="BA162" s="288">
        <f>AX162/DB!$B$23</f>
        <v>1.5384615384615387E-10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88">
        <f>AW163/DB!$B$23</f>
        <v>1.4615384615384618E-10</v>
      </c>
      <c r="BA163" s="288">
        <f>AX163/DB!$B$23</f>
        <v>1.4615384615384618E-10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88">
        <f>AW164/DB!$B$23</f>
        <v>0</v>
      </c>
      <c r="BA164" s="288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88">
        <f>AW165/DB!$B$23</f>
        <v>0</v>
      </c>
      <c r="BA165" s="288">
        <f>AX165/DB!$B$23</f>
        <v>3.5897435897435894E-10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422</v>
      </c>
      <c r="D166" s="85" t="s">
        <v>421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88">
        <f>AW166/DB!$B$23</f>
        <v>0</v>
      </c>
      <c r="BA166" s="288">
        <f>AX166/DB!$B$23</f>
        <v>1.7051282051282051E-10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88">
        <f>AW167/DB!$B$23</f>
        <v>0</v>
      </c>
      <c r="BA167" s="288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88">
        <f>AW172/DB!$B$23</f>
        <v>7.6923076923076937E-11</v>
      </c>
      <c r="BA172" s="288">
        <f>AX172/DB!$B$23</f>
        <v>1.5384615384615387E-10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88">
        <f>AW173/DB!$B$23</f>
        <v>1.4615384615384618E-10</v>
      </c>
      <c r="BA173" s="288">
        <f>AX173/DB!$B$23</f>
        <v>1.4615384615384618E-10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88">
        <f>AW174/DB!$B$23</f>
        <v>0</v>
      </c>
      <c r="BA174" s="288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88">
        <f>AW175/DB!$B$23</f>
        <v>0</v>
      </c>
      <c r="BA175" s="288">
        <f>AX175/DB!$B$23</f>
        <v>3.5897435897435894E-10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88">
        <f>AW176/DB!$B$23</f>
        <v>0</v>
      </c>
      <c r="BA176" s="288">
        <f>AX176/DB!$B$23</f>
        <v>1.7051282051282051E-10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88">
        <f>AW177/DB!$B$23</f>
        <v>0</v>
      </c>
      <c r="BA177" s="288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88">
        <f>AW182/DB!$B$23</f>
        <v>1.0256410256410258E-9</v>
      </c>
      <c r="BA182" s="288">
        <f>AX182/DB!$B$23</f>
        <v>2.0512820512820516E-9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88">
        <f>AW183/DB!$B$23</f>
        <v>1.1815384615384616E-9</v>
      </c>
      <c r="BA183" s="288">
        <f>AX183/DB!$B$23</f>
        <v>1.1815384615384616E-9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88">
        <f>AW184/DB!$B$23</f>
        <v>0</v>
      </c>
      <c r="BA184" s="288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88">
        <f>AW185/DB!$B$23</f>
        <v>0</v>
      </c>
      <c r="BA185" s="288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88">
        <f>AW186/DB!$B$23</f>
        <v>0</v>
      </c>
      <c r="BA186" s="288">
        <f>AX186/DB!$B$23</f>
        <v>3.5897435897435903E-9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88">
        <f>AW187/DB!$B$23</f>
        <v>0</v>
      </c>
      <c r="BA187" s="288">
        <f>AX187/DB!$B$23</f>
        <v>4.2564102564102569E-10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88">
        <f>AW188/DB!$B$23</f>
        <v>0</v>
      </c>
      <c r="BA188" s="288">
        <f>AX188/DB!$B$23</f>
        <v>1.3538461538461539E-9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88">
        <f>AW189/DB!$B$23</f>
        <v>0</v>
      </c>
      <c r="BA189" s="288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88">
        <f>AW192/DB!$B$23</f>
        <v>1.0256410256410258E-9</v>
      </c>
      <c r="BA192" s="288">
        <f>AX192/DB!$B$23</f>
        <v>2.0512820512820516E-9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88">
        <f>AW193/DB!$B$23</f>
        <v>1.1815384615384616E-9</v>
      </c>
      <c r="BA193" s="288">
        <f>AX193/DB!$B$23</f>
        <v>1.1815384615384616E-9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88">
        <f>AW194/DB!$B$23</f>
        <v>0</v>
      </c>
      <c r="BA194" s="288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88">
        <f>AW195/DB!$B$23</f>
        <v>3.1179487179487179E-9</v>
      </c>
      <c r="BA195" s="288">
        <f>AX195/DB!$B$23</f>
        <v>3.1179487179487179E-9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88">
        <f>AW196/DB!$B$23</f>
        <v>0</v>
      </c>
      <c r="BA196" s="288">
        <f>AX196/DB!$B$23</f>
        <v>3.5897435897435903E-9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88">
        <f>AW197/DB!$B$23</f>
        <v>0</v>
      </c>
      <c r="BA197" s="288">
        <f>AX197/DB!$B$23</f>
        <v>8.5128205128205138E-10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88">
        <f>AW198/DB!$B$23</f>
        <v>0</v>
      </c>
      <c r="BA198" s="288">
        <f>AX198/DB!$B$23</f>
        <v>1.3538461538461539E-9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88">
        <f>AW199/DB!$B$23</f>
        <v>0</v>
      </c>
      <c r="BA199" s="288">
        <f>AX199/DB!$B$23</f>
        <v>4.7707692307692315E-8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88">
        <f>AW202/DB!$B$23</f>
        <v>5.128205128205128E-11</v>
      </c>
      <c r="BA202" s="288">
        <f>AX202/DB!$B$23</f>
        <v>1.0256410256410256E-10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88">
        <f>AW203/DB!$B$23</f>
        <v>3.8974358974358968E-10</v>
      </c>
      <c r="BA203" s="288">
        <f>AX203/DB!$B$23</f>
        <v>3.8974358974358968E-10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88">
        <f>AW204/DB!$B$23</f>
        <v>0</v>
      </c>
      <c r="BA204" s="288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88">
        <f>AW205/DB!$B$23</f>
        <v>0</v>
      </c>
      <c r="BA205" s="288">
        <f>AX205/DB!$B$23</f>
        <v>4.1025641025641035E-10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88">
        <f>AW206/DB!$B$23</f>
        <v>0</v>
      </c>
      <c r="BA206" s="288">
        <f>AX206/DB!$B$23</f>
        <v>1.6410256410256414E-9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88">
        <f>AW207/DB!$B$23</f>
        <v>0</v>
      </c>
      <c r="BA207" s="288">
        <f>AX207/DB!$B$23</f>
        <v>4.1025641025641035E-10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88">
        <f>AW208/DB!$B$23</f>
        <v>0</v>
      </c>
      <c r="BA208" s="288">
        <f>AX208/DB!$B$23</f>
        <v>1.5589743589743593E-9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88">
        <f>AW209/DB!$B$23</f>
        <v>0</v>
      </c>
      <c r="BA209" s="288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88">
        <f>AW210/DB!$B$23</f>
        <v>2.5641025641025643E-8</v>
      </c>
      <c r="BA210" s="288">
        <f>AX210/DB!$B$23</f>
        <v>5.1282051282051286E-8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88">
        <f>AW212/DB!$B$23</f>
        <v>5.128205128205128E-11</v>
      </c>
      <c r="BA212" s="288">
        <f>AX212/DB!$B$23</f>
        <v>1.0256410256410256E-10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88">
        <f>AW213/DB!$B$23</f>
        <v>3.8974358974358968E-10</v>
      </c>
      <c r="BA213" s="288">
        <f>AX213/DB!$B$23</f>
        <v>3.8974358974358968E-10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88">
        <f>AW214/DB!$B$23</f>
        <v>0</v>
      </c>
      <c r="BA214" s="288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88">
        <f>AW215/DB!$B$23</f>
        <v>0</v>
      </c>
      <c r="BA215" s="288">
        <f>AX215/DB!$B$23</f>
        <v>4.1025641025641035E-10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88">
        <f>AW216/DB!$B$23</f>
        <v>0</v>
      </c>
      <c r="BA216" s="288">
        <f>AX216/DB!$B$23</f>
        <v>1.6410256410256414E-9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88">
        <f>AW217/DB!$B$23</f>
        <v>0</v>
      </c>
      <c r="BA217" s="288">
        <f>AX217/DB!$B$23</f>
        <v>2.0512820512820517E-10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88">
        <f>AW218/DB!$B$23</f>
        <v>0</v>
      </c>
      <c r="BA218" s="288">
        <f>AX218/DB!$B$23</f>
        <v>1.5589743589743593E-9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88">
        <f>AW219/DB!$B$23</f>
        <v>0</v>
      </c>
      <c r="BA219" s="288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88">
        <f>AW220/DB!$B$23</f>
        <v>2.5641025641025643E-8</v>
      </c>
      <c r="BA220" s="288">
        <f>AX220/DB!$B$23</f>
        <v>5.1282051282051286E-8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8">
        <f>AW222/DB!$B$23</f>
        <v>1.0256410256410258E-9</v>
      </c>
      <c r="BA222" s="288">
        <f>AX222/DB!$B$23</f>
        <v>2.0512820512820516E-9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8">
        <f>AW223/DB!$B$23</f>
        <v>4.102564102564103E-10</v>
      </c>
      <c r="BA223" s="288">
        <f>AX223/DB!$B$23</f>
        <v>4.102564102564103E-10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8">
        <f>AW224/DB!$B$23</f>
        <v>0</v>
      </c>
      <c r="BA224" s="288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8">
        <f>AW225/DB!$B$23</f>
        <v>0</v>
      </c>
      <c r="BA225" s="288">
        <f>AX225/DB!$B$23</f>
        <v>2.0512820512820516E-8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8">
        <f>AW226/DB!$B$23</f>
        <v>0</v>
      </c>
      <c r="BA226" s="288">
        <f>AX226/DB!$B$23</f>
        <v>2.0512820512820516E-9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8">
        <f>AW227/DB!$B$23</f>
        <v>0</v>
      </c>
      <c r="BA227" s="288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88">
        <f>AW232/DB!$B$23</f>
        <v>1.0256410256410258E-9</v>
      </c>
      <c r="BA232" s="288">
        <f>AX232/DB!$B$23</f>
        <v>2.0512820512820516E-9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88">
        <f>AW233/DB!$B$23</f>
        <v>8.2051282051282063E-9</v>
      </c>
      <c r="BA233" s="288">
        <f>AX233/DB!$B$23</f>
        <v>8.2051282051282063E-9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495</v>
      </c>
      <c r="C242" s="79" t="s">
        <v>496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8">
        <f>AW242/DB!$B$23</f>
        <v>4.1025641025641032E-8</v>
      </c>
      <c r="BA242" s="288">
        <f>AX242/DB!$B$23</f>
        <v>8.2051282051282063E-8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497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8">
        <f>AW243/DB!$B$23</f>
        <v>4.7261538461538461E-8</v>
      </c>
      <c r="BA243" s="288">
        <f>AX243/DB!$B$23</f>
        <v>4.7261538461538461E-8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498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8">
        <f>AW244/DB!$B$23</f>
        <v>0</v>
      </c>
      <c r="BA244" s="288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499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8">
        <f>AW245/DB!$B$23</f>
        <v>0</v>
      </c>
      <c r="BA245" s="288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500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8">
        <f>AW246/DB!$B$23</f>
        <v>0</v>
      </c>
      <c r="BA246" s="288">
        <f>AX246/DB!$B$23</f>
        <v>6.3179487179487187E-7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501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8">
        <f>AW247/DB!$B$23</f>
        <v>0</v>
      </c>
      <c r="BA247" s="288">
        <f>AX247/DB!$B$23</f>
        <v>7.491282051282052E-8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502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8">
        <f>AW248/DB!$B$23</f>
        <v>0</v>
      </c>
      <c r="BA248" s="288">
        <f>AX248/DB!$B$23</f>
        <v>2.3827692307692311E-7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503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8">
        <f>AW249/DB!$B$23</f>
        <v>0</v>
      </c>
      <c r="BA249" s="288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13" t="s">
        <v>59</v>
      </c>
      <c r="B1" s="314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15" t="s">
        <v>72</v>
      </c>
      <c r="F11" s="316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17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19" t="s">
        <v>327</v>
      </c>
      <c r="H1" s="216" t="s">
        <v>328</v>
      </c>
    </row>
    <row r="2" spans="1:8" ht="15" thickBot="1" x14ac:dyDescent="0.35">
      <c r="A2" s="318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20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2025-03-21T20:28:23Z</dcterms:modified>
</cp:coreProperties>
</file>